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Verdict" sheetId="1" state="visible" r:id="rId1"/>
    <sheet xmlns:r="http://schemas.openxmlformats.org/officeDocument/2006/relationships" name="Controls" sheetId="2" state="visible" r:id="rId2"/>
    <sheet xmlns:r="http://schemas.openxmlformats.org/officeDocument/2006/relationships" name="Visual Metrics" sheetId="3" state="visible" r:id="rId3"/>
    <sheet xmlns:r="http://schemas.openxmlformats.org/officeDocument/2006/relationships" name="Data" sheetId="4" state="visible" r:id="rId4"/>
    <sheet xmlns:r="http://schemas.openxmlformats.org/officeDocument/2006/relationships" name="Calc" sheetId="5" state="visible" r:id="rId5"/>
    <sheet xmlns:r="http://schemas.openxmlformats.org/officeDocument/2006/relationships" name="Ref" sheetId="6" state="visible" r:id="rId6"/>
  </sheets>
  <definedNames>
    <definedName name="_xlnm._FilterDatabase" localSheetId="3" hidden="1">'Data'!$AU$1:$AU$1111</definedName>
  </definedNames>
  <calcPr calcId="124519" fullCalcOnLoad="1"/>
</workbook>
</file>

<file path=xl/styles.xml><?xml version="1.0" encoding="utf-8"?>
<styleSheet xmlns="http://schemas.openxmlformats.org/spreadsheetml/2006/main">
  <numFmts count="9">
    <numFmt numFmtId="164" formatCode="mm/dd/yyyy"/>
    <numFmt numFmtId="165" formatCode="0.000"/>
    <numFmt numFmtId="166" formatCode="\$#,##0"/>
    <numFmt numFmtId="167" formatCode="0.0%"/>
    <numFmt numFmtId="168" formatCode="#,##0.0"/>
    <numFmt numFmtId="169" formatCode="&quot;$&quot;#,##0"/>
    <numFmt numFmtId="170" formatCode="&quot;$&quot;#,##0.00"/>
    <numFmt numFmtId="171" formatCode="yyyy-mm-dd h:mm:ss"/>
    <numFmt numFmtId="172" formatCode="yyyy-mm-dd"/>
  </numFmts>
  <fonts count="24">
    <font>
      <name val="Calibri"/>
      <color theme="1"/>
      <sz val="11"/>
      <scheme val="minor"/>
    </font>
    <font>
      <name val="Calibri"/>
      <b val="1"/>
      <color rgb="FF1F3864"/>
      <sz val="20"/>
    </font>
    <font>
      <name val="Calibri"/>
      <b val="1"/>
      <color rgb="FF1F3864"/>
      <sz val="16"/>
    </font>
    <font>
      <name val="Calibri"/>
      <color theme="1"/>
      <sz val="11"/>
    </font>
    <font>
      <name val="Calibri"/>
      <b val="1"/>
      <color rgb="FFFFFFFF"/>
      <sz val="10"/>
    </font>
    <font>
      <name val="Calibri"/>
      <b val="1"/>
      <color theme="1"/>
      <sz val="11"/>
    </font>
    <font>
      <name val="Calibri"/>
      <b val="1"/>
      <color rgb="FF1F3864"/>
      <sz val="12"/>
    </font>
    <font>
      <name val="Calibri"/>
      <b val="1"/>
      <color rgb="FF0000FF"/>
      <sz val="11"/>
    </font>
    <font>
      <name val="Calibri"/>
      <b val="1"/>
      <color rgb="FFC00000"/>
      <sz val="11"/>
    </font>
    <font/>
    <font>
      <name val="Calibri"/>
      <b val="1"/>
      <color rgb="FF404040"/>
      <sz val="18"/>
    </font>
    <font>
      <name val="Calibri"/>
      <color rgb="FF595959"/>
      <sz val="10"/>
    </font>
    <font>
      <name val="Merriweather"/>
      <color theme="1"/>
      <sz val="11"/>
    </font>
    <font>
      <name val="Arial"/>
      <color rgb="FF2F7D4F"/>
      <sz val="9"/>
    </font>
    <font>
      <name val="Arial"/>
      <color rgb="FFB03A3A"/>
      <sz val="9"/>
    </font>
    <font>
      <name val="Cambria"/>
      <b val="1"/>
      <color theme="1"/>
      <sz val="11"/>
    </font>
    <font>
      <name val="Calibri"/>
      <color theme="1"/>
      <scheme val="minor"/>
    </font>
    <font>
      <name val="Calibri"/>
      <i val="1"/>
      <color rgb="FF375623"/>
      <sz val="10"/>
    </font>
    <font>
      <name val="Calibri"/>
      <color rgb="FF0563C1"/>
      <sz val="11"/>
      <u val="single"/>
    </font>
    <font>
      <name val="Cambria"/>
      <color theme="1"/>
      <sz val="10"/>
    </font>
    <font>
      <name val="FreeSans"/>
      <color theme="1"/>
      <sz val="11"/>
    </font>
    <font>
      <name val="Consolas"/>
      <color theme="1"/>
      <sz val="10"/>
    </font>
    <font>
      <b val="1"/>
    </font>
    <font>
      <i val="1"/>
      <color rgb="FF555555"/>
      <sz val="9"/>
    </font>
  </fonts>
  <fills count="7">
    <fill>
      <patternFill/>
    </fill>
    <fill>
      <patternFill patternType="lightGray"/>
    </fill>
    <fill>
      <patternFill patternType="solid">
        <fgColor rgb="FF1F3864"/>
        <bgColor rgb="FF1F3864"/>
      </patternFill>
    </fill>
    <fill>
      <patternFill patternType="solid">
        <fgColor rgb="FF548235"/>
        <bgColor rgb="FF548235"/>
      </patternFill>
    </fill>
    <fill>
      <patternFill patternType="solid">
        <fgColor rgb="FFFFFFFF"/>
        <bgColor rgb="FFFFFFFF"/>
      </patternFill>
    </fill>
    <fill>
      <patternFill patternType="solid">
        <fgColor rgb="FFE2EFDA"/>
        <bgColor rgb="FFE2EFDA"/>
      </patternFill>
    </fill>
    <fill>
      <patternFill patternType="solid">
        <fgColor rgb="FFCCE5FF"/>
      </patternFill>
    </fill>
  </fills>
  <borders count="18">
    <border/>
    <border>
      <left/>
      <right/>
      <top/>
      <bottom/>
    </border>
    <border>
      <left style="medium">
        <color rgb="FF000000"/>
      </left>
      <right style="medium">
        <color rgb="FF000000"/>
      </right>
      <top style="medium">
        <color rgb="FF000000"/>
      </top>
      <bottom style="medium">
        <color rgb="FF00000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style="thin">
        <color rgb="FF808080"/>
      </left>
      <top style="thin">
        <color rgb="FF808080"/>
      </top>
    </border>
    <border>
      <top style="thin">
        <color rgb="FF808080"/>
      </top>
    </border>
    <border>
      <right style="thin">
        <color rgb="FF808080"/>
      </right>
      <top style="thin">
        <color rgb="FF808080"/>
      </top>
    </border>
    <border>
      <left style="thin">
        <color rgb="FF808080"/>
      </left>
      <bottom style="thin">
        <color rgb="FF808080"/>
      </bottom>
    </border>
    <border>
      <bottom style="thin">
        <color rgb="FF808080"/>
      </bottom>
    </border>
    <border>
      <right style="thin">
        <color rgb="FF808080"/>
      </right>
      <bottom style="thin">
        <color rgb="FF808080"/>
      </bottom>
    </border>
    <border>
      <left style="thin">
        <color rgb="FF808080"/>
      </left>
      <right style="thin">
        <color rgb="FF808080"/>
      </right>
      <top style="thin">
        <color rgb="FF808080"/>
      </top>
      <bottom style="thin">
        <color rgb="FF808080"/>
      </bottom>
    </border>
    <border>
      <left style="thin">
        <color rgb="FF808080"/>
      </left>
      <right style="thin">
        <color rgb="FF808080"/>
      </right>
      <top style="thin">
        <color rgb="FF808080"/>
      </top>
    </border>
    <border>
      <left style="thin">
        <color rgb="FF808080"/>
      </left>
      <right style="thin">
        <color rgb="FF808080"/>
      </right>
      <bottom style="thin">
        <color rgb="FF808080"/>
      </bottom>
    </border>
    <border>
      <left style="thin">
        <color rgb="FF808080"/>
      </left>
    </border>
    <border>
      <right style="thin">
        <color rgb="FF808080"/>
      </right>
    </border>
    <border>
      <left style="thin">
        <color rgb="FF808080"/>
      </left>
      <right style="thin">
        <color rgb="FF808080"/>
      </right>
    </border>
  </borders>
  <cellStyleXfs count="1">
    <xf numFmtId="0" fontId="0" fillId="0" borderId="0"/>
  </cellStyleXfs>
  <cellXfs count="99">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bottom"/>
    </xf>
    <xf numFmtId="0" fontId="3" fillId="0" borderId="0" applyAlignment="1" pivotButton="0" quotePrefix="0" xfId="0">
      <alignment vertical="bottom"/>
    </xf>
    <xf numFmtId="0" fontId="4" fillId="2" borderId="1" applyAlignment="1" pivotButton="0" quotePrefix="0" xfId="0">
      <alignment horizontal="center" vertical="center" wrapText="1"/>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164" fontId="7" fillId="0" borderId="2" applyAlignment="1" pivotButton="0" quotePrefix="0" xfId="0">
      <alignment vertical="bottom"/>
    </xf>
    <xf numFmtId="0" fontId="4" fillId="3" borderId="1" applyAlignment="1" pivotButton="0" quotePrefix="0" xfId="0">
      <alignment horizontal="center" vertical="center" wrapText="1"/>
    </xf>
    <xf numFmtId="164" fontId="7" fillId="0" borderId="2" applyAlignment="1" pivotButton="0" quotePrefix="0" xfId="0">
      <alignment vertical="bottom"/>
    </xf>
    <xf numFmtId="0" fontId="4" fillId="3" borderId="1" applyAlignment="1" pivotButton="0" quotePrefix="0" xfId="0">
      <alignment horizontal="center" vertical="center" wrapText="1"/>
    </xf>
    <xf numFmtId="0" fontId="8" fillId="0" borderId="0" applyAlignment="1" pivotButton="0" quotePrefix="0" xfId="0">
      <alignment vertical="bottom"/>
    </xf>
    <xf numFmtId="0" fontId="4" fillId="2" borderId="3" applyAlignment="1" pivotButton="0" quotePrefix="0" xfId="0">
      <alignment horizontal="center" vertical="center" wrapText="1"/>
    </xf>
    <xf numFmtId="0" fontId="9" fillId="0" borderId="4" pivotButton="0" quotePrefix="0" xfId="0"/>
    <xf numFmtId="0" fontId="9" fillId="0" borderId="5" pivotButton="0" quotePrefix="0" xfId="0"/>
    <xf numFmtId="164" fontId="3" fillId="0" borderId="0" applyAlignment="1" pivotButton="0" quotePrefix="0" xfId="0">
      <alignment vertical="bottom"/>
    </xf>
    <xf numFmtId="3" fontId="3" fillId="0" borderId="0" applyAlignment="1" pivotButton="0" quotePrefix="0" xfId="0">
      <alignment vertical="bottom"/>
    </xf>
    <xf numFmtId="165" fontId="7" fillId="0" borderId="2" applyAlignment="1" pivotButton="0" quotePrefix="0" xfId="0">
      <alignment vertical="bottom"/>
    </xf>
    <xf numFmtId="165" fontId="3" fillId="0" borderId="0" applyAlignment="1" pivotButton="0" quotePrefix="0" xfId="0">
      <alignment vertical="bottom"/>
    </xf>
    <xf numFmtId="166" fontId="3" fillId="0" borderId="0" applyAlignment="1" pivotButton="0" quotePrefix="0" xfId="0">
      <alignment vertical="bottom"/>
    </xf>
    <xf numFmtId="167" fontId="3" fillId="0" borderId="0" applyAlignment="1" pivotButton="0" quotePrefix="0" xfId="0">
      <alignment vertical="bottom"/>
    </xf>
    <xf numFmtId="2" fontId="3" fillId="0" borderId="0" applyAlignment="1" pivotButton="0" quotePrefix="0" xfId="0">
      <alignment vertical="bottom"/>
    </xf>
    <xf numFmtId="166" fontId="10" fillId="0" borderId="6" applyAlignment="1" pivotButton="0" quotePrefix="0" xfId="0">
      <alignment horizontal="center" vertical="center"/>
    </xf>
    <xf numFmtId="0" fontId="9" fillId="0" borderId="7" pivotButton="0" quotePrefix="0" xfId="0"/>
    <xf numFmtId="0" fontId="9" fillId="0" borderId="8" pivotButton="0" quotePrefix="0" xfId="0"/>
    <xf numFmtId="3" fontId="10" fillId="0" borderId="6" applyAlignment="1" pivotButton="0" quotePrefix="0" xfId="0">
      <alignment horizontal="center" vertical="center"/>
    </xf>
    <xf numFmtId="0" fontId="7" fillId="0" borderId="2" applyAlignment="1" pivotButton="0" quotePrefix="0" xfId="0">
      <alignment horizontal="left" vertical="bottom"/>
    </xf>
    <xf numFmtId="1" fontId="7" fillId="0" borderId="2" applyAlignment="1" pivotButton="0" quotePrefix="0" xfId="0">
      <alignment horizontal="left" vertical="bottom"/>
    </xf>
    <xf numFmtId="0" fontId="9" fillId="0" borderId="9" pivotButton="0" quotePrefix="0" xfId="0"/>
    <xf numFmtId="0" fontId="9" fillId="0" borderId="10" pivotButton="0" quotePrefix="0" xfId="0"/>
    <xf numFmtId="0" fontId="9" fillId="0" borderId="11" pivotButton="0" quotePrefix="0" xfId="0"/>
    <xf numFmtId="0" fontId="7" fillId="0" borderId="2" applyAlignment="1" pivotButton="0" quotePrefix="0" xfId="0">
      <alignment horizontal="left" vertical="bottom"/>
    </xf>
    <xf numFmtId="0" fontId="4" fillId="2" borderId="3" applyAlignment="1" pivotButton="0" quotePrefix="0" xfId="0">
      <alignment horizontal="center" vertical="center" wrapText="1"/>
    </xf>
    <xf numFmtId="0" fontId="4" fillId="2" borderId="1" applyAlignment="1" pivotButton="0" quotePrefix="0" xfId="0">
      <alignment horizontal="center" vertical="center" wrapText="1"/>
    </xf>
    <xf numFmtId="0" fontId="4" fillId="2" borderId="12" applyAlignment="1" pivotButton="0" quotePrefix="0" xfId="0">
      <alignment horizontal="center" vertical="center" wrapText="1"/>
    </xf>
    <xf numFmtId="0" fontId="7" fillId="0" borderId="2" applyAlignment="1" pivotButton="0" quotePrefix="0" xfId="0">
      <alignment horizontal="center" vertical="bottom"/>
    </xf>
    <xf numFmtId="167" fontId="10" fillId="0" borderId="6" applyAlignment="1" pivotButton="0" quotePrefix="0" xfId="0">
      <alignment horizontal="center" vertical="center"/>
    </xf>
    <xf numFmtId="3" fontId="3" fillId="0" borderId="0" applyAlignment="1" pivotButton="0" quotePrefix="0" xfId="0">
      <alignment horizontal="center" vertical="bottom"/>
    </xf>
    <xf numFmtId="1" fontId="3" fillId="0" borderId="0" applyAlignment="1" pivotButton="0" quotePrefix="0" xfId="0">
      <alignment vertical="bottom"/>
    </xf>
    <xf numFmtId="0" fontId="7" fillId="0" borderId="2" applyAlignment="1" pivotButton="0" quotePrefix="0" xfId="0">
      <alignment horizontal="center" vertical="bottom"/>
    </xf>
    <xf numFmtId="167" fontId="10" fillId="0" borderId="13" applyAlignment="1" pivotButton="0" quotePrefix="0" xfId="0">
      <alignment horizontal="center" vertical="center"/>
    </xf>
    <xf numFmtId="0" fontId="9" fillId="0" borderId="14" pivotButton="0" quotePrefix="0" xfId="0"/>
    <xf numFmtId="0" fontId="6" fillId="0" borderId="0" applyAlignment="1" pivotButton="0" quotePrefix="0" xfId="0">
      <alignment vertical="bottom"/>
    </xf>
    <xf numFmtId="166" fontId="5" fillId="0" borderId="0" applyAlignment="1" pivotButton="0" quotePrefix="0" xfId="0">
      <alignment horizontal="right" vertical="bottom"/>
    </xf>
    <xf numFmtId="0" fontId="5" fillId="0" borderId="0" applyAlignment="1" pivotButton="0" quotePrefix="0" xfId="0">
      <alignment horizontal="right" vertical="bottom"/>
    </xf>
    <xf numFmtId="167" fontId="5" fillId="0" borderId="0" applyAlignment="1" pivotButton="0" quotePrefix="0" xfId="0">
      <alignment horizontal="right" vertical="bottom"/>
    </xf>
    <xf numFmtId="168" fontId="5" fillId="0" borderId="0" applyAlignment="1" pivotButton="0" quotePrefix="0" xfId="0">
      <alignment horizontal="right" vertical="bottom"/>
    </xf>
    <xf numFmtId="0" fontId="11" fillId="0" borderId="0" applyAlignment="1" pivotButton="0" quotePrefix="0" xfId="0">
      <alignment vertical="bottom"/>
    </xf>
    <xf numFmtId="0" fontId="12" fillId="0" borderId="0" applyAlignment="1" pivotButton="0" quotePrefix="0" xfId="0">
      <alignment vertical="top" wrapText="1"/>
    </xf>
    <xf numFmtId="169" fontId="13" fillId="0" borderId="0" applyAlignment="1" pivotButton="0" quotePrefix="0" xfId="0">
      <alignment horizontal="right"/>
    </xf>
    <xf numFmtId="169" fontId="14" fillId="0" borderId="0" applyAlignment="1" pivotButton="0" quotePrefix="0" xfId="0">
      <alignment horizontal="right"/>
    </xf>
    <xf numFmtId="3" fontId="3" fillId="0" borderId="0" applyAlignment="1" pivotButton="0" quotePrefix="0" xfId="0">
      <alignment horizontal="right" vertical="bottom"/>
    </xf>
    <xf numFmtId="166" fontId="3" fillId="0" borderId="0" applyAlignment="1" pivotButton="0" quotePrefix="0" xfId="0">
      <alignment horizontal="right" vertical="bottom"/>
    </xf>
    <xf numFmtId="0" fontId="3" fillId="0" borderId="0" applyAlignment="1" pivotButton="0" quotePrefix="0" xfId="0">
      <alignment horizontal="center" vertical="bottom"/>
    </xf>
    <xf numFmtId="170" fontId="3" fillId="0" borderId="0" applyAlignment="1" pivotButton="0" quotePrefix="0" xfId="0">
      <alignment horizontal="center" vertical="bottom"/>
    </xf>
    <xf numFmtId="10" fontId="3" fillId="0" borderId="0" applyAlignment="1" pivotButton="0" quotePrefix="0" xfId="0">
      <alignment horizontal="center" vertical="bottom"/>
    </xf>
    <xf numFmtId="170" fontId="3" fillId="0" borderId="0" applyAlignment="1" pivotButton="0" quotePrefix="0" xfId="0">
      <alignment horizontal="center" vertical="bottom"/>
    </xf>
    <xf numFmtId="0" fontId="3" fillId="0" borderId="0" applyAlignment="1" pivotButton="0" quotePrefix="0" xfId="0">
      <alignment horizontal="center" vertical="bottom"/>
    </xf>
    <xf numFmtId="0" fontId="15" fillId="0" borderId="0" applyAlignment="1" pivotButton="0" quotePrefix="0" xfId="0">
      <alignment horizontal="center" vertical="bottom"/>
    </xf>
    <xf numFmtId="0" fontId="3" fillId="0" borderId="0" applyAlignment="1" pivotButton="0" quotePrefix="0" xfId="0">
      <alignment horizontal="center" vertical="bottom"/>
    </xf>
    <xf numFmtId="0" fontId="3" fillId="0" borderId="0" applyAlignment="1" pivotButton="0" quotePrefix="0" xfId="0">
      <alignment horizontal="center" vertical="bottom"/>
    </xf>
    <xf numFmtId="167" fontId="3" fillId="0" borderId="0" applyAlignment="1" pivotButton="0" quotePrefix="0" xfId="0">
      <alignment horizontal="center" vertical="bottom"/>
    </xf>
    <xf numFmtId="0" fontId="16" fillId="0" borderId="0" applyAlignment="1" pivotButton="0" quotePrefix="0" xfId="0">
      <alignment horizontal="center"/>
    </xf>
    <xf numFmtId="0" fontId="3" fillId="0" borderId="0" applyAlignment="1" pivotButton="0" quotePrefix="0" xfId="0">
      <alignment horizontal="center" vertical="top"/>
    </xf>
    <xf numFmtId="0" fontId="4" fillId="2" borderId="1" applyAlignment="1" pivotButton="0" quotePrefix="0" xfId="0">
      <alignment vertical="bottom"/>
    </xf>
    <xf numFmtId="166" fontId="3" fillId="0" borderId="0" applyAlignment="1" pivotButton="0" quotePrefix="0" xfId="0">
      <alignment horizontal="center" vertical="bottom"/>
    </xf>
    <xf numFmtId="3" fontId="3" fillId="0" borderId="0" applyAlignment="1" pivotButton="0" quotePrefix="0" xfId="0">
      <alignment horizontal="center" vertical="bottom"/>
    </xf>
    <xf numFmtId="0" fontId="17" fillId="4" borderId="1" applyAlignment="1" pivotButton="0" quotePrefix="0" xfId="0">
      <alignment vertical="bottom"/>
    </xf>
    <xf numFmtId="0" fontId="18" fillId="0" borderId="0" applyAlignment="1" pivotButton="0" quotePrefix="0" xfId="0">
      <alignment vertical="bottom"/>
    </xf>
    <xf numFmtId="0" fontId="19" fillId="0" borderId="0" applyAlignment="1" pivotButton="0" quotePrefix="0" xfId="0">
      <alignment vertical="top" wrapText="1"/>
    </xf>
    <xf numFmtId="0" fontId="20" fillId="0" borderId="0" applyAlignment="1" pivotButton="0" quotePrefix="0" xfId="0">
      <alignment vertical="bottom"/>
    </xf>
    <xf numFmtId="0" fontId="19" fillId="0" borderId="0" applyAlignment="1" pivotButton="0" quotePrefix="0" xfId="0">
      <alignment vertical="top" wrapText="1"/>
    </xf>
    <xf numFmtId="0" fontId="3" fillId="0" borderId="0" applyAlignment="1" pivotButton="0" quotePrefix="0" xfId="0">
      <alignment vertical="bottom" wrapText="1"/>
    </xf>
    <xf numFmtId="0" fontId="21" fillId="0" borderId="0" applyAlignment="1" pivotButton="0" quotePrefix="0" xfId="0">
      <alignment vertical="bottom"/>
    </xf>
    <xf numFmtId="0" fontId="17" fillId="5" borderId="1" applyAlignment="1" pivotButton="0" quotePrefix="0" xfId="0">
      <alignment vertical="top" wrapText="1"/>
    </xf>
    <xf numFmtId="166" fontId="21" fillId="0" borderId="0" applyAlignment="1" pivotButton="0" quotePrefix="0" xfId="0">
      <alignment vertical="bottom"/>
    </xf>
    <xf numFmtId="3" fontId="21" fillId="0" borderId="0" applyAlignment="1" pivotButton="0" quotePrefix="0" xfId="0">
      <alignment vertical="bottom"/>
    </xf>
    <xf numFmtId="0" fontId="17" fillId="0" borderId="0" applyAlignment="1" pivotButton="0" quotePrefix="0" xfId="0">
      <alignment vertical="top" wrapText="1"/>
    </xf>
    <xf numFmtId="0" fontId="0" fillId="0" borderId="0" pivotButton="0" quotePrefix="0" xfId="0"/>
    <xf numFmtId="0" fontId="0" fillId="0" borderId="4" pivotButton="0" quotePrefix="0" xfId="0"/>
    <xf numFmtId="0" fontId="0" fillId="0" borderId="5" pivotButton="0" quotePrefix="0" xfId="0"/>
    <xf numFmtId="166" fontId="10" fillId="0" borderId="12" applyAlignment="1" pivotButton="0" quotePrefix="0" xfId="0">
      <alignment horizontal="center" vertical="center"/>
    </xf>
    <xf numFmtId="0" fontId="0" fillId="0" borderId="7" pivotButton="0" quotePrefix="0" xfId="0"/>
    <xf numFmtId="0" fontId="0" fillId="0" borderId="8" pivotButton="0" quotePrefix="0" xfId="0"/>
    <xf numFmtId="3" fontId="10" fillId="0" borderId="12"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167" fontId="10" fillId="0" borderId="12" applyAlignment="1" pivotButton="0" quotePrefix="0" xfId="0">
      <alignment horizontal="center" vertical="center"/>
    </xf>
    <xf numFmtId="0" fontId="0" fillId="0" borderId="14" pivotButton="0" quotePrefix="0" xfId="0"/>
    <xf numFmtId="0" fontId="22" fillId="6" borderId="0" applyAlignment="1" pivotButton="0" quotePrefix="0" xfId="0">
      <alignment vertical="bottom"/>
    </xf>
    <xf numFmtId="0" fontId="3" fillId="6" borderId="0" applyAlignment="1" pivotButton="0" quotePrefix="0" xfId="0">
      <alignment vertical="bottom"/>
    </xf>
    <xf numFmtId="172" fontId="3" fillId="6" borderId="0" applyAlignment="1" pivotButton="0" quotePrefix="0" xfId="0">
      <alignment vertical="bottom"/>
    </xf>
    <xf numFmtId="0" fontId="23" fillId="6" borderId="0" applyAlignment="1" pivotButton="0" quotePrefix="0" xfId="0">
      <alignment vertical="bottom"/>
    </xf>
    <xf numFmtId="0" fontId="0" fillId="6" borderId="0" pivotButton="0" quotePrefix="0" xfId="0"/>
    <xf numFmtId="1" fontId="3" fillId="6" borderId="0" applyAlignment="1" pivotButton="0" quotePrefix="0" xfId="0">
      <alignment vertical="bottom"/>
    </xf>
    <xf numFmtId="169" fontId="13" fillId="6" borderId="0" applyAlignment="1" pivotButton="0" quotePrefix="0" xfId="0">
      <alignment horizontal="right"/>
    </xf>
    <xf numFmtId="169" fontId="14" fillId="6" borderId="0" applyAlignment="1" pivotButton="0" quotePrefix="0" xfId="0">
      <alignment horizontal="right"/>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Industry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cat>
            <strRef>
              <f>Calc!$W$5:$W$34</f>
            </strRef>
          </cat>
          <val>
            <numRef>
              <f>Calc!$J$5:$J$34</f>
              <numCache/>
            </numRef>
          </val>
        </ser>
        <gapWidth val="150"/>
        <axId val="1173185535"/>
        <axId val="486507874"/>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595959"/>
                    </a:solidFill>
                  </a:defRPr>
                </a:pPr>
                <a:r>
                  <a:t/>
                </a:r>
              </a:p>
            </txPr>
            <showLegendKey val="0"/>
            <showVal val="1"/>
            <showCatName val="0"/>
            <showSerName val="0"/>
            <showPercent val="0"/>
            <showBubbleSize val="0"/>
          </dLbls>
          <cat>
            <strRef>
              <f>Calc!$W$5:$W$34</f>
            </strRef>
          </cat>
          <val>
            <numRef>
              <f>Calc!$B$5:$B$34</f>
              <numCache/>
            </numRef>
          </val>
          <smooth val="0"/>
        </ser>
        <axId val="905170431"/>
        <axId val="193649392"/>
      </lineChart>
      <catAx>
        <axId val="1173185535"/>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486507874"/>
        <lblOffset val="100"/>
      </catAx>
      <valAx>
        <axId val="486507874"/>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73185535"/>
      </valAx>
      <catAx>
        <axId val="905170431"/>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3649392"/>
        <lblOffset val="100"/>
      </catAx>
      <valAx>
        <axId val="193649392"/>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05170431"/>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Industry  -  Money</a:t>
            </a:r>
          </a:p>
        </rich>
      </tx>
      <overlay val="0"/>
    </title>
    <plotArea>
      <layout/>
      <barChart>
        <barDir val="bar"/>
        <grouping val="clustered"/>
        <ser>
          <idx val="0"/>
          <order val="0"/>
          <tx>
            <v>Funded $</v>
          </tx>
          <spPr>
            <a:solidFill xmlns:a="http://schemas.openxmlformats.org/drawingml/2006/main">
              <a:srgbClr val="FF9900"/>
            </a:solidFill>
            <a:ln xmlns:a="http://schemas.openxmlformats.org/drawingml/2006/main" cmpd="sng">
              <a:noFill/>
              <a:prstDash val="solid"/>
            </a:ln>
          </spPr>
          <dPt>
            <idx val="0"/>
            <spPr>
              <a:ln xmlns:a="http://schemas.openxmlformats.org/drawingml/2006/main">
                <a:prstDash val="solid"/>
              </a:ln>
            </spPr>
          </dPt>
          <cat>
            <strRef>
              <f>Calc!$W$5:$W$34</f>
            </strRef>
          </cat>
          <val>
            <numRef>
              <f>Calc!$B$5:$B$34</f>
              <numCache/>
            </numRef>
          </val>
        </ser>
        <ser>
          <idx val="1"/>
          <order val="1"/>
          <tx>
            <v>Collected $</v>
          </tx>
          <spPr>
            <a:solidFill xmlns:a="http://schemas.openxmlformats.org/drawingml/2006/main">
              <a:srgbClr val="FFFF00"/>
            </a:solidFill>
            <a:ln xmlns:a="http://schemas.openxmlformats.org/drawingml/2006/main" cmpd="sng">
              <a:noFill/>
              <a:prstDash val="solid"/>
            </a:ln>
          </spPr>
          <dPt>
            <idx val="0"/>
            <spPr>
              <a:ln xmlns:a="http://schemas.openxmlformats.org/drawingml/2006/main">
                <a:prstDash val="solid"/>
              </a:ln>
            </spPr>
          </dPt>
          <dLbls>
            <numFmt formatCode="General"/>
            <txPr>
              <a:bodyPr xmlns:a="http://schemas.openxmlformats.org/drawingml/2006/main"/>
              <a:lstStyle xmlns:a="http://schemas.openxmlformats.org/drawingml/2006/main"/>
              <a:p xmlns:a="http://schemas.openxmlformats.org/drawingml/2006/main">
                <a:pPr lvl="0">
                  <a:defRPr sz="1000" b="0">
                    <a:solidFill>
                      <a:srgbClr val="000000"/>
                    </a:solidFill>
                  </a:defRPr>
                </a:pPr>
                <a:r>
                  <a:t/>
                </a:r>
              </a:p>
            </txPr>
            <showLegendKey val="0"/>
            <showVal val="1"/>
            <showCatName val="0"/>
            <showSerName val="0"/>
            <showPercent val="0"/>
            <showBubbleSize val="0"/>
          </dLbls>
          <cat>
            <strRef>
              <f>Calc!$W$5:$W$34</f>
            </strRef>
          </cat>
          <val>
            <numRef>
              <f>Calc!$C$5:$C$34</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pPr>
                <a:r>
                  <a:t/>
                </a:r>
              </a:p>
            </txPr>
            <showLegendKey val="0"/>
            <showVal val="1"/>
            <showCatName val="0"/>
            <showSerName val="0"/>
            <showPercent val="0"/>
            <showBubbleSize val="0"/>
          </dLbls>
          <cat>
            <strRef>
              <f>Calc!$W$5:$W$34</f>
            </strRef>
          </cat>
          <val>
            <numRef>
              <f>Calc!$D$5:$D$34</f>
              <numCache/>
            </numRef>
          </val>
        </ser>
        <gapWidth val="150"/>
        <axId val="1083495360"/>
        <axId val="326661974"/>
      </barChart>
      <catAx>
        <axId val="1083495360"/>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326661974"/>
        <lblOffset val="100"/>
      </catAx>
      <valAx>
        <axId val="326661974"/>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083495360"/>
        <crosses val="max"/>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Industry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latin typeface="Roboto"/>
                  </a:defRPr>
                </a:pPr>
                <a:r>
                  <a:t/>
                </a:r>
              </a:p>
            </txPr>
            <showLegendKey val="0"/>
            <showVal val="1"/>
            <showCatName val="0"/>
            <showSerName val="0"/>
            <showPercent val="0"/>
            <showBubbleSize val="0"/>
          </dLbls>
          <cat>
            <strRef>
              <f>Calc!$W$5:$W$34</f>
            </strRef>
          </cat>
          <val>
            <numRef>
              <f>Calc!$G$5:$G$34</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latin typeface="Roboto"/>
                  </a:defRPr>
                </a:pPr>
                <a:r>
                  <a:t/>
                </a:r>
              </a:p>
            </txPr>
            <showLegendKey val="0"/>
            <showVal val="1"/>
            <showCatName val="0"/>
            <showSerName val="0"/>
            <showPercent val="0"/>
            <showBubbleSize val="0"/>
          </dLbls>
          <cat>
            <strRef>
              <f>Calc!$W$5:$W$34</f>
            </strRef>
          </cat>
          <val>
            <numRef>
              <f>Calc!$H$5:$H$34</f>
              <numCache/>
            </numRef>
          </val>
        </ser>
        <gapWidth val="150"/>
        <axId val="202182848"/>
        <axId val="1975161418"/>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Calc!$W$5:$W$34</f>
            </strRef>
          </cat>
          <val>
            <numRef>
              <f>Calc!$S$5:$S$34</f>
              <numCache/>
            </numRef>
          </val>
          <smooth val="0"/>
        </ser>
        <axId val="202182848"/>
        <axId val="1975161418"/>
      </lineChart>
      <catAx>
        <axId val="20218284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975161418"/>
        <lblOffset val="100"/>
      </catAx>
      <valAx>
        <axId val="1975161418"/>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202182848"/>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Industry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Calc!$W$5:$W$34</f>
            </strRef>
          </cat>
          <val>
            <numRef>
              <f>Calc!$I$5:$I$34</f>
              <numCache/>
            </numRef>
          </val>
        </ser>
        <gapWidth val="150"/>
        <axId val="488303242"/>
        <axId val="1693124032"/>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Calc!$W$5:$W$34</f>
            </strRef>
          </cat>
          <val>
            <numRef>
              <f>Calc!$U$5:$U$34</f>
              <numCache/>
            </numRef>
          </val>
          <smooth val="0"/>
        </ser>
        <axId val="488303242"/>
        <axId val="1693124032"/>
      </lineChart>
      <catAx>
        <axId val="488303242"/>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93124032"/>
        <lblOffset val="100"/>
      </catAx>
      <valAx>
        <axId val="1693124032"/>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488303242"/>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Industry  -  Average deal size</a:t>
            </a:r>
          </a:p>
        </rich>
      </tx>
      <overlay val="0"/>
    </title>
    <plotArea>
      <layout/>
      <barChart>
        <barDir val="bar"/>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Calc!$W$5:$W$34</f>
            </strRef>
          </cat>
          <val>
            <numRef>
              <f>Calc!$L$5:$L$34</f>
              <numCache/>
            </numRef>
          </val>
        </ser>
        <gapWidth val="150"/>
        <axId val="548629318"/>
        <axId val="608222010"/>
      </barChart>
      <catAx>
        <axId val="548629318"/>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608222010"/>
        <lblOffset val="100"/>
      </catAx>
      <valAx>
        <axId val="608222010"/>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48629318"/>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Industry  -  Durations</a:t>
            </a:r>
          </a:p>
        </rich>
      </tx>
      <overlay val="0"/>
    </title>
    <plotArea>
      <layout/>
      <barChart>
        <barDir val="bar"/>
        <grouping val="clustered"/>
        <ser>
          <idx val="0"/>
          <order val="0"/>
          <tx>
            <v>Avg expected term (business days)</v>
          </tx>
          <spPr>
            <a:solidFill xmlns:a="http://schemas.openxmlformats.org/drawingml/2006/main">
              <a:srgbClr val="FF9900"/>
            </a:solidFill>
            <a:ln xmlns:a="http://schemas.openxmlformats.org/drawingml/2006/main" cmpd="sng">
              <a:noFill/>
              <a:prstDash val="solid"/>
            </a:ln>
          </spPr>
          <cat>
            <strRef>
              <f>Calc!$W$5:$W$34</f>
            </strRef>
          </cat>
          <val>
            <numRef>
              <f>Calc!$M$5:$M$34</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Calc!$W$5:$W$34</f>
            </strRef>
          </cat>
          <val>
            <numRef>
              <f>Calc!$O$5:$O$34</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Calc!$W$5:$W$34</f>
            </strRef>
          </cat>
          <val>
            <numRef>
              <f>Calc!$P$5:$P$34</f>
              <numCache/>
            </numRef>
          </val>
        </ser>
        <gapWidth val="150"/>
        <axId val="1644662622"/>
        <axId val="833512786"/>
      </barChart>
      <catAx>
        <axId val="1644662622"/>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33512786"/>
        <lblOffset val="100"/>
      </catAx>
      <valAx>
        <axId val="833512786"/>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44662622"/>
        <crosses val="max"/>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State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cat>
            <strRef>
              <f>Calc!$W$39:$W$68</f>
            </strRef>
          </cat>
          <val>
            <numRef>
              <f>Calc!$J$39:$J$68</f>
              <numCache/>
            </numRef>
          </val>
        </ser>
        <gapWidth val="150"/>
        <axId val="2130096037"/>
        <axId val="1039876410"/>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595959"/>
                    </a:solidFill>
                  </a:defRPr>
                </a:pPr>
                <a:r>
                  <a:t/>
                </a:r>
              </a:p>
            </txPr>
            <showLegendKey val="0"/>
            <showVal val="1"/>
            <showCatName val="0"/>
            <showSerName val="0"/>
            <showPercent val="0"/>
            <showBubbleSize val="0"/>
          </dLbls>
          <cat>
            <strRef>
              <f>Calc!$W$39:$W$68</f>
            </strRef>
          </cat>
          <val>
            <numRef>
              <f>Calc!$B$39:$B$68</f>
              <numCache/>
            </numRef>
          </val>
          <smooth val="0"/>
        </ser>
        <axId val="115813488"/>
        <axId val="215460574"/>
      </lineChart>
      <catAx>
        <axId val="213009603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039876410"/>
        <lblOffset val="100"/>
      </catAx>
      <valAx>
        <axId val="1039876410"/>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130096037"/>
      </valAx>
      <catAx>
        <axId val="115813488"/>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15460574"/>
        <lblOffset val="100"/>
      </catAx>
      <valAx>
        <axId val="215460574"/>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5813488"/>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State  -  Money</a:t>
            </a:r>
          </a:p>
        </rich>
      </tx>
      <overlay val="0"/>
    </title>
    <plotArea>
      <layout/>
      <barChart>
        <barDir val="bar"/>
        <grouping val="clustered"/>
        <ser>
          <idx val="0"/>
          <order val="0"/>
          <tx>
            <v>Funded $</v>
          </tx>
          <spPr>
            <a:solidFill xmlns:a="http://schemas.openxmlformats.org/drawingml/2006/main">
              <a:srgbClr val="FF9900"/>
            </a:solidFill>
            <a:ln xmlns:a="http://schemas.openxmlformats.org/drawingml/2006/main" cmpd="sng">
              <a:noFill/>
              <a:prstDash val="solid"/>
            </a:ln>
          </spPr>
          <cat>
            <strRef>
              <f>Calc!$W$39:$W$68</f>
            </strRef>
          </cat>
          <val>
            <numRef>
              <f>Calc!$B$39:$B$68</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Calc!$W$39:$W$68</f>
            </strRef>
          </cat>
          <val>
            <numRef>
              <f>Calc!$C$39:$C$68</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Calc!$W$39:$W$68</f>
            </strRef>
          </cat>
          <val>
            <numRef>
              <f>Calc!$D$39:$D$68</f>
              <numCache/>
            </numRef>
          </val>
        </ser>
        <gapWidth val="150"/>
        <axId val="1929101115"/>
        <axId val="2083167016"/>
      </barChart>
      <catAx>
        <axId val="1929101115"/>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083167016"/>
        <lblOffset val="100"/>
      </catAx>
      <valAx>
        <axId val="2083167016"/>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29101115"/>
        <crosses val="max"/>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State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latin typeface="Roboto"/>
                  </a:defRPr>
                </a:pPr>
                <a:r>
                  <a:t/>
                </a:r>
              </a:p>
            </txPr>
            <showLegendKey val="0"/>
            <showVal val="1"/>
            <showCatName val="0"/>
            <showSerName val="0"/>
            <showPercent val="0"/>
            <showBubbleSize val="0"/>
          </dLbls>
          <cat>
            <strRef>
              <f>Calc!$W$39:$W$68</f>
            </strRef>
          </cat>
          <val>
            <numRef>
              <f>Calc!$G$39:$G$68</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latin typeface="Roboto"/>
                  </a:defRPr>
                </a:pPr>
                <a:r>
                  <a:t/>
                </a:r>
              </a:p>
            </txPr>
            <showLegendKey val="0"/>
            <showVal val="1"/>
            <showCatName val="0"/>
            <showSerName val="0"/>
            <showPercent val="0"/>
            <showBubbleSize val="0"/>
          </dLbls>
          <cat>
            <strRef>
              <f>Calc!$W$39:$W$68</f>
            </strRef>
          </cat>
          <val>
            <numRef>
              <f>Calc!$H$39:$H$68</f>
              <numCache/>
            </numRef>
          </val>
        </ser>
        <gapWidth val="150"/>
        <axId val="855166684"/>
        <axId val="435741"/>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Calc!$W$39:$W$68</f>
            </strRef>
          </cat>
          <val>
            <numRef>
              <f>Calc!$S$39:$S$68</f>
              <numCache/>
            </numRef>
          </val>
          <smooth val="0"/>
        </ser>
        <axId val="855166684"/>
        <axId val="435741"/>
      </lineChart>
      <catAx>
        <axId val="85516668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435741"/>
        <lblOffset val="100"/>
      </catAx>
      <valAx>
        <axId val="435741"/>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855166684"/>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State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Calc!$W$39:$W$68</f>
            </strRef>
          </cat>
          <val>
            <numRef>
              <f>Calc!$I$39:$I$68</f>
              <numCache/>
            </numRef>
          </val>
        </ser>
        <gapWidth val="150"/>
        <axId val="2081279043"/>
        <axId val="751745707"/>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Calc!$W$39:$W$68</f>
            </strRef>
          </cat>
          <val>
            <numRef>
              <f>Calc!$U$39:$U$68</f>
              <numCache/>
            </numRef>
          </val>
          <smooth val="0"/>
        </ser>
        <axId val="2081279043"/>
        <axId val="751745707"/>
      </lineChart>
      <catAx>
        <axId val="2081279043"/>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51745707"/>
        <lblOffset val="100"/>
      </catAx>
      <valAx>
        <axId val="751745707"/>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081279043"/>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State  -  Average deal size</a:t>
            </a:r>
          </a:p>
        </rich>
      </tx>
      <overlay val="0"/>
    </title>
    <plotArea>
      <layout/>
      <barChart>
        <barDir val="bar"/>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Calc!$W$39:$W$68</f>
            </strRef>
          </cat>
          <val>
            <numRef>
              <f>Calc!$L$39:$L$68</f>
              <numCache/>
            </numRef>
          </val>
        </ser>
        <gapWidth val="150"/>
        <axId val="889137658"/>
        <axId val="1287583997"/>
      </barChart>
      <catAx>
        <axId val="889137658"/>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287583997"/>
        <lblOffset val="100"/>
      </catAx>
      <valAx>
        <axId val="1287583997"/>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89137658"/>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State  -  Durations</a:t>
            </a:r>
          </a:p>
        </rich>
      </tx>
      <overlay val="0"/>
    </title>
    <plotArea>
      <layout/>
      <barChart>
        <barDir val="bar"/>
        <grouping val="clustered"/>
        <ser>
          <idx val="0"/>
          <order val="0"/>
          <tx>
            <v>Avg expected term (business days)</v>
          </tx>
          <spPr>
            <a:solidFill xmlns:a="http://schemas.openxmlformats.org/drawingml/2006/main">
              <a:srgbClr val="FF9900"/>
            </a:solidFill>
            <a:ln xmlns:a="http://schemas.openxmlformats.org/drawingml/2006/main" cmpd="sng">
              <a:noFill/>
              <a:prstDash val="solid"/>
            </a:ln>
          </spPr>
          <dPt>
            <idx val="0"/>
            <spPr>
              <a:ln xmlns:a="http://schemas.openxmlformats.org/drawingml/2006/main">
                <a:prstDash val="solid"/>
              </a:ln>
            </spPr>
          </dPt>
          <cat>
            <strRef>
              <f>Calc!$W$39:$W$68</f>
            </strRef>
          </cat>
          <val>
            <numRef>
              <f>Calc!$M$39:$M$68</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dPt>
            <idx val="0"/>
            <spPr>
              <a:ln xmlns:a="http://schemas.openxmlformats.org/drawingml/2006/main">
                <a:prstDash val="solid"/>
              </a:ln>
            </spPr>
          </dPt>
          <cat>
            <strRef>
              <f>Calc!$W$39:$W$68</f>
            </strRef>
          </cat>
          <val>
            <numRef>
              <f>Calc!$O$39:$O$68</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Calc!$W$39:$W$68</f>
            </strRef>
          </cat>
          <val>
            <numRef>
              <f>Calc!$P$39:$P$68</f>
              <numCache/>
            </numRef>
          </val>
        </ser>
        <gapWidth val="150"/>
        <axId val="1913100630"/>
        <axId val="1148993830"/>
      </barChart>
      <catAx>
        <axId val="1913100630"/>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48993830"/>
        <lblOffset val="100"/>
      </catAx>
      <valAx>
        <axId val="1148993830"/>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13100630"/>
        <crosses val="max"/>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ISO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cat>
            <strRef>
              <f>Calc!$W$73:$W$102</f>
            </strRef>
          </cat>
          <val>
            <numRef>
              <f>Calc!$J$73:$J$102</f>
              <numCache/>
            </numRef>
          </val>
        </ser>
        <gapWidth val="150"/>
        <axId val="1201742824"/>
        <axId val="853742697"/>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595959"/>
                    </a:solidFill>
                  </a:defRPr>
                </a:pPr>
                <a:r>
                  <a:t/>
                </a:r>
              </a:p>
            </txPr>
            <showLegendKey val="0"/>
            <showVal val="1"/>
            <showCatName val="0"/>
            <showSerName val="0"/>
            <showPercent val="0"/>
            <showBubbleSize val="0"/>
          </dLbls>
          <cat>
            <strRef>
              <f>Calc!$W$73:$W$102</f>
            </strRef>
          </cat>
          <val>
            <numRef>
              <f>Calc!$B$73:$B$102</f>
              <numCache/>
            </numRef>
          </val>
          <smooth val="0"/>
        </ser>
        <axId val="110896200"/>
        <axId val="1387902530"/>
      </lineChart>
      <catAx>
        <axId val="120174282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53742697"/>
        <lblOffset val="100"/>
      </catAx>
      <valAx>
        <axId val="853742697"/>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201742824"/>
      </valAx>
      <catAx>
        <axId val="110896200"/>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387902530"/>
        <lblOffset val="100"/>
      </catAx>
      <valAx>
        <axId val="1387902530"/>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0896200"/>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ISO  -  Money</a:t>
            </a:r>
          </a:p>
        </rich>
      </tx>
      <overlay val="0"/>
    </title>
    <plotArea>
      <layout/>
      <barChart>
        <barDir val="bar"/>
        <grouping val="clustered"/>
        <ser>
          <idx val="0"/>
          <order val="0"/>
          <tx>
            <v>Funded $</v>
          </tx>
          <spPr>
            <a:solidFill xmlns:a="http://schemas.openxmlformats.org/drawingml/2006/main">
              <a:srgbClr val="FF9900"/>
            </a:solidFill>
            <a:ln xmlns:a="http://schemas.openxmlformats.org/drawingml/2006/main" cmpd="sng">
              <a:noFill/>
              <a:prstDash val="solid"/>
            </a:ln>
          </spPr>
          <dPt>
            <idx val="0"/>
            <spPr>
              <a:ln xmlns:a="http://schemas.openxmlformats.org/drawingml/2006/main">
                <a:prstDash val="solid"/>
              </a:ln>
            </spPr>
          </dPt>
          <cat>
            <strRef>
              <f>Calc!$W$73:$W$102</f>
            </strRef>
          </cat>
          <val>
            <numRef>
              <f>Calc!$B$73:$B$102</f>
              <numCache/>
            </numRef>
          </val>
        </ser>
        <ser>
          <idx val="1"/>
          <order val="1"/>
          <tx>
            <v>Collected $</v>
          </tx>
          <spPr>
            <a:solidFill xmlns:a="http://schemas.openxmlformats.org/drawingml/2006/main">
              <a:srgbClr val="FFFF00"/>
            </a:solidFill>
            <a:ln xmlns:a="http://schemas.openxmlformats.org/drawingml/2006/main" cmpd="sng">
              <a:noFill/>
              <a:prstDash val="solid"/>
            </a:ln>
          </spPr>
          <dPt>
            <idx val="0"/>
            <spPr>
              <a:ln xmlns:a="http://schemas.openxmlformats.org/drawingml/2006/main">
                <a:prstDash val="solid"/>
              </a:ln>
            </spPr>
          </dPt>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Calc!$W$73:$W$102</f>
            </strRef>
          </cat>
          <val>
            <numRef>
              <f>Calc!$C$73:$C$102</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Calc!$W$73:$W$102</f>
            </strRef>
          </cat>
          <val>
            <numRef>
              <f>Calc!$D$73:$D$102</f>
              <numCache/>
            </numRef>
          </val>
        </ser>
        <gapWidth val="150"/>
        <axId val="773885413"/>
        <axId val="474486611"/>
      </barChart>
      <catAx>
        <axId val="773885413"/>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474486611"/>
        <lblOffset val="100"/>
      </catAx>
      <valAx>
        <axId val="474486611"/>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73885413"/>
        <crosses val="max"/>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ISO  -  Commission and principal lost</a:t>
            </a:r>
          </a:p>
        </rich>
      </tx>
      <overlay val="0"/>
    </title>
    <plotArea>
      <layout/>
      <barChart>
        <barDir val="bar"/>
        <grouping val="clustered"/>
        <ser>
          <idx val="0"/>
          <order val="0"/>
          <tx>
            <v>Commission $</v>
          </tx>
          <spPr>
            <a:solidFill xmlns:a="http://schemas.openxmlformats.org/drawingml/2006/main">
              <a:srgbClr val="FF99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Calc!$W$73:$W$102</f>
            </strRef>
          </cat>
          <val>
            <numRef>
              <f>Calc!$E$73:$E$102</f>
              <numCache/>
            </numRef>
          </val>
        </ser>
        <ser>
          <idx val="1"/>
          <order val="1"/>
          <tx>
            <v>Principal lost $</v>
          </tx>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Calc!$W$73:$W$102</f>
            </strRef>
          </cat>
          <val>
            <numRef>
              <f>Calc!$F$73:$F$102</f>
              <numCache/>
            </numRef>
          </val>
        </ser>
        <gapWidth val="150"/>
        <axId val="1822436589"/>
        <axId val="2032580222"/>
      </barChart>
      <catAx>
        <axId val="1822436589"/>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032580222"/>
        <lblOffset val="100"/>
      </catAx>
      <valAx>
        <axId val="2032580222"/>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22436589"/>
        <crosses val="max"/>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ISO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latin typeface="Roboto"/>
                  </a:defRPr>
                </a:pPr>
                <a:r>
                  <a:t/>
                </a:r>
              </a:p>
            </txPr>
            <showLegendKey val="0"/>
            <showVal val="1"/>
            <showCatName val="0"/>
            <showSerName val="0"/>
            <showPercent val="0"/>
            <showBubbleSize val="0"/>
          </dLbls>
          <cat>
            <strRef>
              <f>Calc!$W$73:$W$102</f>
            </strRef>
          </cat>
          <val>
            <numRef>
              <f>Calc!$G$73:$G$102</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latin typeface="Roboto"/>
                  </a:defRPr>
                </a:pPr>
                <a:r>
                  <a:t/>
                </a:r>
              </a:p>
            </txPr>
            <showLegendKey val="0"/>
            <showVal val="1"/>
            <showCatName val="0"/>
            <showSerName val="0"/>
            <showPercent val="0"/>
            <showBubbleSize val="0"/>
          </dLbls>
          <cat>
            <strRef>
              <f>Calc!$W$73:$W$102</f>
            </strRef>
          </cat>
          <val>
            <numRef>
              <f>Calc!$H$73:$H$102</f>
              <numCache/>
            </numRef>
          </val>
        </ser>
        <gapWidth val="150"/>
        <axId val="1393561317"/>
        <axId val="1317293812"/>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Calc!$W$73:$W$102</f>
            </strRef>
          </cat>
          <val>
            <numRef>
              <f>Calc!$S$73:$S$102</f>
              <numCache/>
            </numRef>
          </val>
          <smooth val="0"/>
        </ser>
        <axId val="1393561317"/>
        <axId val="1317293812"/>
      </lineChart>
      <catAx>
        <axId val="139356131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317293812"/>
        <lblOffset val="100"/>
      </catAx>
      <valAx>
        <axId val="1317293812"/>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393561317"/>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ISO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Calc!$W$73:$W$102</f>
            </strRef>
          </cat>
          <val>
            <numRef>
              <f>Calc!$I$73:$I$102</f>
              <numCache/>
            </numRef>
          </val>
        </ser>
        <gapWidth val="150"/>
        <axId val="106649066"/>
        <axId val="1034078286"/>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Calc!$W$73:$W$102</f>
            </strRef>
          </cat>
          <val>
            <numRef>
              <f>Calc!$U$73:$U$102</f>
              <numCache/>
            </numRef>
          </val>
          <smooth val="0"/>
        </ser>
        <axId val="106649066"/>
        <axId val="1034078286"/>
      </lineChart>
      <catAx>
        <axId val="10664906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034078286"/>
        <lblOffset val="100"/>
      </catAx>
      <valAx>
        <axId val="1034078286"/>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06649066"/>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ISO  -  Average deal size</a:t>
            </a:r>
          </a:p>
        </rich>
      </tx>
      <overlay val="0"/>
    </title>
    <plotArea>
      <layout/>
      <barChart>
        <barDir val="bar"/>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Calc!$W$73:$W$102</f>
            </strRef>
          </cat>
          <val>
            <numRef>
              <f>Calc!$L$73:$L$102</f>
              <numCache/>
            </numRef>
          </val>
        </ser>
        <gapWidth val="150"/>
        <axId val="473896361"/>
        <axId val="2102184471"/>
      </barChart>
      <catAx>
        <axId val="473896361"/>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102184471"/>
        <lblOffset val="100"/>
      </catAx>
      <valAx>
        <axId val="2102184471"/>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473896361"/>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Position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showLegendKey val="0"/>
            <showVal val="1"/>
            <showCatName val="0"/>
            <showSerName val="0"/>
            <showPercent val="0"/>
            <showBubbleSize val="0"/>
          </dLbls>
          <cat>
            <strRef>
              <f>Calc!$W$107:$W$114</f>
            </strRef>
          </cat>
          <val>
            <numRef>
              <f>Calc!$J$107:$J$114</f>
              <numCache/>
            </numRef>
          </val>
        </ser>
        <gapWidth val="150"/>
        <axId val="1993540157"/>
        <axId val="1266952119"/>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595959"/>
                    </a:solidFill>
                  </a:defRPr>
                </a:pPr>
                <a:r>
                  <a:t/>
                </a:r>
              </a:p>
            </txPr>
            <showLegendKey val="0"/>
            <showVal val="1"/>
            <showCatName val="0"/>
            <showSerName val="0"/>
            <showPercent val="0"/>
            <showBubbleSize val="0"/>
          </dLbls>
          <cat>
            <strRef>
              <f>Calc!$W$107:$W$114</f>
            </strRef>
          </cat>
          <val>
            <numRef>
              <f>Calc!$B$107:$B$114</f>
              <numCache/>
            </numRef>
          </val>
          <smooth val="0"/>
        </ser>
        <axId val="339775274"/>
        <axId val="1830046499"/>
      </lineChart>
      <catAx>
        <axId val="199354015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266952119"/>
        <lblOffset val="100"/>
      </catAx>
      <valAx>
        <axId val="126695211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93540157"/>
      </valAx>
      <catAx>
        <axId val="339775274"/>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30046499"/>
        <lblOffset val="100"/>
      </catAx>
      <valAx>
        <axId val="1830046499"/>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339775274"/>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Position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Calc!$W$107:$W$114</f>
            </strRef>
          </cat>
          <val>
            <numRef>
              <f>Calc!$B$107:$B$114</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Calc!$W$107:$W$114</f>
            </strRef>
          </cat>
          <val>
            <numRef>
              <f>Calc!$C$107:$C$114</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Calc!$W$107:$W$114</f>
            </strRef>
          </cat>
          <val>
            <numRef>
              <f>Calc!$D$107:$D$114</f>
              <numCache/>
            </numRef>
          </val>
        </ser>
        <gapWidth val="150"/>
        <axId val="549864"/>
        <axId val="835945323"/>
      </barChart>
      <catAx>
        <axId val="54986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35945323"/>
        <lblOffset val="100"/>
      </catAx>
      <valAx>
        <axId val="83594532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49864"/>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Position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FFFFFF"/>
                    </a:solidFill>
                    <a:latin typeface="Calibri"/>
                  </a:defRPr>
                </a:pPr>
                <a:r>
                  <a:t/>
                </a:r>
              </a:p>
            </txPr>
            <showLegendKey val="0"/>
            <showVal val="1"/>
            <showCatName val="0"/>
            <showSerName val="0"/>
            <showPercent val="0"/>
            <showBubbleSize val="0"/>
          </dLbls>
          <cat>
            <strRef>
              <f>Calc!$W$107:$W$114</f>
            </strRef>
          </cat>
          <val>
            <numRef>
              <f>Calc!$G$107:$G$114</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000000"/>
                    </a:solidFill>
                    <a:latin typeface="Calibri"/>
                  </a:defRPr>
                </a:pPr>
                <a:r>
                  <a:t/>
                </a:r>
              </a:p>
            </txPr>
            <showLegendKey val="0"/>
            <showVal val="1"/>
            <showCatName val="0"/>
            <showSerName val="0"/>
            <showPercent val="0"/>
            <showBubbleSize val="0"/>
          </dLbls>
          <cat>
            <strRef>
              <f>Calc!$W$107:$W$114</f>
            </strRef>
          </cat>
          <val>
            <numRef>
              <f>Calc!$H$107:$H$114</f>
              <numCache/>
            </numRef>
          </val>
        </ser>
        <gapWidth val="150"/>
        <axId val="898902316"/>
        <axId val="609756915"/>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Calc!$W$107:$W$114</f>
            </strRef>
          </cat>
          <val>
            <numRef>
              <f>Calc!$S$107:$S$114</f>
              <numCache/>
            </numRef>
          </val>
          <smooth val="0"/>
        </ser>
        <axId val="898902316"/>
        <axId val="609756915"/>
      </lineChart>
      <catAx>
        <axId val="89890231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609756915"/>
        <lblOffset val="100"/>
      </catAx>
      <valAx>
        <axId val="609756915"/>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898902316"/>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Position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400" b="0" i="0">
                    <a:solidFill>
                      <a:srgbClr val="FFFFFF"/>
                    </a:solidFill>
                    <a:latin typeface="Calibri"/>
                  </a:defRPr>
                </a:pPr>
                <a:r>
                  <a:t/>
                </a:r>
              </a:p>
            </txPr>
            <showLegendKey val="0"/>
            <showVal val="1"/>
            <showCatName val="0"/>
            <showSerName val="0"/>
            <showPercent val="0"/>
            <showBubbleSize val="0"/>
          </dLbls>
          <cat>
            <strRef>
              <f>Calc!$W$107:$W$114</f>
            </strRef>
          </cat>
          <val>
            <numRef>
              <f>Calc!$I$107:$I$114</f>
              <numCache/>
            </numRef>
          </val>
        </ser>
        <gapWidth val="150"/>
        <axId val="769389017"/>
        <axId val="375542330"/>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Calc!$W$107:$W$114</f>
            </strRef>
          </cat>
          <val>
            <numRef>
              <f>Calc!$U$107:$U$114</f>
              <numCache/>
            </numRef>
          </val>
          <smooth val="0"/>
        </ser>
        <axId val="769389017"/>
        <axId val="375542330"/>
      </lineChart>
      <catAx>
        <axId val="76938901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375542330"/>
        <lblOffset val="100"/>
      </catAx>
      <valAx>
        <axId val="375542330"/>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69389017"/>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2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Position  -  Average deal size</a:t>
            </a:r>
          </a:p>
        </rich>
      </tx>
      <overlay val="0"/>
    </title>
    <plotArea>
      <layout/>
      <barChart>
        <barDir val="col"/>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Calc!$W$107:$W$114</f>
            </strRef>
          </cat>
          <val>
            <numRef>
              <f>Calc!$L$107:$L$114</f>
              <numCache/>
            </numRef>
          </val>
        </ser>
        <gapWidth val="150"/>
        <axId val="1995187409"/>
        <axId val="610193630"/>
      </barChart>
      <catAx>
        <axId val="199518740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610193630"/>
        <lblOffset val="100"/>
      </catAx>
      <valAx>
        <axId val="610193630"/>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95187409"/>
      </valAx>
    </plotArea>
    <plotVisOnly val="1"/>
    <dispBlanksAs val="gap"/>
  </chart>
  <spPr>
    <a:solidFill xmlns:a="http://schemas.openxmlformats.org/drawingml/2006/main">
      <a:srgbClr val="FFFFFF"/>
    </a:solidFill>
    <a:ln xmlns:a="http://schemas.openxmlformats.org/drawingml/2006/main">
      <a:prstDash val="solid"/>
    </a:ln>
  </spPr>
</chartSpace>
</file>

<file path=xl/charts/chart2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Position  -  Durations</a:t>
            </a:r>
          </a:p>
        </rich>
      </tx>
      <overlay val="0"/>
    </title>
    <plotArea>
      <layout/>
      <barChart>
        <barDir val="col"/>
        <grouping val="clustered"/>
        <ser>
          <idx val="0"/>
          <order val="0"/>
          <tx>
            <v>Avg expected term (business days)</v>
          </tx>
          <spPr>
            <a:solidFill xmlns:a="http://schemas.openxmlformats.org/drawingml/2006/main">
              <a:srgbClr val="1F1F1F"/>
            </a:solidFill>
            <a:ln xmlns:a="http://schemas.openxmlformats.org/drawingml/2006/main" cmpd="sng">
              <a:noFill/>
              <a:prstDash val="solid"/>
            </a:ln>
          </spPr>
          <cat>
            <strRef>
              <f>Calc!$W$107:$W$114</f>
            </strRef>
          </cat>
          <val>
            <numRef>
              <f>Calc!$M$107:$M$114</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Calc!$W$107:$W$114</f>
            </strRef>
          </cat>
          <val>
            <numRef>
              <f>Calc!$O$107:$O$114</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Calc!$W$107:$W$114</f>
            </strRef>
          </cat>
          <val>
            <numRef>
              <f>Calc!$P$107:$P$114</f>
              <numCache/>
            </numRef>
          </val>
        </ser>
        <gapWidth val="150"/>
        <axId val="1308643308"/>
        <axId val="288009991"/>
      </barChart>
      <catAx>
        <axId val="130864330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88009991"/>
        <lblOffset val="100"/>
      </catAx>
      <valAx>
        <axId val="28800999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308643308"/>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2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Deal size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FFFFFF"/>
                    </a:solidFill>
                    <a:latin typeface="Calibri"/>
                  </a:defRPr>
                </a:pPr>
                <a:r>
                  <a:t/>
                </a:r>
              </a:p>
            </txPr>
            <showLegendKey val="0"/>
            <showVal val="1"/>
            <showCatName val="0"/>
            <showSerName val="0"/>
            <showPercent val="0"/>
            <showBubbleSize val="0"/>
          </dLbls>
          <cat>
            <strRef>
              <f>Calc!$W$119:$W$124</f>
            </strRef>
          </cat>
          <val>
            <numRef>
              <f>Calc!$J$119:$J$124</f>
              <numCache/>
            </numRef>
          </val>
        </ser>
        <gapWidth val="150"/>
        <axId val="1079912169"/>
        <axId val="1578727591"/>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Pt>
            <idx val="3"/>
            <marker>
              <symbol val="none"/>
              <spPr>
                <a:ln xmlns:a="http://schemas.openxmlformats.org/drawingml/2006/main">
                  <a:prstDash val="solid"/>
                </a:ln>
              </spPr>
            </marker>
            <spPr>
              <a:ln xmlns:a="http://schemas.openxmlformats.org/drawingml/2006/main">
                <a:prstDash val="solid"/>
              </a:ln>
            </spPr>
          </dPt>
          <dLbls>
            <numFmt formatCode="General"/>
            <txPr>
              <a:bodyPr xmlns:a="http://schemas.openxmlformats.org/drawingml/2006/main"/>
              <a:lstStyle xmlns:a="http://schemas.openxmlformats.org/drawingml/2006/main"/>
              <a:p xmlns:a="http://schemas.openxmlformats.org/drawingml/2006/main">
                <a:pPr lvl="0">
                  <a:defRPr>
                    <a:solidFill>
                      <a:srgbClr val="595959"/>
                    </a:solidFill>
                  </a:defRPr>
                </a:pPr>
                <a:r>
                  <a:t/>
                </a:r>
              </a:p>
            </txPr>
            <showLegendKey val="0"/>
            <showVal val="1"/>
            <showCatName val="0"/>
            <showSerName val="0"/>
            <showPercent val="0"/>
            <showBubbleSize val="0"/>
          </dLbls>
          <cat>
            <strRef>
              <f>Calc!$W$119:$W$124</f>
            </strRef>
          </cat>
          <val>
            <numRef>
              <f>Calc!$B$119:$B$124</f>
              <numCache/>
            </numRef>
          </val>
          <smooth val="0"/>
        </ser>
        <axId val="1800651197"/>
        <axId val="309582074"/>
      </lineChart>
      <catAx>
        <axId val="107991216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578727591"/>
        <lblOffset val="100"/>
      </catAx>
      <valAx>
        <axId val="157872759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079912169"/>
      </valAx>
      <catAx>
        <axId val="1800651197"/>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309582074"/>
        <lblOffset val="100"/>
      </catAx>
      <valAx>
        <axId val="309582074"/>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00651197"/>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2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Deal size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Calc!$W$119:$W$124</f>
            </strRef>
          </cat>
          <val>
            <numRef>
              <f>Calc!$B$119:$B$124</f>
              <numCache/>
            </numRef>
          </val>
        </ser>
        <ser>
          <idx val="1"/>
          <order val="1"/>
          <tx>
            <v>Collected $</v>
          </tx>
          <spPr>
            <a:solidFill xmlns:a="http://schemas.openxmlformats.org/drawingml/2006/main">
              <a:srgbClr val="FFFF00"/>
            </a:solidFill>
            <a:ln xmlns:a="http://schemas.openxmlformats.org/drawingml/2006/main" cmpd="sng">
              <a:noFill/>
              <a:prstDash val="solid"/>
            </a:ln>
          </spPr>
          <dPt>
            <idx val="3"/>
            <spPr>
              <a:ln xmlns:a="http://schemas.openxmlformats.org/drawingml/2006/main">
                <a:prstDash val="solid"/>
              </a:ln>
            </spPr>
          </dPt>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Calc!$W$119:$W$124</f>
            </strRef>
          </cat>
          <val>
            <numRef>
              <f>Calc!$C$119:$C$124</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Calc!$W$119:$W$124</f>
            </strRef>
          </cat>
          <val>
            <numRef>
              <f>Calc!$D$119:$D$124</f>
              <numCache/>
            </numRef>
          </val>
        </ser>
        <gapWidth val="150"/>
        <axId val="858447328"/>
        <axId val="1299512862"/>
      </barChart>
      <catAx>
        <axId val="85844732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299512862"/>
        <lblOffset val="100"/>
      </catAx>
      <valAx>
        <axId val="1299512862"/>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58447328"/>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2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Deal size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FFFFFF"/>
                    </a:solidFill>
                    <a:latin typeface="Calibri"/>
                  </a:defRPr>
                </a:pPr>
                <a:r>
                  <a:t/>
                </a:r>
              </a:p>
            </txPr>
            <showLegendKey val="0"/>
            <showVal val="1"/>
            <showCatName val="0"/>
            <showSerName val="0"/>
            <showPercent val="0"/>
            <showBubbleSize val="0"/>
          </dLbls>
          <cat>
            <strRef>
              <f>Calc!$W$119:$W$124</f>
            </strRef>
          </cat>
          <val>
            <numRef>
              <f>Calc!$G$119:$G$124</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000000"/>
                    </a:solidFill>
                    <a:latin typeface="Calibri"/>
                  </a:defRPr>
                </a:pPr>
                <a:r>
                  <a:t/>
                </a:r>
              </a:p>
            </txPr>
            <showLegendKey val="0"/>
            <showVal val="1"/>
            <showCatName val="0"/>
            <showSerName val="0"/>
            <showPercent val="0"/>
            <showBubbleSize val="0"/>
          </dLbls>
          <cat>
            <strRef>
              <f>Calc!$W$119:$W$124</f>
            </strRef>
          </cat>
          <val>
            <numRef>
              <f>Calc!$H$119:$H$124</f>
              <numCache/>
            </numRef>
          </val>
        </ser>
        <gapWidth val="150"/>
        <axId val="2005322221"/>
        <axId val="1307766807"/>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Calc!$W$119:$W$124</f>
            </strRef>
          </cat>
          <val>
            <numRef>
              <f>Calc!$S$119:$S$124</f>
              <numCache/>
            </numRef>
          </val>
          <smooth val="0"/>
        </ser>
        <axId val="2005322221"/>
        <axId val="1307766807"/>
      </lineChart>
      <catAx>
        <axId val="2005322221"/>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307766807"/>
        <lblOffset val="100"/>
      </catAx>
      <valAx>
        <axId val="1307766807"/>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2005322221"/>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2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Deal size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Calc!$W$119:$W$124</f>
            </strRef>
          </cat>
          <val>
            <numRef>
              <f>Calc!$I$119:$I$124</f>
              <numCache/>
            </numRef>
          </val>
        </ser>
        <gapWidth val="150"/>
        <axId val="880225719"/>
        <axId val="1631047091"/>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Calc!$W$119:$W$124</f>
            </strRef>
          </cat>
          <val>
            <numRef>
              <f>Calc!$U$119:$U$124</f>
              <numCache/>
            </numRef>
          </val>
          <smooth val="0"/>
        </ser>
        <axId val="880225719"/>
        <axId val="1631047091"/>
      </lineChart>
      <catAx>
        <axId val="88022571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31047091"/>
        <lblOffset val="100"/>
      </catAx>
      <valAx>
        <axId val="163104709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80225719"/>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2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Deal size  -  Durations</a:t>
            </a:r>
          </a:p>
        </rich>
      </tx>
      <overlay val="0"/>
    </title>
    <plotArea>
      <layout/>
      <barChart>
        <barDir val="col"/>
        <grouping val="clustered"/>
        <ser>
          <idx val="0"/>
          <order val="0"/>
          <tx>
            <v>Avg expected term (business days)</v>
          </tx>
          <spPr>
            <a:solidFill xmlns:a="http://schemas.openxmlformats.org/drawingml/2006/main">
              <a:srgbClr val="1F1F1F"/>
            </a:solidFill>
            <a:ln xmlns:a="http://schemas.openxmlformats.org/drawingml/2006/main" cmpd="sng">
              <a:noFill/>
              <a:prstDash val="solid"/>
            </a:ln>
          </spPr>
          <cat>
            <strRef>
              <f>Calc!$W$119:$W$124</f>
            </strRef>
          </cat>
          <val>
            <numRef>
              <f>Calc!$M$119:$M$124</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Calc!$W$119:$W$124</f>
            </strRef>
          </cat>
          <val>
            <numRef>
              <f>Calc!$O$119:$O$124</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Calc!$W$119:$W$124</f>
            </strRef>
          </cat>
          <val>
            <numRef>
              <f>Calc!$P$119:$P$124</f>
              <numCache/>
            </numRef>
          </val>
        </ser>
        <gapWidth val="150"/>
        <axId val="1148377544"/>
        <axId val="1142468485"/>
      </barChart>
      <catAx>
        <axId val="114837754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42468485"/>
        <lblOffset val="100"/>
      </catAx>
      <valAx>
        <axId val="114246848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48377544"/>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3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Factor bucket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cat>
            <strRef>
              <f>Calc!$W$129:$W$134</f>
            </strRef>
          </cat>
          <val>
            <numRef>
              <f>Calc!$J$129:$J$134</f>
              <numCache/>
            </numRef>
          </val>
        </ser>
        <gapWidth val="150"/>
        <axId val="562334879"/>
        <axId val="616389384"/>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595959"/>
                    </a:solidFill>
                  </a:defRPr>
                </a:pPr>
                <a:r>
                  <a:t/>
                </a:r>
              </a:p>
            </txPr>
            <showLegendKey val="0"/>
            <showVal val="1"/>
            <showCatName val="0"/>
            <showSerName val="0"/>
            <showPercent val="0"/>
            <showBubbleSize val="0"/>
          </dLbls>
          <cat>
            <strRef>
              <f>Calc!$W$129:$W$134</f>
            </strRef>
          </cat>
          <val>
            <numRef>
              <f>Calc!$B$129:$B$134</f>
              <numCache/>
            </numRef>
          </val>
          <smooth val="0"/>
        </ser>
        <axId val="1355223738"/>
        <axId val="925441729"/>
      </lineChart>
      <catAx>
        <axId val="56233487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616389384"/>
        <lblOffset val="100"/>
      </catAx>
      <valAx>
        <axId val="616389384"/>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62334879"/>
      </valAx>
      <catAx>
        <axId val="1355223738"/>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25441729"/>
        <lblOffset val="100"/>
      </catAx>
      <valAx>
        <axId val="925441729"/>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355223738"/>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3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Factor bucket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Calc!$W$129:$W$134</f>
            </strRef>
          </cat>
          <val>
            <numRef>
              <f>Calc!$B$129:$B$134</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Calc!$W$129:$W$134</f>
            </strRef>
          </cat>
          <val>
            <numRef>
              <f>Calc!$C$129:$C$134</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Calc!$W$129:$W$134</f>
            </strRef>
          </cat>
          <val>
            <numRef>
              <f>Calc!$D$129:$D$134</f>
              <numCache/>
            </numRef>
          </val>
        </ser>
        <gapWidth val="150"/>
        <axId val="1519451534"/>
        <axId val="1766562377"/>
      </barChart>
      <catAx>
        <axId val="151945153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766562377"/>
        <lblOffset val="100"/>
      </catAx>
      <valAx>
        <axId val="1766562377"/>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519451534"/>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3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Factor bucket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FFFFFF"/>
                    </a:solidFill>
                    <a:latin typeface="Calibri"/>
                  </a:defRPr>
                </a:pPr>
                <a:r>
                  <a:t/>
                </a:r>
              </a:p>
            </txPr>
            <showLegendKey val="0"/>
            <showVal val="1"/>
            <showCatName val="0"/>
            <showSerName val="0"/>
            <showPercent val="0"/>
            <showBubbleSize val="0"/>
          </dLbls>
          <cat>
            <strRef>
              <f>Calc!$W$129:$W$134</f>
            </strRef>
          </cat>
          <val>
            <numRef>
              <f>Calc!$G$129:$G$134</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000000"/>
                    </a:solidFill>
                    <a:latin typeface="Calibri"/>
                  </a:defRPr>
                </a:pPr>
                <a:r>
                  <a:t/>
                </a:r>
              </a:p>
            </txPr>
            <showLegendKey val="0"/>
            <showVal val="1"/>
            <showCatName val="0"/>
            <showSerName val="0"/>
            <showPercent val="0"/>
            <showBubbleSize val="0"/>
          </dLbls>
          <cat>
            <strRef>
              <f>Calc!$W$129:$W$134</f>
            </strRef>
          </cat>
          <val>
            <numRef>
              <f>Calc!$H$129:$H$134</f>
              <numCache/>
            </numRef>
          </val>
        </ser>
        <gapWidth val="150"/>
        <axId val="1549549609"/>
        <axId val="351548013"/>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Calc!$W$129:$W$134</f>
            </strRef>
          </cat>
          <val>
            <numRef>
              <f>Calc!$S$129:$S$134</f>
              <numCache/>
            </numRef>
          </val>
          <smooth val="0"/>
        </ser>
        <axId val="1549549609"/>
        <axId val="351548013"/>
      </lineChart>
      <catAx>
        <axId val="154954960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351548013"/>
        <lblOffset val="100"/>
      </catAx>
      <valAx>
        <axId val="351548013"/>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549549609"/>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3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Factor bucket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FFFFFF"/>
                    </a:solidFill>
                    <a:latin typeface="Calibri"/>
                  </a:defRPr>
                </a:pPr>
                <a:r>
                  <a:t/>
                </a:r>
              </a:p>
            </txPr>
            <showLegendKey val="0"/>
            <showVal val="1"/>
            <showCatName val="0"/>
            <showSerName val="0"/>
            <showPercent val="0"/>
            <showBubbleSize val="0"/>
          </dLbls>
          <cat>
            <strRef>
              <f>Calc!$W$129:$W$134</f>
            </strRef>
          </cat>
          <val>
            <numRef>
              <f>Calc!$I$129:$I$134</f>
              <numCache/>
            </numRef>
          </val>
        </ser>
        <gapWidth val="150"/>
        <axId val="627112872"/>
        <axId val="793439493"/>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Calc!$W$129:$W$134</f>
            </strRef>
          </cat>
          <val>
            <numRef>
              <f>Calc!$U$129:$U$134</f>
              <numCache/>
            </numRef>
          </val>
          <smooth val="0"/>
        </ser>
        <axId val="627112872"/>
        <axId val="793439493"/>
      </lineChart>
      <catAx>
        <axId val="627112872"/>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93439493"/>
        <lblOffset val="100"/>
      </catAx>
      <valAx>
        <axId val="79343949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627112872"/>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3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Factor bucket  -  Average deal size</a:t>
            </a:r>
          </a:p>
        </rich>
      </tx>
      <overlay val="0"/>
    </title>
    <plotArea>
      <layout/>
      <barChart>
        <barDir val="col"/>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FFFFFF"/>
                    </a:solidFill>
                    <a:latin typeface="Calibri"/>
                  </a:defRPr>
                </a:pPr>
                <a:r>
                  <a:t/>
                </a:r>
              </a:p>
            </txPr>
            <showLegendKey val="0"/>
            <showVal val="1"/>
            <showCatName val="0"/>
            <showSerName val="0"/>
            <showPercent val="0"/>
            <showBubbleSize val="0"/>
          </dLbls>
          <cat>
            <strRef>
              <f>Calc!$W$129:$W$134</f>
            </strRef>
          </cat>
          <val>
            <numRef>
              <f>Calc!$L$129:$L$134</f>
              <numCache/>
            </numRef>
          </val>
        </ser>
        <gapWidth val="150"/>
        <axId val="987737052"/>
        <axId val="1451280236"/>
      </barChart>
      <catAx>
        <axId val="987737052"/>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451280236"/>
        <lblOffset val="100"/>
      </catAx>
      <valAx>
        <axId val="1451280236"/>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87737052"/>
      </valAx>
    </plotArea>
    <plotVisOnly val="1"/>
    <dispBlanksAs val="gap"/>
  </chart>
  <spPr>
    <a:solidFill xmlns:a="http://schemas.openxmlformats.org/drawingml/2006/main">
      <a:srgbClr val="FFFFFF"/>
    </a:solidFill>
    <a:ln xmlns:a="http://schemas.openxmlformats.org/drawingml/2006/main">
      <a:prstDash val="solid"/>
    </a:ln>
  </spPr>
</chartSpace>
</file>

<file path=xl/charts/chart3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Factor bucket  -  Durations</a:t>
            </a:r>
          </a:p>
        </rich>
      </tx>
      <overlay val="0"/>
    </title>
    <plotArea>
      <layout/>
      <barChart>
        <barDir val="col"/>
        <grouping val="clustered"/>
        <ser>
          <idx val="0"/>
          <order val="0"/>
          <tx>
            <v>Avg expected term (business days)</v>
          </tx>
          <spPr>
            <a:solidFill xmlns:a="http://schemas.openxmlformats.org/drawingml/2006/main">
              <a:srgbClr val="1F1F1F"/>
            </a:solidFill>
            <a:ln xmlns:a="http://schemas.openxmlformats.org/drawingml/2006/main" cmpd="sng">
              <a:noFill/>
              <a:prstDash val="solid"/>
            </a:ln>
          </spPr>
          <cat>
            <strRef>
              <f>Calc!$W$129:$W$134</f>
            </strRef>
          </cat>
          <val>
            <numRef>
              <f>Calc!$M$129:$M$134</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Calc!$W$129:$W$134</f>
            </strRef>
          </cat>
          <val>
            <numRef>
              <f>Calc!$O$129:$O$134</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Calc!$W$129:$W$134</f>
            </strRef>
          </cat>
          <val>
            <numRef>
              <f>Calc!$P$129:$P$134</f>
              <numCache/>
            </numRef>
          </val>
        </ser>
        <gapWidth val="150"/>
        <axId val="20257917"/>
        <axId val="726546736"/>
      </barChart>
      <catAx>
        <axId val="2025791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26546736"/>
        <lblOffset val="100"/>
      </catAx>
      <valAx>
        <axId val="726546736"/>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0257917"/>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3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Term length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showLegendKey val="0"/>
            <showVal val="1"/>
            <showCatName val="0"/>
            <showSerName val="0"/>
            <showPercent val="0"/>
            <showBubbleSize val="0"/>
          </dLbls>
          <cat>
            <strRef>
              <f>Calc!$W$139:$W$143</f>
            </strRef>
          </cat>
          <val>
            <numRef>
              <f>Calc!$J$139:$J$143</f>
              <numCache/>
            </numRef>
          </val>
        </ser>
        <gapWidth val="150"/>
        <axId val="1917633850"/>
        <axId val="1938714715"/>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Calc!$W$139:$W$143</f>
            </strRef>
          </cat>
          <val>
            <numRef>
              <f>Calc!$B$139:$B$143</f>
              <numCache/>
            </numRef>
          </val>
          <smooth val="0"/>
        </ser>
        <axId val="1446296125"/>
        <axId val="508687090"/>
      </lineChart>
      <catAx>
        <axId val="191763385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38714715"/>
        <lblOffset val="100"/>
      </catAx>
      <valAx>
        <axId val="193871471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17633850"/>
      </valAx>
      <catAx>
        <axId val="1446296125"/>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08687090"/>
        <lblOffset val="100"/>
      </catAx>
      <valAx>
        <axId val="508687090"/>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446296125"/>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3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Term length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Calc!$W$139:$W$143</f>
            </strRef>
          </cat>
          <val>
            <numRef>
              <f>Calc!$B$139:$B$143</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Calc!$W$139:$W$143</f>
            </strRef>
          </cat>
          <val>
            <numRef>
              <f>Calc!$C$139:$C$143</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Calc!$W$139:$W$143</f>
            </strRef>
          </cat>
          <val>
            <numRef>
              <f>Calc!$D$139:$D$143</f>
              <numCache/>
            </numRef>
          </val>
        </ser>
        <gapWidth val="150"/>
        <axId val="1623181753"/>
        <axId val="1909671665"/>
      </barChart>
      <catAx>
        <axId val="1623181753"/>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09671665"/>
        <lblOffset val="100"/>
      </catAx>
      <valAx>
        <axId val="190967166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23181753"/>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3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Term length  -  Principal lost</a:t>
            </a:r>
          </a:p>
        </rich>
      </tx>
      <overlay val="0"/>
    </title>
    <plotArea>
      <layout/>
      <barChart>
        <barDir val="col"/>
        <grouping val="clustered"/>
        <ser>
          <idx val="0"/>
          <order val="0"/>
          <tx>
            <v>Principal lost $</v>
          </tx>
          <spPr>
            <a:solidFill xmlns:a="http://schemas.openxmlformats.org/drawingml/2006/main">
              <a:srgbClr val="1F1F1F"/>
            </a:solidFill>
            <a:ln xmlns:a="http://schemas.openxmlformats.org/drawingml/2006/main" cmpd="sng">
              <a:noFill/>
              <a:prstDash val="solid"/>
            </a:ln>
          </spPr>
          <dPt>
            <idx val="4"/>
            <spPr>
              <a:ln xmlns:a="http://schemas.openxmlformats.org/drawingml/2006/main">
                <a:prstDash val="solid"/>
              </a:ln>
            </spPr>
          </dPt>
          <dLbls>
            <numFmt formatCode="General"/>
            <txPr>
              <a:bodyPr xmlns:a="http://schemas.openxmlformats.org/drawingml/2006/main"/>
              <a:lstStyle xmlns:a="http://schemas.openxmlformats.org/drawingml/2006/main"/>
              <a:p xmlns:a="http://schemas.openxmlformats.org/drawingml/2006/main">
                <a:pPr lvl="0">
                  <a:defRPr sz="1000" b="0" i="0">
                    <a:solidFill>
                      <a:srgbClr val="FFFFFF"/>
                    </a:solidFill>
                    <a:latin typeface="Calibri"/>
                  </a:defRPr>
                </a:pPr>
                <a:r>
                  <a:t/>
                </a:r>
              </a:p>
            </txPr>
            <showLegendKey val="0"/>
            <showVal val="1"/>
            <showCatName val="0"/>
            <showSerName val="0"/>
            <showPercent val="0"/>
            <showBubbleSize val="0"/>
          </dLbls>
          <cat>
            <strRef>
              <f>Calc!$W$139:$W$143</f>
            </strRef>
          </cat>
          <val>
            <numRef>
              <f>Calc!$F$139:$F$143</f>
              <numCache/>
            </numRef>
          </val>
        </ser>
        <gapWidth val="150"/>
        <axId val="1078826865"/>
        <axId val="1363234288"/>
      </barChart>
      <catAx>
        <axId val="1078826865"/>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363234288"/>
        <lblOffset val="100"/>
      </catAx>
      <valAx>
        <axId val="1363234288"/>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078826865"/>
      </valAx>
    </plotArea>
    <plotVisOnly val="1"/>
    <dispBlanksAs val="gap"/>
  </chart>
  <spPr>
    <a:solidFill xmlns:a="http://schemas.openxmlformats.org/drawingml/2006/main">
      <a:srgbClr val="FFFFFF"/>
    </a:solidFill>
    <a:ln xmlns:a="http://schemas.openxmlformats.org/drawingml/2006/main">
      <a:prstDash val="solid"/>
    </a:ln>
  </spPr>
</chartSpace>
</file>

<file path=xl/charts/chart3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Term length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FFFFFF"/>
                    </a:solidFill>
                    <a:latin typeface="Calibri"/>
                  </a:defRPr>
                </a:pPr>
                <a:r>
                  <a:t/>
                </a:r>
              </a:p>
            </txPr>
            <showLegendKey val="0"/>
            <showVal val="1"/>
            <showCatName val="0"/>
            <showSerName val="0"/>
            <showPercent val="0"/>
            <showBubbleSize val="0"/>
          </dLbls>
          <cat>
            <strRef>
              <f>Calc!$W$139:$W$143</f>
            </strRef>
          </cat>
          <val>
            <numRef>
              <f>Calc!$G$139:$G$143</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000000"/>
                    </a:solidFill>
                    <a:latin typeface="Calibri"/>
                  </a:defRPr>
                </a:pPr>
                <a:r>
                  <a:t/>
                </a:r>
              </a:p>
            </txPr>
            <showLegendKey val="0"/>
            <showVal val="1"/>
            <showCatName val="0"/>
            <showSerName val="0"/>
            <showPercent val="0"/>
            <showBubbleSize val="0"/>
          </dLbls>
          <cat>
            <strRef>
              <f>Calc!$W$139:$W$143</f>
            </strRef>
          </cat>
          <val>
            <numRef>
              <f>Calc!$H$139:$H$143</f>
              <numCache/>
            </numRef>
          </val>
        </ser>
        <gapWidth val="150"/>
        <axId val="717330464"/>
        <axId val="956668176"/>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Calc!$W$139:$W$143</f>
            </strRef>
          </cat>
          <val>
            <numRef>
              <f>Calc!$S$139:$S$143</f>
              <numCache/>
            </numRef>
          </val>
          <smooth val="0"/>
        </ser>
        <axId val="717330464"/>
        <axId val="956668176"/>
      </lineChart>
      <catAx>
        <axId val="71733046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956668176"/>
        <lblOffset val="100"/>
      </catAx>
      <valAx>
        <axId val="956668176"/>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717330464"/>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4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Term length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FFFFFF"/>
                    </a:solidFill>
                    <a:latin typeface="Calibri"/>
                  </a:defRPr>
                </a:pPr>
                <a:r>
                  <a:t/>
                </a:r>
              </a:p>
            </txPr>
            <showLegendKey val="0"/>
            <showVal val="1"/>
            <showCatName val="0"/>
            <showSerName val="0"/>
            <showPercent val="0"/>
            <showBubbleSize val="0"/>
          </dLbls>
          <cat>
            <strRef>
              <f>Calc!$W$139:$W$143</f>
            </strRef>
          </cat>
          <val>
            <numRef>
              <f>Calc!$I$139:$I$143</f>
              <numCache/>
            </numRef>
          </val>
        </ser>
        <gapWidth val="150"/>
        <axId val="2079592470"/>
        <axId val="1953785040"/>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Calc!$W$139:$W$143</f>
            </strRef>
          </cat>
          <val>
            <numRef>
              <f>Calc!$U$139:$U$143</f>
              <numCache/>
            </numRef>
          </val>
          <smooth val="0"/>
        </ser>
        <axId val="2079592470"/>
        <axId val="1953785040"/>
      </lineChart>
      <catAx>
        <axId val="207959247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53785040"/>
        <lblOffset val="100"/>
      </catAx>
      <valAx>
        <axId val="1953785040"/>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079592470"/>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4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Term length  -  Average deal size</a:t>
            </a:r>
          </a:p>
        </rich>
      </tx>
      <overlay val="0"/>
    </title>
    <plotArea>
      <layout/>
      <barChart>
        <barDir val="col"/>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FFFFFF"/>
                    </a:solidFill>
                    <a:latin typeface="Calibri"/>
                  </a:defRPr>
                </a:pPr>
                <a:r>
                  <a:t/>
                </a:r>
              </a:p>
            </txPr>
            <showLegendKey val="0"/>
            <showVal val="1"/>
            <showCatName val="0"/>
            <showSerName val="0"/>
            <showPercent val="0"/>
            <showBubbleSize val="0"/>
          </dLbls>
          <cat>
            <strRef>
              <f>Calc!$W$139:$W$143</f>
            </strRef>
          </cat>
          <val>
            <numRef>
              <f>Calc!$L$139:$L$143</f>
              <numCache/>
            </numRef>
          </val>
        </ser>
        <gapWidth val="150"/>
        <axId val="1185491960"/>
        <axId val="795625966"/>
      </barChart>
      <catAx>
        <axId val="118549196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95625966"/>
        <lblOffset val="100"/>
      </catAx>
      <valAx>
        <axId val="795625966"/>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85491960"/>
      </valAx>
    </plotArea>
    <plotVisOnly val="1"/>
    <dispBlanksAs val="gap"/>
  </chart>
  <spPr>
    <a:solidFill xmlns:a="http://schemas.openxmlformats.org/drawingml/2006/main">
      <a:srgbClr val="FFFFFF"/>
    </a:solidFill>
    <a:ln xmlns:a="http://schemas.openxmlformats.org/drawingml/2006/main">
      <a:prstDash val="solid"/>
    </a:ln>
  </spPr>
</chartSpace>
</file>

<file path=xl/charts/chart4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month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cat>
            <strRef>
              <f>Calc!$W$148:$W$183</f>
            </strRef>
          </cat>
          <val>
            <numRef>
              <f>Calc!$J$148:$J$183</f>
              <numCache/>
            </numRef>
          </val>
        </ser>
        <gapWidth val="150"/>
        <axId val="981767199"/>
        <axId val="1137865939"/>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Calc!$W$148:$W$183</f>
            </strRef>
          </cat>
          <val>
            <numRef>
              <f>Calc!$B$148:$B$183</f>
              <numCache/>
            </numRef>
          </val>
          <smooth val="0"/>
        </ser>
        <axId val="1123508462"/>
        <axId val="1257141902"/>
      </lineChart>
      <catAx>
        <axId val="98176719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37865939"/>
        <lblOffset val="100"/>
      </catAx>
      <valAx>
        <axId val="113786593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81767199"/>
      </valAx>
      <catAx>
        <axId val="1123508462"/>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257141902"/>
        <lblOffset val="100"/>
      </catAx>
      <valAx>
        <axId val="1257141902"/>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23508462"/>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4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month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Calc!$W$148:$W$183</f>
            </strRef>
          </cat>
          <val>
            <numRef>
              <f>Calc!$B$148:$B$183</f>
              <numCache/>
            </numRef>
          </val>
        </ser>
        <ser>
          <idx val="1"/>
          <order val="1"/>
          <tx>
            <v>Collected $</v>
          </tx>
          <spPr>
            <a:solidFill xmlns:a="http://schemas.openxmlformats.org/drawingml/2006/main">
              <a:srgbClr val="FFFF00"/>
            </a:solidFill>
            <a:ln xmlns:a="http://schemas.openxmlformats.org/drawingml/2006/main" cmpd="sng">
              <a:noFill/>
              <a:prstDash val="solid"/>
            </a:ln>
          </spPr>
          <cat>
            <strRef>
              <f>Calc!$W$148:$W$183</f>
            </strRef>
          </cat>
          <val>
            <numRef>
              <f>Calc!$C$148:$C$183</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Calc!$W$148:$W$183</f>
            </strRef>
          </cat>
          <val>
            <numRef>
              <f>Calc!$D$148:$D$183</f>
              <numCache/>
            </numRef>
          </val>
        </ser>
        <gapWidth val="150"/>
        <axId val="1857137349"/>
        <axId val="781769923"/>
      </barChart>
      <catAx>
        <axId val="185713734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81769923"/>
        <lblOffset val="100"/>
      </catAx>
      <valAx>
        <axId val="78176992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57137349"/>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4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month  -  Principal lost</a:t>
            </a:r>
          </a:p>
        </rich>
      </tx>
      <overlay val="0"/>
    </title>
    <plotArea>
      <layout/>
      <barChart>
        <barDir val="col"/>
        <grouping val="clustered"/>
        <ser>
          <idx val="0"/>
          <order val="0"/>
          <tx>
            <v>Principal lost $</v>
          </tx>
          <spPr>
            <a:solidFill xmlns:a="http://schemas.openxmlformats.org/drawingml/2006/main">
              <a:srgbClr val="1F1F1F"/>
            </a:solidFill>
            <a:ln xmlns:a="http://schemas.openxmlformats.org/drawingml/2006/main" cmpd="sng">
              <a:noFill/>
              <a:prstDash val="solid"/>
            </a:ln>
          </spPr>
          <cat>
            <strRef>
              <f>Calc!$W$148:$W$183</f>
            </strRef>
          </cat>
          <val>
            <numRef>
              <f>Calc!$F$148:$F$183</f>
              <numCache/>
            </numRef>
          </val>
        </ser>
        <gapWidth val="150"/>
        <axId val="1523856634"/>
        <axId val="1830151198"/>
      </barChart>
      <catAx>
        <axId val="152385663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30151198"/>
        <lblOffset val="100"/>
      </catAx>
      <valAx>
        <axId val="1830151198"/>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523856634"/>
      </valAx>
    </plotArea>
    <plotVisOnly val="1"/>
    <dispBlanksAs val="gap"/>
  </chart>
  <spPr>
    <a:solidFill xmlns:a="http://schemas.openxmlformats.org/drawingml/2006/main">
      <a:srgbClr val="FFFFFF"/>
    </a:solidFill>
    <a:ln xmlns:a="http://schemas.openxmlformats.org/drawingml/2006/main">
      <a:prstDash val="solid"/>
    </a:ln>
  </spPr>
</chartSpace>
</file>

<file path=xl/charts/chart4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Funding month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cat>
            <strRef>
              <f>Calc!$W$148:$W$183</f>
            </strRef>
          </cat>
          <val>
            <numRef>
              <f>Calc!$G$148:$G$183</f>
              <numCache/>
            </numRef>
          </val>
        </ser>
        <ser>
          <idx val="1"/>
          <order val="1"/>
          <spPr>
            <a:solidFill xmlns:a="http://schemas.openxmlformats.org/drawingml/2006/main">
              <a:srgbClr val="8C8C8C"/>
            </a:solidFill>
            <a:ln xmlns:a="http://schemas.openxmlformats.org/drawingml/2006/main" cmpd="sng">
              <a:noFill/>
              <a:prstDash val="solid"/>
            </a:ln>
          </spPr>
          <cat>
            <strRef>
              <f>Calc!$W$148:$W$183</f>
            </strRef>
          </cat>
          <val>
            <numRef>
              <f>Calc!$H$148:$H$183</f>
              <numCache/>
            </numRef>
          </val>
        </ser>
        <gapWidth val="150"/>
        <axId val="478969391"/>
        <axId val="464850201"/>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Calc!$W$148:$W$183</f>
            </strRef>
          </cat>
          <val>
            <numRef>
              <f>Calc!$S$148:$S$183</f>
              <numCache/>
            </numRef>
          </val>
          <smooth val="0"/>
        </ser>
        <axId val="478969391"/>
        <axId val="464850201"/>
      </lineChart>
      <catAx>
        <axId val="478969391"/>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464850201"/>
        <lblOffset val="100"/>
      </catAx>
      <valAx>
        <axId val="464850201"/>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478969391"/>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4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month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Calc!$W$148:$W$183</f>
            </strRef>
          </cat>
          <val>
            <numRef>
              <f>Calc!$I$148:$I$183</f>
              <numCache/>
            </numRef>
          </val>
        </ser>
        <gapWidth val="150"/>
        <axId val="976508086"/>
        <axId val="132668954"/>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Calc!$W$148:$W$183</f>
            </strRef>
          </cat>
          <val>
            <numRef>
              <f>Calc!$U$148:$U$183</f>
              <numCache/>
            </numRef>
          </val>
          <smooth val="0"/>
        </ser>
        <axId val="976508086"/>
        <axId val="132668954"/>
      </lineChart>
      <catAx>
        <axId val="97650808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32668954"/>
        <lblOffset val="100"/>
      </catAx>
      <valAx>
        <axId val="132668954"/>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76508086"/>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4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month  -  Average deal size</a:t>
            </a:r>
          </a:p>
        </rich>
      </tx>
      <overlay val="0"/>
    </title>
    <plotArea>
      <layout/>
      <barChart>
        <barDir val="col"/>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Calc!$W$148:$W$183</f>
            </strRef>
          </cat>
          <val>
            <numRef>
              <f>Calc!$L$148:$L$183</f>
              <numCache/>
            </numRef>
          </val>
        </ser>
        <gapWidth val="150"/>
        <axId val="481596948"/>
        <axId val="286583215"/>
      </barChart>
      <catAx>
        <axId val="48159694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86583215"/>
        <lblOffset val="100"/>
      </catAx>
      <valAx>
        <axId val="28658321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481596948"/>
      </valAx>
    </plotArea>
    <plotVisOnly val="1"/>
    <dispBlanksAs val="gap"/>
  </chart>
  <spPr>
    <a:solidFill xmlns:a="http://schemas.openxmlformats.org/drawingml/2006/main">
      <a:srgbClr val="FFFFFF"/>
    </a:solidFill>
    <a:ln xmlns:a="http://schemas.openxmlformats.org/drawingml/2006/main">
      <a:prstDash val="solid"/>
    </a:ln>
  </spPr>
</chartSpace>
</file>

<file path=xl/charts/chart4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month  -  Durations</a:t>
            </a:r>
          </a:p>
        </rich>
      </tx>
      <overlay val="0"/>
    </title>
    <plotArea>
      <layout/>
      <barChart>
        <barDir val="col"/>
        <grouping val="clustered"/>
        <ser>
          <idx val="0"/>
          <order val="0"/>
          <tx>
            <v>Avg expected term (business days)</v>
          </tx>
          <spPr>
            <a:solidFill xmlns:a="http://schemas.openxmlformats.org/drawingml/2006/main">
              <a:srgbClr val="1F1F1F"/>
            </a:solidFill>
            <a:ln xmlns:a="http://schemas.openxmlformats.org/drawingml/2006/main" cmpd="sng">
              <a:noFill/>
              <a:prstDash val="solid"/>
            </a:ln>
          </spPr>
          <cat>
            <strRef>
              <f>Calc!$W$148:$W$183</f>
            </strRef>
          </cat>
          <val>
            <numRef>
              <f>Calc!$M$148:$M$183</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Calc!$W$148:$W$183</f>
            </strRef>
          </cat>
          <val>
            <numRef>
              <f>Calc!$O$148:$O$183</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Calc!$W$148:$W$183</f>
            </strRef>
          </cat>
          <val>
            <numRef>
              <f>Calc!$P$148:$P$183</f>
              <numCache/>
            </numRef>
          </val>
        </ser>
        <gapWidth val="150"/>
        <axId val="1652481957"/>
        <axId val="1171514357"/>
      </barChart>
      <catAx>
        <axId val="165248195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71514357"/>
        <lblOffset val="100"/>
      </catAx>
      <valAx>
        <axId val="1171514357"/>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52481957"/>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4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quarter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cat>
            <strRef>
              <f>Calc!$W$188:$W$203</f>
            </strRef>
          </cat>
          <val>
            <numRef>
              <f>Calc!$J$188:$J$203</f>
              <numCache/>
            </numRef>
          </val>
        </ser>
        <gapWidth val="150"/>
        <axId val="999745126"/>
        <axId val="506763785"/>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Calc!$W$188:$W$203</f>
            </strRef>
          </cat>
          <val>
            <numRef>
              <f>Calc!$B$188:$B$203</f>
              <numCache/>
            </numRef>
          </val>
          <smooth val="0"/>
        </ser>
        <axId val="1826416192"/>
        <axId val="945193017"/>
      </lineChart>
      <catAx>
        <axId val="99974512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06763785"/>
        <lblOffset val="100"/>
      </catAx>
      <valAx>
        <axId val="50676378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99745126"/>
      </valAx>
      <catAx>
        <axId val="1826416192"/>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45193017"/>
        <lblOffset val="100"/>
      </catAx>
      <valAx>
        <axId val="945193017"/>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26416192"/>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5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quarter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Calc!$W$188:$W$203</f>
            </strRef>
          </cat>
          <val>
            <numRef>
              <f>Calc!$B$188:$B$203</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Calc!$W$188:$W$203</f>
            </strRef>
          </cat>
          <val>
            <numRef>
              <f>Calc!$C$188:$C$203</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Calc!$W$188:$W$203</f>
            </strRef>
          </cat>
          <val>
            <numRef>
              <f>Calc!$D$188:$D$203</f>
              <numCache/>
            </numRef>
          </val>
        </ser>
        <gapWidth val="150"/>
        <axId val="1418250850"/>
        <axId val="1812603972"/>
      </barChart>
      <catAx>
        <axId val="141825085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12603972"/>
        <lblOffset val="100"/>
      </catAx>
      <valAx>
        <axId val="1812603972"/>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418250850"/>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5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quarter  -  Principal lost</a:t>
            </a:r>
          </a:p>
        </rich>
      </tx>
      <overlay val="0"/>
    </title>
    <plotArea>
      <layout/>
      <barChart>
        <barDir val="col"/>
        <grouping val="clustered"/>
        <ser>
          <idx val="0"/>
          <order val="0"/>
          <tx>
            <v>Principal lost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Calc!$W$188:$W$203</f>
            </strRef>
          </cat>
          <val>
            <numRef>
              <f>Calc!$F$188:$F$203</f>
              <numCache/>
            </numRef>
          </val>
        </ser>
        <gapWidth val="150"/>
        <axId val="698038170"/>
        <axId val="1174092301"/>
      </barChart>
      <catAx>
        <axId val="69803817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74092301"/>
        <lblOffset val="100"/>
      </catAx>
      <valAx>
        <axId val="117409230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698038170"/>
      </valAx>
    </plotArea>
    <plotVisOnly val="1"/>
    <dispBlanksAs val="gap"/>
  </chart>
  <spPr>
    <a:solidFill xmlns:a="http://schemas.openxmlformats.org/drawingml/2006/main">
      <a:srgbClr val="FFFFFF"/>
    </a:solidFill>
    <a:ln xmlns:a="http://schemas.openxmlformats.org/drawingml/2006/main">
      <a:prstDash val="solid"/>
    </a:ln>
  </spPr>
</chartSpace>
</file>

<file path=xl/charts/chart5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Funding quarter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latin typeface="Roboto"/>
                  </a:defRPr>
                </a:pPr>
                <a:r>
                  <a:t/>
                </a:r>
              </a:p>
            </txPr>
            <showLegendKey val="0"/>
            <showVal val="1"/>
            <showCatName val="0"/>
            <showSerName val="0"/>
            <showPercent val="0"/>
            <showBubbleSize val="0"/>
          </dLbls>
          <cat>
            <strRef>
              <f>Calc!$W$188:$W$203</f>
            </strRef>
          </cat>
          <val>
            <numRef>
              <f>Calc!$G$188:$G$203</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latin typeface="Roboto"/>
                  </a:defRPr>
                </a:pPr>
                <a:r>
                  <a:t/>
                </a:r>
              </a:p>
            </txPr>
            <showLegendKey val="0"/>
            <showVal val="1"/>
            <showCatName val="0"/>
            <showSerName val="0"/>
            <showPercent val="0"/>
            <showBubbleSize val="0"/>
          </dLbls>
          <cat>
            <strRef>
              <f>Calc!$W$188:$W$203</f>
            </strRef>
          </cat>
          <val>
            <numRef>
              <f>Calc!$H$188:$H$203</f>
              <numCache/>
            </numRef>
          </val>
        </ser>
        <gapWidth val="150"/>
        <axId val="1392699228"/>
        <axId val="1798081391"/>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Calc!$W$188:$W$203</f>
            </strRef>
          </cat>
          <val>
            <numRef>
              <f>Calc!$S$188:$S$203</f>
              <numCache/>
            </numRef>
          </val>
          <smooth val="0"/>
        </ser>
        <axId val="1392699228"/>
        <axId val="1798081391"/>
      </lineChart>
      <catAx>
        <axId val="139269922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798081391"/>
        <lblOffset val="100"/>
      </catAx>
      <valAx>
        <axId val="1798081391"/>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392699228"/>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5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quarter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Calc!$W$188:$W$203</f>
            </strRef>
          </cat>
          <val>
            <numRef>
              <f>Calc!$I$188:$I$203</f>
              <numCache/>
            </numRef>
          </val>
        </ser>
        <gapWidth val="150"/>
        <axId val="1187015949"/>
        <axId val="536004433"/>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Calc!$W$188:$W$203</f>
            </strRef>
          </cat>
          <val>
            <numRef>
              <f>Calc!$U$188:$U$203</f>
              <numCache/>
            </numRef>
          </val>
          <smooth val="0"/>
        </ser>
        <axId val="1187015949"/>
        <axId val="536004433"/>
      </lineChart>
      <catAx>
        <axId val="118701594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36004433"/>
        <lblOffset val="100"/>
      </catAx>
      <valAx>
        <axId val="53600443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87015949"/>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5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quarter  -  Average deal size</a:t>
            </a:r>
          </a:p>
        </rich>
      </tx>
      <overlay val="0"/>
    </title>
    <plotArea>
      <layout/>
      <barChart>
        <barDir val="col"/>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Calc!$W$188:$W$203</f>
            </strRef>
          </cat>
          <val>
            <numRef>
              <f>Calc!$L$188:$L$203</f>
              <numCache/>
            </numRef>
          </val>
        </ser>
        <gapWidth val="150"/>
        <axId val="1639816579"/>
        <axId val="96296978"/>
      </barChart>
      <catAx>
        <axId val="163981657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6296978"/>
        <lblOffset val="100"/>
      </catAx>
      <valAx>
        <axId val="96296978"/>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39816579"/>
      </valAx>
    </plotArea>
    <plotVisOnly val="1"/>
    <dispBlanksAs val="gap"/>
  </chart>
  <spPr>
    <a:solidFill xmlns:a="http://schemas.openxmlformats.org/drawingml/2006/main">
      <a:srgbClr val="FFFFFF"/>
    </a:solidFill>
    <a:ln xmlns:a="http://schemas.openxmlformats.org/drawingml/2006/main">
      <a:prstDash val="solid"/>
    </a:ln>
  </spPr>
</chartSpace>
</file>

<file path=xl/charts/chart5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quarter  -  Durations</a:t>
            </a:r>
          </a:p>
        </rich>
      </tx>
      <overlay val="0"/>
    </title>
    <plotArea>
      <layout/>
      <barChart>
        <barDir val="col"/>
        <grouping val="clustered"/>
        <ser>
          <idx val="0"/>
          <order val="0"/>
          <tx>
            <v>Avg expected term (business days)</v>
          </tx>
          <spPr>
            <a:solidFill xmlns:a="http://schemas.openxmlformats.org/drawingml/2006/main">
              <a:srgbClr val="1F1F1F"/>
            </a:solidFill>
            <a:ln xmlns:a="http://schemas.openxmlformats.org/drawingml/2006/main" cmpd="sng">
              <a:noFill/>
              <a:prstDash val="solid"/>
            </a:ln>
          </spPr>
          <cat>
            <strRef>
              <f>Calc!$W$188:$W$203</f>
            </strRef>
          </cat>
          <val>
            <numRef>
              <f>Calc!$M$188:$M$203</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Calc!$W$188:$W$203</f>
            </strRef>
          </cat>
          <val>
            <numRef>
              <f>Calc!$O$188:$O$203</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Calc!$W$188:$W$203</f>
            </strRef>
          </cat>
          <val>
            <numRef>
              <f>Calc!$P$188:$P$203</f>
              <numCache/>
            </numRef>
          </val>
        </ser>
        <gapWidth val="150"/>
        <axId val="165825316"/>
        <axId val="1839501954"/>
      </barChart>
      <catAx>
        <axId val="16582531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39501954"/>
        <lblOffset val="100"/>
      </catAx>
      <valAx>
        <axId val="1839501954"/>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5825316"/>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5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year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cat>
            <strRef>
              <f>Calc!$W$208:$W$213</f>
            </strRef>
          </cat>
          <val>
            <numRef>
              <f>Calc!$J$208:$J$213</f>
              <numCache/>
            </numRef>
          </val>
        </ser>
        <gapWidth val="150"/>
        <axId val="445964640"/>
        <axId val="1944748549"/>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Calc!$W$208:$W$213</f>
            </strRef>
          </cat>
          <val>
            <numRef>
              <f>Calc!$B$208:$B$213</f>
              <numCache/>
            </numRef>
          </val>
          <smooth val="0"/>
        </ser>
        <axId val="1276007003"/>
        <axId val="368270983"/>
      </lineChart>
      <catAx>
        <axId val="44596464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44748549"/>
        <lblOffset val="100"/>
      </catAx>
      <valAx>
        <axId val="194474854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445964640"/>
      </valAx>
      <catAx>
        <axId val="1276007003"/>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368270983"/>
        <lblOffset val="100"/>
      </catAx>
      <valAx>
        <axId val="368270983"/>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276007003"/>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5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year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Calc!$W$208:$W$213</f>
            </strRef>
          </cat>
          <val>
            <numRef>
              <f>Calc!$B$208:$B$213</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Calc!$W$208:$W$213</f>
            </strRef>
          </cat>
          <val>
            <numRef>
              <f>Calc!$C$208:$C$213</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Calc!$W$208:$W$213</f>
            </strRef>
          </cat>
          <val>
            <numRef>
              <f>Calc!$D$208:$D$213</f>
              <numCache/>
            </numRef>
          </val>
        </ser>
        <gapWidth val="150"/>
        <axId val="1397191293"/>
        <axId val="1153645148"/>
      </barChart>
      <catAx>
        <axId val="1397191293"/>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53645148"/>
        <lblOffset val="100"/>
      </catAx>
      <valAx>
        <axId val="1153645148"/>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397191293"/>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5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year  -  Principal lost</a:t>
            </a:r>
          </a:p>
        </rich>
      </tx>
      <overlay val="0"/>
    </title>
    <plotArea>
      <layout/>
      <barChart>
        <barDir val="col"/>
        <grouping val="clustered"/>
        <ser>
          <idx val="0"/>
          <order val="0"/>
          <tx>
            <v>Principal lost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Calc!$W$208:$W$213</f>
            </strRef>
          </cat>
          <val>
            <numRef>
              <f>Calc!$F$208:$F$213</f>
              <numCache/>
            </numRef>
          </val>
        </ser>
        <gapWidth val="150"/>
        <axId val="2115892252"/>
        <axId val="1588360955"/>
      </barChart>
      <catAx>
        <axId val="2115892252"/>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588360955"/>
        <lblOffset val="100"/>
      </catAx>
      <valAx>
        <axId val="158836095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115892252"/>
      </valAx>
    </plotArea>
    <plotVisOnly val="1"/>
    <dispBlanksAs val="gap"/>
  </chart>
  <spPr>
    <a:solidFill xmlns:a="http://schemas.openxmlformats.org/drawingml/2006/main">
      <a:srgbClr val="FFFFFF"/>
    </a:solidFill>
    <a:ln xmlns:a="http://schemas.openxmlformats.org/drawingml/2006/main">
      <a:prstDash val="solid"/>
    </a:ln>
  </spPr>
</chartSpace>
</file>

<file path=xl/charts/chart5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Funding year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a:solidFill>
                      <a:srgbClr val="FFFFFF"/>
                    </a:solidFill>
                    <a:latin typeface="Calibri"/>
                  </a:defRPr>
                </a:pPr>
                <a:r>
                  <a:t/>
                </a:r>
              </a:p>
            </txPr>
            <showLegendKey val="0"/>
            <showVal val="1"/>
            <showCatName val="0"/>
            <showSerName val="0"/>
            <showPercent val="0"/>
            <showBubbleSize val="0"/>
          </dLbls>
          <cat>
            <strRef>
              <f>Calc!$W$208:$W$213</f>
            </strRef>
          </cat>
          <val>
            <numRef>
              <f>Calc!$G$208:$G$213</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a:solidFill>
                      <a:srgbClr val="000000"/>
                    </a:solidFill>
                    <a:latin typeface="Calibri"/>
                  </a:defRPr>
                </a:pPr>
                <a:r>
                  <a:t/>
                </a:r>
              </a:p>
            </txPr>
            <showLegendKey val="0"/>
            <showVal val="1"/>
            <showCatName val="0"/>
            <showSerName val="0"/>
            <showPercent val="0"/>
            <showBubbleSize val="0"/>
          </dLbls>
          <cat>
            <strRef>
              <f>Calc!$W$208:$W$213</f>
            </strRef>
          </cat>
          <val>
            <numRef>
              <f>Calc!$H$208:$H$213</f>
              <numCache/>
            </numRef>
          </val>
        </ser>
        <gapWidth val="150"/>
        <axId val="672615285"/>
        <axId val="899041862"/>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Calc!$W$208:$W$213</f>
            </strRef>
          </cat>
          <val>
            <numRef>
              <f>Calc!$S$208:$S$213</f>
              <numCache/>
            </numRef>
          </val>
          <smooth val="0"/>
        </ser>
        <axId val="672615285"/>
        <axId val="899041862"/>
      </lineChart>
      <catAx>
        <axId val="672615285"/>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899041862"/>
        <lblOffset val="100"/>
      </catAx>
      <valAx>
        <axId val="899041862"/>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672615285"/>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6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year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Calc!$W$208:$W$213</f>
            </strRef>
          </cat>
          <val>
            <numRef>
              <f>Calc!$I$208:$I$213</f>
              <numCache/>
            </numRef>
          </val>
        </ser>
        <gapWidth val="150"/>
        <axId val="854803507"/>
        <axId val="963144710"/>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Calc!$W$208:$W$213</f>
            </strRef>
          </cat>
          <val>
            <numRef>
              <f>Calc!$U$208:$U$213</f>
              <numCache/>
            </numRef>
          </val>
          <smooth val="0"/>
        </ser>
        <axId val="854803507"/>
        <axId val="963144710"/>
      </lineChart>
      <catAx>
        <axId val="85480350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63144710"/>
        <lblOffset val="100"/>
      </catAx>
      <valAx>
        <axId val="963144710"/>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54803507"/>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6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year  -  Average deal size</a:t>
            </a:r>
          </a:p>
        </rich>
      </tx>
      <overlay val="0"/>
    </title>
    <plotArea>
      <layout/>
      <barChart>
        <barDir val="col"/>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Calc!$W$208:$W$213</f>
            </strRef>
          </cat>
          <val>
            <numRef>
              <f>Calc!$L$208:$L$213</f>
              <numCache/>
            </numRef>
          </val>
        </ser>
        <gapWidth val="150"/>
        <axId val="534612388"/>
        <axId val="822055410"/>
      </barChart>
      <catAx>
        <axId val="53461238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22055410"/>
        <lblOffset val="100"/>
      </catAx>
      <valAx>
        <axId val="822055410"/>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34612388"/>
      </valAx>
    </plotArea>
    <plotVisOnly val="1"/>
    <dispBlanksAs val="gap"/>
  </chart>
  <spPr>
    <a:solidFill xmlns:a="http://schemas.openxmlformats.org/drawingml/2006/main">
      <a:srgbClr val="FFFFFF"/>
    </a:solidFill>
    <a:ln xmlns:a="http://schemas.openxmlformats.org/drawingml/2006/main">
      <a:prstDash val="solid"/>
    </a:ln>
  </spPr>
</chartSpace>
</file>

<file path=xl/charts/chart6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Funding year  -  Durations</a:t>
            </a:r>
          </a:p>
        </rich>
      </tx>
      <overlay val="0"/>
    </title>
    <plotArea>
      <layout/>
      <barChart>
        <barDir val="col"/>
        <grouping val="clustered"/>
        <ser>
          <idx val="0"/>
          <order val="0"/>
          <tx>
            <v>Avg expected term (business days)</v>
          </tx>
          <spPr>
            <a:solidFill xmlns:a="http://schemas.openxmlformats.org/drawingml/2006/main">
              <a:srgbClr val="1F1F1F"/>
            </a:solidFill>
            <a:ln xmlns:a="http://schemas.openxmlformats.org/drawingml/2006/main" cmpd="sng">
              <a:noFill/>
              <a:prstDash val="solid"/>
            </a:ln>
          </spPr>
          <cat>
            <strRef>
              <f>Calc!$W$208:$W$213</f>
            </strRef>
          </cat>
          <val>
            <numRef>
              <f>Calc!$M$208:$M$213</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Calc!$W$208:$W$213</f>
            </strRef>
          </cat>
          <val>
            <numRef>
              <f>Calc!$O$208:$O$213</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Calc!$W$208:$W$213</f>
            </strRef>
          </cat>
          <val>
            <numRef>
              <f>Calc!$P$208:$P$213</f>
              <numCache/>
            </numRef>
          </val>
        </ser>
        <gapWidth val="150"/>
        <axId val="1258969698"/>
        <axId val="687320437"/>
      </barChart>
      <catAx>
        <axId val="125896969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687320437"/>
        <lblOffset val="100"/>
      </catAx>
      <valAx>
        <axId val="687320437"/>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258969698"/>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6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Advance to revenue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cat>
            <strRef>
              <f>Calc!$W$218:$W$223</f>
            </strRef>
          </cat>
          <val>
            <numRef>
              <f>Calc!$J$218:$J$223</f>
              <numCache/>
            </numRef>
          </val>
        </ser>
        <gapWidth val="150"/>
        <axId val="305427407"/>
        <axId val="820463057"/>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Calc!$W$218:$W$223</f>
            </strRef>
          </cat>
          <val>
            <numRef>
              <f>Calc!$B$218:$B$223</f>
              <numCache/>
            </numRef>
          </val>
          <smooth val="0"/>
        </ser>
        <axId val="1967481812"/>
        <axId val="2034657640"/>
      </lineChart>
      <catAx>
        <axId val="30542740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20463057"/>
        <lblOffset val="100"/>
      </catAx>
      <valAx>
        <axId val="820463057"/>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305427407"/>
      </valAx>
      <catAx>
        <axId val="1967481812"/>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034657640"/>
        <lblOffset val="100"/>
      </catAx>
      <valAx>
        <axId val="2034657640"/>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67481812"/>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6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Advance to revenue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Calc!$W$218:$W$223</f>
            </strRef>
          </cat>
          <val>
            <numRef>
              <f>Calc!$B$218:$B$223</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Calc!$W$218:$W$223</f>
            </strRef>
          </cat>
          <val>
            <numRef>
              <f>Calc!$C$218:$C$223</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Calc!$W$218:$W$223</f>
            </strRef>
          </cat>
          <val>
            <numRef>
              <f>Calc!$D$218:$D$223</f>
              <numCache/>
            </numRef>
          </val>
        </ser>
        <gapWidth val="150"/>
        <axId val="1567346817"/>
        <axId val="787761702"/>
      </barChart>
      <catAx>
        <axId val="156734681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87761702"/>
        <lblOffset val="100"/>
      </catAx>
      <valAx>
        <axId val="787761702"/>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567346817"/>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6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Advance to revenue  -  Principal lost</a:t>
            </a:r>
          </a:p>
        </rich>
      </tx>
      <overlay val="0"/>
    </title>
    <plotArea>
      <layout/>
      <barChart>
        <barDir val="col"/>
        <grouping val="clustered"/>
        <ser>
          <idx val="0"/>
          <order val="0"/>
          <tx>
            <v>Principal lost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Calc!$W$218:$W$223</f>
            </strRef>
          </cat>
          <val>
            <numRef>
              <f>Calc!$F$218:$F$223</f>
              <numCache/>
            </numRef>
          </val>
        </ser>
        <gapWidth val="150"/>
        <axId val="1885772644"/>
        <axId val="1981797178"/>
      </barChart>
      <catAx>
        <axId val="1885772644"/>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81797178"/>
        <lblOffset val="100"/>
      </catAx>
      <valAx>
        <axId val="1981797178"/>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85772644"/>
      </valAx>
    </plotArea>
    <plotVisOnly val="1"/>
    <dispBlanksAs val="gap"/>
  </chart>
  <spPr>
    <a:solidFill xmlns:a="http://schemas.openxmlformats.org/drawingml/2006/main">
      <a:srgbClr val="FFFFFF"/>
    </a:solidFill>
    <a:ln xmlns:a="http://schemas.openxmlformats.org/drawingml/2006/main">
      <a:prstDash val="solid"/>
    </a:ln>
  </spPr>
</chartSpace>
</file>

<file path=xl/charts/chart6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Advance to revenue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a:solidFill>
                      <a:srgbClr val="FFFFFF"/>
                    </a:solidFill>
                    <a:latin typeface="Calibri"/>
                  </a:defRPr>
                </a:pPr>
                <a:r>
                  <a:t/>
                </a:r>
              </a:p>
            </txPr>
            <showLegendKey val="0"/>
            <showVal val="1"/>
            <showCatName val="0"/>
            <showSerName val="0"/>
            <showPercent val="0"/>
            <showBubbleSize val="0"/>
          </dLbls>
          <cat>
            <strRef>
              <f>Calc!$W$218:$W$223</f>
            </strRef>
          </cat>
          <val>
            <numRef>
              <f>Calc!$G$218:$G$223</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a:solidFill>
                      <a:srgbClr val="FFFFFF"/>
                    </a:solidFill>
                    <a:latin typeface="Calibri"/>
                  </a:defRPr>
                </a:pPr>
                <a:r>
                  <a:t/>
                </a:r>
              </a:p>
            </txPr>
            <showLegendKey val="0"/>
            <showVal val="1"/>
            <showCatName val="0"/>
            <showSerName val="0"/>
            <showPercent val="0"/>
            <showBubbleSize val="0"/>
          </dLbls>
          <cat>
            <strRef>
              <f>Calc!$W$218:$W$223</f>
            </strRef>
          </cat>
          <val>
            <numRef>
              <f>Calc!$H$218:$H$223</f>
              <numCache/>
            </numRef>
          </val>
        </ser>
        <gapWidth val="150"/>
        <axId val="1656648548"/>
        <axId val="1999276206"/>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Calc!$W$218:$W$223</f>
            </strRef>
          </cat>
          <val>
            <numRef>
              <f>Calc!$S$218:$S$223</f>
              <numCache/>
            </numRef>
          </val>
          <smooth val="0"/>
        </ser>
        <axId val="1656648548"/>
        <axId val="1999276206"/>
      </lineChart>
      <catAx>
        <axId val="165664854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999276206"/>
        <lblOffset val="100"/>
      </catAx>
      <valAx>
        <axId val="1999276206"/>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656648548"/>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6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Advance to revenue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Calc!$W$218:$W$223</f>
            </strRef>
          </cat>
          <val>
            <numRef>
              <f>Calc!$I$218:$I$223</f>
              <numCache/>
            </numRef>
          </val>
        </ser>
        <gapWidth val="150"/>
        <axId val="1627498819"/>
        <axId val="624455899"/>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Calc!$W$218:$W$223</f>
            </strRef>
          </cat>
          <val>
            <numRef>
              <f>Calc!$U$218:$U$223</f>
              <numCache/>
            </numRef>
          </val>
          <smooth val="0"/>
        </ser>
        <axId val="1627498819"/>
        <axId val="624455899"/>
      </lineChart>
      <catAx>
        <axId val="1627498819"/>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624455899"/>
        <lblOffset val="100"/>
      </catAx>
      <valAx>
        <axId val="62445589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27498819"/>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6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Advance to revenue  -  Average deal size</a:t>
            </a:r>
          </a:p>
        </rich>
      </tx>
      <overlay val="0"/>
    </title>
    <plotArea>
      <layout/>
      <barChart>
        <barDir val="col"/>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Calc!$W$218:$W$223</f>
            </strRef>
          </cat>
          <val>
            <numRef>
              <f>Calc!$L$218:$L$223</f>
              <numCache/>
            </numRef>
          </val>
        </ser>
        <gapWidth val="150"/>
        <axId val="124210720"/>
        <axId val="1671026183"/>
      </barChart>
      <catAx>
        <axId val="12421072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71026183"/>
        <lblOffset val="100"/>
      </catAx>
      <valAx>
        <axId val="167102618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24210720"/>
      </valAx>
    </plotArea>
    <plotVisOnly val="1"/>
    <dispBlanksAs val="gap"/>
  </chart>
  <spPr>
    <a:solidFill xmlns:a="http://schemas.openxmlformats.org/drawingml/2006/main">
      <a:srgbClr val="FFFFFF"/>
    </a:solidFill>
    <a:ln xmlns:a="http://schemas.openxmlformats.org/drawingml/2006/main">
      <a:prstDash val="solid"/>
    </a:ln>
  </spPr>
</chartSpace>
</file>

<file path=xl/charts/chart6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Advance to revenue  -  Durations</a:t>
            </a:r>
          </a:p>
        </rich>
      </tx>
      <overlay val="0"/>
    </title>
    <plotArea>
      <layout/>
      <barChart>
        <barDir val="col"/>
        <grouping val="clustered"/>
        <ser>
          <idx val="0"/>
          <order val="0"/>
          <tx>
            <v>Avg expected term (business days)</v>
          </tx>
          <spPr>
            <a:solidFill xmlns:a="http://schemas.openxmlformats.org/drawingml/2006/main">
              <a:srgbClr val="1F1F1F"/>
            </a:solidFill>
            <a:ln xmlns:a="http://schemas.openxmlformats.org/drawingml/2006/main" cmpd="sng">
              <a:noFill/>
              <a:prstDash val="solid"/>
            </a:ln>
          </spPr>
          <cat>
            <strRef>
              <f>Calc!$W$218:$W$223</f>
            </strRef>
          </cat>
          <val>
            <numRef>
              <f>Calc!$M$218:$M$223</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Calc!$W$218:$W$223</f>
            </strRef>
          </cat>
          <val>
            <numRef>
              <f>Calc!$O$218:$O$223</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Calc!$W$218:$W$223</f>
            </strRef>
          </cat>
          <val>
            <numRef>
              <f>Calc!$P$218:$P$223</f>
              <numCache/>
            </numRef>
          </val>
        </ser>
        <gapWidth val="150"/>
        <axId val="1394612175"/>
        <axId val="999860071"/>
      </barChart>
      <catAx>
        <axId val="1394612175"/>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99860071"/>
        <lblOffset val="100"/>
      </catAx>
      <valAx>
        <axId val="99986007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394612175"/>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7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Advance to revenue  -  Renewal share</a:t>
            </a:r>
          </a:p>
        </rich>
      </tx>
      <overlay val="0"/>
    </title>
    <plotArea>
      <layout/>
      <barChart>
        <barDir val="col"/>
        <grouping val="clustered"/>
        <ser>
          <idx val="0"/>
          <order val="0"/>
          <tx>
            <v>% of deals that were renewals</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showLegendKey val="0"/>
            <showVal val="1"/>
            <showCatName val="0"/>
            <showSerName val="0"/>
            <showPercent val="0"/>
            <showBubbleSize val="0"/>
          </dLbls>
          <cat>
            <strRef>
              <f>Calc!$W$218:$W$223</f>
            </strRef>
          </cat>
          <val>
            <numRef>
              <f>Calc!$Q$218:$Q$223</f>
              <numCache/>
            </numRef>
          </val>
        </ser>
        <ser>
          <idx val="1"/>
          <order val="1"/>
          <tx>
            <v>% of funded dollars from renewals</v>
          </tx>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showLegendKey val="0"/>
            <showVal val="1"/>
            <showCatName val="0"/>
            <showSerName val="0"/>
            <showPercent val="0"/>
            <showBubbleSize val="0"/>
          </dLbls>
          <cat>
            <strRef>
              <f>Calc!$W$218:$W$223</f>
            </strRef>
          </cat>
          <val>
            <numRef>
              <f>Calc!$R$218:$R$223</f>
              <numCache/>
            </numRef>
          </val>
        </ser>
        <gapWidth val="150"/>
        <axId val="1772662098"/>
        <axId val="2055298062"/>
      </barChart>
      <catAx>
        <axId val="177266209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055298062"/>
        <lblOffset val="100"/>
      </catAx>
      <valAx>
        <axId val="2055298062"/>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xml:space="preserve">%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772662098"/>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7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New vs renewal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showLegendKey val="0"/>
            <showVal val="1"/>
            <showCatName val="0"/>
            <showSerName val="0"/>
            <showPercent val="0"/>
            <showBubbleSize val="0"/>
          </dLbls>
          <cat>
            <strRef>
              <f>Calc!$W$228:$W$229</f>
            </strRef>
          </cat>
          <val>
            <numRef>
              <f>Calc!$J$228:$J$229</f>
              <numCache/>
            </numRef>
          </val>
        </ser>
        <gapWidth val="150"/>
        <axId val="1095822526"/>
        <axId val="407855524"/>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Calc!$W$228:$W$229</f>
            </strRef>
          </cat>
          <val>
            <numRef>
              <f>Calc!$B$228:$B$229</f>
              <numCache/>
            </numRef>
          </val>
          <smooth val="0"/>
        </ser>
        <axId val="1721834033"/>
        <axId val="1899760866"/>
      </lineChart>
      <catAx>
        <axId val="109582252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407855524"/>
        <lblOffset val="100"/>
      </catAx>
      <valAx>
        <axId val="407855524"/>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095822526"/>
      </valAx>
      <catAx>
        <axId val="1721834033"/>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99760866"/>
        <lblOffset val="100"/>
      </catAx>
      <valAx>
        <axId val="1899760866"/>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721834033"/>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7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New vs renewal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Calc!$W$228:$W$229</f>
            </strRef>
          </cat>
          <val>
            <numRef>
              <f>Calc!$B$228:$B$229</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Calc!$W$228:$W$229</f>
            </strRef>
          </cat>
          <val>
            <numRef>
              <f>Calc!$C$228:$C$229</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Calc!$W$228:$W$229</f>
            </strRef>
          </cat>
          <val>
            <numRef>
              <f>Calc!$D$228:$D$229</f>
              <numCache/>
            </numRef>
          </val>
        </ser>
        <gapWidth val="150"/>
        <axId val="1011951298"/>
        <axId val="552251713"/>
      </barChart>
      <catAx>
        <axId val="101195129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52251713"/>
        <lblOffset val="100"/>
      </catAx>
      <valAx>
        <axId val="55225171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011951298"/>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7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New vs renewal  -  Principal lost</a:t>
            </a:r>
          </a:p>
        </rich>
      </tx>
      <overlay val="0"/>
    </title>
    <plotArea>
      <layout/>
      <barChart>
        <barDir val="col"/>
        <grouping val="clustered"/>
        <ser>
          <idx val="0"/>
          <order val="0"/>
          <tx>
            <v>Principal lost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400" b="0" i="0">
                    <a:solidFill>
                      <a:srgbClr val="FFFFFF"/>
                    </a:solidFill>
                    <a:latin typeface="Calibri"/>
                  </a:defRPr>
                </a:pPr>
                <a:r>
                  <a:t/>
                </a:r>
              </a:p>
            </txPr>
            <showLegendKey val="0"/>
            <showVal val="1"/>
            <showCatName val="0"/>
            <showSerName val="0"/>
            <showPercent val="0"/>
            <showBubbleSize val="0"/>
          </dLbls>
          <cat>
            <strRef>
              <f>Calc!$W$228:$W$229</f>
            </strRef>
          </cat>
          <val>
            <numRef>
              <f>Calc!$F$228:$F$229</f>
              <numCache/>
            </numRef>
          </val>
        </ser>
        <gapWidth val="150"/>
        <axId val="2081643887"/>
        <axId val="1567651046"/>
      </barChart>
      <catAx>
        <axId val="208164388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567651046"/>
        <lblOffset val="100"/>
      </catAx>
      <valAx>
        <axId val="1567651046"/>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081643887"/>
      </valAx>
    </plotArea>
    <plotVisOnly val="1"/>
    <dispBlanksAs val="gap"/>
  </chart>
  <spPr>
    <a:solidFill xmlns:a="http://schemas.openxmlformats.org/drawingml/2006/main">
      <a:srgbClr val="FFFFFF"/>
    </a:solidFill>
    <a:ln xmlns:a="http://schemas.openxmlformats.org/drawingml/2006/main">
      <a:prstDash val="solid"/>
    </a:ln>
  </spPr>
</chartSpace>
</file>

<file path=xl/charts/chart7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New vs renewal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a:solidFill>
                      <a:srgbClr val="FFFFFF"/>
                    </a:solidFill>
                    <a:latin typeface="Calibri"/>
                  </a:defRPr>
                </a:pPr>
                <a:r>
                  <a:t/>
                </a:r>
              </a:p>
            </txPr>
            <showLegendKey val="0"/>
            <showVal val="1"/>
            <showCatName val="0"/>
            <showSerName val="0"/>
            <showPercent val="0"/>
            <showBubbleSize val="0"/>
          </dLbls>
          <cat>
            <strRef>
              <f>Calc!$W$228:$W$229</f>
            </strRef>
          </cat>
          <val>
            <numRef>
              <f>Calc!$G$228:$G$229</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a:solidFill>
                      <a:srgbClr val="FFFFFF"/>
                    </a:solidFill>
                    <a:latin typeface="Calibri"/>
                  </a:defRPr>
                </a:pPr>
                <a:r>
                  <a:t/>
                </a:r>
              </a:p>
            </txPr>
            <showLegendKey val="0"/>
            <showVal val="1"/>
            <showCatName val="0"/>
            <showSerName val="0"/>
            <showPercent val="0"/>
            <showBubbleSize val="0"/>
          </dLbls>
          <cat>
            <strRef>
              <f>Calc!$W$228:$W$229</f>
            </strRef>
          </cat>
          <val>
            <numRef>
              <f>Calc!$H$228:$H$229</f>
              <numCache/>
            </numRef>
          </val>
        </ser>
        <gapWidth val="150"/>
        <axId val="1762797738"/>
        <axId val="1180958040"/>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Calc!$W$228:$W$229</f>
            </strRef>
          </cat>
          <val>
            <numRef>
              <f>Calc!$S$228:$S$229</f>
              <numCache/>
            </numRef>
          </val>
          <smooth val="0"/>
        </ser>
        <axId val="1762797738"/>
        <axId val="1180958040"/>
      </lineChart>
      <catAx>
        <axId val="176279773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180958040"/>
        <lblOffset val="100"/>
      </catAx>
      <valAx>
        <axId val="1180958040"/>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762797738"/>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7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New vs renewal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Calc!$W$228:$W$229</f>
            </strRef>
          </cat>
          <val>
            <numRef>
              <f>Calc!$I$228:$I$229</f>
              <numCache/>
            </numRef>
          </val>
        </ser>
        <gapWidth val="150"/>
        <axId val="565920161"/>
        <axId val="1600024950"/>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Calc!$W$228:$W$229</f>
            </strRef>
          </cat>
          <val>
            <numRef>
              <f>Calc!$U$228:$U$229</f>
              <numCache/>
            </numRef>
          </val>
          <smooth val="0"/>
        </ser>
        <axId val="565920161"/>
        <axId val="1600024950"/>
      </lineChart>
      <catAx>
        <axId val="565920161"/>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00024950"/>
        <lblOffset val="100"/>
      </catAx>
      <valAx>
        <axId val="1600024950"/>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65920161"/>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7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New vs renewal  -  Average deal size</a:t>
            </a:r>
          </a:p>
        </rich>
      </tx>
      <overlay val="0"/>
    </title>
    <plotArea>
      <layout/>
      <barChart>
        <barDir val="col"/>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Calc!$W$228:$W$229</f>
            </strRef>
          </cat>
          <val>
            <numRef>
              <f>Calc!$L$228:$L$229</f>
              <numCache/>
            </numRef>
          </val>
        </ser>
        <gapWidth val="150"/>
        <axId val="181959340"/>
        <axId val="2090564653"/>
      </barChart>
      <catAx>
        <axId val="18195934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090564653"/>
        <lblOffset val="100"/>
      </catAx>
      <valAx>
        <axId val="209056465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1959340"/>
      </valAx>
    </plotArea>
    <plotVisOnly val="1"/>
    <dispBlanksAs val="gap"/>
  </chart>
  <spPr>
    <a:solidFill xmlns:a="http://schemas.openxmlformats.org/drawingml/2006/main">
      <a:srgbClr val="FFFFFF"/>
    </a:solidFill>
    <a:ln xmlns:a="http://schemas.openxmlformats.org/drawingml/2006/main">
      <a:prstDash val="solid"/>
    </a:ln>
  </spPr>
</chartSpace>
</file>

<file path=xl/charts/chart7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New vs renewal  -  Durations</a:t>
            </a:r>
          </a:p>
        </rich>
      </tx>
      <overlay val="0"/>
    </title>
    <plotArea>
      <layout/>
      <barChart>
        <barDir val="col"/>
        <grouping val="clustered"/>
        <ser>
          <idx val="0"/>
          <order val="0"/>
          <tx>
            <v>Avg expected term (business days)</v>
          </tx>
          <spPr>
            <a:solidFill xmlns:a="http://schemas.openxmlformats.org/drawingml/2006/main">
              <a:srgbClr val="1F1F1F"/>
            </a:solidFill>
            <a:ln xmlns:a="http://schemas.openxmlformats.org/drawingml/2006/main" cmpd="sng">
              <a:noFill/>
              <a:prstDash val="solid"/>
            </a:ln>
          </spPr>
          <cat>
            <strRef>
              <f>Calc!$W$228:$W$229</f>
            </strRef>
          </cat>
          <val>
            <numRef>
              <f>Calc!$M$228:$M$229</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Calc!$W$228:$W$229</f>
            </strRef>
          </cat>
          <val>
            <numRef>
              <f>Calc!$O$228:$O$229</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Calc!$W$228:$W$229</f>
            </strRef>
          </cat>
          <val>
            <numRef>
              <f>Calc!$P$228:$P$229</f>
              <numCache/>
            </numRef>
          </val>
        </ser>
        <gapWidth val="150"/>
        <axId val="1027653203"/>
        <axId val="870863001"/>
      </barChart>
      <catAx>
        <axId val="1027653203"/>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70863001"/>
        <lblOffset val="100"/>
      </catAx>
      <valAx>
        <axId val="87086300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027653203"/>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7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Status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cat>
            <strRef>
              <f>Calc!$W$234:$W$244</f>
            </strRef>
          </cat>
          <val>
            <numRef>
              <f>Calc!$J$234:$J$244</f>
              <numCache/>
            </numRef>
          </val>
        </ser>
        <gapWidth val="150"/>
        <axId val="976392640"/>
        <axId val="1577669437"/>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Calc!$W$234:$W$244</f>
            </strRef>
          </cat>
          <val>
            <numRef>
              <f>Calc!$B$234:$B$244</f>
              <numCache/>
            </numRef>
          </val>
          <smooth val="0"/>
        </ser>
        <axId val="1936623575"/>
        <axId val="525772167"/>
      </lineChart>
      <catAx>
        <axId val="97639264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577669437"/>
        <lblOffset val="100"/>
      </catAx>
      <valAx>
        <axId val="1577669437"/>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976392640"/>
      </valAx>
      <catAx>
        <axId val="1936623575"/>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25772167"/>
        <lblOffset val="100"/>
      </catAx>
      <valAx>
        <axId val="525772167"/>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936623575"/>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7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Status  -  Money</a:t>
            </a:r>
          </a:p>
        </rich>
      </tx>
      <overlay val="0"/>
    </title>
    <plotArea>
      <layout/>
      <barChart>
        <barDir val="bar"/>
        <grouping val="clustered"/>
        <ser>
          <idx val="0"/>
          <order val="0"/>
          <tx>
            <v>Funded $</v>
          </tx>
          <spPr>
            <a:solidFill xmlns:a="http://schemas.openxmlformats.org/drawingml/2006/main">
              <a:srgbClr val="FF9900"/>
            </a:solidFill>
            <a:ln xmlns:a="http://schemas.openxmlformats.org/drawingml/2006/main" cmpd="sng">
              <a:noFill/>
              <a:prstDash val="solid"/>
            </a:ln>
          </spPr>
          <cat>
            <strRef>
              <f>Calc!$W$234:$W$244</f>
            </strRef>
          </cat>
          <val>
            <numRef>
              <f>Calc!$B$234:$B$244</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Calc!$W$234:$W$244</f>
            </strRef>
          </cat>
          <val>
            <numRef>
              <f>Calc!$C$234:$C$244</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Calc!$W$234:$W$244</f>
            </strRef>
          </cat>
          <val>
            <numRef>
              <f>Calc!$D$234:$D$244</f>
              <numCache/>
            </numRef>
          </val>
        </ser>
        <gapWidth val="150"/>
        <axId val="751265232"/>
        <axId val="18976280"/>
      </barChart>
      <catAx>
        <axId val="751265232"/>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976280"/>
        <lblOffset val="100"/>
      </catAx>
      <valAx>
        <axId val="18976280"/>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51265232"/>
        <crosses val="max"/>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8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Status  -  Principal lost</a:t>
            </a:r>
          </a:p>
        </rich>
      </tx>
      <overlay val="0"/>
    </title>
    <plotArea>
      <layout/>
      <barChart>
        <barDir val="bar"/>
        <grouping val="clustered"/>
        <ser>
          <idx val="0"/>
          <order val="0"/>
          <tx>
            <v>Principal lost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Calc!$W$234:$W$244</f>
            </strRef>
          </cat>
          <val>
            <numRef>
              <f>Calc!$F$234:$F$244</f>
              <numCache/>
            </numRef>
          </val>
        </ser>
        <gapWidth val="150"/>
        <axId val="1649041167"/>
        <axId val="1716213834"/>
      </barChart>
      <catAx>
        <axId val="1649041167"/>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716213834"/>
        <lblOffset val="100"/>
      </catAx>
      <valAx>
        <axId val="1716213834"/>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49041167"/>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8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Status  -  Recovery rate</a:t>
            </a:r>
          </a:p>
        </rich>
      </tx>
      <overlay val="0"/>
    </title>
    <plotArea>
      <layout/>
      <barChart>
        <barDir val="col"/>
        <grouping val="clustered"/>
        <ser>
          <idx val="0"/>
          <order val="0"/>
          <tx>
            <v>Recovery rate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Calc!$W$234:$W$244</f>
            </strRef>
          </cat>
          <val>
            <numRef>
              <f>Calc!$H$234:$H$244</f>
              <numCache/>
            </numRef>
          </val>
        </ser>
        <gapWidth val="150"/>
        <axId val="1840084358"/>
        <axId val="1423678030"/>
      </barChart>
      <lineChart>
        <grouping val="standard"/>
        <varyColors val="0"/>
        <ser>
          <idx val="1"/>
          <order val="1"/>
          <tx>
            <v>Book recovery</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Calc!$W$234:$W$244</f>
            </strRef>
          </cat>
          <val>
            <numRef>
              <f>Calc!$T$234:$T$244</f>
              <numCache/>
            </numRef>
          </val>
          <smooth val="0"/>
        </ser>
        <axId val="1840084358"/>
        <axId val="1423678030"/>
      </lineChart>
      <catAx>
        <axId val="184008435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423678030"/>
        <lblOffset val="100"/>
      </catAx>
      <valAx>
        <axId val="1423678030"/>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defaulted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40084358"/>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8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Payment frequency  -  Deal count and funded dollars</a:t>
            </a:r>
          </a:p>
        </rich>
      </tx>
      <overlay val="0"/>
    </title>
    <plotArea>
      <layout/>
      <barChart>
        <barDir val="col"/>
        <grouping val="clustered"/>
        <ser>
          <idx val="0"/>
          <order val="0"/>
          <tx>
            <v>Deals</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showLegendKey val="0"/>
            <showVal val="1"/>
            <showCatName val="0"/>
            <showSerName val="0"/>
            <showPercent val="0"/>
            <showBubbleSize val="0"/>
          </dLbls>
          <cat>
            <strRef>
              <f>Calc!$W$249:$W$250</f>
            </strRef>
          </cat>
          <val>
            <numRef>
              <f>Calc!$J$249:$J$250</f>
              <numCache/>
            </numRef>
          </val>
        </ser>
        <gapWidth val="150"/>
        <axId val="372033467"/>
        <axId val="1126241839"/>
      </barChart>
      <lineChart>
        <grouping val="standard"/>
        <varyColors val="0"/>
        <ser>
          <idx val="1"/>
          <order val="1"/>
          <tx>
            <v>Funded $</v>
          </tx>
          <spPr>
            <a:ln xmlns:a="http://schemas.openxmlformats.org/drawingml/2006/main" w="38100" cmpd="sng">
              <a:solidFill>
                <a:srgbClr val="00FF00"/>
              </a:solidFill>
              <a:prstDash val="solid"/>
            </a:ln>
          </spPr>
          <marker>
            <symbol val="none"/>
            <spPr>
              <a:ln xmlns:a="http://schemas.openxmlformats.org/drawingml/2006/main">
                <a:prstDash val="solid"/>
              </a:ln>
            </spPr>
          </marke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Calc!$W$249:$W$250</f>
            </strRef>
          </cat>
          <val>
            <numRef>
              <f>Calc!$B$249:$B$250</f>
              <numCache/>
            </numRef>
          </val>
          <smooth val="0"/>
        </ser>
        <axId val="1109490717"/>
        <axId val="1349719310"/>
      </lineChart>
      <catAx>
        <axId val="372033467"/>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26241839"/>
        <lblOffset val="100"/>
      </catAx>
      <valAx>
        <axId val="112624183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Number of deals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372033467"/>
      </valAx>
      <catAx>
        <axId val="1109490717"/>
        <scaling>
          <orientation val="minMax"/>
        </scaling>
        <delete val="1"/>
        <axPos val="b"/>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349719310"/>
        <lblOffset val="100"/>
      </catAx>
      <valAx>
        <axId val="1349719310"/>
        <scaling>
          <orientation val="minMax"/>
        </scaling>
        <delete val="0"/>
        <axPos val="r"/>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Funded $</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109490717"/>
        <crosses val="max"/>
      </valAx>
    </plotArea>
    <plotVisOnly val="1"/>
    <dispBlanksAs val="gap"/>
  </chart>
  <spPr>
    <a:solidFill xmlns:a="http://schemas.openxmlformats.org/drawingml/2006/main">
      <a:srgbClr val="FFFFFF"/>
    </a:solidFill>
    <a:ln xmlns:a="http://schemas.openxmlformats.org/drawingml/2006/main">
      <a:prstDash val="solid"/>
    </a:ln>
  </spPr>
</chartSpace>
</file>

<file path=xl/charts/chart8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Payment frequency  -  Money</a:t>
            </a:r>
          </a:p>
        </rich>
      </tx>
      <overlay val="0"/>
    </title>
    <plotArea>
      <layout/>
      <barChart>
        <barDir val="col"/>
        <grouping val="clustered"/>
        <ser>
          <idx val="0"/>
          <order val="0"/>
          <tx>
            <v>Funded $</v>
          </tx>
          <spPr>
            <a:solidFill xmlns:a="http://schemas.openxmlformats.org/drawingml/2006/main">
              <a:srgbClr val="FF9900"/>
            </a:solidFill>
            <a:ln xmlns:a="http://schemas.openxmlformats.org/drawingml/2006/main" cmpd="sng">
              <a:noFill/>
              <a:prstDash val="solid"/>
            </a:ln>
          </spPr>
          <cat>
            <strRef>
              <f>Calc!$W$249:$W$250</f>
            </strRef>
          </cat>
          <val>
            <numRef>
              <f>Calc!$B$249:$B$250</f>
              <numCache/>
            </numRef>
          </val>
        </ser>
        <ser>
          <idx val="1"/>
          <order val="1"/>
          <tx>
            <v>Collected $</v>
          </tx>
          <spPr>
            <a:solidFill xmlns:a="http://schemas.openxmlformats.org/drawingml/2006/main">
              <a:srgbClr val="FF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solidFill>
                      <a:srgbClr val="000000"/>
                    </a:solidFill>
                  </a:defRPr>
                </a:pPr>
                <a:r>
                  <a:t/>
                </a:r>
              </a:p>
            </txPr>
            <showLegendKey val="0"/>
            <showVal val="1"/>
            <showCatName val="0"/>
            <showSerName val="0"/>
            <showPercent val="0"/>
            <showBubbleSize val="0"/>
          </dLbls>
          <cat>
            <strRef>
              <f>Calc!$W$249:$W$250</f>
            </strRef>
          </cat>
          <val>
            <numRef>
              <f>Calc!$C$249:$C$250</f>
              <numCache/>
            </numRef>
          </val>
        </ser>
        <ser>
          <idx val="2"/>
          <order val="2"/>
          <tx>
            <v>Net profit / loss $</v>
          </tx>
          <spPr>
            <a:solidFill xmlns:a="http://schemas.openxmlformats.org/drawingml/2006/main">
              <a:srgbClr val="00FF00"/>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a:pPr>
                <a:r>
                  <a:t/>
                </a:r>
              </a:p>
            </txPr>
            <showLegendKey val="0"/>
            <showVal val="1"/>
            <showCatName val="0"/>
            <showSerName val="0"/>
            <showPercent val="0"/>
            <showBubbleSize val="0"/>
          </dLbls>
          <cat>
            <strRef>
              <f>Calc!$W$249:$W$250</f>
            </strRef>
          </cat>
          <val>
            <numRef>
              <f>Calc!$D$249:$D$250</f>
              <numCache/>
            </numRef>
          </val>
        </ser>
        <gapWidth val="150"/>
        <axId val="1626614581"/>
        <axId val="140222091"/>
      </barChart>
      <catAx>
        <axId val="1626614581"/>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40222091"/>
        <lblOffset val="100"/>
      </catAx>
      <valAx>
        <axId val="14022209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26614581"/>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8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Payment frequency  -  Principal lost</a:t>
            </a:r>
          </a:p>
        </rich>
      </tx>
      <overlay val="0"/>
    </title>
    <plotArea>
      <layout/>
      <barChart>
        <barDir val="col"/>
        <grouping val="clustered"/>
        <ser>
          <idx val="0"/>
          <order val="0"/>
          <tx>
            <v>Principal lost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FFFFFF"/>
                    </a:solidFill>
                    <a:latin typeface="Calibri"/>
                  </a:defRPr>
                </a:pPr>
                <a:r>
                  <a:t/>
                </a:r>
              </a:p>
            </txPr>
            <showLegendKey val="0"/>
            <showVal val="1"/>
            <showCatName val="0"/>
            <showSerName val="0"/>
            <showPercent val="0"/>
            <showBubbleSize val="0"/>
          </dLbls>
          <cat>
            <strRef>
              <f>Calc!$W$249:$W$250</f>
            </strRef>
          </cat>
          <val>
            <numRef>
              <f>Calc!$F$249:$F$250</f>
              <numCache/>
            </numRef>
          </val>
        </ser>
        <gapWidth val="150"/>
        <axId val="1616739430"/>
        <axId val="529065689"/>
      </barChart>
      <catAx>
        <axId val="161673943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529065689"/>
        <lblOffset val="100"/>
      </catAx>
      <valAx>
        <axId val="52906568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16739430"/>
      </valAx>
    </plotArea>
    <plotVisOnly val="1"/>
    <dispBlanksAs val="gap"/>
  </chart>
  <spPr>
    <a:solidFill xmlns:a="http://schemas.openxmlformats.org/drawingml/2006/main">
      <a:srgbClr val="FFFFFF"/>
    </a:solidFill>
    <a:ln xmlns:a="http://schemas.openxmlformats.org/drawingml/2006/main">
      <a:prstDash val="solid"/>
    </a:ln>
  </spPr>
</chartSpace>
</file>

<file path=xl/charts/chart8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a:solidFill>
                  <a:srgbClr val="000000"/>
                </a:solidFill>
                <a:latin typeface="Calibri"/>
              </a:defRPr>
            </a:pPr>
            <a:r>
              <a:rPr sz="1800" b="1">
                <a:solidFill>
                  <a:srgbClr val="000000"/>
                </a:solidFill>
                <a:latin typeface="Calibri"/>
              </a:rPr>
              <a:t>Payment frequency  -  Principal lost rate, with Collected on Defaults beside it</a:t>
            </a:r>
          </a:p>
        </rich>
      </tx>
      <overlay val="0"/>
    </title>
    <plotArea>
      <layout/>
      <barChart>
        <barDir val="col"/>
        <grouping val="clustered"/>
        <ser>
          <idx val="0"/>
          <order val="0"/>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FFFFFF"/>
                    </a:solidFill>
                    <a:latin typeface="Calibri"/>
                  </a:defRPr>
                </a:pPr>
                <a:r>
                  <a:t/>
                </a:r>
              </a:p>
            </txPr>
            <showLegendKey val="0"/>
            <showVal val="1"/>
            <showCatName val="0"/>
            <showSerName val="0"/>
            <showPercent val="0"/>
            <showBubbleSize val="0"/>
          </dLbls>
          <cat>
            <strRef>
              <f>Calc!$W$249:$W$250</f>
            </strRef>
          </cat>
          <val>
            <numRef>
              <f>Calc!$G$249:$G$250</f>
              <numCache/>
            </numRef>
          </val>
        </ser>
        <ser>
          <idx val="1"/>
          <order val="1"/>
          <spPr>
            <a:solidFill xmlns:a="http://schemas.openxmlformats.org/drawingml/2006/main">
              <a:srgbClr val="8C8C8C"/>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a:solidFill>
                      <a:srgbClr val="FFFFFF"/>
                    </a:solidFill>
                    <a:latin typeface="Calibri"/>
                  </a:defRPr>
                </a:pPr>
                <a:r>
                  <a:t/>
                </a:r>
              </a:p>
            </txPr>
            <showLegendKey val="0"/>
            <showVal val="1"/>
            <showCatName val="0"/>
            <showSerName val="0"/>
            <showPercent val="0"/>
            <showBubbleSize val="0"/>
          </dLbls>
          <cat>
            <strRef>
              <f>Calc!$W$249:$W$250</f>
            </strRef>
          </cat>
          <val>
            <numRef>
              <f>Calc!$H$249:$H$250</f>
              <numCache/>
            </numRef>
          </val>
        </ser>
        <gapWidth val="150"/>
        <axId val="1262002180"/>
        <axId val="1573675078"/>
      </barChart>
      <lineChart>
        <grouping val="standard"/>
        <varyColors val="0"/>
        <ser>
          <idx val="2"/>
          <order val="2"/>
          <spPr>
            <a:ln xmlns:a="http://schemas.openxmlformats.org/drawingml/2006/main" w="19050" cmpd="sng">
              <a:solidFill>
                <a:srgbClr val="000000"/>
              </a:solidFill>
              <a:prstDash val="dash"/>
            </a:ln>
          </spPr>
          <marker>
            <symbol val="none"/>
            <spPr>
              <a:ln xmlns:a="http://schemas.openxmlformats.org/drawingml/2006/main">
                <a:prstDash val="solid"/>
              </a:ln>
            </spPr>
          </marker>
          <cat>
            <strRef>
              <f>Calc!$W$249:$W$250</f>
            </strRef>
          </cat>
          <val>
            <numRef>
              <f>Calc!$S$249:$S$250</f>
              <numCache/>
            </numRef>
          </val>
          <smooth val="0"/>
        </ser>
        <axId val="1262002180"/>
        <axId val="1573675078"/>
      </lineChart>
      <catAx>
        <axId val="1262002180"/>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Roboto"/>
                  </a:defRPr>
                </a:pPr>
                <a:r>
                  <a:rPr b="0">
                    <a:solidFill>
                      <a:srgbClr val="000000"/>
                    </a:solidFill>
                    <a:latin typeface="Roboto"/>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573675078"/>
        <lblOffset val="100"/>
      </catAx>
      <valAx>
        <axId val="1573675078"/>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sz="1000" b="1">
                    <a:solidFill>
                      <a:srgbClr val="000000"/>
                    </a:solidFill>
                    <a:latin typeface="Calibri"/>
                  </a:defRPr>
                </a:pPr>
                <a:r>
                  <a:rPr sz="1000" b="1">
                    <a:solidFill>
                      <a:srgbClr val="000000"/>
                    </a:solidFill>
                    <a:latin typeface="Calibri"/>
                  </a:rPr>
                  <a:t>% of funded dollars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Roboto"/>
              </a:defRPr>
            </a:pPr>
            <a:r>
              <a:t/>
            </a:r>
          </a:p>
        </txPr>
        <crossAx val="1262002180"/>
      </valAx>
    </plotArea>
    <legend>
      <legendPos val="b"/>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8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Payment frequency  -  Return on funded capital</a:t>
            </a:r>
          </a:p>
        </rich>
      </tx>
      <overlay val="0"/>
    </title>
    <plotArea>
      <layout/>
      <barChart>
        <barDir val="col"/>
        <grouping val="clustered"/>
        <ser>
          <idx val="0"/>
          <order val="0"/>
          <tx>
            <v>Return on funded capital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000" b="0" i="0">
                    <a:solidFill>
                      <a:srgbClr val="FFFFFF"/>
                    </a:solidFill>
                    <a:latin typeface="Calibri"/>
                  </a:defRPr>
                </a:pPr>
                <a:r>
                  <a:t/>
                </a:r>
              </a:p>
            </txPr>
            <showLegendKey val="0"/>
            <showVal val="1"/>
            <showCatName val="0"/>
            <showSerName val="0"/>
            <showPercent val="0"/>
            <showBubbleSize val="0"/>
          </dLbls>
          <cat>
            <strRef>
              <f>Calc!$W$249:$W$250</f>
            </strRef>
          </cat>
          <val>
            <numRef>
              <f>Calc!$I$249:$I$250</f>
              <numCache/>
            </numRef>
          </val>
        </ser>
        <gapWidth val="150"/>
        <axId val="482563275"/>
        <axId val="724453751"/>
      </barChart>
      <lineChart>
        <grouping val="standard"/>
        <varyColors val="0"/>
        <ser>
          <idx val="1"/>
          <order val="1"/>
          <tx>
            <v>Book return on funded capital</v>
          </tx>
          <spPr>
            <a:ln xmlns:a="http://schemas.openxmlformats.org/drawingml/2006/main" w="19050" cmpd="sng">
              <a:solidFill>
                <a:srgbClr val="000000"/>
              </a:solidFill>
              <a:prstDash val="dash"/>
            </a:ln>
          </spPr>
          <marker>
            <symbol val="none"/>
            <spPr>
              <a:ln xmlns:a="http://schemas.openxmlformats.org/drawingml/2006/main">
                <a:prstDash val="solid"/>
              </a:ln>
            </spPr>
          </marker>
          <dPt>
            <idx val="0"/>
            <marker>
              <symbol val="none"/>
              <spPr>
                <a:ln xmlns:a="http://schemas.openxmlformats.org/drawingml/2006/main">
                  <a:prstDash val="solid"/>
                </a:ln>
              </spPr>
            </marker>
            <spPr>
              <a:ln xmlns:a="http://schemas.openxmlformats.org/drawingml/2006/main">
                <a:prstDash val="solid"/>
              </a:ln>
            </spPr>
          </dPt>
          <cat>
            <strRef>
              <f>Calc!$W$249:$W$250</f>
            </strRef>
          </cat>
          <val>
            <numRef>
              <f>Calc!$U$249:$U$250</f>
              <numCache/>
            </numRef>
          </val>
          <smooth val="0"/>
        </ser>
        <axId val="482563275"/>
        <axId val="724453751"/>
      </lineChart>
      <catAx>
        <axId val="482563275"/>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724453751"/>
        <lblOffset val="100"/>
      </catAx>
      <valAx>
        <axId val="72445375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 of funded capital</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482563275"/>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8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Payment frequency  -  Average deal size</a:t>
            </a:r>
          </a:p>
        </rich>
      </tx>
      <overlay val="0"/>
    </title>
    <plotArea>
      <layout/>
      <barChart>
        <barDir val="col"/>
        <grouping val="clustered"/>
        <ser>
          <idx val="0"/>
          <order val="0"/>
          <tx>
            <v>Avg deal size</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Calc!$W$249:$W$250</f>
            </strRef>
          </cat>
          <val>
            <numRef>
              <f>Calc!$L$249:$L$250</f>
              <numCache/>
            </numRef>
          </val>
        </ser>
        <gapWidth val="150"/>
        <axId val="1634006412"/>
        <axId val="610361395"/>
      </barChart>
      <catAx>
        <axId val="1634006412"/>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610361395"/>
        <lblOffset val="100"/>
      </catAx>
      <valAx>
        <axId val="61036139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634006412"/>
      </valAx>
    </plotArea>
    <plotVisOnly val="1"/>
    <dispBlanksAs val="gap"/>
  </chart>
  <spPr>
    <a:solidFill xmlns:a="http://schemas.openxmlformats.org/drawingml/2006/main">
      <a:srgbClr val="FFFFFF"/>
    </a:solidFill>
    <a:ln xmlns:a="http://schemas.openxmlformats.org/drawingml/2006/main">
      <a:prstDash val="solid"/>
    </a:ln>
  </spPr>
</chartSpace>
</file>

<file path=xl/charts/chart8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Payment frequency  -  Durations</a:t>
            </a:r>
          </a:p>
        </rich>
      </tx>
      <overlay val="0"/>
    </title>
    <plotArea>
      <layout/>
      <barChart>
        <barDir val="col"/>
        <grouping val="clustered"/>
        <ser>
          <idx val="0"/>
          <order val="0"/>
          <tx>
            <v>Avg expected term (business days)</v>
          </tx>
          <spPr>
            <a:solidFill xmlns:a="http://schemas.openxmlformats.org/drawingml/2006/main">
              <a:srgbClr val="1F1F1F"/>
            </a:solidFill>
            <a:ln xmlns:a="http://schemas.openxmlformats.org/drawingml/2006/main" cmpd="sng">
              <a:noFill/>
              <a:prstDash val="solid"/>
            </a:ln>
          </spPr>
          <cat>
            <strRef>
              <f>Calc!$W$249:$W$250</f>
            </strRef>
          </cat>
          <val>
            <numRef>
              <f>Calc!$M$249:$M$250</f>
              <numCache/>
            </numRef>
          </val>
        </ser>
        <ser>
          <idx val="1"/>
          <order val="1"/>
          <tx>
            <v>Avg days on book, defaulted</v>
          </tx>
          <spPr>
            <a:solidFill xmlns:a="http://schemas.openxmlformats.org/drawingml/2006/main">
              <a:srgbClr val="FF0000"/>
            </a:solidFill>
            <a:ln xmlns:a="http://schemas.openxmlformats.org/drawingml/2006/main" cmpd="sng">
              <a:noFill/>
              <a:prstDash val="solid"/>
            </a:ln>
          </spPr>
          <cat>
            <strRef>
              <f>Calc!$W$249:$W$250</f>
            </strRef>
          </cat>
          <val>
            <numRef>
              <f>Calc!$O$249:$O$250</f>
              <numCache/>
            </numRef>
          </val>
        </ser>
        <ser>
          <idx val="2"/>
          <order val="2"/>
          <tx>
            <v>Avg days to close</v>
          </tx>
          <spPr>
            <a:solidFill xmlns:a="http://schemas.openxmlformats.org/drawingml/2006/main">
              <a:srgbClr val="00FF00"/>
            </a:solidFill>
            <a:ln xmlns:a="http://schemas.openxmlformats.org/drawingml/2006/main" cmpd="sng">
              <a:noFill/>
              <a:prstDash val="solid"/>
            </a:ln>
          </spPr>
          <cat>
            <strRef>
              <f>Calc!$W$249:$W$250</f>
            </strRef>
          </cat>
          <val>
            <numRef>
              <f>Calc!$P$249:$P$250</f>
              <numCache/>
            </numRef>
          </val>
        </ser>
        <gapWidth val="150"/>
        <axId val="883976476"/>
        <axId val="219874155"/>
      </barChart>
      <catAx>
        <axId val="883976476"/>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19874155"/>
        <lblOffset val="100"/>
      </catAx>
      <valAx>
        <axId val="21987415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Business days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883976476"/>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8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Payment frequency  -  Expected term in payments</a:t>
            </a:r>
          </a:p>
        </rich>
      </tx>
      <overlay val="0"/>
    </title>
    <plotArea>
      <layout/>
      <barChart>
        <barDir val="col"/>
        <grouping val="clustered"/>
        <ser>
          <idx val="0"/>
          <order val="0"/>
          <tx>
            <v>Avg expected term (payments)</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400" b="0" i="0">
                    <a:solidFill>
                      <a:srgbClr val="FFFFFF"/>
                    </a:solidFill>
                    <a:latin typeface="Calibri"/>
                  </a:defRPr>
                </a:pPr>
                <a:r>
                  <a:t/>
                </a:r>
              </a:p>
            </txPr>
            <showLegendKey val="0"/>
            <showVal val="1"/>
            <showCatName val="0"/>
            <showSerName val="0"/>
            <showPercent val="0"/>
            <showBubbleSize val="0"/>
          </dLbls>
          <cat>
            <strRef>
              <f>Calc!$W$249:$W$250</f>
            </strRef>
          </cat>
          <val>
            <numRef>
              <f>Calc!$N$249:$N$250</f>
              <numCache/>
            </numRef>
          </val>
        </ser>
        <gapWidth val="150"/>
        <axId val="27945285"/>
        <axId val="330816969"/>
      </barChart>
      <catAx>
        <axId val="27945285"/>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330816969"/>
        <lblOffset val="100"/>
      </catAx>
      <valAx>
        <axId val="33081696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Payments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27945285"/>
      </valAx>
    </plotArea>
    <plotVisOnly val="1"/>
    <dispBlanksAs val="gap"/>
  </chart>
  <spPr>
    <a:solidFill xmlns:a="http://schemas.openxmlformats.org/drawingml/2006/main">
      <a:srgbClr val="FFFFFF"/>
    </a:solidFill>
    <a:ln xmlns:a="http://schemas.openxmlformats.org/drawingml/2006/main">
      <a:prstDash val="solid"/>
    </a:ln>
  </spPr>
</chartSpace>
</file>

<file path=xl/charts/chart9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000000"/>
                </a:solidFill>
                <a:latin typeface="Calibri"/>
              </a:defRPr>
            </a:pPr>
            <a:r>
              <a:rPr sz="1800" b="1" i="0">
                <a:solidFill>
                  <a:srgbClr val="000000"/>
                </a:solidFill>
                <a:latin typeface="Calibri"/>
              </a:rPr>
              <a:t>Deal size  -  Principal lost</a:t>
            </a:r>
          </a:p>
        </rich>
      </tx>
      <overlay val="0"/>
    </title>
    <plotArea>
      <layout/>
      <barChart>
        <barDir val="col"/>
        <grouping val="clustered"/>
        <ser>
          <idx val="0"/>
          <order val="0"/>
          <tx>
            <v>Principal lost $</v>
          </tx>
          <spPr>
            <a:solidFill xmlns:a="http://schemas.openxmlformats.org/drawingml/2006/main">
              <a:srgbClr val="1F1F1F"/>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sz="1200" b="0" i="0">
                    <a:solidFill>
                      <a:srgbClr val="FFFFFF"/>
                    </a:solidFill>
                    <a:latin typeface="Calibri"/>
                  </a:defRPr>
                </a:pPr>
                <a:r>
                  <a:t/>
                </a:r>
              </a:p>
            </txPr>
            <showLegendKey val="0"/>
            <showVal val="1"/>
            <showCatName val="0"/>
            <showSerName val="0"/>
            <showPercent val="0"/>
            <showBubbleSize val="0"/>
          </dLbls>
          <cat>
            <strRef>
              <f>Calc!$W$119:$W$124</f>
            </strRef>
          </cat>
          <val>
            <numRef>
              <f>Calc!$F$119:$F$124</f>
              <numCache/>
            </numRef>
          </val>
        </ser>
        <gapWidth val="150"/>
        <axId val="180919823"/>
        <axId val="184620501"/>
      </barChart>
      <catAx>
        <axId val="180919823"/>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4620501"/>
        <lblOffset val="100"/>
      </catAx>
      <valAx>
        <axId val="18462050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US dollars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
            </a:r>
          </a:p>
        </txPr>
        <crossAx val="180919823"/>
      </valAx>
    </plotArea>
    <plotVisOnly val="1"/>
    <dispBlanksAs val="gap"/>
  </chart>
  <spPr>
    <a:solidFill xmlns:a="http://schemas.openxmlformats.org/drawingml/2006/main">
      <a:srgbClr val="FFFFFF"/>
    </a:solidFill>
    <a:ln xmlns:a="http://schemas.openxmlformats.org/drawingml/2006/main">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 Type="http://schemas.openxmlformats.org/officeDocument/2006/relationships/chart" Target="/xl/charts/chart34.xml" Id="rId34"/><Relationship Type="http://schemas.openxmlformats.org/officeDocument/2006/relationships/chart" Target="/xl/charts/chart35.xml" Id="rId35"/><Relationship Type="http://schemas.openxmlformats.org/officeDocument/2006/relationships/chart" Target="/xl/charts/chart36.xml" Id="rId36"/><Relationship Type="http://schemas.openxmlformats.org/officeDocument/2006/relationships/chart" Target="/xl/charts/chart37.xml" Id="rId37"/><Relationship Type="http://schemas.openxmlformats.org/officeDocument/2006/relationships/chart" Target="/xl/charts/chart38.xml" Id="rId38"/><Relationship Type="http://schemas.openxmlformats.org/officeDocument/2006/relationships/chart" Target="/xl/charts/chart39.xml" Id="rId39"/><Relationship Type="http://schemas.openxmlformats.org/officeDocument/2006/relationships/chart" Target="/xl/charts/chart40.xml" Id="rId40"/><Relationship Type="http://schemas.openxmlformats.org/officeDocument/2006/relationships/chart" Target="/xl/charts/chart41.xml" Id="rId41"/><Relationship Type="http://schemas.openxmlformats.org/officeDocument/2006/relationships/chart" Target="/xl/charts/chart42.xml" Id="rId42"/><Relationship Type="http://schemas.openxmlformats.org/officeDocument/2006/relationships/chart" Target="/xl/charts/chart43.xml" Id="rId43"/><Relationship Type="http://schemas.openxmlformats.org/officeDocument/2006/relationships/chart" Target="/xl/charts/chart44.xml" Id="rId44"/><Relationship Type="http://schemas.openxmlformats.org/officeDocument/2006/relationships/chart" Target="/xl/charts/chart45.xml" Id="rId45"/><Relationship Type="http://schemas.openxmlformats.org/officeDocument/2006/relationships/chart" Target="/xl/charts/chart46.xml" Id="rId46"/><Relationship Type="http://schemas.openxmlformats.org/officeDocument/2006/relationships/chart" Target="/xl/charts/chart47.xml" Id="rId47"/><Relationship Type="http://schemas.openxmlformats.org/officeDocument/2006/relationships/chart" Target="/xl/charts/chart48.xml" Id="rId48"/><Relationship Type="http://schemas.openxmlformats.org/officeDocument/2006/relationships/chart" Target="/xl/charts/chart49.xml" Id="rId49"/><Relationship Type="http://schemas.openxmlformats.org/officeDocument/2006/relationships/chart" Target="/xl/charts/chart50.xml" Id="rId50"/><Relationship Type="http://schemas.openxmlformats.org/officeDocument/2006/relationships/chart" Target="/xl/charts/chart51.xml" Id="rId51"/><Relationship Type="http://schemas.openxmlformats.org/officeDocument/2006/relationships/chart" Target="/xl/charts/chart52.xml" Id="rId52"/><Relationship Type="http://schemas.openxmlformats.org/officeDocument/2006/relationships/chart" Target="/xl/charts/chart53.xml" Id="rId53"/><Relationship Type="http://schemas.openxmlformats.org/officeDocument/2006/relationships/chart" Target="/xl/charts/chart54.xml" Id="rId54"/><Relationship Type="http://schemas.openxmlformats.org/officeDocument/2006/relationships/chart" Target="/xl/charts/chart55.xml" Id="rId55"/><Relationship Type="http://schemas.openxmlformats.org/officeDocument/2006/relationships/chart" Target="/xl/charts/chart56.xml" Id="rId56"/><Relationship Type="http://schemas.openxmlformats.org/officeDocument/2006/relationships/chart" Target="/xl/charts/chart57.xml" Id="rId57"/><Relationship Type="http://schemas.openxmlformats.org/officeDocument/2006/relationships/chart" Target="/xl/charts/chart58.xml" Id="rId58"/><Relationship Type="http://schemas.openxmlformats.org/officeDocument/2006/relationships/chart" Target="/xl/charts/chart59.xml" Id="rId59"/><Relationship Type="http://schemas.openxmlformats.org/officeDocument/2006/relationships/chart" Target="/xl/charts/chart60.xml" Id="rId60"/><Relationship Type="http://schemas.openxmlformats.org/officeDocument/2006/relationships/chart" Target="/xl/charts/chart61.xml" Id="rId61"/><Relationship Type="http://schemas.openxmlformats.org/officeDocument/2006/relationships/chart" Target="/xl/charts/chart62.xml" Id="rId62"/><Relationship Type="http://schemas.openxmlformats.org/officeDocument/2006/relationships/chart" Target="/xl/charts/chart63.xml" Id="rId63"/><Relationship Type="http://schemas.openxmlformats.org/officeDocument/2006/relationships/chart" Target="/xl/charts/chart64.xml" Id="rId64"/><Relationship Type="http://schemas.openxmlformats.org/officeDocument/2006/relationships/chart" Target="/xl/charts/chart65.xml" Id="rId65"/><Relationship Type="http://schemas.openxmlformats.org/officeDocument/2006/relationships/chart" Target="/xl/charts/chart66.xml" Id="rId66"/><Relationship Type="http://schemas.openxmlformats.org/officeDocument/2006/relationships/chart" Target="/xl/charts/chart67.xml" Id="rId67"/><Relationship Type="http://schemas.openxmlformats.org/officeDocument/2006/relationships/chart" Target="/xl/charts/chart68.xml" Id="rId68"/><Relationship Type="http://schemas.openxmlformats.org/officeDocument/2006/relationships/chart" Target="/xl/charts/chart69.xml" Id="rId69"/><Relationship Type="http://schemas.openxmlformats.org/officeDocument/2006/relationships/chart" Target="/xl/charts/chart70.xml" Id="rId70"/><Relationship Type="http://schemas.openxmlformats.org/officeDocument/2006/relationships/chart" Target="/xl/charts/chart71.xml" Id="rId71"/><Relationship Type="http://schemas.openxmlformats.org/officeDocument/2006/relationships/chart" Target="/xl/charts/chart72.xml" Id="rId72"/><Relationship Type="http://schemas.openxmlformats.org/officeDocument/2006/relationships/chart" Target="/xl/charts/chart73.xml" Id="rId73"/><Relationship Type="http://schemas.openxmlformats.org/officeDocument/2006/relationships/chart" Target="/xl/charts/chart74.xml" Id="rId74"/><Relationship Type="http://schemas.openxmlformats.org/officeDocument/2006/relationships/chart" Target="/xl/charts/chart75.xml" Id="rId75"/><Relationship Type="http://schemas.openxmlformats.org/officeDocument/2006/relationships/chart" Target="/xl/charts/chart76.xml" Id="rId76"/><Relationship Type="http://schemas.openxmlformats.org/officeDocument/2006/relationships/chart" Target="/xl/charts/chart77.xml" Id="rId77"/><Relationship Type="http://schemas.openxmlformats.org/officeDocument/2006/relationships/chart" Target="/xl/charts/chart78.xml" Id="rId78"/><Relationship Type="http://schemas.openxmlformats.org/officeDocument/2006/relationships/chart" Target="/xl/charts/chart79.xml" Id="rId79"/><Relationship Type="http://schemas.openxmlformats.org/officeDocument/2006/relationships/chart" Target="/xl/charts/chart80.xml" Id="rId80"/><Relationship Type="http://schemas.openxmlformats.org/officeDocument/2006/relationships/chart" Target="/xl/charts/chart81.xml" Id="rId81"/><Relationship Type="http://schemas.openxmlformats.org/officeDocument/2006/relationships/chart" Target="/xl/charts/chart82.xml" Id="rId82"/><Relationship Type="http://schemas.openxmlformats.org/officeDocument/2006/relationships/chart" Target="/xl/charts/chart83.xml" Id="rId83"/><Relationship Type="http://schemas.openxmlformats.org/officeDocument/2006/relationships/chart" Target="/xl/charts/chart84.xml" Id="rId84"/><Relationship Type="http://schemas.openxmlformats.org/officeDocument/2006/relationships/chart" Target="/xl/charts/chart85.xml" Id="rId85"/><Relationship Type="http://schemas.openxmlformats.org/officeDocument/2006/relationships/chart" Target="/xl/charts/chart86.xml" Id="rId86"/><Relationship Type="http://schemas.openxmlformats.org/officeDocument/2006/relationships/chart" Target="/xl/charts/chart87.xml" Id="rId87"/><Relationship Type="http://schemas.openxmlformats.org/officeDocument/2006/relationships/chart" Target="/xl/charts/chart88.xml" Id="rId88"/><Relationship Type="http://schemas.openxmlformats.org/officeDocument/2006/relationships/chart" Target="/xl/charts/chart89.xml" Id="rId89"/><Relationship Type="http://schemas.openxmlformats.org/officeDocument/2006/relationships/chart" Target="/xl/charts/chart90.xml" Id="rId90"/></Relationships>
</file>

<file path=xl/drawings/drawing1.xml><?xml version="1.0" encoding="utf-8"?>
<wsDr xmlns="http://schemas.openxmlformats.org/drawingml/2006/spreadsheetDrawing">
  <oneCellAnchor>
    <from>
      <col>0</col>
      <colOff>0</colOff>
      <row>7</row>
      <rowOff>57150</rowOff>
    </from>
    <ext cx="7791450" cy="467677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7</col>
      <colOff>857250</colOff>
      <row>7</row>
      <rowOff>57150</rowOff>
    </from>
    <ext cx="7743825" cy="46767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7</col>
      <colOff>809625</colOff>
      <row>31</row>
      <rowOff>57150</rowOff>
    </from>
    <ext cx="7791450" cy="4543425"/>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oneCellAnchor>
    <from>
      <col>7</col>
      <colOff>809625</colOff>
      <row>54</row>
      <rowOff>0</rowOff>
    </from>
    <ext cx="7791450" cy="4543425"/>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oneCellAnchor>
  <oneCellAnchor>
    <from>
      <col>0</col>
      <colOff>0</colOff>
      <row>31</row>
      <rowOff>57150</rowOff>
    </from>
    <ext cx="7791450" cy="4543425"/>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oneCellAnchor>
  <oneCellAnchor>
    <from>
      <col>0</col>
      <colOff>0</colOff>
      <row>54</row>
      <rowOff>0</rowOff>
    </from>
    <ext cx="7791450" cy="4543425"/>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oneCellAnchor>
  <oneCellAnchor>
    <from>
      <col>0</col>
      <colOff>0</colOff>
      <row>169</row>
      <rowOff>57150</rowOff>
    </from>
    <ext cx="7791450" cy="4543425"/>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oneCellAnchor>
  <oneCellAnchor>
    <from>
      <col>7</col>
      <colOff>857250</colOff>
      <row>169</row>
      <rowOff>57150</rowOff>
    </from>
    <ext cx="7791450" cy="4543425"/>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oneCellAnchor>
  <oneCellAnchor>
    <from>
      <col>7</col>
      <colOff>857250</colOff>
      <row>192</row>
      <rowOff>0</rowOff>
    </from>
    <ext cx="7791450" cy="4543425"/>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oneCellAnchor>
  <oneCellAnchor>
    <from>
      <col>7</col>
      <colOff>857250</colOff>
      <row>214</row>
      <rowOff>142875</rowOff>
    </from>
    <ext cx="7791450" cy="4543425"/>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oneCellAnchor>
  <oneCellAnchor>
    <from>
      <col>0</col>
      <colOff>0</colOff>
      <row>192</row>
      <rowOff>0</rowOff>
    </from>
    <ext cx="7791450" cy="4543425"/>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fLocksWithSheet="0"/>
  </oneCellAnchor>
  <oneCellAnchor>
    <from>
      <col>0</col>
      <colOff>0</colOff>
      <row>214</row>
      <rowOff>142875</rowOff>
    </from>
    <ext cx="7791450" cy="4543425"/>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fLocksWithSheet="0"/>
  </oneCellAnchor>
  <oneCellAnchor>
    <from>
      <col>0</col>
      <colOff>0</colOff>
      <row>331</row>
      <rowOff>57150</rowOff>
    </from>
    <ext cx="7791450" cy="4543425"/>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fLocksWithSheet="0"/>
  </oneCellAnchor>
  <oneCellAnchor>
    <from>
      <col>7</col>
      <colOff>857250</colOff>
      <row>331</row>
      <rowOff>57150</rowOff>
    </from>
    <ext cx="7791450" cy="4543425"/>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fLocksWithSheet="0"/>
  </oneCellAnchor>
  <oneCellAnchor>
    <from>
      <col>0</col>
      <colOff>0</colOff>
      <row>354</row>
      <rowOff>0</rowOff>
    </from>
    <ext cx="7791450" cy="4543425"/>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fLocksWithSheet="0"/>
  </oneCellAnchor>
  <oneCellAnchor>
    <from>
      <col>7</col>
      <colOff>857250</colOff>
      <row>354</row>
      <rowOff>0</rowOff>
    </from>
    <ext cx="7791450" cy="4543425"/>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fLocksWithSheet="0"/>
  </oneCellAnchor>
  <oneCellAnchor>
    <from>
      <col>7</col>
      <colOff>857250</colOff>
      <row>376</row>
      <rowOff>142875</rowOff>
    </from>
    <ext cx="7791450" cy="4543425"/>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fLocksWithSheet="0"/>
  </oneCellAnchor>
  <oneCellAnchor>
    <from>
      <col>0</col>
      <colOff>0</colOff>
      <row>376</row>
      <rowOff>142875</rowOff>
    </from>
    <ext cx="7791450" cy="4543425"/>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fLocksWithSheet="0"/>
  </oneCellAnchor>
  <oneCellAnchor>
    <from>
      <col>0</col>
      <colOff>0</colOff>
      <row>493</row>
      <rowOff>57150</rowOff>
    </from>
    <ext cx="7791450" cy="4543425"/>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fLocksWithSheet="0"/>
  </oneCellAnchor>
  <oneCellAnchor>
    <from>
      <col>7</col>
      <colOff>857250</colOff>
      <row>493</row>
      <rowOff>57150</rowOff>
    </from>
    <ext cx="7791450" cy="4543425"/>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fLocksWithSheet="0"/>
  </oneCellAnchor>
  <oneCellAnchor>
    <from>
      <col>0</col>
      <colOff>0</colOff>
      <row>516</row>
      <rowOff>0</rowOff>
    </from>
    <ext cx="7791450" cy="4543425"/>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fLocksWithSheet="0"/>
  </oneCellAnchor>
  <oneCellAnchor>
    <from>
      <col>0</col>
      <colOff>0</colOff>
      <row>538</row>
      <rowOff>142875</rowOff>
    </from>
    <ext cx="7810500" cy="4543425"/>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fLocksWithSheet="0"/>
  </oneCellAnchor>
  <oneCellAnchor>
    <from>
      <col>7</col>
      <colOff>857250</colOff>
      <row>516</row>
      <rowOff>0</rowOff>
    </from>
    <ext cx="7791450" cy="4543425"/>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fLocksWithSheet="0"/>
  </oneCellAnchor>
  <oneCellAnchor>
    <from>
      <col>0</col>
      <colOff>0</colOff>
      <row>561</row>
      <rowOff>85725</rowOff>
    </from>
    <ext cx="7743825" cy="4543425"/>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fLocksWithSheet="0"/>
  </oneCellAnchor>
  <oneCellAnchor>
    <from>
      <col>0</col>
      <colOff>0</colOff>
      <row>608</row>
      <rowOff>57150</rowOff>
    </from>
    <ext cx="7791450" cy="4543425"/>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fLocksWithSheet="0"/>
  </oneCellAnchor>
  <oneCellAnchor>
    <from>
      <col>7</col>
      <colOff>847725</colOff>
      <row>608</row>
      <rowOff>57150</rowOff>
    </from>
    <ext cx="7791450" cy="4543425"/>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fLocksWithSheet="0"/>
  </oneCellAnchor>
  <oneCellAnchor>
    <from>
      <col>7</col>
      <colOff>857250</colOff>
      <row>631</row>
      <rowOff>0</rowOff>
    </from>
    <ext cx="7743825" cy="4543425"/>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fLocksWithSheet="0"/>
  </oneCellAnchor>
  <oneCellAnchor>
    <from>
      <col>7</col>
      <colOff>847725</colOff>
      <row>653</row>
      <rowOff>142875</rowOff>
    </from>
    <ext cx="7791450" cy="4543425"/>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fLocksWithSheet="0"/>
  </oneCellAnchor>
  <oneCellAnchor>
    <from>
      <col>0</col>
      <colOff>0</colOff>
      <row>653</row>
      <rowOff>142875</rowOff>
    </from>
    <ext cx="7791450" cy="4543425"/>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fLocksWithSheet="0"/>
  </oneCellAnchor>
  <oneCellAnchor>
    <from>
      <col>0</col>
      <colOff>0</colOff>
      <row>721</row>
      <rowOff>57150</rowOff>
    </from>
    <ext cx="7791450" cy="4543425"/>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fLocksWithSheet="0"/>
  </oneCellAnchor>
  <oneCellAnchor>
    <from>
      <col>7</col>
      <colOff>857250</colOff>
      <row>721</row>
      <rowOff>57150</rowOff>
    </from>
    <ext cx="7791450" cy="4543425"/>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fLocksWithSheet="0"/>
  </oneCellAnchor>
  <oneCellAnchor>
    <from>
      <col>7</col>
      <colOff>857250</colOff>
      <row>744</row>
      <rowOff>0</rowOff>
    </from>
    <ext cx="7791450" cy="4543425"/>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fLocksWithSheet="0"/>
  </oneCellAnchor>
  <oneCellAnchor>
    <from>
      <col>0</col>
      <colOff>0</colOff>
      <row>744</row>
      <rowOff>0</rowOff>
    </from>
    <ext cx="7791450" cy="4543425"/>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fLocksWithSheet="0"/>
  </oneCellAnchor>
  <oneCellAnchor>
    <from>
      <col>7</col>
      <colOff>857250</colOff>
      <row>766</row>
      <rowOff>142875</rowOff>
    </from>
    <ext cx="7791450" cy="4543425"/>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fLocksWithSheet="0"/>
  </oneCellAnchor>
  <oneCellAnchor>
    <from>
      <col>0</col>
      <colOff>0</colOff>
      <row>766</row>
      <rowOff>142875</rowOff>
    </from>
    <ext cx="7791450" cy="4543425"/>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fLocksWithSheet="0"/>
  </oneCellAnchor>
  <oneCellAnchor>
    <from>
      <col>0</col>
      <colOff>0</colOff>
      <row>834</row>
      <rowOff>57150</rowOff>
    </from>
    <ext cx="7791450" cy="4543425"/>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fLocksWithSheet="0"/>
  </oneCellAnchor>
  <oneCellAnchor>
    <from>
      <col>7</col>
      <colOff>838200</colOff>
      <row>834</row>
      <rowOff>57150</rowOff>
    </from>
    <ext cx="7791450" cy="4543425"/>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fLocksWithSheet="0"/>
  </oneCellAnchor>
  <oneCellAnchor>
    <from>
      <col>0</col>
      <colOff>0</colOff>
      <row>857</row>
      <rowOff>0</rowOff>
    </from>
    <ext cx="7791450" cy="4543425"/>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fLocksWithSheet="0"/>
  </oneCellAnchor>
  <oneCellAnchor>
    <from>
      <col>7</col>
      <colOff>838200</colOff>
      <row>857</row>
      <rowOff>0</rowOff>
    </from>
    <ext cx="7791450" cy="4543425"/>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fLocksWithSheet="0"/>
  </oneCellAnchor>
  <oneCellAnchor>
    <from>
      <col>7</col>
      <colOff>838200</colOff>
      <row>879</row>
      <rowOff>142875</rowOff>
    </from>
    <ext cx="7791450" cy="4543425"/>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fLocksWithSheet="0"/>
  </oneCellAnchor>
  <oneCellAnchor>
    <from>
      <col>0</col>
      <colOff>0</colOff>
      <row>879</row>
      <rowOff>142875</rowOff>
    </from>
    <ext cx="7791450" cy="4543425"/>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fLocksWithSheet="0"/>
  </oneCellAnchor>
  <oneCellAnchor>
    <from>
      <col>0</col>
      <colOff>0</colOff>
      <row>946</row>
      <rowOff>57150</rowOff>
    </from>
    <ext cx="7791450" cy="4543425"/>
    <graphicFrame>
      <nvGraphicFramePr>
        <cNvPr id="42" name="Chart 4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2"/>
        </a:graphicData>
      </a:graphic>
    </graphicFrame>
    <clientData fLocksWithSheet="0"/>
  </oneCellAnchor>
  <oneCellAnchor>
    <from>
      <col>7</col>
      <colOff>838200</colOff>
      <row>946</row>
      <rowOff>57150</rowOff>
    </from>
    <ext cx="7791450" cy="4543425"/>
    <graphicFrame>
      <nvGraphicFramePr>
        <cNvPr id="43" name="Chart 4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3"/>
        </a:graphicData>
      </a:graphic>
    </graphicFrame>
    <clientData fLocksWithSheet="0"/>
  </oneCellAnchor>
  <oneCellAnchor>
    <from>
      <col>0</col>
      <colOff>0</colOff>
      <row>969</row>
      <rowOff>0</rowOff>
    </from>
    <ext cx="7791450" cy="4543425"/>
    <graphicFrame>
      <nvGraphicFramePr>
        <cNvPr id="44" name="Chart 4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4"/>
        </a:graphicData>
      </a:graphic>
    </graphicFrame>
    <clientData fLocksWithSheet="0"/>
  </oneCellAnchor>
  <oneCellAnchor>
    <from>
      <col>7</col>
      <colOff>838200</colOff>
      <row>969</row>
      <rowOff>0</rowOff>
    </from>
    <ext cx="7791450" cy="4543425"/>
    <graphicFrame>
      <nvGraphicFramePr>
        <cNvPr id="45" name="Chart 4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5"/>
        </a:graphicData>
      </a:graphic>
    </graphicFrame>
    <clientData fLocksWithSheet="0"/>
  </oneCellAnchor>
  <oneCellAnchor>
    <from>
      <col>7</col>
      <colOff>838200</colOff>
      <row>991</row>
      <rowOff>142875</rowOff>
    </from>
    <ext cx="7791450" cy="4543425"/>
    <graphicFrame>
      <nvGraphicFramePr>
        <cNvPr id="46" name="Chart 4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6"/>
        </a:graphicData>
      </a:graphic>
    </graphicFrame>
    <clientData fLocksWithSheet="0"/>
  </oneCellAnchor>
  <oneCellAnchor>
    <from>
      <col>0</col>
      <colOff>0</colOff>
      <row>991</row>
      <rowOff>142875</rowOff>
    </from>
    <ext cx="7791450" cy="4543425"/>
    <graphicFrame>
      <nvGraphicFramePr>
        <cNvPr id="47" name="Chart 4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7"/>
        </a:graphicData>
      </a:graphic>
    </graphicFrame>
    <clientData fLocksWithSheet="0"/>
  </oneCellAnchor>
  <oneCellAnchor>
    <from>
      <col>0</col>
      <colOff>0</colOff>
      <row>1014</row>
      <rowOff>85725</rowOff>
    </from>
    <ext cx="7791450" cy="4543425"/>
    <graphicFrame>
      <nvGraphicFramePr>
        <cNvPr id="48" name="Chart 4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8"/>
        </a:graphicData>
      </a:graphic>
    </graphicFrame>
    <clientData fLocksWithSheet="0"/>
  </oneCellAnchor>
  <oneCellAnchor>
    <from>
      <col>0</col>
      <colOff>0</colOff>
      <row>1089</row>
      <rowOff>57150</rowOff>
    </from>
    <ext cx="7791450" cy="4543425"/>
    <graphicFrame>
      <nvGraphicFramePr>
        <cNvPr id="49" name="Chart 4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9"/>
        </a:graphicData>
      </a:graphic>
    </graphicFrame>
    <clientData fLocksWithSheet="0"/>
  </oneCellAnchor>
  <oneCellAnchor>
    <from>
      <col>7</col>
      <colOff>857250</colOff>
      <row>1089</row>
      <rowOff>57150</rowOff>
    </from>
    <ext cx="7791450" cy="4543425"/>
    <graphicFrame>
      <nvGraphicFramePr>
        <cNvPr id="50" name="Chart 5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0"/>
        </a:graphicData>
      </a:graphic>
    </graphicFrame>
    <clientData fLocksWithSheet="0"/>
  </oneCellAnchor>
  <oneCellAnchor>
    <from>
      <col>0</col>
      <colOff>9525</colOff>
      <row>1112</row>
      <rowOff>0</rowOff>
    </from>
    <ext cx="7791450" cy="4543425"/>
    <graphicFrame>
      <nvGraphicFramePr>
        <cNvPr id="51" name="Chart 5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1"/>
        </a:graphicData>
      </a:graphic>
    </graphicFrame>
    <clientData fLocksWithSheet="0"/>
  </oneCellAnchor>
  <oneCellAnchor>
    <from>
      <col>7</col>
      <colOff>857250</colOff>
      <row>1112</row>
      <rowOff>0</rowOff>
    </from>
    <ext cx="7791450" cy="4543425"/>
    <graphicFrame>
      <nvGraphicFramePr>
        <cNvPr id="52" name="Chart 5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2"/>
        </a:graphicData>
      </a:graphic>
    </graphicFrame>
    <clientData fLocksWithSheet="0"/>
  </oneCellAnchor>
  <oneCellAnchor>
    <from>
      <col>7</col>
      <colOff>857250</colOff>
      <row>1134</row>
      <rowOff>142875</rowOff>
    </from>
    <ext cx="7791450" cy="4543425"/>
    <graphicFrame>
      <nvGraphicFramePr>
        <cNvPr id="53" name="Chart 5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3"/>
        </a:graphicData>
      </a:graphic>
    </graphicFrame>
    <clientData fLocksWithSheet="0"/>
  </oneCellAnchor>
  <oneCellAnchor>
    <from>
      <col>0</col>
      <colOff>0</colOff>
      <row>1134</row>
      <rowOff>142875</rowOff>
    </from>
    <ext cx="7791450" cy="4543425"/>
    <graphicFrame>
      <nvGraphicFramePr>
        <cNvPr id="54" name="Chart 5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4"/>
        </a:graphicData>
      </a:graphic>
    </graphicFrame>
    <clientData fLocksWithSheet="0"/>
  </oneCellAnchor>
  <oneCellAnchor>
    <from>
      <col>3</col>
      <colOff>419100</colOff>
      <row>1157</row>
      <rowOff>85725</rowOff>
    </from>
    <ext cx="7791450" cy="4543425"/>
    <graphicFrame>
      <nvGraphicFramePr>
        <cNvPr id="55" name="Chart 5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5"/>
        </a:graphicData>
      </a:graphic>
    </graphicFrame>
    <clientData fLocksWithSheet="0"/>
  </oneCellAnchor>
  <oneCellAnchor>
    <from>
      <col>0</col>
      <colOff>0</colOff>
      <row>1212</row>
      <rowOff>57150</rowOff>
    </from>
    <ext cx="7791450" cy="4543425"/>
    <graphicFrame>
      <nvGraphicFramePr>
        <cNvPr id="56" name="Chart 5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6"/>
        </a:graphicData>
      </a:graphic>
    </graphicFrame>
    <clientData fLocksWithSheet="0"/>
  </oneCellAnchor>
  <oneCellAnchor>
    <from>
      <col>7</col>
      <colOff>857250</colOff>
      <row>1212</row>
      <rowOff>57150</rowOff>
    </from>
    <ext cx="7791450" cy="4543425"/>
    <graphicFrame>
      <nvGraphicFramePr>
        <cNvPr id="57" name="Chart 5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7"/>
        </a:graphicData>
      </a:graphic>
    </graphicFrame>
    <clientData fLocksWithSheet="0"/>
  </oneCellAnchor>
  <oneCellAnchor>
    <from>
      <col>0</col>
      <colOff>0</colOff>
      <row>1235</row>
      <rowOff>0</rowOff>
    </from>
    <ext cx="7791450" cy="4543425"/>
    <graphicFrame>
      <nvGraphicFramePr>
        <cNvPr id="58" name="Chart 5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8"/>
        </a:graphicData>
      </a:graphic>
    </graphicFrame>
    <clientData fLocksWithSheet="0"/>
  </oneCellAnchor>
  <oneCellAnchor>
    <from>
      <col>7</col>
      <colOff>857250</colOff>
      <row>1235</row>
      <rowOff>0</rowOff>
    </from>
    <ext cx="7791450" cy="4543425"/>
    <graphicFrame>
      <nvGraphicFramePr>
        <cNvPr id="59" name="Chart 5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9"/>
        </a:graphicData>
      </a:graphic>
    </graphicFrame>
    <clientData fLocksWithSheet="0"/>
  </oneCellAnchor>
  <oneCellAnchor>
    <from>
      <col>7</col>
      <colOff>838200</colOff>
      <row>1257</row>
      <rowOff>142875</rowOff>
    </from>
    <ext cx="7791450" cy="4543425"/>
    <graphicFrame>
      <nvGraphicFramePr>
        <cNvPr id="60" name="Chart 6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0"/>
        </a:graphicData>
      </a:graphic>
    </graphicFrame>
    <clientData fLocksWithSheet="0"/>
  </oneCellAnchor>
  <oneCellAnchor>
    <from>
      <col>0</col>
      <colOff>0</colOff>
      <row>1257</row>
      <rowOff>142875</rowOff>
    </from>
    <ext cx="7791450" cy="4543425"/>
    <graphicFrame>
      <nvGraphicFramePr>
        <cNvPr id="61" name="Chart 6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1"/>
        </a:graphicData>
      </a:graphic>
    </graphicFrame>
    <clientData fLocksWithSheet="0"/>
  </oneCellAnchor>
  <oneCellAnchor>
    <from>
      <col>4</col>
      <colOff>771525</colOff>
      <row>1280</row>
      <rowOff>85725</rowOff>
    </from>
    <ext cx="7791450" cy="4543425"/>
    <graphicFrame>
      <nvGraphicFramePr>
        <cNvPr id="62" name="Chart 6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2"/>
        </a:graphicData>
      </a:graphic>
    </graphicFrame>
    <clientData fLocksWithSheet="0"/>
  </oneCellAnchor>
  <oneCellAnchor>
    <from>
      <col>0</col>
      <colOff>0</colOff>
      <row>1325</row>
      <rowOff>57150</rowOff>
    </from>
    <ext cx="7791450" cy="4543425"/>
    <graphicFrame>
      <nvGraphicFramePr>
        <cNvPr id="63" name="Chart 6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3"/>
        </a:graphicData>
      </a:graphic>
    </graphicFrame>
    <clientData fLocksWithSheet="0"/>
  </oneCellAnchor>
  <oneCellAnchor>
    <from>
      <col>7</col>
      <colOff>857250</colOff>
      <row>1325</row>
      <rowOff>66675</rowOff>
    </from>
    <ext cx="7791450" cy="4543425"/>
    <graphicFrame>
      <nvGraphicFramePr>
        <cNvPr id="64" name="Chart 6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4"/>
        </a:graphicData>
      </a:graphic>
    </graphicFrame>
    <clientData fLocksWithSheet="0"/>
  </oneCellAnchor>
  <oneCellAnchor>
    <from>
      <col>0</col>
      <colOff>0</colOff>
      <row>1348</row>
      <rowOff>9525</rowOff>
    </from>
    <ext cx="7791450" cy="4543425"/>
    <graphicFrame>
      <nvGraphicFramePr>
        <cNvPr id="65" name="Chart 6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5"/>
        </a:graphicData>
      </a:graphic>
    </graphicFrame>
    <clientData fLocksWithSheet="0"/>
  </oneCellAnchor>
  <oneCellAnchor>
    <from>
      <col>7</col>
      <colOff>857250</colOff>
      <row>1348</row>
      <rowOff>9525</rowOff>
    </from>
    <ext cx="7791450" cy="4543425"/>
    <graphicFrame>
      <nvGraphicFramePr>
        <cNvPr id="66" name="Chart 6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6"/>
        </a:graphicData>
      </a:graphic>
    </graphicFrame>
    <clientData fLocksWithSheet="0"/>
  </oneCellAnchor>
  <oneCellAnchor>
    <from>
      <col>7</col>
      <colOff>857250</colOff>
      <row>1370</row>
      <rowOff>152400</rowOff>
    </from>
    <ext cx="7791450" cy="4543425"/>
    <graphicFrame>
      <nvGraphicFramePr>
        <cNvPr id="67" name="Chart 6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7"/>
        </a:graphicData>
      </a:graphic>
    </graphicFrame>
    <clientData fLocksWithSheet="0"/>
  </oneCellAnchor>
  <oneCellAnchor>
    <from>
      <col>0</col>
      <colOff>0</colOff>
      <row>1370</row>
      <rowOff>152400</rowOff>
    </from>
    <ext cx="7791450" cy="4543425"/>
    <graphicFrame>
      <nvGraphicFramePr>
        <cNvPr id="68" name="Chart 6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8"/>
        </a:graphicData>
      </a:graphic>
    </graphicFrame>
    <clientData fLocksWithSheet="0"/>
  </oneCellAnchor>
  <oneCellAnchor>
    <from>
      <col>0</col>
      <colOff>0</colOff>
      <row>1393</row>
      <rowOff>95250</rowOff>
    </from>
    <ext cx="7791450" cy="4543425"/>
    <graphicFrame>
      <nvGraphicFramePr>
        <cNvPr id="69" name="Chart 6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9"/>
        </a:graphicData>
      </a:graphic>
    </graphicFrame>
    <clientData fLocksWithSheet="0"/>
  </oneCellAnchor>
  <oneCellAnchor>
    <from>
      <col>0</col>
      <colOff>0</colOff>
      <row>1416</row>
      <rowOff>38100</rowOff>
    </from>
    <ext cx="7791450" cy="4543425"/>
    <graphicFrame>
      <nvGraphicFramePr>
        <cNvPr id="70" name="Chart 7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0"/>
        </a:graphicData>
      </a:graphic>
    </graphicFrame>
    <clientData fLocksWithSheet="0"/>
  </oneCellAnchor>
  <oneCellAnchor>
    <from>
      <col>0</col>
      <colOff>0</colOff>
      <row>1463</row>
      <rowOff>57150</rowOff>
    </from>
    <ext cx="7791450" cy="4543425"/>
    <graphicFrame>
      <nvGraphicFramePr>
        <cNvPr id="71" name="Chart 7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1"/>
        </a:graphicData>
      </a:graphic>
    </graphicFrame>
    <clientData fLocksWithSheet="0"/>
  </oneCellAnchor>
  <oneCellAnchor>
    <from>
      <col>7</col>
      <colOff>857250</colOff>
      <row>1463</row>
      <rowOff>57150</rowOff>
    </from>
    <ext cx="7791450" cy="4543425"/>
    <graphicFrame>
      <nvGraphicFramePr>
        <cNvPr id="72" name="Chart 7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2"/>
        </a:graphicData>
      </a:graphic>
    </graphicFrame>
    <clientData fLocksWithSheet="0"/>
  </oneCellAnchor>
  <oneCellAnchor>
    <from>
      <col>0</col>
      <colOff>0</colOff>
      <row>1486</row>
      <rowOff>0</rowOff>
    </from>
    <ext cx="7791450" cy="4543425"/>
    <graphicFrame>
      <nvGraphicFramePr>
        <cNvPr id="73" name="Chart 7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3"/>
        </a:graphicData>
      </a:graphic>
    </graphicFrame>
    <clientData fLocksWithSheet="0"/>
  </oneCellAnchor>
  <oneCellAnchor>
    <from>
      <col>7</col>
      <colOff>838200</colOff>
      <row>1486</row>
      <rowOff>0</rowOff>
    </from>
    <ext cx="7791450" cy="4543425"/>
    <graphicFrame>
      <nvGraphicFramePr>
        <cNvPr id="74" name="Chart 7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4"/>
        </a:graphicData>
      </a:graphic>
    </graphicFrame>
    <clientData fLocksWithSheet="0"/>
  </oneCellAnchor>
  <oneCellAnchor>
    <from>
      <col>7</col>
      <colOff>847725</colOff>
      <row>1508</row>
      <rowOff>142875</rowOff>
    </from>
    <ext cx="7791450" cy="4543425"/>
    <graphicFrame>
      <nvGraphicFramePr>
        <cNvPr id="75" name="Chart 7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5"/>
        </a:graphicData>
      </a:graphic>
    </graphicFrame>
    <clientData fLocksWithSheet="0"/>
  </oneCellAnchor>
  <oneCellAnchor>
    <from>
      <col>0</col>
      <colOff>0</colOff>
      <row>1508</row>
      <rowOff>142875</rowOff>
    </from>
    <ext cx="7791450" cy="4543425"/>
    <graphicFrame>
      <nvGraphicFramePr>
        <cNvPr id="76" name="Chart 7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6"/>
        </a:graphicData>
      </a:graphic>
    </graphicFrame>
    <clientData fLocksWithSheet="0"/>
  </oneCellAnchor>
  <oneCellAnchor>
    <from>
      <col>3</col>
      <colOff>819150</colOff>
      <row>1531</row>
      <rowOff>85725</rowOff>
    </from>
    <ext cx="7791450" cy="4543425"/>
    <graphicFrame>
      <nvGraphicFramePr>
        <cNvPr id="77" name="Chart 7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7"/>
        </a:graphicData>
      </a:graphic>
    </graphicFrame>
    <clientData fLocksWithSheet="0"/>
  </oneCellAnchor>
  <oneCellAnchor>
    <from>
      <col>0</col>
      <colOff>0</colOff>
      <row>1572</row>
      <rowOff>57150</rowOff>
    </from>
    <ext cx="7791450" cy="4543425"/>
    <graphicFrame>
      <nvGraphicFramePr>
        <cNvPr id="78" name="Chart 7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8"/>
        </a:graphicData>
      </a:graphic>
    </graphicFrame>
    <clientData fLocksWithSheet="0"/>
  </oneCellAnchor>
  <oneCellAnchor>
    <from>
      <col>7</col>
      <colOff>857250</colOff>
      <row>1572</row>
      <rowOff>57150</rowOff>
    </from>
    <ext cx="7791450" cy="4543425"/>
    <graphicFrame>
      <nvGraphicFramePr>
        <cNvPr id="79" name="Chart 7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9"/>
        </a:graphicData>
      </a:graphic>
    </graphicFrame>
    <clientData fLocksWithSheet="0"/>
  </oneCellAnchor>
  <oneCellAnchor>
    <from>
      <col>0</col>
      <colOff>0</colOff>
      <row>1595</row>
      <rowOff>0</rowOff>
    </from>
    <ext cx="7791450" cy="4543425"/>
    <graphicFrame>
      <nvGraphicFramePr>
        <cNvPr id="80" name="Chart 8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0"/>
        </a:graphicData>
      </a:graphic>
    </graphicFrame>
    <clientData fLocksWithSheet="0"/>
  </oneCellAnchor>
  <oneCellAnchor>
    <from>
      <col>7</col>
      <colOff>857250</colOff>
      <row>1595</row>
      <rowOff>0</rowOff>
    </from>
    <ext cx="7791450" cy="4543425"/>
    <graphicFrame>
      <nvGraphicFramePr>
        <cNvPr id="81" name="Chart 8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1"/>
        </a:graphicData>
      </a:graphic>
    </graphicFrame>
    <clientData fLocksWithSheet="0"/>
  </oneCellAnchor>
  <oneCellAnchor>
    <from>
      <col>0</col>
      <colOff>0</colOff>
      <row>1640</row>
      <rowOff>57150</rowOff>
    </from>
    <ext cx="7791450" cy="4543425"/>
    <graphicFrame>
      <nvGraphicFramePr>
        <cNvPr id="82" name="Chart 8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2"/>
        </a:graphicData>
      </a:graphic>
    </graphicFrame>
    <clientData fLocksWithSheet="0"/>
  </oneCellAnchor>
  <oneCellAnchor>
    <from>
      <col>7</col>
      <colOff>847725</colOff>
      <row>1640</row>
      <rowOff>57150</rowOff>
    </from>
    <ext cx="7791450" cy="4543425"/>
    <graphicFrame>
      <nvGraphicFramePr>
        <cNvPr id="83" name="Chart 8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3"/>
        </a:graphicData>
      </a:graphic>
    </graphicFrame>
    <clientData fLocksWithSheet="0"/>
  </oneCellAnchor>
  <oneCellAnchor>
    <from>
      <col>0</col>
      <colOff>0</colOff>
      <row>1663</row>
      <rowOff>0</rowOff>
    </from>
    <ext cx="7791450" cy="4543425"/>
    <graphicFrame>
      <nvGraphicFramePr>
        <cNvPr id="84" name="Chart 8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4"/>
        </a:graphicData>
      </a:graphic>
    </graphicFrame>
    <clientData fLocksWithSheet="0"/>
  </oneCellAnchor>
  <oneCellAnchor>
    <from>
      <col>7</col>
      <colOff>838200</colOff>
      <row>1663</row>
      <rowOff>0</rowOff>
    </from>
    <ext cx="7791450" cy="4543425"/>
    <graphicFrame>
      <nvGraphicFramePr>
        <cNvPr id="85" name="Chart 8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5"/>
        </a:graphicData>
      </a:graphic>
    </graphicFrame>
    <clientData fLocksWithSheet="0"/>
  </oneCellAnchor>
  <oneCellAnchor>
    <from>
      <col>7</col>
      <colOff>838200</colOff>
      <row>1685</row>
      <rowOff>142875</rowOff>
    </from>
    <ext cx="7791450" cy="4543425"/>
    <graphicFrame>
      <nvGraphicFramePr>
        <cNvPr id="86" name="Chart 8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6"/>
        </a:graphicData>
      </a:graphic>
    </graphicFrame>
    <clientData fLocksWithSheet="0"/>
  </oneCellAnchor>
  <oneCellAnchor>
    <from>
      <col>0</col>
      <colOff>0</colOff>
      <row>1708</row>
      <rowOff>85725</rowOff>
    </from>
    <ext cx="7791450" cy="4543425"/>
    <graphicFrame>
      <nvGraphicFramePr>
        <cNvPr id="87" name="Chart 8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7"/>
        </a:graphicData>
      </a:graphic>
    </graphicFrame>
    <clientData fLocksWithSheet="0"/>
  </oneCellAnchor>
  <oneCellAnchor>
    <from>
      <col>7</col>
      <colOff>838200</colOff>
      <row>1708</row>
      <rowOff>85725</rowOff>
    </from>
    <ext cx="7791450" cy="4543425"/>
    <graphicFrame>
      <nvGraphicFramePr>
        <cNvPr id="88" name="Chart 8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8"/>
        </a:graphicData>
      </a:graphic>
    </graphicFrame>
    <clientData fLocksWithSheet="0"/>
  </oneCellAnchor>
  <oneCellAnchor>
    <from>
      <col>0</col>
      <colOff>0</colOff>
      <row>1685</row>
      <rowOff>142875</rowOff>
    </from>
    <ext cx="7791450" cy="4543425"/>
    <graphicFrame>
      <nvGraphicFramePr>
        <cNvPr id="89" name="Chart 8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9"/>
        </a:graphicData>
      </a:graphic>
    </graphicFrame>
    <clientData fLocksWithSheet="0"/>
  </oneCellAnchor>
  <oneCellAnchor>
    <from>
      <col>0</col>
      <colOff>0</colOff>
      <row>631</row>
      <rowOff>0</rowOff>
    </from>
    <ext cx="7791450" cy="4543425"/>
    <graphicFrame>
      <nvGraphicFramePr>
        <cNvPr id="90" name="Chart 9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0"/>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000000"/>
      </a:lt1>
      <a:dk2>
        <a:srgbClr val="000000"/>
      </a:dk2>
      <a:lt2>
        <a:srgbClr val="000000"/>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Z997"/>
  <sheetViews>
    <sheetView showGridLines="0" workbookViewId="0">
      <selection activeCell="A1" sqref="A1"/>
    </sheetView>
  </sheetViews>
  <sheetFormatPr baseColWidth="8" defaultColWidth="14.43" defaultRowHeight="15" customHeight="1"/>
  <cols>
    <col width="40" customWidth="1" style="79" min="1" max="1"/>
    <col width="24" customWidth="1" style="79" min="2" max="2"/>
    <col width="100" customWidth="1" style="79" min="3" max="3"/>
    <col width="14" customWidth="1" style="79" min="4" max="12"/>
  </cols>
  <sheetData>
    <row r="1" ht="24" customHeight="1" s="79">
      <c r="A1" s="1" t="inlineStr">
        <is>
          <t>HOUSE BOOK</t>
        </is>
      </c>
      <c r="B1" s="5" t="n"/>
      <c r="C1" s="5" t="n"/>
      <c r="D1" s="5" t="n"/>
      <c r="E1" s="5" t="n"/>
      <c r="F1" s="5" t="n"/>
      <c r="G1" s="5" t="n"/>
      <c r="H1" s="5" t="n"/>
      <c r="I1" s="5" t="n"/>
      <c r="J1" s="5" t="n"/>
      <c r="K1" s="5" t="n"/>
      <c r="L1" s="5" t="n"/>
      <c r="M1" s="5" t="n"/>
      <c r="N1" s="5" t="n"/>
      <c r="O1" s="5" t="n"/>
      <c r="P1" s="5" t="inlineStr">
        <is>
          <t>Slide</t>
        </is>
      </c>
      <c r="Q1" s="5" t="n"/>
      <c r="R1" s="5" t="n"/>
      <c r="S1" s="5" t="n"/>
      <c r="T1" s="5" t="n"/>
      <c r="U1" s="5" t="n"/>
      <c r="V1" s="5" t="n"/>
      <c r="W1" s="5" t="n"/>
      <c r="X1" s="5" t="n"/>
      <c r="Y1" s="5" t="n"/>
      <c r="Z1" s="5" t="n"/>
    </row>
    <row r="2" ht="15" customHeight="1" s="79">
      <c r="A2" s="12">
        <f>"Deals funded "&amp;TEXT(Controls!$B$5,"mm/dd/yy")&amp;" to "&amp;TEXT(Controls!$B$6,"mm/dd/yy")&amp;"   |   "&amp;TEXT(COUNTIFS(Data!$AK$2:$AK$1105,1),"#,##0")&amp;" deals in scope"</f>
        <v/>
      </c>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c r="A3" s="5" t="n"/>
      <c r="B3" s="5" t="n"/>
      <c r="C3" s="5" t="n"/>
      <c r="D3" s="5" t="n"/>
      <c r="E3" s="5" t="n"/>
      <c r="F3" s="5" t="n"/>
      <c r="G3" s="5" t="n"/>
      <c r="H3" s="5" t="n"/>
      <c r="I3" s="5" t="n"/>
      <c r="J3" s="5" t="n"/>
      <c r="K3" s="5" t="n"/>
      <c r="L3" s="5" t="n"/>
      <c r="M3" s="5" t="n"/>
      <c r="N3" s="5" t="n"/>
      <c r="O3" s="5" t="n"/>
      <c r="P3" s="5" t="inlineStr">
        <is>
          <t>Total funded</t>
        </is>
      </c>
      <c r="Q3" s="5" t="n"/>
      <c r="R3" s="5" t="n"/>
      <c r="S3" s="5" t="n"/>
      <c r="T3" s="5" t="n"/>
      <c r="U3" s="5" t="n"/>
      <c r="V3" s="5" t="n"/>
      <c r="W3" s="5" t="n"/>
      <c r="X3" s="5" t="n"/>
      <c r="Y3" s="5" t="n"/>
      <c r="Z3" s="5" t="n"/>
    </row>
    <row r="4" ht="19.5" customHeight="1" s="79">
      <c r="A4" s="35" t="inlineStr">
        <is>
          <t>Total funded</t>
        </is>
      </c>
      <c r="B4" s="80" t="n"/>
      <c r="C4" s="81" t="n"/>
      <c r="D4" s="35" t="inlineStr">
        <is>
          <t>Deals</t>
        </is>
      </c>
      <c r="E4" s="80" t="n"/>
      <c r="F4" s="81" t="n"/>
      <c r="G4" s="35" t="inlineStr">
        <is>
          <t>Collected to date</t>
        </is>
      </c>
      <c r="H4" s="80" t="n"/>
      <c r="I4" s="81" t="n"/>
      <c r="J4" s="35" t="inlineStr">
        <is>
          <t>Net cash to date</t>
        </is>
      </c>
      <c r="K4" s="80" t="n"/>
      <c r="L4" s="81" t="n"/>
      <c r="M4" s="5" t="n"/>
      <c r="N4" s="5" t="n"/>
      <c r="O4" s="5" t="n"/>
      <c r="P4" s="5" t="inlineStr">
        <is>
          <t>princiapl lost rate</t>
        </is>
      </c>
      <c r="Q4" s="5" t="n"/>
      <c r="R4" s="5" t="n"/>
      <c r="S4" s="5" t="n"/>
      <c r="T4" s="5" t="n"/>
      <c r="U4" s="5" t="n"/>
      <c r="V4" s="5" t="n"/>
      <c r="W4" s="5" t="n"/>
      <c r="X4" s="5" t="n"/>
      <c r="Y4" s="5" t="n"/>
      <c r="Z4" s="5" t="n"/>
    </row>
    <row r="5" ht="24" customHeight="1" s="79">
      <c r="A5" s="82">
        <f>SUMIFS(Data!$P$2:$P$1105,Data!$AK$2:$AK$1105,1)</f>
        <v/>
      </c>
      <c r="B5" s="83" t="n"/>
      <c r="C5" s="84" t="n"/>
      <c r="D5" s="85">
        <f>COUNTIFS(Data!$AK$2:$AK$1105,1)</f>
        <v/>
      </c>
      <c r="E5" s="83" t="n"/>
      <c r="F5" s="84" t="n"/>
      <c r="G5" s="82">
        <f>SUMIFS(Data!$S$2:$S$1105,Data!$AK$2:$AK$1105,1)</f>
        <v/>
      </c>
      <c r="H5" s="83" t="n"/>
      <c r="I5" s="84" t="n"/>
      <c r="J5" s="82">
        <f>SUMIFS(Data!$AM$2:$AM$1105,Data!$AK$2:$AK$1105,1)</f>
        <v/>
      </c>
      <c r="K5" s="83" t="n"/>
      <c r="L5" s="84" t="n"/>
      <c r="M5" s="5" t="n"/>
      <c r="N5" s="5" t="n"/>
      <c r="O5" s="5" t="n"/>
      <c r="P5" s="5" t="inlineStr">
        <is>
          <t>dollar and count</t>
        </is>
      </c>
      <c r="Q5" s="5" t="n"/>
      <c r="R5" s="5" t="n"/>
      <c r="S5" s="5" t="n"/>
      <c r="T5" s="5" t="n"/>
      <c r="U5" s="5" t="n"/>
      <c r="V5" s="5" t="n"/>
      <c r="W5" s="5" t="n"/>
      <c r="X5" s="5" t="n"/>
      <c r="Y5" s="5" t="n"/>
      <c r="Z5" s="5" t="n"/>
    </row>
    <row r="6" ht="19.5" customHeight="1" s="79">
      <c r="A6" s="86" t="n"/>
      <c r="B6" s="87" t="n"/>
      <c r="C6" s="88" t="n"/>
      <c r="D6" s="86" t="n"/>
      <c r="E6" s="87" t="n"/>
      <c r="F6" s="88" t="n"/>
      <c r="G6" s="86" t="n"/>
      <c r="H6" s="87" t="n"/>
      <c r="I6" s="88" t="n"/>
      <c r="J6" s="86" t="n"/>
      <c r="K6" s="87" t="n"/>
      <c r="L6" s="88" t="n"/>
      <c r="M6" s="5" t="n"/>
      <c r="N6" s="5" t="n"/>
      <c r="O6" s="5" t="n"/>
      <c r="P6" s="5" t="n"/>
      <c r="Q6" s="5" t="n"/>
      <c r="R6" s="5" t="n"/>
      <c r="S6" s="5" t="n"/>
      <c r="T6" s="5" t="n"/>
      <c r="U6" s="5" t="n"/>
      <c r="V6" s="5" t="n"/>
      <c r="W6" s="5" t="n"/>
      <c r="X6" s="5" t="n"/>
      <c r="Y6" s="5" t="n"/>
      <c r="Z6" s="5" t="n"/>
    </row>
    <row r="7">
      <c r="A7" s="5" t="n"/>
      <c r="B7" s="5" t="n"/>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27" customHeight="1" s="79">
      <c r="A8" s="35" t="inlineStr">
        <is>
          <t>Principal lost rate</t>
        </is>
      </c>
      <c r="B8" s="80" t="n"/>
      <c r="C8" s="81" t="n"/>
      <c r="D8" s="35" t="inlineStr">
        <is>
          <t>Collected on defaults</t>
        </is>
      </c>
      <c r="E8" s="80" t="n"/>
      <c r="F8" s="81" t="n"/>
      <c r="G8" s="35" t="inlineStr">
        <is>
          <t>Total $ lost to defaults</t>
        </is>
      </c>
      <c r="H8" s="80" t="n"/>
      <c r="I8" s="81" t="n"/>
      <c r="J8" s="35" t="inlineStr">
        <is>
          <t>Return on resolved capital</t>
        </is>
      </c>
      <c r="K8" s="35" t="inlineStr">
        <is>
          <t>Return on funded capital</t>
        </is>
      </c>
      <c r="L8" s="5" t="n"/>
      <c r="M8" s="5" t="n"/>
      <c r="N8" s="5" t="n"/>
      <c r="O8" s="5" t="n"/>
      <c r="P8" s="5" t="n"/>
      <c r="Q8" s="5" t="n"/>
      <c r="R8" s="5" t="n"/>
      <c r="S8" s="5" t="n"/>
      <c r="T8" s="5" t="n"/>
      <c r="U8" s="5" t="n"/>
      <c r="V8" s="5" t="n"/>
      <c r="W8" s="5" t="n"/>
      <c r="X8" s="5" t="n"/>
      <c r="Y8" s="5" t="n"/>
      <c r="Z8" s="5" t="n"/>
    </row>
    <row r="9" ht="24" customHeight="1" s="79">
      <c r="A9" s="89">
        <f>Calc!$BT$2</f>
        <v/>
      </c>
      <c r="B9" s="83" t="n"/>
      <c r="C9" s="84" t="n"/>
      <c r="D9" s="89">
        <f>Calc!$BT$3</f>
        <v/>
      </c>
      <c r="E9" s="83" t="n"/>
      <c r="F9" s="84" t="n"/>
      <c r="G9" s="82">
        <f>SUMIFS(Data!$AN$2:$AN$1105,Data!$AK$2:$AK$1105,1)</f>
        <v/>
      </c>
      <c r="H9" s="83" t="n"/>
      <c r="I9" s="84" t="n"/>
      <c r="J9" s="89">
        <f>Calc!$BT$5</f>
        <v/>
      </c>
      <c r="K9" s="89">
        <f>Calc!$BT$4</f>
        <v/>
      </c>
      <c r="L9" s="5" t="n"/>
      <c r="M9" s="5" t="n"/>
      <c r="N9" s="5" t="n"/>
      <c r="O9" s="5" t="n"/>
      <c r="P9" s="5" t="n"/>
      <c r="Q9" s="5" t="n"/>
      <c r="R9" s="5" t="n"/>
      <c r="S9" s="5" t="n"/>
      <c r="T9" s="5" t="n"/>
      <c r="U9" s="5" t="n"/>
      <c r="V9" s="5" t="n"/>
      <c r="W9" s="5" t="n"/>
      <c r="X9" s="5" t="n"/>
      <c r="Y9" s="5" t="n"/>
      <c r="Z9" s="5" t="n"/>
    </row>
    <row r="10" ht="19.5" customHeight="1" s="79">
      <c r="A10" s="86" t="n"/>
      <c r="B10" s="87" t="n"/>
      <c r="C10" s="88" t="n"/>
      <c r="D10" s="86" t="n"/>
      <c r="E10" s="87" t="n"/>
      <c r="F10" s="88" t="n"/>
      <c r="G10" s="86" t="n"/>
      <c r="H10" s="87" t="n"/>
      <c r="I10" s="88" t="n"/>
      <c r="J10" s="90" t="n"/>
      <c r="K10" s="90" t="n"/>
      <c r="L10" s="5" t="n"/>
      <c r="M10" s="5" t="n"/>
      <c r="N10" s="5" t="n"/>
      <c r="O10" s="5" t="n"/>
      <c r="P10" s="5" t="n"/>
      <c r="Q10" s="5" t="n"/>
      <c r="R10" s="5" t="n"/>
      <c r="S10" s="5" t="n"/>
      <c r="T10" s="5" t="n"/>
      <c r="U10" s="5" t="n"/>
      <c r="V10" s="5" t="n"/>
      <c r="W10" s="5" t="n"/>
      <c r="X10" s="5" t="n"/>
      <c r="Y10" s="5" t="n"/>
      <c r="Z10" s="5" t="n"/>
    </row>
    <row r="11" ht="23.25" customHeight="1" s="79">
      <c r="B11" s="5" t="n"/>
      <c r="C11" s="5" t="n"/>
      <c r="E11" s="5" t="n"/>
      <c r="F11" s="5" t="n"/>
      <c r="G11" s="5" t="n"/>
      <c r="H11" s="5" t="n"/>
      <c r="I11" s="5" t="n"/>
      <c r="J11" s="5" t="n"/>
      <c r="K11" s="5" t="n"/>
      <c r="L11" s="5" t="n"/>
      <c r="M11" s="5" t="n"/>
      <c r="N11" s="5" t="n"/>
      <c r="O11" s="5" t="n"/>
      <c r="P11" s="5" t="n"/>
      <c r="Q11" s="5" t="n"/>
      <c r="R11" s="5" t="n"/>
      <c r="S11" s="5" t="n"/>
      <c r="T11" s="5" t="n"/>
    </row>
    <row r="12" ht="60" customHeight="1" s="79">
      <c r="B12" s="5" t="n"/>
      <c r="C12" s="5" t="n"/>
      <c r="E12" s="5" t="n"/>
      <c r="F12" s="5" t="n"/>
      <c r="G12" s="5" t="n"/>
      <c r="H12" s="5" t="n"/>
      <c r="I12" s="5" t="n"/>
      <c r="J12" s="5" t="n"/>
      <c r="K12" s="5" t="n"/>
      <c r="L12" s="5" t="n"/>
      <c r="M12" s="5" t="n"/>
      <c r="N12" s="5" t="n"/>
      <c r="O12" s="5" t="n"/>
      <c r="P12" s="5" t="n"/>
      <c r="Q12" s="5" t="n"/>
      <c r="R12" s="5" t="n"/>
      <c r="S12" s="5" t="n"/>
      <c r="T12" s="5" t="n"/>
    </row>
    <row r="13" ht="15" customHeight="1" s="79">
      <c r="A13" s="43" t="inlineStr">
        <is>
          <t xml:space="preserve">OTHER PORTFOLIO METRICS  </t>
        </is>
      </c>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21.75" customHeight="1" s="79">
      <c r="A14" s="34" t="inlineStr">
        <is>
          <t>Metric</t>
        </is>
      </c>
      <c r="B14" s="34" t="inlineStr">
        <is>
          <t>Value</t>
        </is>
      </c>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25.5" customHeight="1" s="79">
      <c r="A15" s="5" t="inlineStr">
        <is>
          <t>Average deal size</t>
        </is>
      </c>
      <c r="B15" s="44">
        <f>IFERROR(SUMIFS(Data!$P$2:$P$1105,Data!$AK$2:$AK$1105,1)/COUNTIFS(Data!$AK$2:$AK$1105,1),"")</f>
        <v/>
      </c>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25.5" customHeight="1" s="79">
      <c r="A16" s="5" t="inlineStr">
        <is>
          <t>Open / closed / defaults</t>
        </is>
      </c>
      <c r="B16" s="45">
        <f>COUNTIFS(Data!$AK$2:$AK$1105,1,Data!$D$2:$D$1105,"Open")&amp;" / "&amp;COUNTIFS(Data!$AK$2:$AK$1105,1,Data!$AJ$2:$AJ$1105,1)&amp;" / "&amp;COUNTIFS(Data!$AK$2:$AK$1105,1,Data!$AH$2:$AH$1105,1)</f>
        <v/>
      </c>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25.5" customHeight="1" s="79">
      <c r="A17" s="5" t="inlineStr">
        <is>
          <t>Number of deals that default %</t>
        </is>
      </c>
      <c r="B17" s="46">
        <f>IFERROR(COUNTIFS(Data!$AK$2:$AK$1105,1,Data!$AH$2:$AH$1105,1)/COUNTIFS(Data!$AK$2:$AK$1105,1),"")</f>
        <v/>
      </c>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25.5" customHeight="1" s="79">
      <c r="A18" s="5" t="inlineStr">
        <is>
          <t>Deals that never made a payment</t>
        </is>
      </c>
      <c r="B18" s="45">
        <f>COUNTIFS(Data!$AK$2:$AK$1105,1,Data!$AR$2:$AR$1105,1)&amp;" deals / "&amp;TEXT(SUMIFS(Data!$P$2:$P$1105,Data!$AK$2:$AK$1105,1,Data!$AR$2:$AR$1105,1),"$#,##0")</f>
        <v/>
      </c>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25.5" customHeight="1" s="79">
      <c r="A19" s="5" t="inlineStr">
        <is>
          <t>Days on book, defaulted deals</t>
        </is>
      </c>
      <c r="B19" s="47">
        <f>IFERROR(AVERAGEIFS(Data!$AS$2:$AS$1105,Data!$AK$2:$AK$1105,1),"")</f>
        <v/>
      </c>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25.5" customHeight="1" s="79">
      <c r="A20" s="5" t="inlineStr">
        <is>
          <t>Avg days from funded to closed</t>
        </is>
      </c>
      <c r="B20" s="47">
        <f>IFERROR(AVERAGEIFS(Data!$AT$2:$AT$1105,Data!$AK$2:$AK$1105,1),"")</f>
        <v/>
      </c>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25.5" customHeight="1" s="79">
      <c r="A21" s="5" t="inlineStr">
        <is>
          <t>Average deal duration (days on book)</t>
        </is>
      </c>
      <c r="B21" s="47">
        <f>IFERROR(AVERAGEIFS(Data!$AG$2:$AG$1105,Data!$AK$2:$AK$1105,1),"")</f>
        <v/>
      </c>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25.5" customHeight="1" s="79">
      <c r="A22" s="5" t="inlineStr">
        <is>
          <t>Total profit on closed deals</t>
        </is>
      </c>
      <c r="B22" s="44">
        <f>SUMIFS(Data!$AM$2:$AM$1105,Data!$AK$2:$AK$1105,1,Data!$AJ$2:$AJ$1105,1)</f>
        <v/>
      </c>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25.5" customHeight="1" s="79">
      <c r="A23" s="5" t="inlineStr">
        <is>
          <t xml:space="preserve">Return on closed deals % </t>
        </is>
      </c>
      <c r="B23" s="46">
        <f>IFERROR(SUMIFS(Data!$AM$2:$AM$1105,Data!$AK$2:$AK$1105,1,Data!$AJ$2:$AJ$1105,1)/SUMIFS(Data!$P$2:$P$1105,Data!$AK$2:$AK$1105,1,Data!$AJ$2:$AJ$1105,1),"")</f>
        <v/>
      </c>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25.5" customHeight="1" s="79">
      <c r="A24" s="5" t="inlineStr">
        <is>
          <t>Total commission paid</t>
        </is>
      </c>
      <c r="B24" s="44">
        <f>SUMIFS(Data!$Q$2:$Q$1105,Data!$AK$2:$AK$1105,1)</f>
        <v/>
      </c>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25.5" customHeight="1" s="79">
      <c r="A25" s="5" t="inlineStr">
        <is>
          <t>Expected payback amount</t>
        </is>
      </c>
      <c r="B25" s="44">
        <f>SUMIFS(Data!$R$2:$R$1105,Data!$AK$2:$AK$1105,1)</f>
        <v/>
      </c>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25.5" customHeight="1" s="79">
      <c r="A26" s="5" t="inlineStr">
        <is>
          <t>Outstanding balance</t>
        </is>
      </c>
      <c r="B26" s="44">
        <f>SUMIFS(Data!$R$2:$R$1105,Data!$AK$2:$AK$1105,1)-SUMIFS(Data!$S$2:$S$1105,Data!$AK$2:$AK$1105,1)</f>
        <v/>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25.5" customHeight="1" s="79">
      <c r="A27" s="5" t="n"/>
      <c r="B27" s="44"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79">
      <c r="A28" s="43" t="inlineStr">
        <is>
          <t xml:space="preserve">WHAT THE BOOK SAYS  </t>
        </is>
      </c>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79">
      <c r="A29" s="48">
        <f>"No category with less than "&amp;Controls!$B$22&amp;" deals is named below."</f>
        <v/>
      </c>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30" customHeight="1" s="79">
      <c r="A30" s="49">
        <f t="array" ref="A30">IF(COUNT(Calc!$BL$4:$BL$68)=0,"",IF(COUNT(Calc!$BL$4:$BL$68)=1,"Industry: only one category qualifies - "&amp;INDEX(Calc!$BB$4:$BB$68,MATCH(MAX(Calc!$BK$4:$BK$68),Calc!$BK$4:$BK$68,0))&amp;" at "&amp;TEXT(MAX(Calc!$BK$4:$BK$68),"0.0%")&amp;" principal default exposure across "&amp;TEXT(INDEX(Calc!$BC$4:$BC$68,MATCH(MAX(Calc!$BK$4:$BK$68),Calc!$BK$4:$BK$68,0)),"0")&amp;" deals.","Industry: "&amp;INDEX(Calc!$BB$4:$BB$68,MATCH(MIN(Calc!$BK$4:$BK$68),Calc!$BK$4:$BK$68,0))&amp;" carries the lowest Principal lost rate at "&amp;TEXT(MIN(Calc!$BK$4:$BK$68),"0.0%")&amp;" across "&amp;TEXT(INDEX(Calc!$BC$4:$BC$68,MATCH(MIN(Calc!$BK$4:$BK$68),Calc!$BK$4:$BK$68,0)),"0")&amp;" deals; "&amp;INDEX(Calc!$BB$4:$BB$68,MATCH(MAX(Calc!$BK$4:$BK$68),Calc!$BK$4:$BK$68,0))&amp;" the highest at "&amp;TEXT(MAX(Calc!$BK$4:$BK$68),"0.0%")&amp;" across "&amp;TEXT(INDEX(Calc!$BC$4:$BC$68,MATCH(MAX(Calc!$BK$4:$BK$68),Calc!$BK$4:$BK$68,0)),"0")&amp;" deals."))</f>
        <v/>
      </c>
      <c r="M30" s="5" t="n"/>
      <c r="N30" s="5" t="n"/>
      <c r="O30" s="5" t="n"/>
      <c r="P30" s="5" t="n"/>
      <c r="Q30" s="5" t="n"/>
      <c r="R30" s="5" t="n"/>
      <c r="S30" s="5" t="n"/>
      <c r="T30" s="5" t="n"/>
      <c r="U30" s="5" t="n"/>
      <c r="V30" s="5" t="n"/>
      <c r="W30" s="5" t="n"/>
      <c r="X30" s="5" t="n"/>
      <c r="Y30" s="5" t="n"/>
      <c r="Z30" s="5" t="n"/>
    </row>
    <row r="31" ht="30" customHeight="1" s="79">
      <c r="A31" s="49">
        <f t="array" ref="A31">IF(COUNT(Calc!$BL$4:$BL$68)=0,"",IF(COUNT(Calc!$BL$4:$BL$68)=1,"Industry return: only one category qualifies - "&amp;INDEX(Calc!$BB$4:$BB$68,MATCH(MAX(Calc!$BL$4:$BL$68),Calc!$BL$4:$BL$68,0))&amp;" at "&amp;TEXT(MAX(Calc!$BL$4:$BL$68),"0.0%")&amp;" return on funded capital across "&amp;TEXT(INDEX(Calc!$BC$4:$BC$68,MATCH(MAX(Calc!$BL$4:$BL$68),Calc!$BL$4:$BL$68,0)),"0")&amp;" deals.","Industry return: "&amp;INDEX(Calc!$BB$4:$BB$68,MATCH(MAX(Calc!$BL$4:$BL$68),Calc!$BL$4:$BL$68,0))&amp;" returns "&amp;TEXT(MAX(Calc!$BL$4:$BL$68),"0.0%")&amp;" on funded capital across "&amp;TEXT(INDEX(Calc!$BC$4:$BC$68,MATCH(MAX(Calc!$BL$4:$BL$68),Calc!$BL$4:$BL$68,0)),"0")&amp;" deals; "&amp;INDEX(Calc!$BB$4:$BB$68,MATCH(MIN(Calc!$BL$4:$BL$68),Calc!$BL$4:$BL$68,0))&amp;" returns "&amp;TEXT(MIN(Calc!$BL$4:$BL$68),"0.0%")&amp;" across "&amp;TEXT(INDEX(Calc!$BC$4:$BC$68,MATCH(MIN(Calc!$BL$4:$BL$68),Calc!$BL$4:$BL$68,0)),"0")&amp;" deals."))</f>
        <v/>
      </c>
      <c r="M31" s="5" t="n"/>
      <c r="N31" s="5" t="n"/>
      <c r="O31" s="5" t="n"/>
      <c r="P31" s="5" t="n"/>
      <c r="Q31" s="5" t="n"/>
      <c r="R31" s="5" t="n"/>
      <c r="S31" s="5" t="n"/>
      <c r="T31" s="5" t="n"/>
      <c r="U31" s="5" t="n"/>
      <c r="V31" s="5" t="n"/>
      <c r="W31" s="5" t="n"/>
      <c r="X31" s="5" t="n"/>
      <c r="Y31" s="5" t="n"/>
      <c r="Z31" s="5" t="n"/>
    </row>
    <row r="32" ht="30" customHeight="1" s="79">
      <c r="A32" s="49">
        <f t="array" ref="A32">IF(COUNT(Calc!$BI$75:$BI$230)=0,"","ISO: among the "&amp;Controls!$B$18&amp;" largest by funded dollars, "&amp;INDEX(Calc!$BB$75:$BB$230,MATCH(MIN(Calc!$BI$75:$BI$230),Calc!$BI$75:$BI$230,0))&amp;" has the lowest Principal lost rate at "&amp;TEXT(MIN(Calc!$BI$75:$BI$230),"0.0%")&amp;" across "&amp;TEXT(INDEX(Calc!$BC$75:$BC$230,MATCH(MIN(Calc!$BI$75:$BI$230),Calc!$BI$75:$BI$230,0)),"0")&amp;" deals.")</f>
        <v/>
      </c>
      <c r="M32" s="5" t="n"/>
      <c r="N32" s="5" t="n"/>
      <c r="O32" s="5" t="n"/>
      <c r="P32" s="5" t="n"/>
      <c r="Q32" s="5" t="n"/>
      <c r="R32" s="5" t="n"/>
      <c r="S32" s="5" t="n"/>
      <c r="T32" s="5" t="n"/>
      <c r="U32" s="5" t="n"/>
      <c r="V32" s="5" t="n"/>
      <c r="W32" s="5" t="n"/>
      <c r="X32" s="5" t="n"/>
      <c r="Y32" s="5" t="n"/>
      <c r="Z32" s="5" t="n"/>
    </row>
    <row r="33" ht="30" customHeight="1" s="79">
      <c r="A33" s="49">
        <f t="array" ref="A33">IF(COUNT(Calc!$BL$75:$BL$230)=0,"","ISO losses: "&amp;INDEX(Calc!$BB$75:$BB$230,MATCH(MAX(Calc!$BM$75:$BM$230),Calc!$BM$75:$BM$230,0))&amp;" carries the largest principal loss in dollars at "&amp;TEXT(MAX(Calc!$BM$75:$BM$230),"$#,##0")&amp;" across "&amp;TEXT(INDEX(Calc!$BC$75:$BC$230,MATCH(MAX(Calc!$BM$75:$BM$230),Calc!$BM$75:$BM$230,0)),"0")&amp;" deals.")</f>
        <v/>
      </c>
      <c r="M33" s="5" t="n"/>
      <c r="N33" s="5" t="n"/>
      <c r="O33" s="5" t="n"/>
      <c r="P33" s="5" t="n"/>
      <c r="Q33" s="5" t="n"/>
      <c r="R33" s="5" t="n"/>
      <c r="S33" s="5" t="n"/>
      <c r="T33" s="5" t="n"/>
      <c r="U33" s="5" t="n"/>
      <c r="V33" s="5" t="n"/>
      <c r="W33" s="5" t="n"/>
      <c r="X33" s="5" t="n"/>
      <c r="Y33" s="5" t="n"/>
      <c r="Z33" s="5" t="n"/>
    </row>
    <row r="34" ht="30" customHeight="1" s="79">
      <c r="A34" s="49">
        <f t="array" ref="A34">IF(COUNT(Calc!$BL$293:$BL$300)=0,"",IF(COUNT(Calc!$BL$293:$BL$300)=1,"Position: only one category qualifies - "&amp;INDEX(Calc!$BB$293:$BB$300,MATCH(MAX(Calc!$BL$293:$BL$300),Calc!$BL$293:$BL$300,0))&amp;" at "&amp;TEXT(MAX(Calc!$BL$293:$BL$300),"0.0%")&amp;" return on funded capital across "&amp;TEXT(INDEX(Calc!$BC$293:$BC$300,MATCH(MAX(Calc!$BL$293:$BL$300),Calc!$BL$293:$BL$300,0)),"0")&amp;" deals.","Position: "&amp;INDEX(Calc!$BB$293:$BB$300,MATCH(MAX(Calc!$BL$293:$BL$300),Calc!$BL$293:$BL$300,0))&amp;" is the strongest at "&amp;TEXT(MAX(Calc!$BL$293:$BL$300),"0.0%")&amp;" return on funded capital across "&amp;TEXT(INDEX(Calc!$BC$293:$BC$300,MATCH(MAX(Calc!$BL$293:$BL$300),Calc!$BL$293:$BL$300,0)),"0")&amp;" deals; "&amp;INDEX(Calc!$BB$293:$BB$300,MATCH(MIN(Calc!$BL$293:$BL$300),Calc!$BL$293:$BL$300,0))&amp;" the weakest at "&amp;TEXT(MIN(Calc!$BL$293:$BL$300),"0.0%")&amp;" across "&amp;TEXT(INDEX(Calc!$BC$293:$BC$300,MATCH(MIN(Calc!$BL$293:$BL$300),Calc!$BL$293:$BL$300,0)),"0")&amp;" deals."))</f>
        <v/>
      </c>
      <c r="M34" s="5" t="n"/>
      <c r="N34" s="5" t="n"/>
      <c r="O34" s="5" t="n"/>
      <c r="P34" s="5" t="n"/>
      <c r="Q34" s="5" t="n"/>
      <c r="R34" s="5" t="n"/>
      <c r="S34" s="5" t="n"/>
      <c r="T34" s="5" t="n"/>
      <c r="U34" s="5" t="n"/>
      <c r="V34" s="5" t="n"/>
      <c r="W34" s="5" t="n"/>
      <c r="X34" s="5" t="n"/>
      <c r="Y34" s="5" t="n"/>
      <c r="Z34" s="5" t="n"/>
    </row>
    <row r="35" ht="30" customHeight="1" s="79">
      <c r="A35" s="49">
        <f t="array" ref="A35">IF(COUNT(Calc!$BL$307:$BL$312)=0,"",IF(COUNT(Calc!$BL$307:$BL$312)=1,"Deal size: only one category qualifies - "&amp;INDEX(Calc!$BB$307:$BB$312,MATCH(MAX(Calc!$BL$307:$BL$312),Calc!$BL$307:$BL$312,0))&amp;" at "&amp;TEXT(MAX(Calc!$BL$307:$BL$312),"0.0%")&amp;" return on funded capital across "&amp;TEXT(INDEX(Calc!$BC$307:$BC$312,MATCH(MAX(Calc!$BL$307:$BL$312),Calc!$BL$307:$BL$312,0)),"0")&amp;" deals.","Deal size: "&amp;INDEX(Calc!$BB$307:$BB$312,MATCH(MAX(Calc!$BL$307:$BL$312),Calc!$BL$307:$BL$312,0))&amp;" is the strongest at "&amp;TEXT(MAX(Calc!$BL$307:$BL$312),"0.0%")&amp;" return on funded capital across "&amp;TEXT(INDEX(Calc!$BC$307:$BC$312,MATCH(MAX(Calc!$BL$307:$BL$312),Calc!$BL$307:$BL$312,0)),"0")&amp;" deals; "&amp;INDEX(Calc!$BB$307:$BB$312,MATCH(MIN(Calc!$BL$307:$BL$312),Calc!$BL$307:$BL$312,0))&amp;" the weakest at "&amp;TEXT(MIN(Calc!$BL$307:$BL$312),"0.0%")&amp;" across "&amp;TEXT(INDEX(Calc!$BC$307:$BC$312,MATCH(MIN(Calc!$BL$307:$BL$312),Calc!$BL$307:$BL$312,0)),"0")&amp;" deals."))</f>
        <v/>
      </c>
      <c r="M35" s="5" t="n"/>
      <c r="N35" s="5" t="n"/>
      <c r="O35" s="5" t="n"/>
      <c r="P35" s="5" t="n"/>
      <c r="Q35" s="5" t="n"/>
      <c r="R35" s="5" t="n"/>
      <c r="S35" s="5" t="n"/>
      <c r="T35" s="5" t="n"/>
      <c r="U35" s="5" t="n"/>
      <c r="V35" s="5" t="n"/>
      <c r="W35" s="5" t="n"/>
      <c r="X35" s="5" t="n"/>
      <c r="Y35" s="5" t="n"/>
      <c r="Z35" s="5" t="n"/>
    </row>
    <row r="36" ht="30" customHeight="1" s="79">
      <c r="A36" s="49">
        <f t="array" ref="A36">IF(COUNT(Calc!$BL$319:$BL$323)=0,"",IF(COUNT(Calc!$BL$319:$BL$323)=1,"Term length: only one category qualifies - "&amp;INDEX(Calc!$BB$319:$BB$323,MATCH(MAX(Calc!$BL$319:$BL$323),Calc!$BL$319:$BL$323,0))&amp;" at "&amp;TEXT(MAX(Calc!$BL$319:$BL$323),"0.0%")&amp;" return on funded capital across "&amp;TEXT(INDEX(Calc!$BC$319:$BC$323,MATCH(MAX(Calc!$BL$319:$BL$323),Calc!$BL$319:$BL$323,0)),"0")&amp;" deals.","Term length: "&amp;INDEX(Calc!$BB$319:$BB$323,MATCH(MAX(Calc!$BL$319:$BL$323),Calc!$BL$319:$BL$323,0))&amp;" is the strongest at "&amp;TEXT(MAX(Calc!$BL$319:$BL$323),"0.0%")&amp;" return on funded capital across "&amp;TEXT(INDEX(Calc!$BC$319:$BC$323,MATCH(MAX(Calc!$BL$319:$BL$323),Calc!$BL$319:$BL$323,0)),"0")&amp;" deals; "&amp;INDEX(Calc!$BB$319:$BB$323,MATCH(MIN(Calc!$BL$319:$BL$323),Calc!$BL$319:$BL$323,0))&amp;" the weakest at "&amp;TEXT(MIN(Calc!$BL$319:$BL$323),"0.0%")&amp;" across "&amp;TEXT(INDEX(Calc!$BC$319:$BC$323,MATCH(MIN(Calc!$BL$319:$BL$323),Calc!$BL$319:$BL$323,0)),"0")&amp;" deals."))</f>
        <v/>
      </c>
      <c r="M36" s="5" t="n"/>
      <c r="N36" s="5" t="n"/>
      <c r="O36" s="5" t="n"/>
      <c r="P36" s="5" t="n"/>
      <c r="Q36" s="5" t="n"/>
      <c r="R36" s="5" t="n"/>
      <c r="S36" s="5" t="n"/>
      <c r="T36" s="5" t="n"/>
      <c r="U36" s="5" t="n"/>
      <c r="V36" s="5" t="n"/>
      <c r="W36" s="5" t="n"/>
      <c r="X36" s="5" t="n"/>
      <c r="Y36" s="5" t="n"/>
      <c r="Z36" s="5" t="n"/>
    </row>
    <row r="37" ht="30" customHeight="1" s="79">
      <c r="A37" s="49">
        <f t="array" ref="A37">IF(COUNT(Calc!$BL$330:$BL$331)=0,"","Renewals: "&amp;TEXT(INDEX(Calc!$BE$330:$BE$331,MATCH("Renewal",Calc!$BB$330:$BB$331,0)),"0.0%")&amp;" of renewal dollars have defaulted across "&amp;TEXT(INDEX(Calc!$BC$330:$BC$331,MATCH("Renewal",Calc!$BB$330:$BB$331,0)),"0")&amp;" deals, against "&amp;TEXT(INDEX(Calc!$BE$330:$BE$331,MATCH("New Deal",Calc!$BB$330:$BB$331,0)),"0.0%")&amp;" on "&amp;TEXT(INDEX(Calc!$BC$330:$BC$331,MATCH("New Deal",Calc!$BB$330:$BB$331,0)),"0")&amp;" new deals.")</f>
        <v/>
      </c>
      <c r="M37" s="5" t="n"/>
      <c r="N37" s="5" t="n"/>
      <c r="O37" s="5" t="n"/>
      <c r="P37" s="5" t="n"/>
      <c r="Q37" s="5" t="n"/>
      <c r="R37" s="5" t="n"/>
      <c r="S37" s="5" t="n"/>
      <c r="T37" s="5" t="n"/>
      <c r="U37" s="5" t="n"/>
      <c r="V37" s="5" t="n"/>
      <c r="W37" s="5" t="n"/>
      <c r="X37" s="5" t="n"/>
      <c r="Y37" s="5" t="n"/>
      <c r="Z37" s="5" t="n"/>
    </row>
    <row r="38" ht="30" customHeight="1" s="79">
      <c r="A38" s="49">
        <f t="array" ref="A38">IF(COUNT(Calc!$BL$338:$BL$341)=0,"",IF(COUNT(Calc!$BL$338:$BL$341)=1,"Year: only one category qualifies - "&amp;INDEX(Calc!$BB$338:$BB$341,MATCH(MAX(Calc!$BL$338:$BL$341),Calc!$BL$338:$BL$341,0))&amp;" at "&amp;TEXT(MAX(Calc!$BL$338:$BL$341),"0.0%")&amp;" return on funded capital across "&amp;TEXT(INDEX(Calc!$BC$338:$BC$341,MATCH(MAX(Calc!$BL$338:$BL$341),Calc!$BL$338:$BL$341,0)),"0")&amp;" deals.","Year: "&amp;INDEX(Calc!$BB$338:$BB$341,MATCH(MAX(Calc!$BL$338:$BL$341),Calc!$BL$338:$BL$341,0))&amp;" is the strongest funding year at "&amp;TEXT(MAX(Calc!$BL$338:$BL$341),"0.0%")&amp;" return on funded capital across "&amp;TEXT(INDEX(Calc!$BC$338:$BC$341,MATCH(MAX(Calc!$BL$338:$BL$341),Calc!$BL$338:$BL$341,0)),"0")&amp;" deals; "&amp;INDEX(Calc!$BB$338:$BB$341,MATCH(MIN(Calc!$BL$338:$BL$341),Calc!$BL$338:$BL$341,0))&amp;" the weakest at "&amp;TEXT(MIN(Calc!$BL$338:$BL$341),"0.0%")&amp;" across "&amp;TEXT(INDEX(Calc!$BC$338:$BC$341,MATCH(MIN(Calc!$BL$338:$BL$341),Calc!$BL$338:$BL$341,0)),"0")&amp;" deals.(This includes open deals)"))</f>
        <v/>
      </c>
      <c r="M38" s="5" t="n"/>
      <c r="N38" s="5" t="n"/>
      <c r="O38" s="5" t="n"/>
      <c r="P38" s="5" t="n"/>
      <c r="Q38" s="5" t="n"/>
      <c r="R38" s="5" t="n"/>
      <c r="S38" s="5" t="n"/>
      <c r="T38" s="5" t="n"/>
      <c r="U38" s="5" t="n"/>
      <c r="V38" s="5" t="n"/>
      <c r="W38" s="5" t="n"/>
      <c r="X38" s="5" t="n"/>
      <c r="Y38" s="5" t="n"/>
      <c r="Z38" s="5" t="n"/>
    </row>
    <row r="39" ht="30" customHeight="1" s="79">
      <c r="A39" s="49">
        <f>IF(COUNT(Calc!$BJ$237:$BJ$286)=0,"",IF(MAX(Calc!$BJ$237:$BJ$286)&lt;0.2,"","State: "&amp;INDEX(Calc!$BB$237:$BB$286,MATCH(MAX(Calc!$BJ$237:$BJ$286),Calc!$BJ$237:$BJ$286,0))&amp;" is the one geographic outlier, at "&amp;TEXT(INDEX(Calc!$BF$237:$BF$286,MATCH(MAX(Calc!$BJ$237:$BJ$286),Calc!$BJ$237:$BJ$286,0)),"0.0%")&amp;" return on funded capital against a book figure of "&amp;TEXT(SUMIFS(Data!$AM$2:$AM$1105,Data!$AK$2:$AK$1105,1)/SUMIFS(Data!$P$2:$P$1105,Data!$AK$2:$AK$1105,1),"0.0%")&amp;" across "&amp;TEXT(INDEX(Calc!$BC$237:$BC$286,MATCH(MAX(Calc!$BJ$237:$BJ$286),Calc!$BJ$237:$BJ$286,0)),"0")&amp;" deals."))</f>
        <v/>
      </c>
      <c r="M39" s="5" t="n"/>
      <c r="N39" s="5" t="n"/>
      <c r="O39" s="5" t="n"/>
      <c r="P39" s="5" t="n"/>
      <c r="Q39" s="5" t="n"/>
      <c r="R39" s="5" t="n"/>
      <c r="S39" s="5" t="n"/>
      <c r="T39" s="5" t="n"/>
      <c r="U39" s="5" t="n"/>
      <c r="V39" s="5" t="n"/>
      <c r="W39" s="5" t="n"/>
      <c r="X39" s="5" t="n"/>
      <c r="Y39" s="5" t="n"/>
      <c r="Z39" s="5" t="n"/>
    </row>
    <row r="40" ht="15.75" customHeight="1" s="79">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79">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79">
      <c r="A42" s="4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9.5" customHeight="1" s="79">
      <c r="A43" s="34" t="n"/>
      <c r="B43" s="34" t="n"/>
      <c r="C43" s="34"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79">
      <c r="A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79">
      <c r="A45" s="5" t="n"/>
      <c r="B45" s="17" t="n"/>
      <c r="C45" s="20"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79">
      <c r="A46" s="5" t="n"/>
      <c r="B46" s="17" t="n"/>
      <c r="C46" s="20"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79">
      <c r="A47" s="5" t="n"/>
      <c r="B47" s="17" t="n"/>
      <c r="C47" s="20"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79">
      <c r="A48" s="5" t="n"/>
      <c r="B48" s="52" t="n"/>
      <c r="C48" s="53"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79">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79">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79">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79">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79">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79">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79">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79">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79">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79">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7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79">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79">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79">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79">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79">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79">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79">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79">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79">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79">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79">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79">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79">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79">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79">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79">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79">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79">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79">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79">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79">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79">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79">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79">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79">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79">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79">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79">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79">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79">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79">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79">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79">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79">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79">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79">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79">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79">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79">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79">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79">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79">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79">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79">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79">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79">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79">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79">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79">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79">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79">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79">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79">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79">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79">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79">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79">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79">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79">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79">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79">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79">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79">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79">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79">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79">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79">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79">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79">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79">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79">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79">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79">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79">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79">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79">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79">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79">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79">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79">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79">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79">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79">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79">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79">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79">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79">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79">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79">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79">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79">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79">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79">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79">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79">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79">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79">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79">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79">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79">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79">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79">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79">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79">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79">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79">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79">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79">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79">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79">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79">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79">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79">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79">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79">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79">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79">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79">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79">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79">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79">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79">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79">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79">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79">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79">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79">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79">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79">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79">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79">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79">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79">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79">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79">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79">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79">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79">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79">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79">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79">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79">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79">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79">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79">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79">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79">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79">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79">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79">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79">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79">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79">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79">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79">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79">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79">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79">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79">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79">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79">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79">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79">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79">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79">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79">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79">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79">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79">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79">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79">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79">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79">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79">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79">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79">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79">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79">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79">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79">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79">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79">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79">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79">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79">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79">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79">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79">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79">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79">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79">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79">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79">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79">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79">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79">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79">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79">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79">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79">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79">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79">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79">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79">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79">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79">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79">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79">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79">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79">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79">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79">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79">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79">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79">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79">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79">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79">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79">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79">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79">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79">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79">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79">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79">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79">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79">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79">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79">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79">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79">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79">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79">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79">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79">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79">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79">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79">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79">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79">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79">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79">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79">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79">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79">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79">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79">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79">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79">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79">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79">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79">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79">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79">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79">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79">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79">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79">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79">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79">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79">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79">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79">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79">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79">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79">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79">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79">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79">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79">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79">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79">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79">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79">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79">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79">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79">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79">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79">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79">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79">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79">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79">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79">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79">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79">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79">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79">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79">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79">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79">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79">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79">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79">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79">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79">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79">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79">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79">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79">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79">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79">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79">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79">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79">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79">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79">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79">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79">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79">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79">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79">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79">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79">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79">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79">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79">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79">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79">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79">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79">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79">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79">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79">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79">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79">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79">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79">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79">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79">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79">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79">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79">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79">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79">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79">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79">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79">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79">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79">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79">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79">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79">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79">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79">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79">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79">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79">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79">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79">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79">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79">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79">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79">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79">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79">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79">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79">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79">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79">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79">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79">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79">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79">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79">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79">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79">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79">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79">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79">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79">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79">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79">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79">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79">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79">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79">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79">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79">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79">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79">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79">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79">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79">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79">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79">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79">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79">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79">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79">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79">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79">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79">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79">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79">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79">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79">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79">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79">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79">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79">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79">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79">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79">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79">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79">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79">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79">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79">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79">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79">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79">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79">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79">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79">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79">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79">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79">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79">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79">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79">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79">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79">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79">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79">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79">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79">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79">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79">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79">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79">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79">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79">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79">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79">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79">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79">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79">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79">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79">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79">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79">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79">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79">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79">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79">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79">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79">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79">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79">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79">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79">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79">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79">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79">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79">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79">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79">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79">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79">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79">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79">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79">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79">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79">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79">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79">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79">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79">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79">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79">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79">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79">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79">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79">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79">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79">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79">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79">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79">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79">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79">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79">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79">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79">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79">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79">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79">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79">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79">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79">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79">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79">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79">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79">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79">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79">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79">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79">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79">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79">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79">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79">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79">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79">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79">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79">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79">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79">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79">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79">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79">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79">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79">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79">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79">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79">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79">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79">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79">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79">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79">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79">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79">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79">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79">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79">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79">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79">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79">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79">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79">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79">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79">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79">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79">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79">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79">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79">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79">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79">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79">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79">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79">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79">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79">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79">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79">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79">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79">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79">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79">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79">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79">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79">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79">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79">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79">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79">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79">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79">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79">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79">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79">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79">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79">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79">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79">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79">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79">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79">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79">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79">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79">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79">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79">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79">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79">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79">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79">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79">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79">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79">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79">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79">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79">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79">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79">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79">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79">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79">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79">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79">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79">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79">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79">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79">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79">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79">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79">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79">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79">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79">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79">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79">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79">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79">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79">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79">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79">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79">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79">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79">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79">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79">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79">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79">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79">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79">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79">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79">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79">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79">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79">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79">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79">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79">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79">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79">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79">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79">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79">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79">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79">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79">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79">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79">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79">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79">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79">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79">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79">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79">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79">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79">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79">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79">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79">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79">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79">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79">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79">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79">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79">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79">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79">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79">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79">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79">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79">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79">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79">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79">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79">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79">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79">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79">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79">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79">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79">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79">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79">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79">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79">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79">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79">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79">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79">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79">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79">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79">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79">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79">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79">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79">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79">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79">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79">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79">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79">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79">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79">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79">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79">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79">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79">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79">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79">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79">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79">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79">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79">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79">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79">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79">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79">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79">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79">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79">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79">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79">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79">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79">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79">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79">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79">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79">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79">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79">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79">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79">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79">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79">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79">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79">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79">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79">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79">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79">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79">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79">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79">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79">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79">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79">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79">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79">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79">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79">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79">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79">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79">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79">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79">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79">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79">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79">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79">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79">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79">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79">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79">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79">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79">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79">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79">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79">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79">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79">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79">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79">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79">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79">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79">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79">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79">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79">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79">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79">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79">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79">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79">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79">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79">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79">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79">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79">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79">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79">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79">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79">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79">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79">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79">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79">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79">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79">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79">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79">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79">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79">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79">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79">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79">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79">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79">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79">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79">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79">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79">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79">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79">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79">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79">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79">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79">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79">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79">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79">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79">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79">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79">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79">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79">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79">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79">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79">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79">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79">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79">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79">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79">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79">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79">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79">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79">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79">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79">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79">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79">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79">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79">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79">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79">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79">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79">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79">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79">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79">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79">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79">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79">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79">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79">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79">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79">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79">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79">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79">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79">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79">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79">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79">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79">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79">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79">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79">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79">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79">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79">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79">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79">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79">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79">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79">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79">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79">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79">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79">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79">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79">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79">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79">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79">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79">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79">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79">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79">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79">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79">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79">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79">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79">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79">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79">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79">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79">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79">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79">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79">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79">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79">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79">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79">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79">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79">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79">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79">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79">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79">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79">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79">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79">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79">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79">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79">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79">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79">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79">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79">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79">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79">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79">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79">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79">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79">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79">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79">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79">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79">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79">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79">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79">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79">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79">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79">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79">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79">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79">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79">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79">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79">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79">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79">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79">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79">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79">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79">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sheetData>
  <mergeCells count="26">
    <mergeCell ref="J9:J10"/>
    <mergeCell ref="D5:F6"/>
    <mergeCell ref="G9:I10"/>
    <mergeCell ref="A37:L37"/>
    <mergeCell ref="J5:L6"/>
    <mergeCell ref="A9:C10"/>
    <mergeCell ref="J4:L4"/>
    <mergeCell ref="A33:L33"/>
    <mergeCell ref="A8:C8"/>
    <mergeCell ref="D4:F4"/>
    <mergeCell ref="A32:L32"/>
    <mergeCell ref="G4:I4"/>
    <mergeCell ref="A4:C4"/>
    <mergeCell ref="D8:F8"/>
    <mergeCell ref="A35:L35"/>
    <mergeCell ref="A38:L38"/>
    <mergeCell ref="A31:L31"/>
    <mergeCell ref="A39:L39"/>
    <mergeCell ref="A34:L34"/>
    <mergeCell ref="A30:L30"/>
    <mergeCell ref="K9:K10"/>
    <mergeCell ref="A5:C6"/>
    <mergeCell ref="G5:I6"/>
    <mergeCell ref="A36:L36"/>
    <mergeCell ref="G8:I8"/>
    <mergeCell ref="D9:F10"/>
  </mergeCell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110" customWidth="1" style="79" min="1" max="1"/>
    <col width="24" customWidth="1" style="79" min="2" max="2"/>
    <col width="22" customWidth="1" style="79" min="3" max="3"/>
    <col width="26" customWidth="1" style="79" min="4" max="4"/>
    <col width="60" customWidth="1" style="79" min="5" max="5"/>
    <col width="8.710000000000001" customWidth="1" style="79" min="6" max="6"/>
    <col width="34" customWidth="1" style="79" min="7" max="7"/>
    <col width="10" customWidth="1" style="79" min="8" max="8"/>
  </cols>
  <sheetData>
    <row r="1" ht="19.5" customHeight="1" s="79">
      <c r="A1" s="2" t="inlineStr">
        <is>
          <t>CONTROLS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5" customHeight="1" s="79">
      <c r="A2" s="6" t="n"/>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c r="A3" s="5" t="n"/>
      <c r="B3" s="5" t="n"/>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15" customHeight="1" s="79">
      <c r="A4" s="43" t="inlineStr">
        <is>
          <t>DATE WINDOW</t>
        </is>
      </c>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15" customHeight="1" s="79">
      <c r="A5" s="5" t="inlineStr">
        <is>
          <t>Include deals funded on or after</t>
        </is>
      </c>
      <c r="B5" s="10" t="n">
        <v>45597</v>
      </c>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15" customHeight="1" s="79">
      <c r="A6" s="5" t="inlineStr">
        <is>
          <t>Include deals funded on or before</t>
        </is>
      </c>
      <c r="B6" s="10" t="n">
        <v>46203</v>
      </c>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15" customHeight="1" s="79">
      <c r="A7" s="5" t="n"/>
      <c r="B7" s="5" t="n"/>
      <c r="C7" s="5">
        <f>IF(DATEDIF(Controls!$B$5,Controls!$B$6,"m")&gt;=36,"WARNING: window exceeds 36 months - the funding-month charts show only the first 36 months","")</f>
        <v/>
      </c>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5" customHeight="1" s="79">
      <c r="A8" s="91" t="inlineStr">
        <is>
          <t>SEASONING   -  a deal only counts as evidence once it has had time to fail</t>
        </is>
      </c>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5" customHeight="1" s="79">
      <c r="A9" s="92" t="inlineStr">
        <is>
          <t>As-of date (when this data was pulled)</t>
        </is>
      </c>
      <c r="B9" s="93" t="n">
        <v>46253</v>
      </c>
      <c r="C9" s="5" t="n"/>
      <c r="D9" s="92" t="inlineStr">
        <is>
          <t>Require seasoning?  Y / N</t>
        </is>
      </c>
      <c r="E9" s="92" t="inlineStr">
        <is>
          <t>Y</t>
        </is>
      </c>
      <c r="F9" s="5" t="n"/>
      <c r="G9" s="5" t="n"/>
      <c r="H9" s="5" t="n"/>
      <c r="I9" s="5" t="n"/>
      <c r="J9" s="5" t="n"/>
      <c r="K9" s="5" t="n"/>
      <c r="L9" s="5" t="n"/>
      <c r="M9" s="5" t="n"/>
      <c r="N9" s="5" t="n"/>
      <c r="O9" s="5" t="n"/>
      <c r="P9" s="5" t="n"/>
      <c r="Q9" s="5" t="n"/>
      <c r="R9" s="5" t="n"/>
      <c r="S9" s="5" t="n"/>
      <c r="T9" s="5" t="n"/>
      <c r="U9" s="5" t="n"/>
      <c r="V9" s="5" t="n"/>
      <c r="W9" s="5" t="n"/>
      <c r="X9" s="5" t="n"/>
      <c r="Y9" s="5" t="n"/>
      <c r="Z9" s="5" t="n"/>
    </row>
    <row r="10">
      <c r="A10" s="92" t="inlineStr">
        <is>
          <t>Seasoning multiple  (age &gt;= multiple x expected term)</t>
        </is>
      </c>
      <c r="B10" s="92" t="n">
        <v>1.25</v>
      </c>
      <c r="C10" s="5" t="n"/>
      <c r="D10" s="92" t="inlineStr">
        <is>
          <t>Seasoned deals in window</t>
        </is>
      </c>
      <c r="E10" s="92">
        <f>SUMPRODUCT(Data!$BE$2:$BE$1105*Data!$AK$2:$AK$1105)</f>
        <v/>
      </c>
      <c r="F10" s="94" t="inlineStr">
        <is>
          <t>of 1104 rows</t>
        </is>
      </c>
      <c r="G10" s="5" t="n"/>
      <c r="H10" s="5" t="n"/>
      <c r="I10" s="5" t="n"/>
      <c r="J10" s="5" t="n"/>
      <c r="K10" s="5" t="n"/>
      <c r="L10" s="5" t="n"/>
      <c r="M10" s="5" t="n"/>
      <c r="N10" s="5" t="n"/>
      <c r="O10" s="5" t="n"/>
      <c r="P10" s="5" t="n"/>
      <c r="Q10" s="5" t="n"/>
      <c r="R10" s="5" t="n"/>
      <c r="S10" s="5" t="n"/>
      <c r="T10" s="5" t="n"/>
      <c r="U10" s="5" t="n"/>
      <c r="V10" s="5" t="n"/>
      <c r="W10" s="5" t="n"/>
      <c r="X10" s="5" t="n"/>
      <c r="Y10" s="5" t="n"/>
      <c r="Z10" s="5" t="n"/>
    </row>
    <row r="11" ht="15" customHeight="1" s="79">
      <c r="A11" s="43" t="inlineStr">
        <is>
          <t>DURATION CONVERSION</t>
        </is>
      </c>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5" customHeight="1" s="79">
      <c r="A12" s="5" t="inlineStr">
        <is>
          <t>Business days per week</t>
        </is>
      </c>
      <c r="B12" s="18" t="n">
        <v>5</v>
      </c>
      <c r="C12" s="5" t="n"/>
      <c r="D12" s="5" t="n"/>
      <c r="E12" s="5" t="n"/>
      <c r="F12" s="5" t="n"/>
      <c r="G12" s="5" t="n"/>
      <c r="H12" s="5" t="n"/>
      <c r="I12" s="5" t="n"/>
      <c r="J12" s="5" t="n"/>
      <c r="K12" s="5" t="n"/>
      <c r="L12" s="5" t="n"/>
      <c r="M12" s="5" t="n"/>
      <c r="N12" s="5" t="n"/>
      <c r="O12" s="5" t="n"/>
      <c r="P12" s="5" t="n"/>
      <c r="Q12" s="5" t="n"/>
      <c r="R12" s="5" t="n"/>
      <c r="S12" s="5" t="n"/>
      <c r="T12" s="5" t="n"/>
      <c r="U12" s="5" t="n"/>
    </row>
    <row r="13" ht="15" customHeight="1" s="79">
      <c r="A13" s="5" t="inlineStr">
        <is>
          <t>Business days per month</t>
        </is>
      </c>
      <c r="B13" s="18" t="n">
        <v>21.655</v>
      </c>
      <c r="C13" s="5" t="n"/>
      <c r="D13" s="5" t="n"/>
      <c r="E13" s="5" t="n"/>
      <c r="F13" s="5" t="n"/>
      <c r="G13" s="5" t="n"/>
      <c r="H13" s="5" t="n"/>
      <c r="I13" s="5" t="n"/>
      <c r="J13" s="5" t="n"/>
      <c r="K13" s="5" t="n"/>
      <c r="L13" s="5" t="n"/>
      <c r="M13" s="5" t="n"/>
      <c r="N13" s="5" t="n"/>
      <c r="O13" s="5" t="n"/>
      <c r="P13" s="5" t="n"/>
      <c r="Q13" s="5" t="n"/>
      <c r="R13" s="5" t="n"/>
      <c r="S13" s="5" t="n"/>
      <c r="T13" s="5" t="n"/>
      <c r="U13" s="5" t="n"/>
    </row>
    <row r="14" ht="15" customHeight="1" s="79">
      <c r="A14" s="5" t="inlineStr">
        <is>
          <t>Weeks per month</t>
        </is>
      </c>
      <c r="B14" s="18" t="n">
        <v>4.331</v>
      </c>
      <c r="C14" s="5" t="n"/>
      <c r="D14" s="5" t="n"/>
      <c r="E14" s="5" t="n"/>
      <c r="F14" s="5" t="n"/>
      <c r="G14" s="5" t="n"/>
      <c r="H14" s="5" t="n"/>
      <c r="I14" s="5" t="n"/>
      <c r="J14" s="5" t="n"/>
      <c r="K14" s="5" t="n"/>
      <c r="L14" s="5" t="n"/>
      <c r="M14" s="5" t="n"/>
      <c r="N14" s="5" t="n"/>
      <c r="O14" s="5" t="n"/>
      <c r="P14" s="5" t="n"/>
      <c r="Q14" s="5" t="n"/>
      <c r="R14" s="5" t="n"/>
      <c r="S14" s="5" t="n"/>
      <c r="T14" s="5" t="n"/>
      <c r="U14" s="5" t="n"/>
    </row>
    <row r="15">
      <c r="A15" s="5" t="n"/>
      <c r="B15" s="5" t="n"/>
      <c r="C15" s="5" t="n"/>
      <c r="D15" s="5" t="n"/>
      <c r="E15" s="5" t="n"/>
      <c r="F15" s="5" t="n"/>
      <c r="G15" s="5" t="n"/>
      <c r="H15" s="5" t="n"/>
      <c r="I15" s="5" t="n"/>
      <c r="J15" s="5" t="n"/>
      <c r="K15" s="5" t="n"/>
      <c r="L15" s="5" t="n"/>
      <c r="M15" s="5" t="n"/>
      <c r="N15" s="5" t="n"/>
      <c r="O15" s="5" t="n"/>
      <c r="P15" s="5" t="n"/>
      <c r="Q15" s="5" t="n"/>
      <c r="R15" s="5" t="n"/>
      <c r="S15" s="5" t="n"/>
      <c r="T15" s="5" t="n"/>
      <c r="U15" s="5" t="n"/>
    </row>
    <row r="16" ht="15" customHeight="1" s="79">
      <c r="A16" s="43" t="inlineStr">
        <is>
          <t>CATEGORY SELECTION  -  drives Industry, State and ISO</t>
        </is>
      </c>
      <c r="B16" s="5" t="n"/>
      <c r="C16" s="5" t="n"/>
      <c r="D16" s="5" t="n"/>
      <c r="E16" s="5" t="n"/>
      <c r="F16" s="5" t="n"/>
      <c r="G16" s="5" t="n"/>
      <c r="H16" s="5" t="n"/>
      <c r="I16" s="5" t="n"/>
      <c r="J16" s="5" t="n"/>
      <c r="K16" s="5" t="n"/>
      <c r="L16" s="5" t="n"/>
      <c r="M16" s="5" t="n"/>
      <c r="N16" s="5" t="n"/>
      <c r="O16" s="5" t="n"/>
      <c r="P16" s="5" t="n"/>
      <c r="Q16" s="5" t="n"/>
      <c r="R16" s="5" t="n"/>
      <c r="S16" s="5" t="n"/>
      <c r="T16" s="5" t="n"/>
      <c r="U16" s="5" t="n"/>
    </row>
    <row r="17" ht="15" customHeight="1" s="79">
      <c r="A17" s="5" t="inlineStr">
        <is>
          <t>Selection mode</t>
        </is>
      </c>
      <c r="B17" s="32" t="inlineStr">
        <is>
          <t>Selected only</t>
        </is>
      </c>
      <c r="C17" s="5" t="n"/>
      <c r="D17" s="5" t="n"/>
      <c r="E17" s="5" t="n"/>
      <c r="F17" s="5" t="n"/>
      <c r="G17" s="5" t="n"/>
      <c r="H17" s="5" t="n"/>
      <c r="I17" s="5" t="n"/>
      <c r="J17" s="5" t="n"/>
      <c r="K17" s="5" t="n"/>
      <c r="L17" s="5" t="n"/>
      <c r="M17" s="5" t="n"/>
      <c r="N17" s="5" t="n"/>
      <c r="O17" s="5" t="n"/>
      <c r="P17" s="5" t="n"/>
      <c r="Q17" s="5" t="n"/>
      <c r="R17" s="5" t="n"/>
      <c r="S17" s="5" t="n"/>
      <c r="T17" s="5" t="n"/>
      <c r="U17" s="5" t="n"/>
    </row>
    <row r="18" ht="15" customHeight="1" s="79">
      <c r="A18" s="5" t="inlineStr">
        <is>
          <t>How many categories to show</t>
        </is>
      </c>
      <c r="B18" s="28" t="n">
        <v>15</v>
      </c>
      <c r="C18" s="5" t="n"/>
      <c r="D18" s="5" t="n"/>
      <c r="E18" s="5" t="n"/>
      <c r="F18" s="5" t="n"/>
      <c r="G18" s="5" t="n"/>
      <c r="H18" s="5" t="n"/>
      <c r="I18" s="5" t="n"/>
      <c r="J18" s="5" t="n"/>
      <c r="K18" s="5" t="n"/>
      <c r="L18" s="5" t="n"/>
      <c r="M18" s="5" t="n"/>
      <c r="N18" s="5" t="n"/>
      <c r="O18" s="5" t="n"/>
      <c r="P18" s="5" t="n"/>
      <c r="Q18" s="5" t="n"/>
      <c r="R18" s="5" t="n"/>
      <c r="S18" s="5" t="n"/>
      <c r="T18" s="5" t="n"/>
      <c r="U18" s="5" t="n"/>
    </row>
    <row r="19" ht="15" customHeight="1" s="79">
      <c r="A19" s="5" t="inlineStr">
        <is>
          <t>Minimum deals before a RATE is shown</t>
        </is>
      </c>
      <c r="B19" s="28" t="n">
        <v>10</v>
      </c>
      <c r="C19" s="5" t="n"/>
      <c r="D19" s="5" t="n"/>
      <c r="E19" s="5" t="n"/>
      <c r="F19" s="5" t="n"/>
      <c r="G19" s="5" t="n"/>
      <c r="H19" s="5" t="n"/>
      <c r="I19" s="5" t="n"/>
      <c r="J19" s="5" t="n"/>
      <c r="K19" s="5" t="n"/>
      <c r="L19" s="5" t="n"/>
      <c r="M19" s="5" t="n"/>
      <c r="N19" s="5" t="n"/>
      <c r="O19" s="5" t="n"/>
      <c r="P19" s="5" t="n"/>
      <c r="Q19" s="5" t="n"/>
      <c r="R19" s="5" t="n"/>
      <c r="S19" s="5" t="n"/>
      <c r="T19" s="5" t="n"/>
      <c r="U19" s="5" t="n"/>
    </row>
    <row r="20" ht="15" customHeight="1" s="79">
      <c r="A20" s="5" t="inlineStr">
        <is>
          <t>Minimum deals for a category to appear at all (Industry, State, ISO)</t>
        </is>
      </c>
      <c r="B20" s="28" t="n">
        <v>10</v>
      </c>
      <c r="C20" s="5" t="n"/>
      <c r="D20" s="5" t="n"/>
      <c r="E20" s="5" t="n"/>
      <c r="F20" s="5" t="n"/>
      <c r="G20" s="5" t="n"/>
      <c r="H20" s="5" t="n"/>
      <c r="I20" s="5" t="n"/>
      <c r="J20" s="5" t="n"/>
      <c r="K20" s="5" t="n"/>
      <c r="L20" s="5" t="n"/>
      <c r="M20" s="5" t="n"/>
      <c r="N20" s="5" t="n"/>
      <c r="O20" s="5" t="n"/>
      <c r="P20" s="5" t="n"/>
      <c r="Q20" s="5" t="n"/>
      <c r="R20" s="5" t="n"/>
      <c r="S20" s="5" t="n"/>
      <c r="T20" s="5" t="n"/>
      <c r="U20" s="5" t="n"/>
    </row>
    <row r="21" ht="15.75" customHeight="1" s="79">
      <c r="A21" s="5" t="inlineStr">
        <is>
          <t xml:space="preserve">Exclude unknown / blank categories from charts </t>
        </is>
      </c>
      <c r="B21" s="32" t="inlineStr">
        <is>
          <t>Y</t>
        </is>
      </c>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79">
      <c r="A22" s="5" t="inlineStr">
        <is>
          <t>Minimum deals before a category can be NAMED in the Verdict summary</t>
        </is>
      </c>
      <c r="B22" s="28" t="n">
        <v>10</v>
      </c>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24" customHeight="1" s="79">
      <c r="A23" s="43" t="inlineStr">
        <is>
          <t>STATUS MAPPING  -  the only place default and resolved are defined</t>
        </is>
      </c>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79">
      <c r="A24" s="34" t="inlineStr">
        <is>
          <t>Status</t>
        </is>
      </c>
      <c r="B24" s="34" t="inlineStr">
        <is>
          <t>Counts as default?</t>
        </is>
      </c>
      <c r="C24" s="34" t="inlineStr">
        <is>
          <t>Counts as resolved?</t>
        </is>
      </c>
      <c r="D24" s="34" t="inlineStr">
        <is>
          <t>Counts as Closed?</t>
        </is>
      </c>
      <c r="E24" s="34" t="inlineStr">
        <is>
          <t>Deals in this file</t>
        </is>
      </c>
      <c r="F24" s="5" t="n"/>
      <c r="G24" s="5" t="n"/>
      <c r="H24" s="5" t="n"/>
      <c r="I24" s="5" t="n"/>
      <c r="J24" s="5" t="n"/>
      <c r="K24" s="5" t="n"/>
      <c r="L24" s="5" t="n"/>
      <c r="M24" s="5" t="n"/>
      <c r="N24" s="5" t="n"/>
      <c r="O24" s="5" t="n"/>
      <c r="P24" s="5" t="n"/>
      <c r="Q24" s="5" t="n"/>
      <c r="R24" s="5" t="n"/>
      <c r="S24" s="5" t="n"/>
      <c r="T24" s="5" t="n"/>
      <c r="U24" s="5" t="n"/>
      <c r="V24" s="5" t="n"/>
      <c r="W24" s="5" t="n"/>
      <c r="X24" s="5" t="n"/>
      <c r="Y24" s="5" t="n"/>
    </row>
    <row r="25" ht="15.75" customHeight="1" s="79">
      <c r="A25" s="5" t="inlineStr">
        <is>
          <t>Closed</t>
        </is>
      </c>
      <c r="B25" s="40" t="inlineStr">
        <is>
          <t>No</t>
        </is>
      </c>
      <c r="C25" s="40" t="inlineStr">
        <is>
          <t>Yes</t>
        </is>
      </c>
      <c r="D25" s="40" t="inlineStr">
        <is>
          <t>Yes</t>
        </is>
      </c>
      <c r="E25" s="38">
        <f>COUNTIF(Data!$D$2:$D$1105,$A$25)</f>
        <v/>
      </c>
      <c r="F25" s="5" t="n"/>
      <c r="G25" s="5" t="n"/>
      <c r="H25" s="5" t="n"/>
      <c r="I25" s="5" t="n"/>
      <c r="J25" s="5" t="n"/>
      <c r="K25" s="5" t="n"/>
      <c r="L25" s="5" t="n"/>
      <c r="M25" s="5" t="n"/>
      <c r="N25" s="5" t="n"/>
      <c r="O25" s="5" t="n"/>
      <c r="P25" s="5" t="n"/>
      <c r="Q25" s="5" t="n"/>
      <c r="R25" s="5" t="n"/>
      <c r="S25" s="5" t="n"/>
      <c r="T25" s="5" t="n"/>
      <c r="U25" s="5" t="n"/>
      <c r="V25" s="5" t="n"/>
      <c r="W25" s="5" t="n"/>
      <c r="X25" s="5" t="n"/>
      <c r="Y25" s="5" t="n"/>
    </row>
    <row r="26" ht="15.75" customHeight="1" s="79">
      <c r="A26" s="5" t="inlineStr">
        <is>
          <t>Open</t>
        </is>
      </c>
      <c r="B26" s="40" t="inlineStr">
        <is>
          <t>No</t>
        </is>
      </c>
      <c r="C26" s="40" t="inlineStr">
        <is>
          <t>No</t>
        </is>
      </c>
      <c r="D26" s="40" t="inlineStr">
        <is>
          <t>No</t>
        </is>
      </c>
      <c r="E26" s="38">
        <f>COUNTIF(Data!$D$2:$D$1105,$A$26)</f>
        <v/>
      </c>
      <c r="F26" s="5" t="n"/>
      <c r="G26" s="5" t="n"/>
      <c r="H26" s="5" t="n"/>
      <c r="I26" s="5" t="n"/>
      <c r="J26" s="5" t="n"/>
      <c r="K26" s="5" t="n"/>
      <c r="L26" s="5" t="n"/>
      <c r="M26" s="5" t="n"/>
      <c r="N26" s="5" t="n"/>
      <c r="O26" s="5" t="n"/>
      <c r="P26" s="5" t="n"/>
      <c r="Q26" s="5" t="n"/>
      <c r="R26" s="5" t="n"/>
      <c r="S26" s="5" t="n"/>
      <c r="T26" s="5" t="n"/>
      <c r="U26" s="5" t="n"/>
      <c r="V26" s="5" t="n"/>
      <c r="W26" s="5" t="n"/>
      <c r="X26" s="5" t="n"/>
      <c r="Y26" s="5" t="n"/>
    </row>
    <row r="27" ht="15.75" customHeight="1" s="79">
      <c r="A27" s="5" t="inlineStr">
        <is>
          <t>Legal</t>
        </is>
      </c>
      <c r="B27" s="40" t="inlineStr">
        <is>
          <t>Yes</t>
        </is>
      </c>
      <c r="C27" s="40" t="inlineStr">
        <is>
          <t>No</t>
        </is>
      </c>
      <c r="D27" s="40" t="inlineStr">
        <is>
          <t>No</t>
        </is>
      </c>
      <c r="E27" s="38">
        <f>COUNTIF(Data!$D$2:$D$1105,$A$27)</f>
        <v/>
      </c>
      <c r="F27" s="5" t="n"/>
      <c r="G27" s="5" t="n"/>
      <c r="H27" s="5" t="n"/>
      <c r="I27" s="5" t="n"/>
      <c r="J27" s="5" t="n"/>
      <c r="K27" s="5" t="n"/>
      <c r="L27" s="5" t="n"/>
      <c r="M27" s="5" t="n"/>
      <c r="N27" s="5" t="n"/>
      <c r="O27" s="5" t="n"/>
      <c r="P27" s="5" t="n"/>
      <c r="Q27" s="5" t="n"/>
      <c r="R27" s="5" t="n"/>
      <c r="S27" s="5" t="n"/>
      <c r="T27" s="5" t="n"/>
      <c r="U27" s="5" t="n"/>
      <c r="V27" s="5" t="n"/>
      <c r="W27" s="5" t="n"/>
      <c r="X27" s="5" t="n"/>
      <c r="Y27" s="5" t="n"/>
    </row>
    <row r="28" ht="15.75" customHeight="1" s="79">
      <c r="A28" s="5" t="inlineStr">
        <is>
          <t>In House Collection</t>
        </is>
      </c>
      <c r="B28" s="40" t="inlineStr">
        <is>
          <t>Yes</t>
        </is>
      </c>
      <c r="C28" s="40" t="inlineStr">
        <is>
          <t>No</t>
        </is>
      </c>
      <c r="D28" s="40" t="inlineStr">
        <is>
          <t>No</t>
        </is>
      </c>
      <c r="E28" s="38">
        <f>COUNTIF(Data!$D$2:$D$1105,$A$28)</f>
        <v/>
      </c>
      <c r="F28" s="5" t="n"/>
      <c r="G28" s="5" t="n"/>
      <c r="H28" s="5" t="n"/>
      <c r="I28" s="5" t="n"/>
      <c r="J28" s="5" t="n"/>
      <c r="K28" s="5" t="n"/>
      <c r="L28" s="5" t="n"/>
      <c r="M28" s="5" t="n"/>
      <c r="N28" s="5" t="n"/>
      <c r="O28" s="5" t="n"/>
      <c r="P28" s="5" t="n"/>
      <c r="Q28" s="5" t="n"/>
      <c r="R28" s="5" t="n"/>
      <c r="S28" s="5" t="n"/>
      <c r="T28" s="5" t="n"/>
      <c r="U28" s="5" t="n"/>
      <c r="V28" s="5" t="n"/>
      <c r="W28" s="5" t="n"/>
      <c r="X28" s="5" t="n"/>
      <c r="Y28" s="5" t="n"/>
    </row>
    <row r="29" ht="15.75" customHeight="1" s="79">
      <c r="A29" s="5" t="inlineStr">
        <is>
          <t>Lowered Payments</t>
        </is>
      </c>
      <c r="B29" s="40" t="inlineStr">
        <is>
          <t>No</t>
        </is>
      </c>
      <c r="C29" s="40" t="inlineStr">
        <is>
          <t>No</t>
        </is>
      </c>
      <c r="D29" s="40" t="inlineStr">
        <is>
          <t>No</t>
        </is>
      </c>
      <c r="E29" s="38">
        <f>COUNTIF(Data!$D$2:$D$1105,$A$29)</f>
        <v/>
      </c>
      <c r="F29" s="5" t="n"/>
      <c r="G29" s="5" t="n"/>
      <c r="H29" s="5" t="n"/>
      <c r="I29" s="5" t="n"/>
      <c r="J29" s="5" t="n"/>
      <c r="K29" s="5" t="n"/>
      <c r="L29" s="5" t="n"/>
      <c r="M29" s="5" t="n"/>
      <c r="N29" s="5" t="n"/>
      <c r="O29" s="5" t="n"/>
      <c r="P29" s="5" t="n"/>
      <c r="Q29" s="5" t="n"/>
      <c r="R29" s="5" t="n"/>
      <c r="S29" s="5" t="n"/>
      <c r="T29" s="5" t="n"/>
      <c r="U29" s="5" t="n"/>
      <c r="V29" s="5" t="n"/>
      <c r="W29" s="5" t="n"/>
      <c r="X29" s="5" t="n"/>
      <c r="Y29" s="5" t="n"/>
    </row>
    <row r="30" ht="15.75" customHeight="1" s="79">
      <c r="A30" s="5" t="inlineStr">
        <is>
          <t>Written-Off</t>
        </is>
      </c>
      <c r="B30" s="40" t="inlineStr">
        <is>
          <t>Yes</t>
        </is>
      </c>
      <c r="C30" s="40" t="inlineStr">
        <is>
          <t>Yes</t>
        </is>
      </c>
      <c r="D30" s="40" t="inlineStr">
        <is>
          <t>No</t>
        </is>
      </c>
      <c r="E30" s="38">
        <f>COUNTIF(Data!$D$2:$D$1105,$A$30)</f>
        <v/>
      </c>
      <c r="F30" s="5" t="n"/>
      <c r="G30" s="5" t="n"/>
      <c r="H30" s="5" t="n"/>
      <c r="I30" s="5" t="n"/>
      <c r="J30" s="5" t="n"/>
      <c r="K30" s="5" t="n"/>
      <c r="L30" s="5" t="n"/>
      <c r="M30" s="5" t="n"/>
      <c r="N30" s="5" t="n"/>
      <c r="O30" s="5" t="n"/>
      <c r="P30" s="5" t="n"/>
      <c r="Q30" s="5" t="n"/>
      <c r="R30" s="5" t="n"/>
      <c r="S30" s="5" t="n"/>
      <c r="T30" s="5" t="n"/>
      <c r="U30" s="5" t="n"/>
      <c r="V30" s="5" t="n"/>
      <c r="W30" s="5" t="n"/>
      <c r="X30" s="5" t="n"/>
      <c r="Y30" s="5" t="n"/>
    </row>
    <row r="31" ht="15.75" customHeight="1" s="79">
      <c r="A31" s="5" t="inlineStr">
        <is>
          <t>Bankruptcy</t>
        </is>
      </c>
      <c r="B31" s="40" t="inlineStr">
        <is>
          <t>Yes</t>
        </is>
      </c>
      <c r="C31" s="40" t="inlineStr">
        <is>
          <t>Yes</t>
        </is>
      </c>
      <c r="D31" s="40" t="inlineStr">
        <is>
          <t>No</t>
        </is>
      </c>
      <c r="E31" s="38">
        <f>COUNTIF(Data!$D$2:$D$1105,$A$31)</f>
        <v/>
      </c>
      <c r="F31" s="5" t="n"/>
      <c r="G31" s="5" t="n"/>
      <c r="H31" s="5" t="n"/>
      <c r="I31" s="5" t="n"/>
      <c r="J31" s="5" t="n"/>
      <c r="K31" s="5" t="n"/>
      <c r="L31" s="5" t="n"/>
      <c r="M31" s="5" t="n"/>
      <c r="N31" s="5" t="n"/>
      <c r="O31" s="5" t="n"/>
      <c r="P31" s="5" t="n"/>
      <c r="Q31" s="5" t="n"/>
      <c r="R31" s="5" t="n"/>
      <c r="S31" s="5" t="n"/>
      <c r="T31" s="5" t="n"/>
      <c r="U31" s="5" t="n"/>
      <c r="V31" s="5" t="n"/>
      <c r="W31" s="5" t="n"/>
      <c r="X31" s="5" t="n"/>
      <c r="Y31" s="5" t="n"/>
    </row>
    <row r="32" ht="15.75" customHeight="1" s="79">
      <c r="A32" s="5" t="inlineStr">
        <is>
          <t>Settlement Agreement</t>
        </is>
      </c>
      <c r="B32" s="40" t="inlineStr">
        <is>
          <t>Yes</t>
        </is>
      </c>
      <c r="C32" s="40" t="inlineStr">
        <is>
          <t>Yes</t>
        </is>
      </c>
      <c r="D32" s="40" t="inlineStr">
        <is>
          <t>No</t>
        </is>
      </c>
      <c r="E32" s="38">
        <f>COUNTIF(Data!$D$2:$D$1105,$A$32)</f>
        <v/>
      </c>
      <c r="F32" s="5" t="n"/>
      <c r="G32" s="5" t="n"/>
      <c r="H32" s="5" t="n"/>
      <c r="I32" s="5" t="n"/>
      <c r="J32" s="5" t="n"/>
      <c r="K32" s="5" t="n"/>
      <c r="L32" s="5" t="n"/>
      <c r="M32" s="5" t="n"/>
      <c r="N32" s="5" t="n"/>
      <c r="O32" s="5" t="n"/>
      <c r="P32" s="5" t="n"/>
      <c r="Q32" s="5" t="n"/>
      <c r="R32" s="5" t="n"/>
      <c r="S32" s="5" t="n"/>
      <c r="T32" s="5" t="n"/>
      <c r="U32" s="5" t="n"/>
      <c r="V32" s="5" t="n"/>
      <c r="W32" s="5" t="n"/>
      <c r="X32" s="5" t="n"/>
      <c r="Y32" s="5" t="n"/>
    </row>
    <row r="33" ht="15.75" customHeight="1" s="79">
      <c r="A33" s="5" t="inlineStr">
        <is>
          <t>Closed/NSF</t>
        </is>
      </c>
      <c r="B33" s="40" t="inlineStr">
        <is>
          <t>No</t>
        </is>
      </c>
      <c r="C33" s="40" t="inlineStr">
        <is>
          <t>Yes</t>
        </is>
      </c>
      <c r="D33" s="40" t="inlineStr">
        <is>
          <t>Yes</t>
        </is>
      </c>
      <c r="E33" s="38">
        <f>COUNTIF(Data!$D$2:$D$1105,$A$33)</f>
        <v/>
      </c>
      <c r="F33" s="5" t="n"/>
      <c r="G33" s="5" t="n"/>
      <c r="H33" s="5" t="n"/>
      <c r="I33" s="5" t="n"/>
      <c r="J33" s="5" t="n"/>
      <c r="K33" s="5" t="n"/>
      <c r="L33" s="5" t="n"/>
      <c r="M33" s="5" t="n"/>
      <c r="N33" s="5" t="n"/>
      <c r="O33" s="5" t="n"/>
      <c r="P33" s="5" t="n"/>
      <c r="Q33" s="5" t="n"/>
      <c r="R33" s="5" t="n"/>
      <c r="S33" s="5" t="n"/>
      <c r="T33" s="5" t="n"/>
      <c r="U33" s="5" t="n"/>
      <c r="V33" s="5" t="n"/>
      <c r="W33" s="5" t="n"/>
      <c r="X33" s="5" t="n"/>
      <c r="Y33" s="5" t="n"/>
    </row>
    <row r="34" ht="15.75" customHeight="1" s="79">
      <c r="A34" s="5" t="inlineStr">
        <is>
          <t>Closed/NSF Unpaid</t>
        </is>
      </c>
      <c r="B34" s="40" t="inlineStr">
        <is>
          <t>No</t>
        </is>
      </c>
      <c r="C34" s="40" t="inlineStr">
        <is>
          <t>Yes</t>
        </is>
      </c>
      <c r="D34" s="40" t="inlineStr">
        <is>
          <t>Yes</t>
        </is>
      </c>
      <c r="E34" s="38">
        <f>COUNTIF(Data!$D$2:$D$1105,$A$34)</f>
        <v/>
      </c>
      <c r="F34" s="5" t="n"/>
      <c r="G34" s="5" t="n"/>
      <c r="H34" s="5" t="n"/>
      <c r="I34" s="5" t="n"/>
      <c r="J34" s="5" t="n"/>
      <c r="K34" s="5" t="n"/>
      <c r="L34" s="5" t="n"/>
      <c r="M34" s="5" t="n"/>
      <c r="N34" s="5" t="n"/>
      <c r="O34" s="5" t="n"/>
      <c r="P34" s="5" t="n"/>
      <c r="Q34" s="5" t="n"/>
      <c r="R34" s="5" t="n"/>
      <c r="S34" s="5" t="n"/>
      <c r="T34" s="5" t="n"/>
      <c r="U34" s="5" t="n"/>
      <c r="V34" s="5" t="n"/>
      <c r="W34" s="5" t="n"/>
      <c r="X34" s="5" t="n"/>
      <c r="Y34" s="5" t="n"/>
    </row>
    <row r="35" ht="15.75" customHeight="1" s="79">
      <c r="A35" s="5" t="inlineStr">
        <is>
          <t>At-Risk</t>
        </is>
      </c>
      <c r="B35" s="40" t="inlineStr">
        <is>
          <t>Yes</t>
        </is>
      </c>
      <c r="C35" s="40" t="inlineStr">
        <is>
          <t>No</t>
        </is>
      </c>
      <c r="D35" s="40" t="inlineStr">
        <is>
          <t>No</t>
        </is>
      </c>
      <c r="E35" s="38">
        <f>COUNTIF(Data!$D$2:$D$1105,$A$35)</f>
        <v/>
      </c>
      <c r="F35" s="5" t="n"/>
      <c r="G35" s="5" t="n"/>
      <c r="H35" s="5" t="n"/>
      <c r="I35" s="5" t="n"/>
      <c r="J35" s="5" t="n"/>
      <c r="K35" s="5" t="n"/>
      <c r="L35" s="5" t="n"/>
      <c r="M35" s="5" t="n"/>
      <c r="N35" s="5" t="n"/>
      <c r="O35" s="5" t="n"/>
      <c r="P35" s="5" t="n"/>
      <c r="Q35" s="5" t="n"/>
      <c r="R35" s="5" t="n"/>
      <c r="S35" s="5" t="n"/>
      <c r="T35" s="5" t="n"/>
      <c r="U35" s="5" t="n"/>
      <c r="V35" s="5" t="n"/>
      <c r="W35" s="5" t="n"/>
      <c r="X35" s="5" t="n"/>
      <c r="Y35" s="5" t="n"/>
    </row>
    <row r="36" ht="15.75" customHeight="1" s="79">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79">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9.5" customHeight="1" s="79">
      <c r="A38" s="43" t="inlineStr">
        <is>
          <t xml:space="preserve">CATEGORY INCLUDE LISTS  </t>
        </is>
      </c>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79">
      <c r="A39" s="34" t="inlineStr">
        <is>
          <t>Industry</t>
        </is>
      </c>
      <c r="B39" s="34" t="inlineStr">
        <is>
          <t>Include?</t>
        </is>
      </c>
      <c r="C39" s="5" t="n"/>
      <c r="D39" s="34" t="inlineStr">
        <is>
          <t>State</t>
        </is>
      </c>
      <c r="E39" s="34" t="inlineStr">
        <is>
          <t>Include?</t>
        </is>
      </c>
      <c r="F39" s="5" t="n"/>
      <c r="G39" s="34" t="inlineStr">
        <is>
          <t>ISO</t>
        </is>
      </c>
      <c r="H39" s="34" t="inlineStr">
        <is>
          <t>Include?</t>
        </is>
      </c>
      <c r="I39" s="5" t="n"/>
      <c r="J39" s="5" t="n"/>
      <c r="K39" s="5" t="n"/>
      <c r="L39" s="5" t="n"/>
      <c r="M39" s="5" t="n"/>
      <c r="N39" s="5" t="n"/>
      <c r="O39" s="5" t="n"/>
      <c r="P39" s="5" t="n"/>
      <c r="Q39" s="5" t="n"/>
      <c r="R39" s="5" t="n"/>
      <c r="S39" s="5" t="n"/>
      <c r="T39" s="5" t="n"/>
      <c r="U39" s="5" t="n"/>
      <c r="V39" s="5" t="n"/>
      <c r="W39" s="5" t="n"/>
      <c r="X39" s="5" t="n"/>
      <c r="Y39" s="5" t="n"/>
      <c r="Z39" s="5" t="n"/>
    </row>
    <row r="40" ht="15.75" customHeight="1" s="79">
      <c r="A40" s="5" t="inlineStr">
        <is>
          <t>Administration of Economic Programs</t>
        </is>
      </c>
      <c r="B40" s="40" t="inlineStr">
        <is>
          <t>N</t>
        </is>
      </c>
      <c r="C40" s="5" t="n"/>
      <c r="D40" s="5" t="inlineStr">
        <is>
          <t>AL</t>
        </is>
      </c>
      <c r="E40" s="40" t="inlineStr">
        <is>
          <t>N</t>
        </is>
      </c>
      <c r="F40" s="5" t="n"/>
      <c r="G40" s="5" t="inlineStr">
        <is>
          <t>ALLSTATE FUND PROS LLC</t>
        </is>
      </c>
      <c r="H40" s="40" t="inlineStr">
        <is>
          <t>N</t>
        </is>
      </c>
      <c r="I40" s="5" t="n"/>
      <c r="J40" s="5" t="n"/>
      <c r="K40" s="5" t="n"/>
      <c r="L40" s="5" t="n"/>
      <c r="M40" s="5" t="n"/>
      <c r="N40" s="5" t="n"/>
      <c r="O40" s="5" t="n"/>
      <c r="P40" s="5" t="n"/>
      <c r="Q40" s="5" t="n"/>
      <c r="R40" s="5" t="n"/>
      <c r="S40" s="5" t="n"/>
      <c r="T40" s="5" t="n"/>
      <c r="U40" s="5" t="n"/>
      <c r="V40" s="5" t="n"/>
      <c r="W40" s="5" t="n"/>
      <c r="X40" s="5" t="n"/>
      <c r="Y40" s="5" t="n"/>
      <c r="Z40" s="5" t="n"/>
    </row>
    <row r="41" ht="15.75" customHeight="1" s="79">
      <c r="A41" s="5" t="inlineStr">
        <is>
          <t>Agricultural Production - Crops</t>
        </is>
      </c>
      <c r="B41" s="40" t="inlineStr">
        <is>
          <t>N</t>
        </is>
      </c>
      <c r="C41" s="5" t="n"/>
      <c r="D41" s="5" t="inlineStr">
        <is>
          <t>AR</t>
        </is>
      </c>
      <c r="E41" s="40" t="inlineStr">
        <is>
          <t>N</t>
        </is>
      </c>
      <c r="F41" s="5" t="n"/>
      <c r="G41" s="5" t="inlineStr">
        <is>
          <t>AVON ADVANCE</t>
        </is>
      </c>
      <c r="H41" s="40" t="inlineStr">
        <is>
          <t>N</t>
        </is>
      </c>
      <c r="I41" s="5" t="n"/>
      <c r="J41" s="5" t="n"/>
      <c r="K41" s="5" t="n"/>
      <c r="L41" s="5" t="n"/>
      <c r="M41" s="5" t="n"/>
      <c r="N41" s="5" t="n"/>
      <c r="O41" s="5" t="n"/>
      <c r="P41" s="5" t="n"/>
      <c r="Q41" s="5" t="n"/>
      <c r="R41" s="5" t="n"/>
      <c r="S41" s="5" t="n"/>
      <c r="T41" s="5" t="n"/>
      <c r="U41" s="5" t="n"/>
      <c r="V41" s="5" t="n"/>
      <c r="W41" s="5" t="n"/>
      <c r="X41" s="5" t="n"/>
      <c r="Y41" s="5" t="n"/>
      <c r="Z41" s="5" t="n"/>
    </row>
    <row r="42" ht="15.75" customHeight="1" s="79">
      <c r="A42" s="5" t="inlineStr">
        <is>
          <t>Agricultural Production - Livestock</t>
        </is>
      </c>
      <c r="B42" s="40" t="inlineStr">
        <is>
          <t>N</t>
        </is>
      </c>
      <c r="C42" s="5" t="n"/>
      <c r="D42" s="5" t="inlineStr">
        <is>
          <t>AZ</t>
        </is>
      </c>
      <c r="E42" s="40" t="inlineStr">
        <is>
          <t>N</t>
        </is>
      </c>
      <c r="F42" s="5" t="n"/>
      <c r="G42" s="5" t="inlineStr">
        <is>
          <t>Ace Partners</t>
        </is>
      </c>
      <c r="H42" s="40" t="inlineStr">
        <is>
          <t>N</t>
        </is>
      </c>
      <c r="I42" s="5" t="n"/>
      <c r="J42" s="5" t="n"/>
      <c r="K42" s="5" t="n"/>
      <c r="L42" s="5" t="n"/>
      <c r="M42" s="5" t="n"/>
      <c r="N42" s="5" t="n"/>
      <c r="O42" s="5" t="n"/>
      <c r="P42" s="5" t="n"/>
      <c r="Q42" s="5" t="n"/>
      <c r="R42" s="5" t="n"/>
      <c r="S42" s="5" t="n"/>
      <c r="T42" s="5" t="n"/>
      <c r="U42" s="5" t="n"/>
      <c r="V42" s="5" t="n"/>
      <c r="W42" s="5" t="n"/>
      <c r="X42" s="5" t="n"/>
      <c r="Y42" s="5" t="n"/>
      <c r="Z42" s="5" t="n"/>
    </row>
    <row r="43" ht="15.75" customHeight="1" s="79">
      <c r="A43" s="5" t="inlineStr">
        <is>
          <t>Agricultural Services</t>
        </is>
      </c>
      <c r="B43" s="40" t="inlineStr">
        <is>
          <t>Y</t>
        </is>
      </c>
      <c r="C43" s="5" t="n"/>
      <c r="D43" s="5" t="inlineStr">
        <is>
          <t>CA</t>
        </is>
      </c>
      <c r="E43" s="40" t="inlineStr">
        <is>
          <t>Y</t>
        </is>
      </c>
      <c r="F43" s="5" t="n"/>
      <c r="G43" s="5" t="inlineStr">
        <is>
          <t>Advance Consolidations</t>
        </is>
      </c>
      <c r="H43" s="40" t="inlineStr">
        <is>
          <t>N</t>
        </is>
      </c>
      <c r="I43" s="5" t="n"/>
      <c r="J43" s="5" t="n"/>
      <c r="K43" s="5" t="n"/>
      <c r="L43" s="5" t="n"/>
      <c r="M43" s="5" t="n"/>
      <c r="N43" s="5" t="n"/>
      <c r="O43" s="5" t="n"/>
      <c r="P43" s="5" t="n"/>
      <c r="Q43" s="5" t="n"/>
      <c r="R43" s="5" t="n"/>
      <c r="S43" s="5" t="n"/>
      <c r="T43" s="5" t="n"/>
      <c r="U43" s="5" t="n"/>
      <c r="V43" s="5" t="n"/>
      <c r="W43" s="5" t="n"/>
      <c r="X43" s="5" t="n"/>
      <c r="Y43" s="5" t="n"/>
      <c r="Z43" s="5" t="n"/>
    </row>
    <row r="44" ht="15.75" customHeight="1" s="79">
      <c r="A44" s="5" t="inlineStr">
        <is>
          <t>Air Transportation</t>
        </is>
      </c>
      <c r="B44" s="40" t="inlineStr">
        <is>
          <t>N</t>
        </is>
      </c>
      <c r="C44" s="5" t="n"/>
      <c r="D44" s="5" t="inlineStr">
        <is>
          <t>CO</t>
        </is>
      </c>
      <c r="E44" s="40" t="inlineStr">
        <is>
          <t>N</t>
        </is>
      </c>
      <c r="F44" s="5" t="n"/>
      <c r="G44" s="5" t="inlineStr">
        <is>
          <t>Alternative Solutions Funding</t>
        </is>
      </c>
      <c r="H44" s="40" t="inlineStr">
        <is>
          <t>N</t>
        </is>
      </c>
      <c r="I44" s="5" t="n"/>
      <c r="J44" s="5" t="n"/>
      <c r="K44" s="5" t="n"/>
      <c r="L44" s="5" t="n"/>
      <c r="M44" s="5" t="n"/>
      <c r="N44" s="5" t="n"/>
      <c r="O44" s="5" t="n"/>
      <c r="P44" s="5" t="n"/>
      <c r="Q44" s="5" t="n"/>
      <c r="R44" s="5" t="n"/>
      <c r="S44" s="5" t="n"/>
      <c r="T44" s="5" t="n"/>
      <c r="U44" s="5" t="n"/>
      <c r="V44" s="5" t="n"/>
      <c r="W44" s="5" t="n"/>
      <c r="X44" s="5" t="n"/>
      <c r="Y44" s="5" t="n"/>
      <c r="Z44" s="5" t="n"/>
    </row>
    <row r="45" ht="15.75" customHeight="1" s="79">
      <c r="A45" s="5" t="inlineStr">
        <is>
          <t>Amusement &amp; Recreation Services</t>
        </is>
      </c>
      <c r="B45" s="40" t="inlineStr">
        <is>
          <t>N</t>
        </is>
      </c>
      <c r="C45" s="5" t="n"/>
      <c r="D45" s="5" t="inlineStr">
        <is>
          <t>CT</t>
        </is>
      </c>
      <c r="E45" s="40" t="inlineStr">
        <is>
          <t>N</t>
        </is>
      </c>
      <c r="F45" s="5" t="n"/>
      <c r="G45" s="5" t="inlineStr">
        <is>
          <t>American Funding Association 1</t>
        </is>
      </c>
      <c r="H45" s="40" t="inlineStr">
        <is>
          <t>N</t>
        </is>
      </c>
      <c r="I45" s="5" t="n"/>
      <c r="J45" s="5" t="n"/>
      <c r="K45" s="5" t="n"/>
      <c r="L45" s="5" t="n"/>
      <c r="M45" s="5" t="n"/>
      <c r="N45" s="5" t="n"/>
      <c r="O45" s="5" t="n"/>
      <c r="P45" s="5" t="n"/>
      <c r="Q45" s="5" t="n"/>
      <c r="R45" s="5" t="n"/>
      <c r="S45" s="5" t="n"/>
      <c r="T45" s="5" t="n"/>
      <c r="U45" s="5" t="n"/>
      <c r="V45" s="5" t="n"/>
      <c r="W45" s="5" t="n"/>
      <c r="X45" s="5" t="n"/>
      <c r="Y45" s="5" t="n"/>
      <c r="Z45" s="5" t="n"/>
    </row>
    <row r="46" ht="15.75" customHeight="1" s="79">
      <c r="A46" s="5" t="inlineStr">
        <is>
          <t>Apparel &amp; Accessory Stores</t>
        </is>
      </c>
      <c r="B46" s="40" t="inlineStr">
        <is>
          <t>N</t>
        </is>
      </c>
      <c r="C46" s="5" t="n"/>
      <c r="D46" s="5" t="inlineStr">
        <is>
          <t>DC</t>
        </is>
      </c>
      <c r="E46" s="40" t="inlineStr">
        <is>
          <t>N</t>
        </is>
      </c>
      <c r="F46" s="5" t="n"/>
      <c r="G46" s="5" t="inlineStr">
        <is>
          <t>Amerishop Financial services</t>
        </is>
      </c>
      <c r="H46" s="40" t="inlineStr">
        <is>
          <t>N</t>
        </is>
      </c>
      <c r="I46" s="5" t="n"/>
      <c r="J46" s="5" t="n"/>
      <c r="K46" s="5" t="n"/>
      <c r="L46" s="5" t="n"/>
      <c r="M46" s="5" t="n"/>
      <c r="N46" s="5" t="n"/>
      <c r="O46" s="5" t="n"/>
      <c r="P46" s="5" t="n"/>
      <c r="Q46" s="5" t="n"/>
      <c r="R46" s="5" t="n"/>
      <c r="S46" s="5" t="n"/>
      <c r="T46" s="5" t="n"/>
      <c r="U46" s="5" t="n"/>
      <c r="V46" s="5" t="n"/>
      <c r="W46" s="5" t="n"/>
      <c r="X46" s="5" t="n"/>
      <c r="Y46" s="5" t="n"/>
      <c r="Z46" s="5" t="n"/>
    </row>
    <row r="47" ht="15.75" customHeight="1" s="79">
      <c r="A47" s="5" t="inlineStr">
        <is>
          <t>Apparel &amp; Textile Products</t>
        </is>
      </c>
      <c r="B47" s="40" t="inlineStr">
        <is>
          <t>N</t>
        </is>
      </c>
      <c r="C47" s="5" t="n"/>
      <c r="D47" s="5" t="inlineStr">
        <is>
          <t>DE</t>
        </is>
      </c>
      <c r="E47" s="40" t="inlineStr">
        <is>
          <t>N</t>
        </is>
      </c>
      <c r="F47" s="5" t="n"/>
      <c r="G47" s="5" t="inlineStr">
        <is>
          <t>Aspire Funding</t>
        </is>
      </c>
      <c r="H47" s="40" t="inlineStr">
        <is>
          <t>N</t>
        </is>
      </c>
      <c r="I47" s="5" t="n"/>
      <c r="J47" s="5" t="n"/>
      <c r="K47" s="5" t="n"/>
      <c r="L47" s="5" t="n"/>
      <c r="M47" s="5" t="n"/>
      <c r="N47" s="5" t="n"/>
      <c r="O47" s="5" t="n"/>
      <c r="P47" s="5" t="n"/>
      <c r="Q47" s="5" t="n"/>
      <c r="R47" s="5" t="n"/>
      <c r="S47" s="5" t="n"/>
      <c r="T47" s="5" t="n"/>
      <c r="U47" s="5" t="n"/>
      <c r="V47" s="5" t="n"/>
      <c r="W47" s="5" t="n"/>
      <c r="X47" s="5" t="n"/>
      <c r="Y47" s="5" t="n"/>
      <c r="Z47" s="5" t="n"/>
    </row>
    <row r="48" ht="15.75" customHeight="1" s="79">
      <c r="A48" s="5" t="inlineStr">
        <is>
          <t>Auto Dealers &amp; Gas Stations</t>
        </is>
      </c>
      <c r="B48" s="40" t="inlineStr">
        <is>
          <t>N</t>
        </is>
      </c>
      <c r="C48" s="5" t="n"/>
      <c r="D48" s="5" t="inlineStr">
        <is>
          <t>FL</t>
        </is>
      </c>
      <c r="E48" s="40" t="inlineStr">
        <is>
          <t>N</t>
        </is>
      </c>
      <c r="F48" s="5" t="n"/>
      <c r="G48" s="5" t="inlineStr">
        <is>
          <t>Atla Finance</t>
        </is>
      </c>
      <c r="H48" s="40" t="inlineStr">
        <is>
          <t>N</t>
        </is>
      </c>
      <c r="I48" s="5" t="n"/>
      <c r="J48" s="5" t="n"/>
      <c r="K48" s="5" t="n"/>
      <c r="L48" s="5" t="n"/>
      <c r="M48" s="5" t="n"/>
      <c r="N48" s="5" t="n"/>
      <c r="O48" s="5" t="n"/>
      <c r="P48" s="5" t="n"/>
      <c r="Q48" s="5" t="n"/>
      <c r="R48" s="5" t="n"/>
      <c r="S48" s="5" t="n"/>
      <c r="T48" s="5" t="n"/>
      <c r="U48" s="5" t="n"/>
      <c r="V48" s="5" t="n"/>
      <c r="W48" s="5" t="n"/>
      <c r="X48" s="5" t="n"/>
      <c r="Y48" s="5" t="n"/>
      <c r="Z48" s="5" t="n"/>
    </row>
    <row r="49" ht="15.75" customHeight="1" s="79">
      <c r="A49" s="5" t="inlineStr">
        <is>
          <t>Auto Repair &amp; Services</t>
        </is>
      </c>
      <c r="B49" s="40" t="inlineStr">
        <is>
          <t>N</t>
        </is>
      </c>
      <c r="C49" s="5" t="n"/>
      <c r="D49" s="5" t="inlineStr">
        <is>
          <t>GA</t>
        </is>
      </c>
      <c r="E49" s="40" t="inlineStr">
        <is>
          <t>N</t>
        </is>
      </c>
      <c r="F49" s="5" t="n"/>
      <c r="G49" s="5" t="inlineStr">
        <is>
          <t>BFA 3</t>
        </is>
      </c>
      <c r="H49" s="40" t="inlineStr">
        <is>
          <t>N</t>
        </is>
      </c>
      <c r="I49" s="5" t="n"/>
      <c r="J49" s="5" t="n"/>
      <c r="K49" s="5" t="n"/>
      <c r="L49" s="5" t="n"/>
      <c r="M49" s="5" t="n"/>
      <c r="N49" s="5" t="n"/>
      <c r="O49" s="5" t="n"/>
      <c r="P49" s="5" t="n"/>
      <c r="Q49" s="5" t="n"/>
      <c r="R49" s="5" t="n"/>
      <c r="S49" s="5" t="n"/>
      <c r="T49" s="5" t="n"/>
      <c r="U49" s="5" t="n"/>
      <c r="V49" s="5" t="n"/>
      <c r="W49" s="5" t="n"/>
      <c r="X49" s="5" t="n"/>
      <c r="Y49" s="5" t="n"/>
      <c r="Z49" s="5" t="n"/>
    </row>
    <row r="50" ht="15.75" customHeight="1" s="79">
      <c r="A50" s="5" t="inlineStr">
        <is>
          <t>Building Materials &amp; Garden Supply</t>
        </is>
      </c>
      <c r="B50" s="40" t="inlineStr">
        <is>
          <t>N</t>
        </is>
      </c>
      <c r="C50" s="5" t="n"/>
      <c r="D50" s="5" t="inlineStr">
        <is>
          <t>HI</t>
        </is>
      </c>
      <c r="E50" s="40" t="inlineStr">
        <is>
          <t>N</t>
        </is>
      </c>
      <c r="F50" s="5" t="n"/>
      <c r="G50" s="5" t="inlineStr">
        <is>
          <t>Ballicci</t>
        </is>
      </c>
      <c r="H50" s="40" t="inlineStr">
        <is>
          <t>N</t>
        </is>
      </c>
      <c r="I50" s="5" t="n"/>
      <c r="J50" s="5" t="n"/>
      <c r="K50" s="5" t="n"/>
      <c r="L50" s="5" t="n"/>
      <c r="M50" s="5" t="n"/>
      <c r="N50" s="5" t="n"/>
      <c r="O50" s="5" t="n"/>
      <c r="P50" s="5" t="n"/>
      <c r="Q50" s="5" t="n"/>
      <c r="R50" s="5" t="n"/>
      <c r="S50" s="5" t="n"/>
      <c r="T50" s="5" t="n"/>
      <c r="U50" s="5" t="n"/>
      <c r="V50" s="5" t="n"/>
      <c r="W50" s="5" t="n"/>
      <c r="X50" s="5" t="n"/>
      <c r="Y50" s="5" t="n"/>
      <c r="Z50" s="5" t="n"/>
    </row>
    <row r="51" ht="15.75" customHeight="1" s="79">
      <c r="A51" s="5" t="inlineStr">
        <is>
          <t>Business Services</t>
        </is>
      </c>
      <c r="B51" s="40" t="inlineStr">
        <is>
          <t>N</t>
        </is>
      </c>
      <c r="C51" s="5" t="n"/>
      <c r="D51" s="5" t="inlineStr">
        <is>
          <t>IA</t>
        </is>
      </c>
      <c r="E51" s="40" t="inlineStr">
        <is>
          <t>N</t>
        </is>
      </c>
      <c r="F51" s="5" t="n"/>
      <c r="G51" s="5" t="inlineStr">
        <is>
          <t>Bingo advance LLC</t>
        </is>
      </c>
      <c r="H51" s="40" t="inlineStr">
        <is>
          <t>N</t>
        </is>
      </c>
      <c r="I51" s="5" t="n"/>
      <c r="J51" s="5" t="n"/>
      <c r="K51" s="5" t="n"/>
      <c r="L51" s="5" t="n"/>
      <c r="M51" s="5" t="n"/>
      <c r="N51" s="5" t="n"/>
      <c r="O51" s="5" t="n"/>
      <c r="P51" s="5" t="n"/>
      <c r="Q51" s="5" t="n"/>
      <c r="R51" s="5" t="n"/>
      <c r="S51" s="5" t="n"/>
      <c r="T51" s="5" t="n"/>
      <c r="U51" s="5" t="n"/>
      <c r="V51" s="5" t="n"/>
      <c r="W51" s="5" t="n"/>
      <c r="X51" s="5" t="n"/>
      <c r="Y51" s="5" t="n"/>
      <c r="Z51" s="5" t="n"/>
    </row>
    <row r="52" ht="15.75" customHeight="1" s="79">
      <c r="A52" s="5" t="inlineStr">
        <is>
          <t>Chemicals &amp; Allied Products</t>
        </is>
      </c>
      <c r="B52" s="40" t="inlineStr">
        <is>
          <t>N</t>
        </is>
      </c>
      <c r="C52" s="5" t="n"/>
      <c r="D52" s="5" t="inlineStr">
        <is>
          <t>ID</t>
        </is>
      </c>
      <c r="E52" s="40" t="inlineStr">
        <is>
          <t>N</t>
        </is>
      </c>
      <c r="F52" s="5" t="n"/>
      <c r="G52" s="5" t="inlineStr">
        <is>
          <t>Birkin Capital Inc</t>
        </is>
      </c>
      <c r="H52" s="40" t="inlineStr">
        <is>
          <t>N</t>
        </is>
      </c>
      <c r="I52" s="5" t="n"/>
      <c r="J52" s="5" t="n"/>
      <c r="K52" s="5" t="n"/>
      <c r="L52" s="5" t="n"/>
      <c r="M52" s="5" t="n"/>
      <c r="N52" s="5" t="n"/>
      <c r="O52" s="5" t="n"/>
      <c r="P52" s="5" t="n"/>
      <c r="Q52" s="5" t="n"/>
      <c r="R52" s="5" t="n"/>
      <c r="S52" s="5" t="n"/>
      <c r="T52" s="5" t="n"/>
      <c r="U52" s="5" t="n"/>
      <c r="V52" s="5" t="n"/>
      <c r="W52" s="5" t="n"/>
      <c r="X52" s="5" t="n"/>
      <c r="Y52" s="5" t="n"/>
      <c r="Z52" s="5" t="n"/>
    </row>
    <row r="53" ht="15.75" customHeight="1" s="79">
      <c r="A53" s="5" t="inlineStr">
        <is>
          <t>Communications</t>
        </is>
      </c>
      <c r="B53" s="40" t="inlineStr">
        <is>
          <t>N</t>
        </is>
      </c>
      <c r="C53" s="5" t="n"/>
      <c r="D53" s="5" t="inlineStr">
        <is>
          <t>IL</t>
        </is>
      </c>
      <c r="E53" s="40" t="inlineStr">
        <is>
          <t>N</t>
        </is>
      </c>
      <c r="F53" s="5" t="n"/>
      <c r="G53" s="5" t="inlineStr">
        <is>
          <t>Biz fuel</t>
        </is>
      </c>
      <c r="H53" s="40" t="inlineStr">
        <is>
          <t>N</t>
        </is>
      </c>
      <c r="I53" s="5" t="n"/>
      <c r="J53" s="5" t="n"/>
      <c r="K53" s="5" t="n"/>
      <c r="L53" s="5" t="n"/>
      <c r="M53" s="5" t="n"/>
      <c r="N53" s="5" t="n"/>
      <c r="O53" s="5" t="n"/>
      <c r="P53" s="5" t="n"/>
      <c r="Q53" s="5" t="n"/>
      <c r="R53" s="5" t="n"/>
      <c r="S53" s="5" t="n"/>
      <c r="T53" s="5" t="n"/>
      <c r="U53" s="5" t="n"/>
      <c r="V53" s="5" t="n"/>
      <c r="W53" s="5" t="n"/>
      <c r="X53" s="5" t="n"/>
      <c r="Y53" s="5" t="n"/>
      <c r="Z53" s="5" t="n"/>
    </row>
    <row r="54" ht="15.75" customHeight="1" s="79">
      <c r="A54" s="5" t="inlineStr">
        <is>
          <t>Eating &amp; Drinking Places</t>
        </is>
      </c>
      <c r="B54" s="40" t="inlineStr">
        <is>
          <t>N</t>
        </is>
      </c>
      <c r="C54" s="5" t="n"/>
      <c r="D54" s="5" t="inlineStr">
        <is>
          <t>IN</t>
        </is>
      </c>
      <c r="E54" s="40" t="inlineStr">
        <is>
          <t>N</t>
        </is>
      </c>
      <c r="F54" s="5" t="n"/>
      <c r="G54" s="5" t="inlineStr">
        <is>
          <t>BizFin LLC</t>
        </is>
      </c>
      <c r="H54" s="40" t="inlineStr">
        <is>
          <t>N</t>
        </is>
      </c>
      <c r="I54" s="5" t="n"/>
      <c r="J54" s="5" t="n"/>
      <c r="K54" s="5" t="n"/>
      <c r="L54" s="5" t="n"/>
      <c r="M54" s="5" t="n"/>
      <c r="N54" s="5" t="n"/>
      <c r="O54" s="5" t="n"/>
      <c r="P54" s="5" t="n"/>
      <c r="Q54" s="5" t="n"/>
      <c r="R54" s="5" t="n"/>
      <c r="S54" s="5" t="n"/>
      <c r="T54" s="5" t="n"/>
      <c r="U54" s="5" t="n"/>
      <c r="V54" s="5" t="n"/>
      <c r="W54" s="5" t="n"/>
      <c r="X54" s="5" t="n"/>
      <c r="Y54" s="5" t="n"/>
      <c r="Z54" s="5" t="n"/>
    </row>
    <row r="55" ht="15.75" customHeight="1" s="79">
      <c r="A55" s="5" t="inlineStr">
        <is>
          <t>Educational Services</t>
        </is>
      </c>
      <c r="B55" s="40" t="inlineStr">
        <is>
          <t>N</t>
        </is>
      </c>
      <c r="C55" s="5" t="n"/>
      <c r="D55" s="5" t="inlineStr">
        <is>
          <t>KS</t>
        </is>
      </c>
      <c r="E55" s="40" t="inlineStr">
        <is>
          <t>N</t>
        </is>
      </c>
      <c r="F55" s="5" t="n"/>
      <c r="G55" s="5" t="inlineStr">
        <is>
          <t>Black Tie Funding</t>
        </is>
      </c>
      <c r="H55" s="40" t="inlineStr">
        <is>
          <t>N</t>
        </is>
      </c>
      <c r="I55" s="5" t="n"/>
      <c r="J55" s="5" t="n"/>
      <c r="K55" s="5" t="n"/>
      <c r="L55" s="5" t="n"/>
      <c r="M55" s="5" t="n"/>
      <c r="N55" s="5" t="n"/>
      <c r="O55" s="5" t="n"/>
      <c r="P55" s="5" t="n"/>
      <c r="Q55" s="5" t="n"/>
      <c r="R55" s="5" t="n"/>
      <c r="S55" s="5" t="n"/>
      <c r="T55" s="5" t="n"/>
      <c r="U55" s="5" t="n"/>
      <c r="V55" s="5" t="n"/>
      <c r="W55" s="5" t="n"/>
      <c r="X55" s="5" t="n"/>
      <c r="Y55" s="5" t="n"/>
      <c r="Z55" s="5" t="n"/>
    </row>
    <row r="56" ht="15.75" customHeight="1" s="79">
      <c r="A56" s="5" t="inlineStr">
        <is>
          <t>Electric, Gas &amp; Sanitary Services</t>
        </is>
      </c>
      <c r="B56" s="40" t="inlineStr">
        <is>
          <t>N</t>
        </is>
      </c>
      <c r="C56" s="5" t="n"/>
      <c r="D56" s="5" t="inlineStr">
        <is>
          <t>KY</t>
        </is>
      </c>
      <c r="E56" s="40" t="inlineStr">
        <is>
          <t>N</t>
        </is>
      </c>
      <c r="F56" s="5" t="n"/>
      <c r="G56" s="5" t="inlineStr">
        <is>
          <t>Blue Oak Advance</t>
        </is>
      </c>
      <c r="H56" s="40" t="inlineStr">
        <is>
          <t>N</t>
        </is>
      </c>
      <c r="I56" s="5" t="n"/>
      <c r="J56" s="5" t="n"/>
      <c r="K56" s="5" t="n"/>
      <c r="L56" s="5" t="n"/>
      <c r="M56" s="5" t="n"/>
      <c r="N56" s="5" t="n"/>
      <c r="O56" s="5" t="n"/>
      <c r="P56" s="5" t="n"/>
      <c r="Q56" s="5" t="n"/>
      <c r="R56" s="5" t="n"/>
      <c r="S56" s="5" t="n"/>
      <c r="T56" s="5" t="n"/>
      <c r="U56" s="5" t="n"/>
      <c r="V56" s="5" t="n"/>
      <c r="W56" s="5" t="n"/>
      <c r="X56" s="5" t="n"/>
      <c r="Y56" s="5" t="n"/>
      <c r="Z56" s="5" t="n"/>
    </row>
    <row r="57" ht="15.75" customHeight="1" s="79">
      <c r="A57" s="5" t="inlineStr">
        <is>
          <t>Electronic &amp; Electrical Equipment</t>
        </is>
      </c>
      <c r="B57" s="40" t="inlineStr">
        <is>
          <t>N</t>
        </is>
      </c>
      <c r="C57" s="5" t="n"/>
      <c r="D57" s="5" t="inlineStr">
        <is>
          <t>LA</t>
        </is>
      </c>
      <c r="E57" s="40" t="inlineStr">
        <is>
          <t>Y</t>
        </is>
      </c>
      <c r="F57" s="5" t="n"/>
      <c r="G57" s="5" t="inlineStr">
        <is>
          <t>Broadway Advance LLC</t>
        </is>
      </c>
      <c r="H57" s="40" t="inlineStr">
        <is>
          <t>N</t>
        </is>
      </c>
      <c r="I57" s="5" t="n"/>
      <c r="J57" s="5" t="n"/>
      <c r="K57" s="5" t="n"/>
      <c r="L57" s="5" t="n"/>
      <c r="M57" s="5" t="n"/>
      <c r="N57" s="5" t="n"/>
      <c r="O57" s="5" t="n"/>
      <c r="P57" s="5" t="n"/>
      <c r="Q57" s="5" t="n"/>
      <c r="R57" s="5" t="n"/>
      <c r="S57" s="5" t="n"/>
      <c r="T57" s="5" t="n"/>
      <c r="U57" s="5" t="n"/>
      <c r="V57" s="5" t="n"/>
      <c r="W57" s="5" t="n"/>
      <c r="X57" s="5" t="n"/>
      <c r="Y57" s="5" t="n"/>
      <c r="Z57" s="5" t="n"/>
    </row>
    <row r="58" ht="15.75" customHeight="1" s="79">
      <c r="A58" s="5" t="inlineStr">
        <is>
          <t>Engineering, Accounting &amp; Management</t>
        </is>
      </c>
      <c r="B58" s="40" t="inlineStr">
        <is>
          <t>Y</t>
        </is>
      </c>
      <c r="C58" s="5" t="n"/>
      <c r="D58" s="5" t="inlineStr">
        <is>
          <t>MA</t>
        </is>
      </c>
      <c r="E58" s="40" t="inlineStr">
        <is>
          <t>N</t>
        </is>
      </c>
      <c r="F58" s="5" t="n"/>
      <c r="G58" s="5" t="inlineStr">
        <is>
          <t>Business Fund USA 4</t>
        </is>
      </c>
      <c r="H58" s="40" t="inlineStr">
        <is>
          <t>N</t>
        </is>
      </c>
      <c r="I58" s="5" t="n"/>
      <c r="J58" s="5" t="n"/>
      <c r="K58" s="5" t="n"/>
      <c r="L58" s="5" t="n"/>
      <c r="M58" s="5" t="n"/>
      <c r="N58" s="5" t="n"/>
      <c r="O58" s="5" t="n"/>
      <c r="P58" s="5" t="n"/>
      <c r="Q58" s="5" t="n"/>
      <c r="R58" s="5" t="n"/>
      <c r="S58" s="5" t="n"/>
      <c r="T58" s="5" t="n"/>
      <c r="U58" s="5" t="n"/>
      <c r="V58" s="5" t="n"/>
      <c r="W58" s="5" t="n"/>
      <c r="X58" s="5" t="n"/>
      <c r="Y58" s="5" t="n"/>
      <c r="Z58" s="5" t="n"/>
    </row>
    <row r="59" ht="15.75" customHeight="1" s="79">
      <c r="A59" s="5" t="inlineStr">
        <is>
          <t>Environmental Quality &amp; Housing</t>
        </is>
      </c>
      <c r="B59" s="40" t="inlineStr">
        <is>
          <t>N</t>
        </is>
      </c>
      <c r="C59" s="5" t="n"/>
      <c r="D59" s="5" t="inlineStr">
        <is>
          <t>MD</t>
        </is>
      </c>
      <c r="E59" s="40" t="inlineStr">
        <is>
          <t>N</t>
        </is>
      </c>
      <c r="F59" s="5" t="n"/>
      <c r="G59" s="5" t="inlineStr">
        <is>
          <t>CARE FUNDING GROUP</t>
        </is>
      </c>
      <c r="H59" s="40" t="inlineStr">
        <is>
          <t>N</t>
        </is>
      </c>
      <c r="I59" s="5" t="n"/>
      <c r="J59" s="5" t="n"/>
      <c r="K59" s="5" t="n"/>
      <c r="L59" s="5" t="n"/>
      <c r="M59" s="5" t="n"/>
      <c r="N59" s="5" t="n"/>
      <c r="O59" s="5" t="n"/>
      <c r="P59" s="5" t="n"/>
      <c r="Q59" s="5" t="n"/>
      <c r="R59" s="5" t="n"/>
      <c r="S59" s="5" t="n"/>
      <c r="T59" s="5" t="n"/>
      <c r="U59" s="5" t="n"/>
      <c r="V59" s="5" t="n"/>
      <c r="W59" s="5" t="n"/>
      <c r="X59" s="5" t="n"/>
      <c r="Y59" s="5" t="n"/>
      <c r="Z59" s="5" t="n"/>
    </row>
    <row r="60" ht="15.75" customHeight="1" s="79">
      <c r="A60" s="5" t="inlineStr">
        <is>
          <t>Fabricated Metal Products</t>
        </is>
      </c>
      <c r="B60" s="40" t="inlineStr">
        <is>
          <t>N</t>
        </is>
      </c>
      <c r="C60" s="5" t="n"/>
      <c r="D60" s="5" t="inlineStr">
        <is>
          <t>ME</t>
        </is>
      </c>
      <c r="E60" s="40" t="inlineStr">
        <is>
          <t>N</t>
        </is>
      </c>
      <c r="F60" s="5" t="n"/>
      <c r="G60" s="5" t="inlineStr">
        <is>
          <t>CNL LOANS</t>
        </is>
      </c>
      <c r="H60" s="40" t="inlineStr">
        <is>
          <t>N</t>
        </is>
      </c>
      <c r="I60" s="5" t="n"/>
      <c r="J60" s="5" t="n"/>
      <c r="K60" s="5" t="n"/>
      <c r="L60" s="5" t="n"/>
      <c r="M60" s="5" t="n"/>
      <c r="N60" s="5" t="n"/>
      <c r="O60" s="5" t="n"/>
      <c r="P60" s="5" t="n"/>
      <c r="Q60" s="5" t="n"/>
      <c r="R60" s="5" t="n"/>
      <c r="S60" s="5" t="n"/>
      <c r="T60" s="5" t="n"/>
      <c r="U60" s="5" t="n"/>
      <c r="V60" s="5" t="n"/>
      <c r="W60" s="5" t="n"/>
      <c r="X60" s="5" t="n"/>
      <c r="Y60" s="5" t="n"/>
      <c r="Z60" s="5" t="n"/>
    </row>
    <row r="61" ht="15.75" customHeight="1" s="79">
      <c r="A61" s="5" t="inlineStr">
        <is>
          <t>Food &amp; Kindred Products</t>
        </is>
      </c>
      <c r="B61" s="40" t="inlineStr">
        <is>
          <t>N</t>
        </is>
      </c>
      <c r="C61" s="5" t="n"/>
      <c r="D61" s="5" t="inlineStr">
        <is>
          <t>MI</t>
        </is>
      </c>
      <c r="E61" s="40" t="inlineStr">
        <is>
          <t>N</t>
        </is>
      </c>
      <c r="F61" s="5" t="n"/>
      <c r="G61" s="5" t="inlineStr">
        <is>
          <t>Can I Have Money</t>
        </is>
      </c>
      <c r="H61" s="40" t="inlineStr">
        <is>
          <t>N</t>
        </is>
      </c>
      <c r="I61" s="5" t="n"/>
      <c r="J61" s="5" t="n"/>
      <c r="K61" s="5" t="n"/>
      <c r="L61" s="5" t="n"/>
      <c r="M61" s="5" t="n"/>
      <c r="N61" s="5" t="n"/>
      <c r="O61" s="5" t="n"/>
      <c r="P61" s="5" t="n"/>
      <c r="Q61" s="5" t="n"/>
      <c r="R61" s="5" t="n"/>
      <c r="S61" s="5" t="n"/>
      <c r="T61" s="5" t="n"/>
      <c r="U61" s="5" t="n"/>
      <c r="V61" s="5" t="n"/>
      <c r="W61" s="5" t="n"/>
      <c r="X61" s="5" t="n"/>
      <c r="Y61" s="5" t="n"/>
      <c r="Z61" s="5" t="n"/>
    </row>
    <row r="62" ht="15.75" customHeight="1" s="79">
      <c r="A62" s="5" t="inlineStr">
        <is>
          <t>Food Stores</t>
        </is>
      </c>
      <c r="B62" s="40" t="inlineStr">
        <is>
          <t>N</t>
        </is>
      </c>
      <c r="C62" s="5" t="n"/>
      <c r="D62" s="5" t="inlineStr">
        <is>
          <t>MN</t>
        </is>
      </c>
      <c r="E62" s="40" t="inlineStr">
        <is>
          <t>Y</t>
        </is>
      </c>
      <c r="F62" s="5" t="n"/>
      <c r="G62" s="5" t="inlineStr">
        <is>
          <t>Capfront Funding</t>
        </is>
      </c>
      <c r="H62" s="40" t="inlineStr">
        <is>
          <t>N</t>
        </is>
      </c>
      <c r="I62" s="5" t="n"/>
      <c r="J62" s="5" t="n"/>
      <c r="K62" s="5" t="n"/>
      <c r="L62" s="5" t="n"/>
      <c r="M62" s="5" t="n"/>
      <c r="N62" s="5" t="n"/>
      <c r="O62" s="5" t="n"/>
      <c r="P62" s="5" t="n"/>
      <c r="Q62" s="5" t="n"/>
      <c r="R62" s="5" t="n"/>
      <c r="S62" s="5" t="n"/>
      <c r="T62" s="5" t="n"/>
      <c r="U62" s="5" t="n"/>
      <c r="V62" s="5" t="n"/>
      <c r="W62" s="5" t="n"/>
      <c r="X62" s="5" t="n"/>
      <c r="Y62" s="5" t="n"/>
      <c r="Z62" s="5" t="n"/>
    </row>
    <row r="63" ht="15.75" customHeight="1" s="79">
      <c r="A63" s="5" t="inlineStr">
        <is>
          <t>Forestry</t>
        </is>
      </c>
      <c r="B63" s="40" t="inlineStr">
        <is>
          <t>N</t>
        </is>
      </c>
      <c r="C63" s="5" t="n"/>
      <c r="D63" s="5" t="inlineStr">
        <is>
          <t>MO</t>
        </is>
      </c>
      <c r="E63" s="40" t="inlineStr">
        <is>
          <t>N</t>
        </is>
      </c>
      <c r="F63" s="5" t="n"/>
      <c r="G63" s="5" t="inlineStr">
        <is>
          <t>Capital 1 Group LLC DBA Tier One Financing LLC</t>
        </is>
      </c>
      <c r="H63" s="40" t="inlineStr">
        <is>
          <t>N</t>
        </is>
      </c>
      <c r="I63" s="5" t="n"/>
      <c r="J63" s="5" t="n"/>
      <c r="K63" s="5" t="n"/>
      <c r="L63" s="5" t="n"/>
      <c r="M63" s="5" t="n"/>
      <c r="N63" s="5" t="n"/>
      <c r="O63" s="5" t="n"/>
      <c r="P63" s="5" t="n"/>
      <c r="Q63" s="5" t="n"/>
      <c r="R63" s="5" t="n"/>
      <c r="S63" s="5" t="n"/>
      <c r="T63" s="5" t="n"/>
      <c r="U63" s="5" t="n"/>
      <c r="V63" s="5" t="n"/>
      <c r="W63" s="5" t="n"/>
      <c r="X63" s="5" t="n"/>
      <c r="Y63" s="5" t="n"/>
      <c r="Z63" s="5" t="n"/>
    </row>
    <row r="64" ht="15.75" customHeight="1" s="79">
      <c r="A64" s="5" t="inlineStr">
        <is>
          <t>Furniture &amp; Fixtures</t>
        </is>
      </c>
      <c r="B64" s="40" t="inlineStr">
        <is>
          <t>N</t>
        </is>
      </c>
      <c r="C64" s="5" t="n"/>
      <c r="D64" s="5" t="inlineStr">
        <is>
          <t>MS</t>
        </is>
      </c>
      <c r="E64" s="40" t="inlineStr">
        <is>
          <t>N</t>
        </is>
      </c>
      <c r="F64" s="5" t="n"/>
      <c r="G64" s="5" t="inlineStr">
        <is>
          <t>Choicecapital Solutions LLC</t>
        </is>
      </c>
      <c r="H64" s="40" t="inlineStr">
        <is>
          <t>N</t>
        </is>
      </c>
      <c r="I64" s="5" t="n"/>
      <c r="J64" s="5" t="n"/>
      <c r="K64" s="5" t="n"/>
      <c r="L64" s="5" t="n"/>
      <c r="M64" s="5" t="n"/>
      <c r="N64" s="5" t="n"/>
      <c r="O64" s="5" t="n"/>
      <c r="P64" s="5" t="n"/>
      <c r="Q64" s="5" t="n"/>
      <c r="R64" s="5" t="n"/>
      <c r="S64" s="5" t="n"/>
      <c r="T64" s="5" t="n"/>
      <c r="U64" s="5" t="n"/>
      <c r="V64" s="5" t="n"/>
      <c r="W64" s="5" t="n"/>
      <c r="X64" s="5" t="n"/>
      <c r="Y64" s="5" t="n"/>
      <c r="Z64" s="5" t="n"/>
    </row>
    <row r="65" ht="15.75" customHeight="1" s="79">
      <c r="A65" s="5" t="inlineStr">
        <is>
          <t>Furniture &amp; Home Furnishings Stores</t>
        </is>
      </c>
      <c r="B65" s="40" t="inlineStr">
        <is>
          <t>N</t>
        </is>
      </c>
      <c r="C65" s="5" t="n"/>
      <c r="D65" s="5" t="inlineStr">
        <is>
          <t>MT</t>
        </is>
      </c>
      <c r="E65" s="40" t="inlineStr">
        <is>
          <t>N</t>
        </is>
      </c>
      <c r="F65" s="5" t="n"/>
      <c r="G65" s="5" t="inlineStr">
        <is>
          <t>City Wide Capital</t>
        </is>
      </c>
      <c r="H65" s="40" t="inlineStr">
        <is>
          <t>N</t>
        </is>
      </c>
      <c r="I65" s="5" t="n"/>
      <c r="J65" s="5" t="n"/>
      <c r="K65" s="5" t="n"/>
      <c r="L65" s="5" t="n"/>
      <c r="M65" s="5" t="n"/>
      <c r="N65" s="5" t="n"/>
      <c r="O65" s="5" t="n"/>
      <c r="P65" s="5" t="n"/>
      <c r="Q65" s="5" t="n"/>
      <c r="R65" s="5" t="n"/>
      <c r="S65" s="5" t="n"/>
      <c r="T65" s="5" t="n"/>
      <c r="U65" s="5" t="n"/>
      <c r="V65" s="5" t="n"/>
      <c r="W65" s="5" t="n"/>
      <c r="X65" s="5" t="n"/>
      <c r="Y65" s="5" t="n"/>
      <c r="Z65" s="5" t="n"/>
    </row>
    <row r="66" ht="15.75" customHeight="1" s="79">
      <c r="A66" s="5" t="inlineStr">
        <is>
          <t>General Building Contractors</t>
        </is>
      </c>
      <c r="B66" s="40" t="inlineStr">
        <is>
          <t>N</t>
        </is>
      </c>
      <c r="C66" s="5" t="n"/>
      <c r="D66" s="5" t="inlineStr">
        <is>
          <t>NC</t>
        </is>
      </c>
      <c r="E66" s="40" t="inlineStr">
        <is>
          <t>N</t>
        </is>
      </c>
      <c r="F66" s="5" t="n"/>
      <c r="G66" s="5" t="inlineStr">
        <is>
          <t>Clover Capital</t>
        </is>
      </c>
      <c r="H66" s="40" t="inlineStr">
        <is>
          <t>N</t>
        </is>
      </c>
      <c r="I66" s="5" t="n"/>
      <c r="J66" s="5" t="n"/>
      <c r="K66" s="5" t="n"/>
      <c r="L66" s="5" t="n"/>
      <c r="M66" s="5" t="n"/>
      <c r="N66" s="5" t="n"/>
      <c r="O66" s="5" t="n"/>
      <c r="P66" s="5" t="n"/>
      <c r="Q66" s="5" t="n"/>
      <c r="R66" s="5" t="n"/>
      <c r="S66" s="5" t="n"/>
      <c r="T66" s="5" t="n"/>
      <c r="U66" s="5" t="n"/>
      <c r="V66" s="5" t="n"/>
      <c r="W66" s="5" t="n"/>
      <c r="X66" s="5" t="n"/>
      <c r="Y66" s="5" t="n"/>
      <c r="Z66" s="5" t="n"/>
    </row>
    <row r="67" ht="15.75" customHeight="1" s="79">
      <c r="A67" s="5" t="inlineStr">
        <is>
          <t>General Merchandise Stores</t>
        </is>
      </c>
      <c r="B67" s="40" t="inlineStr">
        <is>
          <t>N</t>
        </is>
      </c>
      <c r="C67" s="5" t="n"/>
      <c r="D67" s="5" t="inlineStr">
        <is>
          <t>ND</t>
        </is>
      </c>
      <c r="E67" s="40" t="inlineStr">
        <is>
          <t>N</t>
        </is>
      </c>
      <c r="F67" s="5" t="n"/>
      <c r="G67" s="5" t="inlineStr">
        <is>
          <t>Credibly</t>
        </is>
      </c>
      <c r="H67" s="40" t="inlineStr">
        <is>
          <t>N</t>
        </is>
      </c>
      <c r="I67" s="5" t="n"/>
      <c r="J67" s="5" t="n"/>
      <c r="K67" s="5" t="n"/>
      <c r="L67" s="5" t="n"/>
      <c r="M67" s="5" t="n"/>
      <c r="N67" s="5" t="n"/>
      <c r="O67" s="5" t="n"/>
      <c r="P67" s="5" t="n"/>
      <c r="Q67" s="5" t="n"/>
      <c r="R67" s="5" t="n"/>
      <c r="S67" s="5" t="n"/>
      <c r="T67" s="5" t="n"/>
      <c r="U67" s="5" t="n"/>
      <c r="V67" s="5" t="n"/>
      <c r="W67" s="5" t="n"/>
      <c r="X67" s="5" t="n"/>
      <c r="Y67" s="5" t="n"/>
      <c r="Z67" s="5" t="n"/>
    </row>
    <row r="68" ht="15.75" customHeight="1" s="79">
      <c r="A68" s="5" t="inlineStr">
        <is>
          <t>Health Services</t>
        </is>
      </c>
      <c r="B68" s="40" t="inlineStr">
        <is>
          <t>N</t>
        </is>
      </c>
      <c r="C68" s="5" t="n"/>
      <c r="D68" s="5" t="inlineStr">
        <is>
          <t>NH</t>
        </is>
      </c>
      <c r="E68" s="40" t="inlineStr">
        <is>
          <t>N</t>
        </is>
      </c>
      <c r="F68" s="5" t="n"/>
      <c r="G68" s="5" t="inlineStr">
        <is>
          <t>DBS FUNDING GROUP</t>
        </is>
      </c>
      <c r="H68" s="40" t="inlineStr">
        <is>
          <t>N</t>
        </is>
      </c>
      <c r="I68" s="5" t="n"/>
      <c r="J68" s="5" t="n"/>
      <c r="K68" s="5" t="n"/>
      <c r="L68" s="5" t="n"/>
      <c r="M68" s="5" t="n"/>
      <c r="N68" s="5" t="n"/>
      <c r="O68" s="5" t="n"/>
      <c r="P68" s="5" t="n"/>
      <c r="Q68" s="5" t="n"/>
      <c r="R68" s="5" t="n"/>
      <c r="S68" s="5" t="n"/>
      <c r="T68" s="5" t="n"/>
      <c r="U68" s="5" t="n"/>
      <c r="V68" s="5" t="n"/>
      <c r="W68" s="5" t="n"/>
      <c r="X68" s="5" t="n"/>
      <c r="Y68" s="5" t="n"/>
      <c r="Z68" s="5" t="n"/>
    </row>
    <row r="69" ht="15.75" customHeight="1" s="79">
      <c r="A69" s="5" t="inlineStr">
        <is>
          <t>Heavy Construction</t>
        </is>
      </c>
      <c r="B69" s="40" t="inlineStr">
        <is>
          <t>N</t>
        </is>
      </c>
      <c r="C69" s="5" t="n"/>
      <c r="D69" s="5" t="inlineStr">
        <is>
          <t>NJ</t>
        </is>
      </c>
      <c r="E69" s="40" t="inlineStr">
        <is>
          <t>N</t>
        </is>
      </c>
      <c r="F69" s="5" t="n"/>
      <c r="G69" s="5" t="inlineStr">
        <is>
          <t>DIRECT CAPITAL SOURCE, INC.</t>
        </is>
      </c>
      <c r="H69" s="40" t="inlineStr">
        <is>
          <t>N</t>
        </is>
      </c>
      <c r="I69" s="5" t="n"/>
      <c r="J69" s="5" t="n"/>
      <c r="K69" s="5" t="n"/>
      <c r="L69" s="5" t="n"/>
      <c r="M69" s="5" t="n"/>
      <c r="N69" s="5" t="n"/>
      <c r="O69" s="5" t="n"/>
      <c r="P69" s="5" t="n"/>
      <c r="Q69" s="5" t="n"/>
      <c r="R69" s="5" t="n"/>
      <c r="S69" s="5" t="n"/>
      <c r="T69" s="5" t="n"/>
      <c r="U69" s="5" t="n"/>
      <c r="V69" s="5" t="n"/>
      <c r="W69" s="5" t="n"/>
      <c r="X69" s="5" t="n"/>
      <c r="Y69" s="5" t="n"/>
      <c r="Z69" s="5" t="n"/>
    </row>
    <row r="70" ht="15.75" customHeight="1" s="79">
      <c r="A70" s="5" t="inlineStr">
        <is>
          <t>Hotels &amp; Lodging</t>
        </is>
      </c>
      <c r="B70" s="40" t="inlineStr">
        <is>
          <t>N</t>
        </is>
      </c>
      <c r="C70" s="5" t="n"/>
      <c r="D70" s="5" t="inlineStr">
        <is>
          <t>NM</t>
        </is>
      </c>
      <c r="E70" s="40" t="inlineStr">
        <is>
          <t>N</t>
        </is>
      </c>
      <c r="F70" s="5" t="n"/>
      <c r="G70" s="5" t="inlineStr">
        <is>
          <t>Deal Struck</t>
        </is>
      </c>
      <c r="H70" s="40" t="inlineStr">
        <is>
          <t>N</t>
        </is>
      </c>
      <c r="I70" s="5" t="n"/>
      <c r="J70" s="5" t="n"/>
      <c r="K70" s="5" t="n"/>
      <c r="L70" s="5" t="n"/>
      <c r="M70" s="5" t="n"/>
      <c r="N70" s="5" t="n"/>
      <c r="O70" s="5" t="n"/>
      <c r="P70" s="5" t="n"/>
      <c r="Q70" s="5" t="n"/>
      <c r="R70" s="5" t="n"/>
      <c r="S70" s="5" t="n"/>
      <c r="T70" s="5" t="n"/>
      <c r="U70" s="5" t="n"/>
      <c r="V70" s="5" t="n"/>
      <c r="W70" s="5" t="n"/>
      <c r="X70" s="5" t="n"/>
      <c r="Y70" s="5" t="n"/>
      <c r="Z70" s="5" t="n"/>
    </row>
    <row r="71" ht="15.75" customHeight="1" s="79">
      <c r="A71" s="5" t="inlineStr">
        <is>
          <t>Industrial Machinery &amp; Equipment</t>
        </is>
      </c>
      <c r="B71" s="40" t="inlineStr">
        <is>
          <t>N</t>
        </is>
      </c>
      <c r="C71" s="5" t="n"/>
      <c r="D71" s="5" t="inlineStr">
        <is>
          <t>NV</t>
        </is>
      </c>
      <c r="E71" s="40" t="inlineStr">
        <is>
          <t>N</t>
        </is>
      </c>
      <c r="F71" s="5" t="n"/>
      <c r="G71" s="5" t="inlineStr">
        <is>
          <t>Diamond Bar Funding</t>
        </is>
      </c>
      <c r="H71" s="40" t="inlineStr">
        <is>
          <t>N</t>
        </is>
      </c>
      <c r="I71" s="5" t="n"/>
      <c r="J71" s="5" t="n"/>
      <c r="K71" s="5" t="n"/>
      <c r="L71" s="5" t="n"/>
      <c r="M71" s="5" t="n"/>
      <c r="N71" s="5" t="n"/>
      <c r="O71" s="5" t="n"/>
      <c r="P71" s="5" t="n"/>
      <c r="Q71" s="5" t="n"/>
      <c r="R71" s="5" t="n"/>
      <c r="S71" s="5" t="n"/>
      <c r="T71" s="5" t="n"/>
      <c r="U71" s="5" t="n"/>
      <c r="V71" s="5" t="n"/>
      <c r="W71" s="5" t="n"/>
      <c r="X71" s="5" t="n"/>
      <c r="Y71" s="5" t="n"/>
      <c r="Z71" s="5" t="n"/>
    </row>
    <row r="72" ht="15.75" customHeight="1" s="79">
      <c r="A72" s="5" t="inlineStr">
        <is>
          <t>Instruments &amp; Related Products</t>
        </is>
      </c>
      <c r="B72" s="40" t="inlineStr">
        <is>
          <t>N</t>
        </is>
      </c>
      <c r="C72" s="5" t="n"/>
      <c r="D72" s="5" t="inlineStr">
        <is>
          <t>NY</t>
        </is>
      </c>
      <c r="E72" s="40" t="inlineStr">
        <is>
          <t>N</t>
        </is>
      </c>
      <c r="F72" s="5" t="n"/>
      <c r="G72" s="5" t="inlineStr">
        <is>
          <t>Direct Funding LLC</t>
        </is>
      </c>
      <c r="H72" s="40" t="inlineStr">
        <is>
          <t>N</t>
        </is>
      </c>
      <c r="I72" s="5" t="n"/>
      <c r="J72" s="5" t="n"/>
      <c r="K72" s="5" t="n"/>
      <c r="L72" s="5" t="n"/>
      <c r="M72" s="5" t="n"/>
      <c r="N72" s="5" t="n"/>
      <c r="O72" s="5" t="n"/>
      <c r="P72" s="5" t="n"/>
      <c r="Q72" s="5" t="n"/>
      <c r="R72" s="5" t="n"/>
      <c r="S72" s="5" t="n"/>
      <c r="T72" s="5" t="n"/>
      <c r="U72" s="5" t="n"/>
      <c r="V72" s="5" t="n"/>
      <c r="W72" s="5" t="n"/>
      <c r="X72" s="5" t="n"/>
      <c r="Y72" s="5" t="n"/>
      <c r="Z72" s="5" t="n"/>
    </row>
    <row r="73" ht="15.75" customHeight="1" s="79">
      <c r="A73" s="5" t="inlineStr">
        <is>
          <t>Insurance Agents &amp; Brokers</t>
        </is>
      </c>
      <c r="B73" s="40" t="inlineStr">
        <is>
          <t>N</t>
        </is>
      </c>
      <c r="C73" s="5" t="n"/>
      <c r="D73" s="5" t="inlineStr">
        <is>
          <t>No state</t>
        </is>
      </c>
      <c r="E73" s="40" t="inlineStr">
        <is>
          <t>N</t>
        </is>
      </c>
      <c r="F73" s="5" t="n"/>
      <c r="G73" s="5" t="inlineStr">
        <is>
          <t>Dubbs holding</t>
        </is>
      </c>
      <c r="H73" s="40" t="inlineStr">
        <is>
          <t>N</t>
        </is>
      </c>
      <c r="I73" s="5" t="n"/>
      <c r="J73" s="5" t="n"/>
      <c r="K73" s="5" t="n"/>
      <c r="L73" s="5" t="n"/>
      <c r="M73" s="5" t="n"/>
      <c r="N73" s="5" t="n"/>
      <c r="O73" s="5" t="n"/>
      <c r="P73" s="5" t="n"/>
      <c r="Q73" s="5" t="n"/>
      <c r="R73" s="5" t="n"/>
      <c r="S73" s="5" t="n"/>
      <c r="T73" s="5" t="n"/>
      <c r="U73" s="5" t="n"/>
      <c r="V73" s="5" t="n"/>
      <c r="W73" s="5" t="n"/>
      <c r="X73" s="5" t="n"/>
      <c r="Y73" s="5" t="n"/>
      <c r="Z73" s="5" t="n"/>
    </row>
    <row r="74" ht="15.75" customHeight="1" s="79">
      <c r="A74" s="5" t="inlineStr">
        <is>
          <t>Insurance Carriers</t>
        </is>
      </c>
      <c r="B74" s="40" t="inlineStr">
        <is>
          <t>N</t>
        </is>
      </c>
      <c r="C74" s="5" t="n"/>
      <c r="D74" s="5" t="inlineStr">
        <is>
          <t>OH</t>
        </is>
      </c>
      <c r="E74" s="40" t="inlineStr">
        <is>
          <t>N</t>
        </is>
      </c>
      <c r="F74" s="5" t="n"/>
      <c r="G74" s="5" t="inlineStr">
        <is>
          <t>ELITE FUNDING PARTNERS LLC 6</t>
        </is>
      </c>
      <c r="H74" s="40" t="inlineStr">
        <is>
          <t>N</t>
        </is>
      </c>
      <c r="I74" s="5" t="n"/>
      <c r="J74" s="5" t="n"/>
      <c r="K74" s="5" t="n"/>
      <c r="L74" s="5" t="n"/>
      <c r="M74" s="5" t="n"/>
      <c r="N74" s="5" t="n"/>
      <c r="O74" s="5" t="n"/>
      <c r="P74" s="5" t="n"/>
      <c r="Q74" s="5" t="n"/>
      <c r="R74" s="5" t="n"/>
      <c r="S74" s="5" t="n"/>
      <c r="T74" s="5" t="n"/>
      <c r="U74" s="5" t="n"/>
      <c r="V74" s="5" t="n"/>
      <c r="W74" s="5" t="n"/>
      <c r="X74" s="5" t="n"/>
      <c r="Y74" s="5" t="n"/>
      <c r="Z74" s="5" t="n"/>
    </row>
    <row r="75" ht="15.75" customHeight="1" s="79">
      <c r="A75" s="5" t="inlineStr">
        <is>
          <t>Justice, Public Order &amp; Safety</t>
        </is>
      </c>
      <c r="B75" s="40" t="inlineStr">
        <is>
          <t>N</t>
        </is>
      </c>
      <c r="C75" s="5" t="n"/>
      <c r="D75" s="5" t="inlineStr">
        <is>
          <t>OK</t>
        </is>
      </c>
      <c r="E75" s="40" t="inlineStr">
        <is>
          <t>Y</t>
        </is>
      </c>
      <c r="F75" s="5" t="n"/>
      <c r="G75" s="5" t="inlineStr">
        <is>
          <t>EVR GREEN LLC</t>
        </is>
      </c>
      <c r="H75" s="40" t="inlineStr">
        <is>
          <t>N</t>
        </is>
      </c>
      <c r="I75" s="5" t="n"/>
      <c r="J75" s="5" t="n"/>
      <c r="K75" s="5" t="n"/>
      <c r="L75" s="5" t="n"/>
      <c r="M75" s="5" t="n"/>
      <c r="N75" s="5" t="n"/>
      <c r="O75" s="5" t="n"/>
      <c r="P75" s="5" t="n"/>
      <c r="Q75" s="5" t="n"/>
      <c r="R75" s="5" t="n"/>
      <c r="S75" s="5" t="n"/>
      <c r="T75" s="5" t="n"/>
      <c r="U75" s="5" t="n"/>
      <c r="V75" s="5" t="n"/>
      <c r="W75" s="5" t="n"/>
      <c r="X75" s="5" t="n"/>
      <c r="Y75" s="5" t="n"/>
      <c r="Z75" s="5" t="n"/>
    </row>
    <row r="76" ht="15.75" customHeight="1" s="79">
      <c r="A76" s="5" t="inlineStr">
        <is>
          <t>Legal Services</t>
        </is>
      </c>
      <c r="B76" s="40" t="inlineStr">
        <is>
          <t>N</t>
        </is>
      </c>
      <c r="C76" s="5" t="n"/>
      <c r="D76" s="5" t="inlineStr">
        <is>
          <t>OR</t>
        </is>
      </c>
      <c r="E76" s="40" t="inlineStr">
        <is>
          <t>N</t>
        </is>
      </c>
      <c r="F76" s="5" t="n"/>
      <c r="G76" s="5" t="inlineStr">
        <is>
          <t>EZ ADVANCE LLC</t>
        </is>
      </c>
      <c r="H76" s="40" t="inlineStr">
        <is>
          <t>N</t>
        </is>
      </c>
      <c r="I76" s="5" t="n"/>
      <c r="J76" s="5" t="n"/>
      <c r="K76" s="5" t="n"/>
      <c r="L76" s="5" t="n"/>
      <c r="M76" s="5" t="n"/>
      <c r="N76" s="5" t="n"/>
      <c r="O76" s="5" t="n"/>
      <c r="P76" s="5" t="n"/>
      <c r="Q76" s="5" t="n"/>
      <c r="R76" s="5" t="n"/>
      <c r="S76" s="5" t="n"/>
      <c r="T76" s="5" t="n"/>
      <c r="U76" s="5" t="n"/>
      <c r="V76" s="5" t="n"/>
      <c r="W76" s="5" t="n"/>
      <c r="X76" s="5" t="n"/>
      <c r="Y76" s="5" t="n"/>
      <c r="Z76" s="5" t="n"/>
    </row>
    <row r="77" ht="15.75" customHeight="1" s="79">
      <c r="A77" s="5" t="inlineStr">
        <is>
          <t>Local &amp; Interurban Passenger Transit</t>
        </is>
      </c>
      <c r="B77" s="40" t="inlineStr">
        <is>
          <t>N</t>
        </is>
      </c>
      <c r="C77" s="5" t="n"/>
      <c r="D77" s="5" t="inlineStr">
        <is>
          <t>PA</t>
        </is>
      </c>
      <c r="E77" s="40" t="inlineStr">
        <is>
          <t>N</t>
        </is>
      </c>
      <c r="F77" s="5" t="n"/>
      <c r="G77" s="5" t="inlineStr">
        <is>
          <t>Elite Advance 5</t>
        </is>
      </c>
      <c r="H77" s="40" t="inlineStr">
        <is>
          <t>N</t>
        </is>
      </c>
      <c r="I77" s="5" t="n"/>
      <c r="J77" s="5" t="n"/>
      <c r="K77" s="5" t="n"/>
      <c r="L77" s="5" t="n"/>
      <c r="M77" s="5" t="n"/>
      <c r="N77" s="5" t="n"/>
      <c r="O77" s="5" t="n"/>
      <c r="P77" s="5" t="n"/>
      <c r="Q77" s="5" t="n"/>
      <c r="R77" s="5" t="n"/>
      <c r="S77" s="5" t="n"/>
      <c r="T77" s="5" t="n"/>
      <c r="U77" s="5" t="n"/>
      <c r="V77" s="5" t="n"/>
      <c r="W77" s="5" t="n"/>
      <c r="X77" s="5" t="n"/>
      <c r="Y77" s="5" t="n"/>
      <c r="Z77" s="5" t="n"/>
    </row>
    <row r="78" ht="15.75" customHeight="1" s="79">
      <c r="A78" s="5" t="inlineStr">
        <is>
          <t>Lumber &amp; Wood Products</t>
        </is>
      </c>
      <c r="B78" s="40" t="inlineStr">
        <is>
          <t>N</t>
        </is>
      </c>
      <c r="C78" s="5" t="n"/>
      <c r="D78" s="5" t="inlineStr">
        <is>
          <t>PR</t>
        </is>
      </c>
      <c r="E78" s="40" t="inlineStr">
        <is>
          <t>Y</t>
        </is>
      </c>
      <c r="F78" s="5" t="n"/>
      <c r="G78" s="5" t="inlineStr">
        <is>
          <t>FC ADVANCE</t>
        </is>
      </c>
      <c r="H78" s="40" t="inlineStr">
        <is>
          <t>N</t>
        </is>
      </c>
      <c r="I78" s="5" t="n"/>
      <c r="J78" s="5" t="n"/>
      <c r="K78" s="5" t="n"/>
      <c r="L78" s="5" t="n"/>
      <c r="M78" s="5" t="n"/>
      <c r="N78" s="5" t="n"/>
      <c r="O78" s="5" t="n"/>
      <c r="P78" s="5" t="n"/>
      <c r="Q78" s="5" t="n"/>
      <c r="R78" s="5" t="n"/>
      <c r="S78" s="5" t="n"/>
      <c r="T78" s="5" t="n"/>
      <c r="U78" s="5" t="n"/>
      <c r="V78" s="5" t="n"/>
      <c r="W78" s="5" t="n"/>
      <c r="X78" s="5" t="n"/>
      <c r="Y78" s="5" t="n"/>
      <c r="Z78" s="5" t="n"/>
    </row>
    <row r="79" ht="15.75" customHeight="1" s="79">
      <c r="A79" s="5" t="inlineStr">
        <is>
          <t>Membership Organizations</t>
        </is>
      </c>
      <c r="B79" s="40" t="inlineStr">
        <is>
          <t>N</t>
        </is>
      </c>
      <c r="C79" s="5" t="n"/>
      <c r="D79" s="5" t="inlineStr">
        <is>
          <t>RI</t>
        </is>
      </c>
      <c r="E79" s="40" t="inlineStr">
        <is>
          <t>N</t>
        </is>
      </c>
      <c r="F79" s="5" t="n"/>
      <c r="G79" s="5" t="inlineStr">
        <is>
          <t>FIFTH VENTURE</t>
        </is>
      </c>
      <c r="H79" s="40" t="inlineStr">
        <is>
          <t>N</t>
        </is>
      </c>
      <c r="I79" s="5" t="n"/>
      <c r="J79" s="5" t="n"/>
      <c r="K79" s="5" t="n"/>
      <c r="L79" s="5" t="n"/>
      <c r="M79" s="5" t="n"/>
      <c r="N79" s="5" t="n"/>
      <c r="O79" s="5" t="n"/>
      <c r="P79" s="5" t="n"/>
      <c r="Q79" s="5" t="n"/>
      <c r="R79" s="5" t="n"/>
      <c r="S79" s="5" t="n"/>
      <c r="T79" s="5" t="n"/>
      <c r="U79" s="5" t="n"/>
      <c r="V79" s="5" t="n"/>
      <c r="W79" s="5" t="n"/>
      <c r="X79" s="5" t="n"/>
      <c r="Y79" s="5" t="n"/>
      <c r="Z79" s="5" t="n"/>
    </row>
    <row r="80" ht="15.75" customHeight="1" s="79">
      <c r="A80" s="5" t="inlineStr">
        <is>
          <t>Miscellaneous Manufacturing</t>
        </is>
      </c>
      <c r="B80" s="40" t="inlineStr">
        <is>
          <t>N</t>
        </is>
      </c>
      <c r="C80" s="5" t="n"/>
      <c r="D80" s="5" t="inlineStr">
        <is>
          <t>SC</t>
        </is>
      </c>
      <c r="E80" s="40" t="inlineStr">
        <is>
          <t>N</t>
        </is>
      </c>
      <c r="F80" s="5" t="n"/>
      <c r="G80" s="5" t="inlineStr">
        <is>
          <t>FIMACAP INC</t>
        </is>
      </c>
      <c r="H80" s="40" t="inlineStr">
        <is>
          <t>N</t>
        </is>
      </c>
      <c r="I80" s="5" t="n"/>
      <c r="J80" s="5" t="n"/>
      <c r="K80" s="5" t="n"/>
      <c r="L80" s="5" t="n"/>
      <c r="M80" s="5" t="n"/>
      <c r="N80" s="5" t="n"/>
      <c r="O80" s="5" t="n"/>
      <c r="P80" s="5" t="n"/>
      <c r="Q80" s="5" t="n"/>
      <c r="R80" s="5" t="n"/>
      <c r="S80" s="5" t="n"/>
      <c r="T80" s="5" t="n"/>
      <c r="U80" s="5" t="n"/>
      <c r="V80" s="5" t="n"/>
      <c r="W80" s="5" t="n"/>
      <c r="X80" s="5" t="n"/>
      <c r="Y80" s="5" t="n"/>
      <c r="Z80" s="5" t="n"/>
    </row>
    <row r="81" ht="15.75" customHeight="1" s="79">
      <c r="A81" s="5" t="inlineStr">
        <is>
          <t>Miscellaneous Repair Services</t>
        </is>
      </c>
      <c r="B81" s="40" t="inlineStr">
        <is>
          <t>N</t>
        </is>
      </c>
      <c r="C81" s="5" t="n"/>
      <c r="D81" s="5" t="inlineStr">
        <is>
          <t>SD</t>
        </is>
      </c>
      <c r="E81" s="40" t="inlineStr">
        <is>
          <t>N</t>
        </is>
      </c>
      <c r="F81" s="5" t="n"/>
      <c r="G81" s="5" t="inlineStr">
        <is>
          <t>Fidelity Funding</t>
        </is>
      </c>
      <c r="H81" s="40" t="inlineStr">
        <is>
          <t>N</t>
        </is>
      </c>
      <c r="I81" s="5" t="n"/>
      <c r="J81" s="5" t="n"/>
      <c r="K81" s="5" t="n"/>
      <c r="L81" s="5" t="n"/>
      <c r="M81" s="5" t="n"/>
      <c r="N81" s="5" t="n"/>
      <c r="O81" s="5" t="n"/>
      <c r="P81" s="5" t="n"/>
      <c r="Q81" s="5" t="n"/>
      <c r="R81" s="5" t="n"/>
      <c r="S81" s="5" t="n"/>
      <c r="T81" s="5" t="n"/>
      <c r="U81" s="5" t="n"/>
      <c r="V81" s="5" t="n"/>
      <c r="W81" s="5" t="n"/>
      <c r="X81" s="5" t="n"/>
      <c r="Y81" s="5" t="n"/>
      <c r="Z81" s="5" t="n"/>
    </row>
    <row r="82" ht="15.75" customHeight="1" s="79">
      <c r="A82" s="5" t="inlineStr">
        <is>
          <t>Miscellaneous Retail</t>
        </is>
      </c>
      <c r="B82" s="40" t="inlineStr">
        <is>
          <t>N</t>
        </is>
      </c>
      <c r="C82" s="5" t="n"/>
      <c r="D82" s="5" t="inlineStr">
        <is>
          <t>TN</t>
        </is>
      </c>
      <c r="E82" s="40" t="inlineStr">
        <is>
          <t>N</t>
        </is>
      </c>
      <c r="F82" s="5" t="n"/>
      <c r="G82" s="5" t="inlineStr">
        <is>
          <t>Financial Express LLC</t>
        </is>
      </c>
      <c r="H82" s="40" t="inlineStr">
        <is>
          <t>N</t>
        </is>
      </c>
      <c r="I82" s="5" t="n"/>
      <c r="J82" s="5" t="n"/>
      <c r="K82" s="5" t="n"/>
      <c r="L82" s="5" t="n"/>
      <c r="M82" s="5" t="n"/>
      <c r="N82" s="5" t="n"/>
      <c r="O82" s="5" t="n"/>
      <c r="P82" s="5" t="n"/>
      <c r="Q82" s="5" t="n"/>
      <c r="R82" s="5" t="n"/>
      <c r="S82" s="5" t="n"/>
      <c r="T82" s="5" t="n"/>
      <c r="U82" s="5" t="n"/>
      <c r="V82" s="5" t="n"/>
      <c r="W82" s="5" t="n"/>
      <c r="X82" s="5" t="n"/>
      <c r="Y82" s="5" t="n"/>
      <c r="Z82" s="5" t="n"/>
    </row>
    <row r="83" ht="15.75" customHeight="1" s="79">
      <c r="A83" s="5" t="inlineStr">
        <is>
          <t>Motion Pictures</t>
        </is>
      </c>
      <c r="B83" s="40" t="inlineStr">
        <is>
          <t>N</t>
        </is>
      </c>
      <c r="C83" s="5" t="n"/>
      <c r="D83" s="5" t="inlineStr">
        <is>
          <t>TX</t>
        </is>
      </c>
      <c r="E83" s="40" t="inlineStr">
        <is>
          <t>Y</t>
        </is>
      </c>
      <c r="F83" s="5" t="n"/>
      <c r="G83" s="5" t="inlineStr">
        <is>
          <t>Financity</t>
        </is>
      </c>
      <c r="H83" s="40" t="inlineStr">
        <is>
          <t>N</t>
        </is>
      </c>
      <c r="I83" s="5" t="n"/>
      <c r="J83" s="5" t="n"/>
      <c r="K83" s="5" t="n"/>
      <c r="L83" s="5" t="n"/>
      <c r="M83" s="5" t="n"/>
      <c r="N83" s="5" t="n"/>
      <c r="O83" s="5" t="n"/>
      <c r="P83" s="5" t="n"/>
      <c r="Q83" s="5" t="n"/>
      <c r="R83" s="5" t="n"/>
      <c r="S83" s="5" t="n"/>
      <c r="T83" s="5" t="n"/>
      <c r="U83" s="5" t="n"/>
      <c r="V83" s="5" t="n"/>
      <c r="W83" s="5" t="n"/>
      <c r="X83" s="5" t="n"/>
      <c r="Y83" s="5" t="n"/>
      <c r="Z83" s="5" t="n"/>
    </row>
    <row r="84" ht="15.75" customHeight="1" s="79">
      <c r="A84" s="5" t="inlineStr">
        <is>
          <t>Museums &amp; Botanical Gardens</t>
        </is>
      </c>
      <c r="B84" s="40" t="inlineStr">
        <is>
          <t>N</t>
        </is>
      </c>
      <c r="C84" s="5" t="n"/>
      <c r="D84" s="5" t="inlineStr">
        <is>
          <t>UT</t>
        </is>
      </c>
      <c r="E84" s="40" t="inlineStr">
        <is>
          <t>N</t>
        </is>
      </c>
      <c r="F84" s="5" t="n"/>
      <c r="G84" s="5" t="inlineStr">
        <is>
          <t>FireLine Funding</t>
        </is>
      </c>
      <c r="H84" s="40" t="inlineStr">
        <is>
          <t>N</t>
        </is>
      </c>
      <c r="I84" s="5" t="n"/>
      <c r="J84" s="5" t="n"/>
      <c r="K84" s="5" t="n"/>
      <c r="L84" s="5" t="n"/>
      <c r="M84" s="5" t="n"/>
      <c r="N84" s="5" t="n"/>
      <c r="O84" s="5" t="n"/>
      <c r="P84" s="5" t="n"/>
      <c r="Q84" s="5" t="n"/>
      <c r="R84" s="5" t="n"/>
      <c r="S84" s="5" t="n"/>
      <c r="T84" s="5" t="n"/>
      <c r="U84" s="5" t="n"/>
      <c r="V84" s="5" t="n"/>
      <c r="W84" s="5" t="n"/>
      <c r="X84" s="5" t="n"/>
      <c r="Y84" s="5" t="n"/>
      <c r="Z84" s="5" t="n"/>
    </row>
    <row r="85" ht="15.75" customHeight="1" s="79">
      <c r="A85" s="5" t="inlineStr">
        <is>
          <t>National Security &amp; Intl Affairs</t>
        </is>
      </c>
      <c r="B85" s="40" t="inlineStr">
        <is>
          <t>N</t>
        </is>
      </c>
      <c r="C85" s="5" t="n"/>
      <c r="D85" s="5" t="inlineStr">
        <is>
          <t>VA</t>
        </is>
      </c>
      <c r="E85" s="40" t="inlineStr">
        <is>
          <t>N</t>
        </is>
      </c>
      <c r="F85" s="5" t="n"/>
      <c r="G85" s="5" t="inlineStr">
        <is>
          <t>First Path Capital</t>
        </is>
      </c>
      <c r="H85" s="40" t="inlineStr">
        <is>
          <t>N</t>
        </is>
      </c>
      <c r="I85" s="5" t="n"/>
      <c r="J85" s="5" t="n"/>
      <c r="K85" s="5" t="n"/>
      <c r="L85" s="5" t="n"/>
      <c r="M85" s="5" t="n"/>
      <c r="N85" s="5" t="n"/>
      <c r="O85" s="5" t="n"/>
      <c r="P85" s="5" t="n"/>
      <c r="Q85" s="5" t="n"/>
      <c r="R85" s="5" t="n"/>
      <c r="S85" s="5" t="n"/>
      <c r="T85" s="5" t="n"/>
      <c r="U85" s="5" t="n"/>
      <c r="V85" s="5" t="n"/>
      <c r="W85" s="5" t="n"/>
      <c r="X85" s="5" t="n"/>
      <c r="Y85" s="5" t="n"/>
      <c r="Z85" s="5" t="n"/>
    </row>
    <row r="86" ht="15.75" customHeight="1" s="79">
      <c r="A86" s="5" t="inlineStr">
        <is>
          <t>No SIC</t>
        </is>
      </c>
      <c r="B86" s="40" t="inlineStr">
        <is>
          <t>N</t>
        </is>
      </c>
      <c r="C86" s="5" t="n"/>
      <c r="D86" s="5" t="inlineStr">
        <is>
          <t>VT</t>
        </is>
      </c>
      <c r="E86" s="40" t="inlineStr">
        <is>
          <t>N</t>
        </is>
      </c>
      <c r="F86" s="5" t="n"/>
      <c r="G86" s="5" t="inlineStr">
        <is>
          <t>Fund Kite</t>
        </is>
      </c>
      <c r="H86" s="40" t="inlineStr">
        <is>
          <t>N</t>
        </is>
      </c>
      <c r="I86" s="5" t="n"/>
      <c r="J86" s="5" t="n"/>
      <c r="K86" s="5" t="n"/>
      <c r="L86" s="5" t="n"/>
      <c r="M86" s="5" t="n"/>
      <c r="N86" s="5" t="n"/>
      <c r="O86" s="5" t="n"/>
      <c r="P86" s="5" t="n"/>
      <c r="Q86" s="5" t="n"/>
      <c r="R86" s="5" t="n"/>
      <c r="S86" s="5" t="n"/>
      <c r="T86" s="5" t="n"/>
      <c r="U86" s="5" t="n"/>
      <c r="V86" s="5" t="n"/>
      <c r="W86" s="5" t="n"/>
      <c r="X86" s="5" t="n"/>
      <c r="Y86" s="5" t="n"/>
      <c r="Z86" s="5" t="n"/>
    </row>
    <row r="87" ht="15.75" customHeight="1" s="79">
      <c r="A87" s="5" t="inlineStr">
        <is>
          <t>Nonmetallic Minerals Mining</t>
        </is>
      </c>
      <c r="B87" s="40" t="inlineStr">
        <is>
          <t>N</t>
        </is>
      </c>
      <c r="C87" s="5" t="n"/>
      <c r="D87" s="5" t="inlineStr">
        <is>
          <t>WA</t>
        </is>
      </c>
      <c r="E87" s="40" t="inlineStr">
        <is>
          <t>N</t>
        </is>
      </c>
      <c r="F87" s="5" t="n"/>
      <c r="G87" s="5" t="inlineStr">
        <is>
          <t>Fund Max</t>
        </is>
      </c>
      <c r="H87" s="40" t="inlineStr">
        <is>
          <t>N</t>
        </is>
      </c>
      <c r="I87" s="5" t="n"/>
      <c r="J87" s="5" t="n"/>
      <c r="K87" s="5" t="n"/>
      <c r="L87" s="5" t="n"/>
      <c r="M87" s="5" t="n"/>
      <c r="N87" s="5" t="n"/>
      <c r="O87" s="5" t="n"/>
      <c r="P87" s="5" t="n"/>
      <c r="Q87" s="5" t="n"/>
      <c r="R87" s="5" t="n"/>
      <c r="S87" s="5" t="n"/>
      <c r="T87" s="5" t="n"/>
      <c r="U87" s="5" t="n"/>
      <c r="V87" s="5" t="n"/>
      <c r="W87" s="5" t="n"/>
      <c r="X87" s="5" t="n"/>
      <c r="Y87" s="5" t="n"/>
      <c r="Z87" s="5" t="n"/>
    </row>
    <row r="88" ht="15.75" customHeight="1" s="79">
      <c r="A88" s="5" t="inlineStr">
        <is>
          <t>Oil &amp; Gas Extraction</t>
        </is>
      </c>
      <c r="B88" s="40" t="inlineStr">
        <is>
          <t>N</t>
        </is>
      </c>
      <c r="C88" s="5" t="n"/>
      <c r="D88" s="5" t="inlineStr">
        <is>
          <t>WI</t>
        </is>
      </c>
      <c r="E88" s="40" t="inlineStr">
        <is>
          <t>N</t>
        </is>
      </c>
      <c r="F88" s="5" t="n"/>
      <c r="G88" s="5" t="inlineStr">
        <is>
          <t>Fund Simple</t>
        </is>
      </c>
      <c r="H88" s="40" t="inlineStr">
        <is>
          <t>N</t>
        </is>
      </c>
      <c r="I88" s="5" t="n"/>
      <c r="J88" s="5" t="n"/>
      <c r="K88" s="5" t="n"/>
      <c r="L88" s="5" t="n"/>
      <c r="M88" s="5" t="n"/>
      <c r="N88" s="5" t="n"/>
      <c r="O88" s="5" t="n"/>
      <c r="P88" s="5" t="n"/>
      <c r="Q88" s="5" t="n"/>
      <c r="R88" s="5" t="n"/>
      <c r="S88" s="5" t="n"/>
      <c r="T88" s="5" t="n"/>
      <c r="U88" s="5" t="n"/>
      <c r="V88" s="5" t="n"/>
      <c r="W88" s="5" t="n"/>
      <c r="X88" s="5" t="n"/>
      <c r="Y88" s="5" t="n"/>
      <c r="Z88" s="5" t="n"/>
    </row>
    <row r="89" ht="15.75" customHeight="1" s="79">
      <c r="A89" s="5" t="inlineStr">
        <is>
          <t>Personal Services</t>
        </is>
      </c>
      <c r="B89" s="40" t="inlineStr">
        <is>
          <t>Y</t>
        </is>
      </c>
      <c r="C89" s="5" t="n"/>
      <c r="D89" s="5" t="inlineStr">
        <is>
          <t>WV</t>
        </is>
      </c>
      <c r="E89" s="40" t="inlineStr">
        <is>
          <t>N</t>
        </is>
      </c>
      <c r="F89" s="5" t="n"/>
      <c r="G89" s="5" t="inlineStr">
        <is>
          <t>Fund Your Bizz</t>
        </is>
      </c>
      <c r="H89" s="40" t="inlineStr">
        <is>
          <t>N</t>
        </is>
      </c>
      <c r="I89" s="5" t="n"/>
      <c r="J89" s="5" t="n"/>
      <c r="K89" s="5" t="n"/>
      <c r="L89" s="5" t="n"/>
      <c r="M89" s="5" t="n"/>
      <c r="N89" s="5" t="n"/>
      <c r="O89" s="5" t="n"/>
      <c r="P89" s="5" t="n"/>
      <c r="Q89" s="5" t="n"/>
      <c r="R89" s="5" t="n"/>
      <c r="S89" s="5" t="n"/>
      <c r="T89" s="5" t="n"/>
      <c r="U89" s="5" t="n"/>
      <c r="V89" s="5" t="n"/>
      <c r="W89" s="5" t="n"/>
      <c r="X89" s="5" t="n"/>
      <c r="Y89" s="5" t="n"/>
      <c r="Z89" s="5" t="n"/>
    </row>
    <row r="90" ht="15.75" customHeight="1" s="79">
      <c r="A90" s="5" t="inlineStr">
        <is>
          <t>Primary Metal Industries</t>
        </is>
      </c>
      <c r="B90" s="40" t="inlineStr">
        <is>
          <t>N</t>
        </is>
      </c>
      <c r="C90" s="5" t="n"/>
      <c r="D90" s="5" t="n"/>
      <c r="E90" s="5" t="n"/>
      <c r="F90" s="5" t="n"/>
      <c r="G90" s="5" t="inlineStr">
        <is>
          <t>FundFlex</t>
        </is>
      </c>
      <c r="H90" s="40" t="inlineStr">
        <is>
          <t>N</t>
        </is>
      </c>
      <c r="I90" s="5" t="n"/>
      <c r="J90" s="5" t="n"/>
      <c r="K90" s="5" t="n"/>
      <c r="L90" s="5" t="n"/>
      <c r="M90" s="5" t="n"/>
      <c r="N90" s="5" t="n"/>
      <c r="O90" s="5" t="n"/>
      <c r="P90" s="5" t="n"/>
      <c r="Q90" s="5" t="n"/>
      <c r="R90" s="5" t="n"/>
      <c r="S90" s="5" t="n"/>
      <c r="T90" s="5" t="n"/>
      <c r="U90" s="5" t="n"/>
      <c r="V90" s="5" t="n"/>
      <c r="W90" s="5" t="n"/>
      <c r="X90" s="5" t="n"/>
      <c r="Y90" s="5" t="n"/>
      <c r="Z90" s="5" t="n"/>
    </row>
    <row r="91" ht="15.75" customHeight="1" s="79">
      <c r="A91" s="5" t="inlineStr">
        <is>
          <t>Printing &amp; Publishing</t>
        </is>
      </c>
      <c r="B91" s="40" t="inlineStr">
        <is>
          <t>N</t>
        </is>
      </c>
      <c r="C91" s="5" t="n"/>
      <c r="D91" s="5" t="n"/>
      <c r="E91" s="5" t="n"/>
      <c r="F91" s="5" t="n"/>
      <c r="G91" s="5" t="inlineStr">
        <is>
          <t>Fundible</t>
        </is>
      </c>
      <c r="H91" s="40" t="inlineStr">
        <is>
          <t>N</t>
        </is>
      </c>
      <c r="I91" s="5" t="n"/>
      <c r="J91" s="5" t="n"/>
      <c r="K91" s="5" t="n"/>
      <c r="L91" s="5" t="n"/>
      <c r="M91" s="5" t="n"/>
      <c r="N91" s="5" t="n"/>
      <c r="O91" s="5" t="n"/>
      <c r="P91" s="5" t="n"/>
      <c r="Q91" s="5" t="n"/>
      <c r="R91" s="5" t="n"/>
      <c r="S91" s="5" t="n"/>
      <c r="T91" s="5" t="n"/>
      <c r="U91" s="5" t="n"/>
      <c r="V91" s="5" t="n"/>
      <c r="W91" s="5" t="n"/>
      <c r="X91" s="5" t="n"/>
      <c r="Y91" s="5" t="n"/>
      <c r="Z91" s="5" t="n"/>
    </row>
    <row r="92" ht="15.75" customHeight="1" s="79">
      <c r="A92" s="5" t="inlineStr">
        <is>
          <t>Real Estate</t>
        </is>
      </c>
      <c r="B92" s="40" t="inlineStr">
        <is>
          <t>Y</t>
        </is>
      </c>
      <c r="C92" s="5" t="n"/>
      <c r="D92" s="5" t="n"/>
      <c r="E92" s="5" t="n"/>
      <c r="F92" s="5" t="n"/>
      <c r="G92" s="5" t="inlineStr">
        <is>
          <t>Fundward</t>
        </is>
      </c>
      <c r="H92" s="40" t="inlineStr">
        <is>
          <t>N</t>
        </is>
      </c>
      <c r="I92" s="5" t="n"/>
      <c r="J92" s="5" t="n"/>
      <c r="K92" s="5" t="n"/>
      <c r="L92" s="5" t="n"/>
      <c r="M92" s="5" t="n"/>
      <c r="N92" s="5" t="n"/>
      <c r="O92" s="5" t="n"/>
      <c r="P92" s="5" t="n"/>
      <c r="Q92" s="5" t="n"/>
      <c r="R92" s="5" t="n"/>
      <c r="S92" s="5" t="n"/>
      <c r="T92" s="5" t="n"/>
      <c r="U92" s="5" t="n"/>
      <c r="V92" s="5" t="n"/>
      <c r="W92" s="5" t="n"/>
      <c r="X92" s="5" t="n"/>
      <c r="Y92" s="5" t="n"/>
      <c r="Z92" s="5" t="n"/>
    </row>
    <row r="93" ht="15.75" customHeight="1" s="79">
      <c r="A93" s="5" t="inlineStr">
        <is>
          <t>Rubber &amp; Plastics</t>
        </is>
      </c>
      <c r="B93" s="40" t="inlineStr">
        <is>
          <t>N</t>
        </is>
      </c>
      <c r="C93" s="5" t="n"/>
      <c r="D93" s="5" t="n"/>
      <c r="E93" s="5" t="n"/>
      <c r="F93" s="5" t="n"/>
      <c r="G93" s="5" t="inlineStr">
        <is>
          <t>Fundwell</t>
        </is>
      </c>
      <c r="H93" s="40" t="inlineStr">
        <is>
          <t>N</t>
        </is>
      </c>
      <c r="I93" s="5" t="n"/>
      <c r="J93" s="5" t="n"/>
      <c r="K93" s="5" t="n"/>
      <c r="L93" s="5" t="n"/>
      <c r="M93" s="5" t="n"/>
      <c r="N93" s="5" t="n"/>
      <c r="O93" s="5" t="n"/>
      <c r="P93" s="5" t="n"/>
      <c r="Q93" s="5" t="n"/>
      <c r="R93" s="5" t="n"/>
      <c r="S93" s="5" t="n"/>
      <c r="T93" s="5" t="n"/>
      <c r="U93" s="5" t="n"/>
      <c r="V93" s="5" t="n"/>
      <c r="W93" s="5" t="n"/>
      <c r="X93" s="5" t="n"/>
      <c r="Y93" s="5" t="n"/>
      <c r="Z93" s="5" t="n"/>
    </row>
    <row r="94" ht="15.75" customHeight="1" s="79">
      <c r="A94" s="5" t="inlineStr">
        <is>
          <t>Security &amp; Commodity Brokers</t>
        </is>
      </c>
      <c r="B94" s="40" t="inlineStr">
        <is>
          <t>N</t>
        </is>
      </c>
      <c r="C94" s="5" t="n"/>
      <c r="D94" s="5" t="n"/>
      <c r="E94" s="5" t="n"/>
      <c r="F94" s="5" t="n"/>
      <c r="G94" s="5" t="inlineStr">
        <is>
          <t>GREYSTONE</t>
        </is>
      </c>
      <c r="H94" s="40" t="inlineStr">
        <is>
          <t>N</t>
        </is>
      </c>
      <c r="I94" s="5" t="n"/>
      <c r="J94" s="5" t="n"/>
      <c r="K94" s="5" t="n"/>
      <c r="L94" s="5" t="n"/>
      <c r="M94" s="5" t="n"/>
      <c r="N94" s="5" t="n"/>
      <c r="O94" s="5" t="n"/>
      <c r="P94" s="5" t="n"/>
      <c r="Q94" s="5" t="n"/>
      <c r="R94" s="5" t="n"/>
      <c r="S94" s="5" t="n"/>
      <c r="T94" s="5" t="n"/>
      <c r="U94" s="5" t="n"/>
      <c r="V94" s="5" t="n"/>
      <c r="W94" s="5" t="n"/>
      <c r="X94" s="5" t="n"/>
      <c r="Y94" s="5" t="n"/>
      <c r="Z94" s="5" t="n"/>
    </row>
    <row r="95" ht="15.75" customHeight="1" s="79">
      <c r="A95" s="5" t="inlineStr">
        <is>
          <t>Services - Miscellaneous</t>
        </is>
      </c>
      <c r="B95" s="40" t="inlineStr">
        <is>
          <t>N</t>
        </is>
      </c>
      <c r="C95" s="5" t="n"/>
      <c r="D95" s="5" t="n"/>
      <c r="E95" s="5" t="n"/>
      <c r="F95" s="5" t="n"/>
      <c r="G95" s="5" t="inlineStr">
        <is>
          <t>GROWTH RATE CAPITAL INC</t>
        </is>
      </c>
      <c r="H95" s="40" t="inlineStr">
        <is>
          <t>N</t>
        </is>
      </c>
      <c r="I95" s="5" t="n"/>
      <c r="J95" s="5" t="n"/>
      <c r="K95" s="5" t="n"/>
      <c r="L95" s="5" t="n"/>
      <c r="M95" s="5" t="n"/>
      <c r="N95" s="5" t="n"/>
      <c r="O95" s="5" t="n"/>
      <c r="P95" s="5" t="n"/>
      <c r="Q95" s="5" t="n"/>
      <c r="R95" s="5" t="n"/>
      <c r="S95" s="5" t="n"/>
      <c r="T95" s="5" t="n"/>
      <c r="U95" s="5" t="n"/>
      <c r="V95" s="5" t="n"/>
      <c r="W95" s="5" t="n"/>
      <c r="X95" s="5" t="n"/>
      <c r="Y95" s="5" t="n"/>
      <c r="Z95" s="5" t="n"/>
    </row>
    <row r="96" ht="15.75" customHeight="1" s="79">
      <c r="A96" s="5" t="inlineStr">
        <is>
          <t>Social Services</t>
        </is>
      </c>
      <c r="B96" s="40" t="inlineStr">
        <is>
          <t>N</t>
        </is>
      </c>
      <c r="C96" s="5" t="n"/>
      <c r="D96" s="5" t="n"/>
      <c r="E96" s="5" t="n"/>
      <c r="F96" s="5" t="n"/>
      <c r="G96" s="5" t="inlineStr">
        <is>
          <t>Go Ai Ez LLC Dba:Gova Funding</t>
        </is>
      </c>
      <c r="H96" s="40" t="inlineStr">
        <is>
          <t>N</t>
        </is>
      </c>
      <c r="I96" s="5" t="n"/>
      <c r="J96" s="5" t="n"/>
      <c r="K96" s="5" t="n"/>
      <c r="L96" s="5" t="n"/>
      <c r="M96" s="5" t="n"/>
      <c r="N96" s="5" t="n"/>
      <c r="O96" s="5" t="n"/>
      <c r="P96" s="5" t="n"/>
      <c r="Q96" s="5" t="n"/>
      <c r="R96" s="5" t="n"/>
      <c r="S96" s="5" t="n"/>
      <c r="T96" s="5" t="n"/>
      <c r="U96" s="5" t="n"/>
      <c r="V96" s="5" t="n"/>
      <c r="W96" s="5" t="n"/>
      <c r="X96" s="5" t="n"/>
      <c r="Y96" s="5" t="n"/>
      <c r="Z96" s="5" t="n"/>
    </row>
    <row r="97" ht="15.75" customHeight="1" s="79">
      <c r="A97" s="5" t="inlineStr">
        <is>
          <t>Special Trade Contractors</t>
        </is>
      </c>
      <c r="B97" s="40" t="inlineStr">
        <is>
          <t>N</t>
        </is>
      </c>
      <c r="C97" s="5" t="n"/>
      <c r="D97" s="5" t="n"/>
      <c r="E97" s="5" t="n"/>
      <c r="F97" s="5" t="n"/>
      <c r="G97" s="5" t="inlineStr">
        <is>
          <t>Hero Advance Group</t>
        </is>
      </c>
      <c r="H97" s="40" t="inlineStr">
        <is>
          <t>N</t>
        </is>
      </c>
      <c r="I97" s="5" t="n"/>
      <c r="J97" s="5" t="n"/>
      <c r="K97" s="5" t="n"/>
      <c r="L97" s="5" t="n"/>
      <c r="M97" s="5" t="n"/>
      <c r="N97" s="5" t="n"/>
      <c r="O97" s="5" t="n"/>
      <c r="P97" s="5" t="n"/>
      <c r="Q97" s="5" t="n"/>
      <c r="R97" s="5" t="n"/>
      <c r="S97" s="5" t="n"/>
      <c r="T97" s="5" t="n"/>
      <c r="U97" s="5" t="n"/>
      <c r="V97" s="5" t="n"/>
      <c r="W97" s="5" t="n"/>
      <c r="X97" s="5" t="n"/>
      <c r="Y97" s="5" t="n"/>
      <c r="Z97" s="5" t="n"/>
    </row>
    <row r="98" ht="15.75" customHeight="1" s="79">
      <c r="A98" s="5" t="inlineStr">
        <is>
          <t>Stone, Clay, Glass &amp; Concrete</t>
        </is>
      </c>
      <c r="B98" s="40" t="inlineStr">
        <is>
          <t>N</t>
        </is>
      </c>
      <c r="C98" s="5" t="n"/>
      <c r="D98" s="5" t="n"/>
      <c r="E98" s="5" t="n"/>
      <c r="F98" s="5" t="n"/>
      <c r="G98" s="5" t="inlineStr">
        <is>
          <t>I burst funding</t>
        </is>
      </c>
      <c r="H98" s="40" t="inlineStr">
        <is>
          <t>N</t>
        </is>
      </c>
      <c r="I98" s="5" t="n"/>
      <c r="J98" s="5" t="n"/>
      <c r="K98" s="5" t="n"/>
      <c r="L98" s="5" t="n"/>
      <c r="M98" s="5" t="n"/>
      <c r="N98" s="5" t="n"/>
      <c r="O98" s="5" t="n"/>
      <c r="P98" s="5" t="n"/>
      <c r="Q98" s="5" t="n"/>
      <c r="R98" s="5" t="n"/>
      <c r="S98" s="5" t="n"/>
      <c r="T98" s="5" t="n"/>
      <c r="U98" s="5" t="n"/>
      <c r="V98" s="5" t="n"/>
      <c r="W98" s="5" t="n"/>
      <c r="X98" s="5" t="n"/>
      <c r="Y98" s="5" t="n"/>
      <c r="Z98" s="5" t="n"/>
    </row>
    <row r="99" ht="15.75" customHeight="1" s="79">
      <c r="A99" s="5" t="inlineStr">
        <is>
          <t>Transportation Equipment</t>
        </is>
      </c>
      <c r="B99" s="40" t="inlineStr">
        <is>
          <t>N</t>
        </is>
      </c>
      <c r="C99" s="5" t="n"/>
      <c r="D99" s="5" t="n"/>
      <c r="E99" s="5" t="n"/>
      <c r="F99" s="5" t="n"/>
      <c r="G99" s="5" t="inlineStr">
        <is>
          <t>ICB FUNDING</t>
        </is>
      </c>
      <c r="H99" s="40" t="inlineStr">
        <is>
          <t>N</t>
        </is>
      </c>
      <c r="I99" s="5" t="n"/>
      <c r="J99" s="5" t="n"/>
      <c r="K99" s="5" t="n"/>
      <c r="L99" s="5" t="n"/>
      <c r="M99" s="5" t="n"/>
      <c r="N99" s="5" t="n"/>
      <c r="O99" s="5" t="n"/>
      <c r="P99" s="5" t="n"/>
      <c r="Q99" s="5" t="n"/>
      <c r="R99" s="5" t="n"/>
      <c r="S99" s="5" t="n"/>
      <c r="T99" s="5" t="n"/>
      <c r="U99" s="5" t="n"/>
      <c r="V99" s="5" t="n"/>
      <c r="W99" s="5" t="n"/>
      <c r="X99" s="5" t="n"/>
      <c r="Y99" s="5" t="n"/>
      <c r="Z99" s="5" t="n"/>
    </row>
    <row r="100" ht="15.75" customHeight="1" s="79">
      <c r="A100" s="5" t="inlineStr">
        <is>
          <t>Transportation Services</t>
        </is>
      </c>
      <c r="B100" s="40" t="inlineStr">
        <is>
          <t>N</t>
        </is>
      </c>
      <c r="C100" s="5" t="n"/>
      <c r="D100" s="5" t="n"/>
      <c r="E100" s="5" t="n"/>
      <c r="F100" s="5" t="n"/>
      <c r="G100" s="5" t="inlineStr">
        <is>
          <t>ICG Funding</t>
        </is>
      </c>
      <c r="H100" s="40" t="inlineStr">
        <is>
          <t>N</t>
        </is>
      </c>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79">
      <c r="A101" s="5" t="inlineStr">
        <is>
          <t>Trucking &amp; Warehousing</t>
        </is>
      </c>
      <c r="B101" s="40" t="inlineStr">
        <is>
          <t>Y</t>
        </is>
      </c>
      <c r="C101" s="5" t="n"/>
      <c r="D101" s="5" t="n"/>
      <c r="E101" s="5" t="n"/>
      <c r="F101" s="5" t="n"/>
      <c r="G101" s="5" t="inlineStr">
        <is>
          <t>J Capital Solutions</t>
        </is>
      </c>
      <c r="H101" s="40" t="inlineStr">
        <is>
          <t>N</t>
        </is>
      </c>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79">
      <c r="A102" s="5" t="inlineStr">
        <is>
          <t>Water Transportation</t>
        </is>
      </c>
      <c r="B102" s="40" t="inlineStr">
        <is>
          <t>N</t>
        </is>
      </c>
      <c r="C102" s="5" t="n"/>
      <c r="D102" s="5" t="n"/>
      <c r="E102" s="5" t="n"/>
      <c r="F102" s="5" t="n"/>
      <c r="G102" s="5" t="inlineStr">
        <is>
          <t>JABSCAP</t>
        </is>
      </c>
      <c r="H102" s="40" t="inlineStr">
        <is>
          <t>N</t>
        </is>
      </c>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79">
      <c r="A103" s="5" t="inlineStr">
        <is>
          <t>Wholesale Trade - Durable Goods</t>
        </is>
      </c>
      <c r="B103" s="40" t="inlineStr">
        <is>
          <t>N</t>
        </is>
      </c>
      <c r="C103" s="5" t="n"/>
      <c r="D103" s="5" t="n"/>
      <c r="E103" s="5" t="n"/>
      <c r="F103" s="5" t="n"/>
      <c r="G103" s="5" t="inlineStr">
        <is>
          <t>Kelly Kapital</t>
        </is>
      </c>
      <c r="H103" s="40" t="inlineStr">
        <is>
          <t>N</t>
        </is>
      </c>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79">
      <c r="A104" s="5" t="inlineStr">
        <is>
          <t>Wholesale Trade - Nondurable Goods</t>
        </is>
      </c>
      <c r="B104" s="40" t="inlineStr">
        <is>
          <t>N</t>
        </is>
      </c>
      <c r="C104" s="5" t="n"/>
      <c r="D104" s="5" t="n"/>
      <c r="E104" s="5" t="n"/>
      <c r="F104" s="5" t="n"/>
      <c r="G104" s="5" t="inlineStr">
        <is>
          <t>Key Capital Funding</t>
        </is>
      </c>
      <c r="H104" s="40" t="inlineStr">
        <is>
          <t>N</t>
        </is>
      </c>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79">
      <c r="A105" s="5" t="n"/>
      <c r="B105" s="5" t="n"/>
      <c r="C105" s="5" t="n"/>
      <c r="D105" s="5" t="n"/>
      <c r="E105" s="5" t="n"/>
      <c r="F105" s="5" t="n"/>
      <c r="G105" s="5" t="inlineStr">
        <is>
          <t>Klendify</t>
        </is>
      </c>
      <c r="H105" s="40" t="inlineStr">
        <is>
          <t>N</t>
        </is>
      </c>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79">
      <c r="A106" s="5" t="n"/>
      <c r="B106" s="5" t="n"/>
      <c r="C106" s="5" t="n"/>
      <c r="D106" s="5" t="n"/>
      <c r="E106" s="5" t="n"/>
      <c r="F106" s="5" t="n"/>
      <c r="G106" s="5" t="inlineStr">
        <is>
          <t>LENDCAP SOLUTIONS</t>
        </is>
      </c>
      <c r="H106" s="40" t="inlineStr">
        <is>
          <t>N</t>
        </is>
      </c>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79">
      <c r="A107" s="5" t="n"/>
      <c r="B107" s="5" t="n"/>
      <c r="C107" s="5" t="n"/>
      <c r="D107" s="5" t="n"/>
      <c r="E107" s="5" t="n"/>
      <c r="F107" s="5" t="n"/>
      <c r="G107" s="5" t="inlineStr">
        <is>
          <t>Lemonaid</t>
        </is>
      </c>
      <c r="H107" s="40" t="inlineStr">
        <is>
          <t>N</t>
        </is>
      </c>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79">
      <c r="A108" s="5" t="n"/>
      <c r="B108" s="5" t="n"/>
      <c r="C108" s="5" t="n"/>
      <c r="D108" s="5" t="n"/>
      <c r="E108" s="5" t="n"/>
      <c r="F108" s="5" t="n"/>
      <c r="G108" s="5" t="inlineStr">
        <is>
          <t>Lend Bull LLC</t>
        </is>
      </c>
      <c r="H108" s="40" t="inlineStr">
        <is>
          <t>N</t>
        </is>
      </c>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79">
      <c r="A109" s="5" t="n"/>
      <c r="B109" s="5" t="n"/>
      <c r="C109" s="5" t="n"/>
      <c r="D109" s="5" t="n"/>
      <c r="E109" s="5" t="n"/>
      <c r="F109" s="5" t="n"/>
      <c r="G109" s="5" t="inlineStr">
        <is>
          <t>Liberty Bell Capital</t>
        </is>
      </c>
      <c r="H109" s="40" t="inlineStr">
        <is>
          <t>N</t>
        </is>
      </c>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79">
      <c r="A110" s="5" t="n"/>
      <c r="B110" s="5" t="n"/>
      <c r="C110" s="5" t="n"/>
      <c r="D110" s="5" t="n"/>
      <c r="E110" s="5" t="n"/>
      <c r="F110" s="5" t="n"/>
      <c r="G110" s="5" t="inlineStr">
        <is>
          <t>Lightning SBA Loans</t>
        </is>
      </c>
      <c r="H110" s="40" t="inlineStr">
        <is>
          <t>N</t>
        </is>
      </c>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79">
      <c r="A111" s="5" t="n"/>
      <c r="B111" s="5" t="n"/>
      <c r="C111" s="5" t="n"/>
      <c r="D111" s="5" t="n"/>
      <c r="E111" s="5" t="n"/>
      <c r="F111" s="5" t="n"/>
      <c r="G111" s="5" t="inlineStr">
        <is>
          <t>Linked In Funding</t>
        </is>
      </c>
      <c r="H111" s="40" t="inlineStr">
        <is>
          <t>N</t>
        </is>
      </c>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79">
      <c r="A112" s="5" t="n"/>
      <c r="B112" s="5" t="n"/>
      <c r="C112" s="5" t="n"/>
      <c r="D112" s="5" t="n"/>
      <c r="E112" s="5" t="n"/>
      <c r="F112" s="5" t="n"/>
      <c r="G112" s="5" t="inlineStr">
        <is>
          <t>Llama Loan</t>
        </is>
      </c>
      <c r="H112" s="40" t="inlineStr">
        <is>
          <t>N</t>
        </is>
      </c>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79">
      <c r="A113" s="5" t="n"/>
      <c r="B113" s="5" t="n"/>
      <c r="C113" s="5" t="n"/>
      <c r="D113" s="5" t="n"/>
      <c r="E113" s="5" t="n"/>
      <c r="F113" s="5" t="n"/>
      <c r="G113" s="5" t="inlineStr">
        <is>
          <t>MADVANCEGRP</t>
        </is>
      </c>
      <c r="H113" s="40" t="inlineStr">
        <is>
          <t>N</t>
        </is>
      </c>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79">
      <c r="A114" s="5" t="n"/>
      <c r="B114" s="5" t="n"/>
      <c r="C114" s="5" t="n"/>
      <c r="D114" s="5" t="n"/>
      <c r="E114" s="5" t="n"/>
      <c r="F114" s="5" t="n"/>
      <c r="G114" s="5" t="inlineStr">
        <is>
          <t>MONETCAP</t>
        </is>
      </c>
      <c r="H114" s="40" t="inlineStr">
        <is>
          <t>N</t>
        </is>
      </c>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79">
      <c r="A115" s="5" t="n"/>
      <c r="B115" s="5" t="n"/>
      <c r="C115" s="5" t="n"/>
      <c r="D115" s="5" t="n"/>
      <c r="E115" s="5" t="n"/>
      <c r="F115" s="5" t="n"/>
      <c r="G115" s="5" t="inlineStr">
        <is>
          <t>MZ ADVANCE</t>
        </is>
      </c>
      <c r="H115" s="40" t="inlineStr">
        <is>
          <t>N</t>
        </is>
      </c>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79">
      <c r="A116" s="5" t="n"/>
      <c r="B116" s="5" t="n"/>
      <c r="C116" s="5" t="n"/>
      <c r="D116" s="5" t="n"/>
      <c r="E116" s="5" t="n"/>
      <c r="F116" s="5" t="n"/>
      <c r="G116" s="5" t="inlineStr">
        <is>
          <t>Merchant Advance Now</t>
        </is>
      </c>
      <c r="H116" s="40" t="inlineStr">
        <is>
          <t>N</t>
        </is>
      </c>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79">
      <c r="A117" s="5" t="n"/>
      <c r="B117" s="5" t="n"/>
      <c r="C117" s="5" t="n"/>
      <c r="D117" s="5" t="n"/>
      <c r="E117" s="5" t="n"/>
      <c r="F117" s="5" t="n"/>
      <c r="G117" s="5" t="inlineStr">
        <is>
          <t>Merchant ReFi</t>
        </is>
      </c>
      <c r="H117" s="40" t="inlineStr">
        <is>
          <t>N</t>
        </is>
      </c>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79">
      <c r="A118" s="5" t="n"/>
      <c r="B118" s="5" t="n"/>
      <c r="C118" s="5" t="n"/>
      <c r="D118" s="5" t="n"/>
      <c r="E118" s="5" t="n"/>
      <c r="F118" s="5" t="n"/>
      <c r="G118" s="5" t="inlineStr">
        <is>
          <t>Milestone Capital Funding Inc</t>
        </is>
      </c>
      <c r="H118" s="40" t="inlineStr">
        <is>
          <t>N</t>
        </is>
      </c>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79">
      <c r="A119" s="5" t="n"/>
      <c r="B119" s="5" t="n"/>
      <c r="C119" s="5" t="n"/>
      <c r="D119" s="5" t="n"/>
      <c r="E119" s="5" t="n"/>
      <c r="F119" s="5" t="n"/>
      <c r="G119" s="5" t="inlineStr">
        <is>
          <t>Mills  funding group</t>
        </is>
      </c>
      <c r="H119" s="40" t="inlineStr">
        <is>
          <t>N</t>
        </is>
      </c>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79">
      <c r="A120" s="5" t="n"/>
      <c r="B120" s="5" t="n"/>
      <c r="C120" s="5" t="n"/>
      <c r="D120" s="5" t="n"/>
      <c r="E120" s="5" t="n"/>
      <c r="F120" s="5" t="n"/>
      <c r="G120" s="5" t="inlineStr">
        <is>
          <t>Monarch funding Group</t>
        </is>
      </c>
      <c r="H120" s="40" t="inlineStr">
        <is>
          <t>N</t>
        </is>
      </c>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79">
      <c r="A121" s="5" t="n"/>
      <c r="B121" s="5" t="n"/>
      <c r="C121" s="5" t="n"/>
      <c r="D121" s="5" t="n"/>
      <c r="E121" s="5" t="n"/>
      <c r="F121" s="5" t="n"/>
      <c r="G121" s="5" t="inlineStr">
        <is>
          <t>NS PRO INC.</t>
        </is>
      </c>
      <c r="H121" s="40" t="inlineStr">
        <is>
          <t>N</t>
        </is>
      </c>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79">
      <c r="A122" s="5" t="n"/>
      <c r="B122" s="5" t="n"/>
      <c r="C122" s="5" t="n"/>
      <c r="D122" s="5" t="n"/>
      <c r="E122" s="5" t="n"/>
      <c r="F122" s="5" t="n"/>
      <c r="G122" s="5" t="inlineStr">
        <is>
          <t>NY Tribeca Group</t>
        </is>
      </c>
      <c r="H122" s="40" t="inlineStr">
        <is>
          <t>N</t>
        </is>
      </c>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79">
      <c r="A123" s="5" t="n"/>
      <c r="B123" s="5" t="n"/>
      <c r="C123" s="5" t="n"/>
      <c r="D123" s="5" t="n"/>
      <c r="E123" s="5" t="n"/>
      <c r="F123" s="5" t="n"/>
      <c r="G123" s="5" t="inlineStr">
        <is>
          <t>National Business Capital</t>
        </is>
      </c>
      <c r="H123" s="40" t="inlineStr">
        <is>
          <t>N</t>
        </is>
      </c>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79">
      <c r="A124" s="5" t="n"/>
      <c r="B124" s="5" t="n"/>
      <c r="C124" s="5" t="n"/>
      <c r="D124" s="5" t="n"/>
      <c r="E124" s="5" t="n"/>
      <c r="F124" s="5" t="n"/>
      <c r="G124" s="5" t="inlineStr">
        <is>
          <t>One Box Funding</t>
        </is>
      </c>
      <c r="H124" s="40" t="inlineStr">
        <is>
          <t>N</t>
        </is>
      </c>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79">
      <c r="A125" s="5" t="n"/>
      <c r="B125" s="5" t="n"/>
      <c r="C125" s="5" t="n"/>
      <c r="D125" s="5" t="n"/>
      <c r="E125" s="5" t="n"/>
      <c r="F125" s="5" t="n"/>
      <c r="G125" s="5" t="inlineStr">
        <is>
          <t>PEACH STATE SOLUTIONS</t>
        </is>
      </c>
      <c r="H125" s="40" t="inlineStr">
        <is>
          <t>N</t>
        </is>
      </c>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79">
      <c r="A126" s="5" t="n"/>
      <c r="B126" s="5" t="n"/>
      <c r="C126" s="5" t="n"/>
      <c r="D126" s="5" t="n"/>
      <c r="E126" s="5" t="n"/>
      <c r="F126" s="5" t="n"/>
      <c r="G126" s="5" t="inlineStr">
        <is>
          <t>PMF</t>
        </is>
      </c>
      <c r="H126" s="40" t="inlineStr">
        <is>
          <t>Y</t>
        </is>
      </c>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79">
      <c r="A127" s="5" t="n"/>
      <c r="B127" s="5" t="n"/>
      <c r="C127" s="5" t="n"/>
      <c r="D127" s="5" t="n"/>
      <c r="E127" s="5" t="n"/>
      <c r="F127" s="5" t="n"/>
      <c r="G127" s="5" t="inlineStr">
        <is>
          <t>Pathway Catalyst</t>
        </is>
      </c>
      <c r="H127" s="40" t="inlineStr">
        <is>
          <t>N</t>
        </is>
      </c>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79">
      <c r="A128" s="5" t="n"/>
      <c r="B128" s="5" t="n"/>
      <c r="C128" s="5" t="n"/>
      <c r="D128" s="5" t="n"/>
      <c r="E128" s="5" t="n"/>
      <c r="F128" s="5" t="n"/>
      <c r="G128" s="5" t="inlineStr">
        <is>
          <t>Pharoah Fund</t>
        </is>
      </c>
      <c r="H128" s="40" t="inlineStr">
        <is>
          <t>N</t>
        </is>
      </c>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79">
      <c r="A129" s="5" t="n"/>
      <c r="B129" s="5" t="n"/>
      <c r="C129" s="5" t="n"/>
      <c r="D129" s="5" t="n"/>
      <c r="E129" s="5" t="n"/>
      <c r="F129" s="5" t="n"/>
      <c r="G129" s="5" t="inlineStr">
        <is>
          <t>Platform Funding</t>
        </is>
      </c>
      <c r="H129" s="40" t="inlineStr">
        <is>
          <t>N</t>
        </is>
      </c>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79">
      <c r="A130" s="5" t="n"/>
      <c r="B130" s="5" t="n"/>
      <c r="C130" s="5" t="n"/>
      <c r="D130" s="5" t="n"/>
      <c r="E130" s="5" t="n"/>
      <c r="F130" s="5" t="n"/>
      <c r="G130" s="5" t="inlineStr">
        <is>
          <t>Premium Capital (AMRK)</t>
        </is>
      </c>
      <c r="H130" s="40" t="inlineStr">
        <is>
          <t>N</t>
        </is>
      </c>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79">
      <c r="A131" s="5" t="n"/>
      <c r="B131" s="5" t="n"/>
      <c r="C131" s="5" t="n"/>
      <c r="D131" s="5" t="n"/>
      <c r="E131" s="5" t="n"/>
      <c r="F131" s="5" t="n"/>
      <c r="G131" s="5" t="inlineStr">
        <is>
          <t>Pro Source Lending Group</t>
        </is>
      </c>
      <c r="H131" s="40" t="inlineStr">
        <is>
          <t>N</t>
        </is>
      </c>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79">
      <c r="A132" s="5" t="n"/>
      <c r="B132" s="5" t="n"/>
      <c r="C132" s="5" t="n"/>
      <c r="D132" s="5" t="n"/>
      <c r="E132" s="5" t="n"/>
      <c r="F132" s="5" t="n"/>
      <c r="G132" s="5" t="inlineStr">
        <is>
          <t>Pyn Capital</t>
        </is>
      </c>
      <c r="H132" s="40" t="inlineStr">
        <is>
          <t>N</t>
        </is>
      </c>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79">
      <c r="A133" s="5" t="n"/>
      <c r="B133" s="5" t="n"/>
      <c r="C133" s="5" t="n"/>
      <c r="D133" s="5" t="n"/>
      <c r="E133" s="5" t="n"/>
      <c r="F133" s="5" t="n"/>
      <c r="G133" s="5" t="inlineStr">
        <is>
          <t>Qualifier</t>
        </is>
      </c>
      <c r="H133" s="40" t="inlineStr">
        <is>
          <t>N</t>
        </is>
      </c>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79">
      <c r="A134" s="5" t="n"/>
      <c r="B134" s="5" t="n"/>
      <c r="C134" s="5" t="n"/>
      <c r="D134" s="5" t="n"/>
      <c r="E134" s="5" t="n"/>
      <c r="F134" s="5" t="n"/>
      <c r="G134" s="5" t="inlineStr">
        <is>
          <t>ROK</t>
        </is>
      </c>
      <c r="H134" s="40" t="inlineStr">
        <is>
          <t>N</t>
        </is>
      </c>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79">
      <c r="A135" s="5" t="n"/>
      <c r="B135" s="5" t="n"/>
      <c r="C135" s="5" t="n"/>
      <c r="D135" s="5" t="n"/>
      <c r="E135" s="5" t="n"/>
      <c r="F135" s="5" t="n"/>
      <c r="G135" s="5" t="inlineStr">
        <is>
          <t>ROYAL FUNDING GROUP</t>
        </is>
      </c>
      <c r="H135" s="40" t="inlineStr">
        <is>
          <t>N</t>
        </is>
      </c>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79">
      <c r="A136" s="5" t="n"/>
      <c r="B136" s="5" t="n"/>
      <c r="C136" s="5" t="n"/>
      <c r="D136" s="5" t="n"/>
      <c r="E136" s="5" t="n"/>
      <c r="F136" s="5" t="n"/>
      <c r="G136" s="5" t="inlineStr">
        <is>
          <t>Redline Capital</t>
        </is>
      </c>
      <c r="H136" s="40" t="inlineStr">
        <is>
          <t>N</t>
        </is>
      </c>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79">
      <c r="A137" s="5" t="n"/>
      <c r="B137" s="5" t="n"/>
      <c r="C137" s="5" t="n"/>
      <c r="D137" s="5" t="n"/>
      <c r="E137" s="5" t="n"/>
      <c r="F137" s="5" t="n"/>
      <c r="G137" s="5" t="inlineStr">
        <is>
          <t>SABER ASSETS LLC</t>
        </is>
      </c>
      <c r="H137" s="40" t="inlineStr">
        <is>
          <t>N</t>
        </is>
      </c>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79">
      <c r="A138" s="5" t="n"/>
      <c r="B138" s="5" t="n"/>
      <c r="C138" s="5" t="n"/>
      <c r="D138" s="5" t="n"/>
      <c r="E138" s="5" t="n"/>
      <c r="F138" s="5" t="n"/>
      <c r="G138" s="5" t="inlineStr">
        <is>
          <t>SNA Capital source</t>
        </is>
      </c>
      <c r="H138" s="40" t="inlineStr">
        <is>
          <t>N</t>
        </is>
      </c>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79">
      <c r="A139" s="5" t="n"/>
      <c r="B139" s="5" t="n"/>
      <c r="C139" s="5" t="n"/>
      <c r="D139" s="5" t="n"/>
      <c r="E139" s="5" t="n"/>
      <c r="F139" s="5" t="n"/>
      <c r="G139" s="5" t="inlineStr">
        <is>
          <t>SNB CAPITAL 18 LLC</t>
        </is>
      </c>
      <c r="H139" s="40" t="inlineStr">
        <is>
          <t>N</t>
        </is>
      </c>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79">
      <c r="A140" s="5" t="n"/>
      <c r="B140" s="5" t="n"/>
      <c r="C140" s="5" t="n"/>
      <c r="D140" s="5" t="n"/>
      <c r="E140" s="5" t="n"/>
      <c r="F140" s="5" t="n"/>
      <c r="G140" s="5" t="inlineStr">
        <is>
          <t>Samson Funding</t>
        </is>
      </c>
      <c r="H140" s="40" t="inlineStr">
        <is>
          <t>N</t>
        </is>
      </c>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79">
      <c r="A141" s="5" t="n"/>
      <c r="B141" s="5" t="n"/>
      <c r="C141" s="5" t="n"/>
      <c r="D141" s="5" t="n"/>
      <c r="E141" s="5" t="n"/>
      <c r="F141" s="5" t="n"/>
      <c r="G141" s="5" t="inlineStr">
        <is>
          <t>Seacap</t>
        </is>
      </c>
      <c r="H141" s="40" t="inlineStr">
        <is>
          <t>N</t>
        </is>
      </c>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79">
      <c r="A142" s="5" t="n"/>
      <c r="B142" s="5" t="n"/>
      <c r="C142" s="5" t="n"/>
      <c r="D142" s="5" t="n"/>
      <c r="E142" s="5" t="n"/>
      <c r="F142" s="5" t="n"/>
      <c r="G142" s="5" t="inlineStr">
        <is>
          <t>Secure Capital Solutions 7</t>
        </is>
      </c>
      <c r="H142" s="40" t="inlineStr">
        <is>
          <t>N</t>
        </is>
      </c>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79">
      <c r="A143" s="5" t="n"/>
      <c r="B143" s="5" t="n"/>
      <c r="C143" s="5" t="n"/>
      <c r="D143" s="5" t="n"/>
      <c r="E143" s="5" t="n"/>
      <c r="F143" s="5" t="n"/>
      <c r="G143" s="5" t="inlineStr">
        <is>
          <t>Shield Funding</t>
        </is>
      </c>
      <c r="H143" s="40" t="inlineStr">
        <is>
          <t>N</t>
        </is>
      </c>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79">
      <c r="A144" s="5" t="n"/>
      <c r="B144" s="5" t="n"/>
      <c r="C144" s="5" t="n"/>
      <c r="D144" s="5" t="n"/>
      <c r="E144" s="5" t="n"/>
      <c r="F144" s="5" t="n"/>
      <c r="G144" s="5" t="inlineStr">
        <is>
          <t>Shop Funder</t>
        </is>
      </c>
      <c r="H144" s="40" t="inlineStr">
        <is>
          <t>N</t>
        </is>
      </c>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79">
      <c r="A145" s="5" t="n"/>
      <c r="B145" s="5" t="n"/>
      <c r="C145" s="5" t="n"/>
      <c r="D145" s="5" t="n"/>
      <c r="E145" s="5" t="n"/>
      <c r="F145" s="5" t="n"/>
      <c r="G145" s="5" t="inlineStr">
        <is>
          <t>Shore Funding USA</t>
        </is>
      </c>
      <c r="H145" s="40" t="inlineStr">
        <is>
          <t>N</t>
        </is>
      </c>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79">
      <c r="A146" s="5" t="n"/>
      <c r="B146" s="5" t="n"/>
      <c r="C146" s="5" t="n"/>
      <c r="D146" s="5" t="n"/>
      <c r="E146" s="5" t="n"/>
      <c r="F146" s="5" t="n"/>
      <c r="G146" s="5" t="inlineStr">
        <is>
          <t>Simply capital source inc</t>
        </is>
      </c>
      <c r="H146" s="40" t="inlineStr">
        <is>
          <t>N</t>
        </is>
      </c>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79">
      <c r="A147" s="5" t="n"/>
      <c r="B147" s="5" t="n"/>
      <c r="C147" s="5" t="n"/>
      <c r="D147" s="5" t="n"/>
      <c r="E147" s="5" t="n"/>
      <c r="F147" s="5" t="n"/>
      <c r="G147" s="5" t="inlineStr">
        <is>
          <t>Siriux internacional corp</t>
        </is>
      </c>
      <c r="H147" s="40" t="inlineStr">
        <is>
          <t>N</t>
        </is>
      </c>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79">
      <c r="A148" s="5" t="n"/>
      <c r="B148" s="5" t="n"/>
      <c r="C148" s="5" t="n"/>
      <c r="D148" s="5" t="n"/>
      <c r="E148" s="5" t="n"/>
      <c r="F148" s="5" t="n"/>
      <c r="G148" s="5" t="inlineStr">
        <is>
          <t>Sky Advance</t>
        </is>
      </c>
      <c r="H148" s="40" t="inlineStr">
        <is>
          <t>N</t>
        </is>
      </c>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79">
      <c r="A149" s="5" t="n"/>
      <c r="B149" s="5" t="n"/>
      <c r="C149" s="5" t="n"/>
      <c r="D149" s="5" t="n"/>
      <c r="E149" s="5" t="n"/>
      <c r="F149" s="5" t="n"/>
      <c r="G149" s="5" t="inlineStr">
        <is>
          <t>Smarter Credit Inc.</t>
        </is>
      </c>
      <c r="H149" s="40" t="inlineStr">
        <is>
          <t>N</t>
        </is>
      </c>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79">
      <c r="A150" s="5" t="n"/>
      <c r="B150" s="5" t="n"/>
      <c r="C150" s="5" t="n"/>
      <c r="D150" s="5" t="n"/>
      <c r="E150" s="5" t="n"/>
      <c r="F150" s="5" t="n"/>
      <c r="G150" s="5" t="inlineStr">
        <is>
          <t>Splash</t>
        </is>
      </c>
      <c r="H150" s="40" t="inlineStr">
        <is>
          <t>N</t>
        </is>
      </c>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79">
      <c r="A151" s="5" t="n"/>
      <c r="B151" s="5" t="n"/>
      <c r="C151" s="5" t="n"/>
      <c r="D151" s="5" t="n"/>
      <c r="E151" s="5" t="n"/>
      <c r="F151" s="5" t="n"/>
      <c r="G151" s="5" t="inlineStr">
        <is>
          <t>Springville Partners</t>
        </is>
      </c>
      <c r="H151" s="40" t="inlineStr">
        <is>
          <t>N</t>
        </is>
      </c>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79">
      <c r="A152" s="5" t="n"/>
      <c r="B152" s="5" t="n"/>
      <c r="C152" s="5" t="n"/>
      <c r="D152" s="5" t="n"/>
      <c r="E152" s="5" t="n"/>
      <c r="F152" s="5" t="n"/>
      <c r="G152" s="5" t="inlineStr">
        <is>
          <t>Streamline Funding LLC</t>
        </is>
      </c>
      <c r="H152" s="40" t="inlineStr">
        <is>
          <t>N</t>
        </is>
      </c>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79">
      <c r="A153" s="5" t="n"/>
      <c r="B153" s="5" t="n"/>
      <c r="C153" s="5" t="n"/>
      <c r="D153" s="5" t="n"/>
      <c r="E153" s="5" t="n"/>
      <c r="F153" s="5" t="n"/>
      <c r="G153" s="5" t="inlineStr">
        <is>
          <t>Supreme Capital Solutions</t>
        </is>
      </c>
      <c r="H153" s="40" t="inlineStr">
        <is>
          <t>N</t>
        </is>
      </c>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79">
      <c r="A154" s="5" t="n"/>
      <c r="B154" s="5" t="n"/>
      <c r="C154" s="5" t="n"/>
      <c r="D154" s="5" t="n"/>
      <c r="E154" s="5" t="n"/>
      <c r="F154" s="5" t="n"/>
      <c r="G154" s="5" t="inlineStr">
        <is>
          <t>Swift Business Funding</t>
        </is>
      </c>
      <c r="H154" s="40" t="inlineStr">
        <is>
          <t>N</t>
        </is>
      </c>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79">
      <c r="A155" s="5" t="n"/>
      <c r="B155" s="5" t="n"/>
      <c r="C155" s="5" t="n"/>
      <c r="D155" s="5" t="n"/>
      <c r="E155" s="5" t="n"/>
      <c r="F155" s="5" t="n"/>
      <c r="G155" s="5" t="inlineStr">
        <is>
          <t>TRUSTFI</t>
        </is>
      </c>
      <c r="H155" s="40" t="inlineStr">
        <is>
          <t>N</t>
        </is>
      </c>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79">
      <c r="A156" s="5" t="n"/>
      <c r="B156" s="5" t="n"/>
      <c r="C156" s="5" t="n"/>
      <c r="D156" s="5" t="n"/>
      <c r="E156" s="5" t="n"/>
      <c r="F156" s="5" t="n"/>
      <c r="G156" s="5" t="inlineStr">
        <is>
          <t>Tech Consulting Pro LLC D/B/A: Nationwide Advance</t>
        </is>
      </c>
      <c r="H156" s="40" t="inlineStr">
        <is>
          <t>N</t>
        </is>
      </c>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79">
      <c r="A157" s="5" t="n"/>
      <c r="B157" s="5" t="n"/>
      <c r="C157" s="5" t="n"/>
      <c r="D157" s="5" t="n"/>
      <c r="E157" s="5" t="n"/>
      <c r="F157" s="5" t="n"/>
      <c r="G157" s="5" t="inlineStr">
        <is>
          <t>The Funding Channel</t>
        </is>
      </c>
      <c r="H157" s="40" t="inlineStr">
        <is>
          <t>N</t>
        </is>
      </c>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79">
      <c r="A158" s="5" t="n"/>
      <c r="B158" s="5" t="n"/>
      <c r="C158" s="5" t="n"/>
      <c r="D158" s="5" t="n"/>
      <c r="E158" s="5" t="n"/>
      <c r="F158" s="5" t="n"/>
      <c r="G158" s="5" t="inlineStr">
        <is>
          <t>The Funding Family</t>
        </is>
      </c>
      <c r="H158" s="40" t="inlineStr">
        <is>
          <t>N</t>
        </is>
      </c>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79">
      <c r="A159" s="5" t="n"/>
      <c r="B159" s="5" t="n"/>
      <c r="C159" s="5" t="n"/>
      <c r="D159" s="5" t="n"/>
      <c r="E159" s="5" t="n"/>
      <c r="F159" s="5" t="n"/>
      <c r="G159" s="5" t="inlineStr">
        <is>
          <t>Tier one</t>
        </is>
      </c>
      <c r="H159" s="40" t="inlineStr">
        <is>
          <t>N</t>
        </is>
      </c>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79">
      <c r="A160" s="5" t="n"/>
      <c r="B160" s="5" t="n"/>
      <c r="C160" s="5" t="n"/>
      <c r="D160" s="5" t="n"/>
      <c r="E160" s="5" t="n"/>
      <c r="F160" s="5" t="n"/>
      <c r="G160" s="5" t="inlineStr">
        <is>
          <t>Tip Top Capital</t>
        </is>
      </c>
      <c r="H160" s="40" t="inlineStr">
        <is>
          <t>N</t>
        </is>
      </c>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79">
      <c r="A161" s="5" t="n"/>
      <c r="B161" s="5" t="n"/>
      <c r="C161" s="5" t="n"/>
      <c r="D161" s="5" t="n"/>
      <c r="E161" s="5" t="n"/>
      <c r="F161" s="5" t="n"/>
      <c r="G161" s="5" t="inlineStr">
        <is>
          <t>Top Floor Advance</t>
        </is>
      </c>
      <c r="H161" s="40" t="inlineStr">
        <is>
          <t>N</t>
        </is>
      </c>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79">
      <c r="A162" s="5" t="n"/>
      <c r="B162" s="5" t="n"/>
      <c r="C162" s="5" t="n"/>
      <c r="D162" s="5" t="n"/>
      <c r="E162" s="5" t="n"/>
      <c r="F162" s="5" t="n"/>
      <c r="G162" s="5" t="inlineStr">
        <is>
          <t>Triumph Cap Fund</t>
        </is>
      </c>
      <c r="H162" s="40" t="inlineStr">
        <is>
          <t>N</t>
        </is>
      </c>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79">
      <c r="A163" s="5" t="n"/>
      <c r="B163" s="5" t="n"/>
      <c r="C163" s="5" t="n"/>
      <c r="D163" s="5" t="n"/>
      <c r="E163" s="5" t="n"/>
      <c r="F163" s="5" t="n"/>
      <c r="G163" s="5" t="inlineStr">
        <is>
          <t>True Eagle Capital</t>
        </is>
      </c>
      <c r="H163" s="40" t="inlineStr">
        <is>
          <t>N</t>
        </is>
      </c>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79">
      <c r="A164" s="5" t="n"/>
      <c r="B164" s="5" t="n"/>
      <c r="C164" s="5" t="n"/>
      <c r="D164" s="5" t="n"/>
      <c r="E164" s="5" t="n"/>
      <c r="F164" s="5" t="n"/>
      <c r="G164" s="5" t="inlineStr">
        <is>
          <t>True Path Funding</t>
        </is>
      </c>
      <c r="H164" s="40" t="inlineStr">
        <is>
          <t>N</t>
        </is>
      </c>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79">
      <c r="A165" s="5" t="n"/>
      <c r="B165" s="5" t="n"/>
      <c r="C165" s="5" t="n"/>
      <c r="D165" s="5" t="n"/>
      <c r="E165" s="5" t="n"/>
      <c r="F165" s="5" t="n"/>
      <c r="G165" s="5" t="inlineStr">
        <is>
          <t>United Secured Capital 8</t>
        </is>
      </c>
      <c r="H165" s="40" t="inlineStr">
        <is>
          <t>Y</t>
        </is>
      </c>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79">
      <c r="A166" s="5" t="n"/>
      <c r="B166" s="5" t="n"/>
      <c r="C166" s="5" t="n"/>
      <c r="D166" s="5" t="n"/>
      <c r="E166" s="5" t="n"/>
      <c r="F166" s="5" t="n"/>
      <c r="G166" s="5" t="inlineStr">
        <is>
          <t>Upright Advance Corp</t>
        </is>
      </c>
      <c r="H166" s="40" t="inlineStr">
        <is>
          <t>N</t>
        </is>
      </c>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79">
      <c r="A167" s="5" t="n"/>
      <c r="B167" s="5" t="n"/>
      <c r="C167" s="5" t="n"/>
      <c r="D167" s="5" t="n"/>
      <c r="E167" s="5" t="n"/>
      <c r="F167" s="5" t="n"/>
      <c r="G167" s="5" t="inlineStr">
        <is>
          <t>Upwise capital</t>
        </is>
      </c>
      <c r="H167" s="40" t="inlineStr">
        <is>
          <t>N</t>
        </is>
      </c>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79">
      <c r="A168" s="5" t="n"/>
      <c r="B168" s="5" t="n"/>
      <c r="C168" s="5" t="n"/>
      <c r="D168" s="5" t="n"/>
      <c r="E168" s="5" t="n"/>
      <c r="F168" s="5" t="n"/>
      <c r="G168" s="5" t="inlineStr">
        <is>
          <t>Vanguard Equities</t>
        </is>
      </c>
      <c r="H168" s="40" t="inlineStr">
        <is>
          <t>N</t>
        </is>
      </c>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79">
      <c r="A169" s="5" t="n"/>
      <c r="B169" s="5" t="n"/>
      <c r="C169" s="5" t="n"/>
      <c r="D169" s="5" t="n"/>
      <c r="E169" s="5" t="n"/>
      <c r="F169" s="5" t="n"/>
      <c r="G169" s="5" t="inlineStr">
        <is>
          <t>Vantage Cap Group</t>
        </is>
      </c>
      <c r="H169" s="40" t="inlineStr">
        <is>
          <t>N</t>
        </is>
      </c>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79">
      <c r="A170" s="5" t="n"/>
      <c r="B170" s="5" t="n"/>
      <c r="C170" s="5" t="n"/>
      <c r="D170" s="5" t="n"/>
      <c r="E170" s="5" t="n"/>
      <c r="F170" s="5" t="n"/>
      <c r="G170" s="5" t="inlineStr">
        <is>
          <t>Viking Funding LLC</t>
        </is>
      </c>
      <c r="H170" s="40" t="inlineStr">
        <is>
          <t>N</t>
        </is>
      </c>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79">
      <c r="A171" s="5" t="n"/>
      <c r="B171" s="5" t="n"/>
      <c r="C171" s="5" t="n"/>
      <c r="D171" s="5" t="n"/>
      <c r="E171" s="5" t="n"/>
      <c r="F171" s="5" t="n"/>
      <c r="G171" s="5" t="inlineStr">
        <is>
          <t>Vital Funding</t>
        </is>
      </c>
      <c r="H171" s="40" t="inlineStr">
        <is>
          <t>N</t>
        </is>
      </c>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79">
      <c r="A172" s="5" t="n"/>
      <c r="B172" s="5" t="n"/>
      <c r="C172" s="5" t="n"/>
      <c r="D172" s="5" t="n"/>
      <c r="E172" s="5" t="n"/>
      <c r="F172" s="5" t="n"/>
      <c r="G172" s="5" t="inlineStr">
        <is>
          <t>WOTR Enterprise LLC</t>
        </is>
      </c>
      <c r="H172" s="40" t="inlineStr">
        <is>
          <t>N</t>
        </is>
      </c>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79">
      <c r="A173" s="5" t="n"/>
      <c r="B173" s="5" t="n"/>
      <c r="C173" s="5" t="n"/>
      <c r="D173" s="5" t="n"/>
      <c r="E173" s="5" t="n"/>
      <c r="F173" s="5" t="n"/>
      <c r="G173" s="5" t="inlineStr">
        <is>
          <t>Westwood</t>
        </is>
      </c>
      <c r="H173" s="40" t="inlineStr">
        <is>
          <t>Y</t>
        </is>
      </c>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79">
      <c r="A174" s="5" t="n"/>
      <c r="B174" s="5" t="n"/>
      <c r="C174" s="5" t="n"/>
      <c r="D174" s="5" t="n"/>
      <c r="E174" s="5" t="n"/>
      <c r="F174" s="5" t="n"/>
      <c r="G174" s="5" t="inlineStr">
        <is>
          <t>Wisco Capital</t>
        </is>
      </c>
      <c r="H174" s="40" t="inlineStr">
        <is>
          <t>N</t>
        </is>
      </c>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79">
      <c r="A175" s="5" t="n"/>
      <c r="B175" s="5" t="n"/>
      <c r="C175" s="5" t="n"/>
      <c r="D175" s="5" t="n"/>
      <c r="E175" s="5" t="n"/>
      <c r="F175" s="5" t="n"/>
      <c r="G175" s="5" t="inlineStr">
        <is>
          <t>YM ventures</t>
        </is>
      </c>
      <c r="H175" s="40" t="inlineStr">
        <is>
          <t>N</t>
        </is>
      </c>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79">
      <c r="A176" s="5" t="n"/>
      <c r="B176" s="5" t="n"/>
      <c r="C176" s="5" t="n"/>
      <c r="D176" s="5" t="n"/>
      <c r="E176" s="5" t="n"/>
      <c r="F176" s="5" t="n"/>
      <c r="G176" s="5" t="inlineStr">
        <is>
          <t>alvara capital</t>
        </is>
      </c>
      <c r="H176" s="40" t="inlineStr">
        <is>
          <t>N</t>
        </is>
      </c>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79">
      <c r="A177" s="5" t="n"/>
      <c r="B177" s="5" t="n"/>
      <c r="C177" s="5" t="n"/>
      <c r="D177" s="5" t="n"/>
      <c r="E177" s="5" t="n"/>
      <c r="F177" s="5" t="n"/>
      <c r="G177" s="5" t="inlineStr">
        <is>
          <t>biz advance now</t>
        </is>
      </c>
      <c r="H177" s="40" t="inlineStr">
        <is>
          <t>N</t>
        </is>
      </c>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79">
      <c r="A178" s="5" t="n"/>
      <c r="B178" s="5" t="n"/>
      <c r="C178" s="5" t="n"/>
      <c r="D178" s="5" t="n"/>
      <c r="E178" s="5" t="n"/>
      <c r="F178" s="5" t="n"/>
      <c r="G178" s="5" t="inlineStr">
        <is>
          <t>black flag funding</t>
        </is>
      </c>
      <c r="H178" s="40" t="inlineStr">
        <is>
          <t>N</t>
        </is>
      </c>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79">
      <c r="A179" s="5" t="n"/>
      <c r="B179" s="5" t="n"/>
      <c r="C179" s="5" t="n"/>
      <c r="D179" s="5" t="n"/>
      <c r="E179" s="5" t="n"/>
      <c r="F179" s="5" t="n"/>
      <c r="G179" s="5" t="inlineStr">
        <is>
          <t>bridge consolidation</t>
        </is>
      </c>
      <c r="H179" s="40" t="inlineStr">
        <is>
          <t>N</t>
        </is>
      </c>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79">
      <c r="A180" s="5" t="n"/>
      <c r="B180" s="5" t="n"/>
      <c r="C180" s="5" t="n"/>
      <c r="D180" s="5" t="n"/>
      <c r="E180" s="5" t="n"/>
      <c r="F180" s="5" t="n"/>
      <c r="G180" s="5" t="inlineStr">
        <is>
          <t>cavala funding</t>
        </is>
      </c>
      <c r="H180" s="40" t="inlineStr">
        <is>
          <t>N</t>
        </is>
      </c>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79">
      <c r="A181" s="5" t="n"/>
      <c r="B181" s="5" t="n"/>
      <c r="C181" s="5" t="n"/>
      <c r="D181" s="5" t="n"/>
      <c r="E181" s="5" t="n"/>
      <c r="F181" s="5" t="n"/>
      <c r="G181" s="5" t="inlineStr">
        <is>
          <t>cenitcapital</t>
        </is>
      </c>
      <c r="H181" s="40" t="inlineStr">
        <is>
          <t>N</t>
        </is>
      </c>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79">
      <c r="A182" s="5" t="n"/>
      <c r="B182" s="5" t="n"/>
      <c r="C182" s="5" t="n"/>
      <c r="D182" s="5" t="n"/>
      <c r="E182" s="5" t="n"/>
      <c r="F182" s="5" t="n"/>
      <c r="G182" s="5" t="inlineStr">
        <is>
          <t>ecp business capital</t>
        </is>
      </c>
      <c r="H182" s="40" t="inlineStr">
        <is>
          <t>N</t>
        </is>
      </c>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79">
      <c r="A183" s="5" t="n"/>
      <c r="B183" s="5" t="n"/>
      <c r="C183" s="5" t="n"/>
      <c r="D183" s="5" t="n"/>
      <c r="E183" s="5" t="n"/>
      <c r="F183" s="5" t="n"/>
      <c r="G183" s="5" t="inlineStr">
        <is>
          <t>elite finance team</t>
        </is>
      </c>
      <c r="H183" s="40" t="inlineStr">
        <is>
          <t>N</t>
        </is>
      </c>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79">
      <c r="A184" s="5" t="n"/>
      <c r="B184" s="5" t="n"/>
      <c r="C184" s="5" t="n"/>
      <c r="D184" s="5" t="n"/>
      <c r="E184" s="5" t="n"/>
      <c r="F184" s="5" t="n"/>
      <c r="G184" s="5" t="inlineStr">
        <is>
          <t>ez alternative solutions</t>
        </is>
      </c>
      <c r="H184" s="40" t="inlineStr">
        <is>
          <t>N</t>
        </is>
      </c>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79">
      <c r="A185" s="5" t="n"/>
      <c r="B185" s="5" t="n"/>
      <c r="C185" s="5" t="n"/>
      <c r="D185" s="5" t="n"/>
      <c r="E185" s="5" t="n"/>
      <c r="F185" s="5" t="n"/>
      <c r="G185" s="5" t="inlineStr">
        <is>
          <t>langtech</t>
        </is>
      </c>
      <c r="H185" s="40" t="inlineStr">
        <is>
          <t>N</t>
        </is>
      </c>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79">
      <c r="A186" s="5" t="n"/>
      <c r="B186" s="5" t="n"/>
      <c r="C186" s="5" t="n"/>
      <c r="D186" s="5" t="n"/>
      <c r="E186" s="5" t="n"/>
      <c r="F186" s="5" t="n"/>
      <c r="G186" s="5" t="inlineStr">
        <is>
          <t>legacy funding llc</t>
        </is>
      </c>
      <c r="H186" s="40" t="inlineStr">
        <is>
          <t>N</t>
        </is>
      </c>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79">
      <c r="A187" s="5" t="n"/>
      <c r="B187" s="5" t="n"/>
      <c r="C187" s="5" t="n"/>
      <c r="D187" s="5" t="n"/>
      <c r="E187" s="5" t="n"/>
      <c r="F187" s="5" t="n"/>
      <c r="G187" s="5" t="inlineStr">
        <is>
          <t>level 3 funding</t>
        </is>
      </c>
      <c r="H187" s="40" t="inlineStr">
        <is>
          <t>N</t>
        </is>
      </c>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79">
      <c r="A188" s="5" t="n"/>
      <c r="B188" s="5" t="n"/>
      <c r="C188" s="5" t="n"/>
      <c r="D188" s="5" t="n"/>
      <c r="E188" s="5" t="n"/>
      <c r="F188" s="5" t="n"/>
      <c r="G188" s="5" t="inlineStr">
        <is>
          <t>lexington capital holdings</t>
        </is>
      </c>
      <c r="H188" s="40" t="inlineStr">
        <is>
          <t>N</t>
        </is>
      </c>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79">
      <c r="A189" s="5" t="n"/>
      <c r="B189" s="5" t="n"/>
      <c r="C189" s="5" t="n"/>
      <c r="D189" s="5" t="n"/>
      <c r="E189" s="5" t="n"/>
      <c r="F189" s="5" t="n"/>
      <c r="G189" s="5" t="inlineStr">
        <is>
          <t>lightningfundingsolutions</t>
        </is>
      </c>
      <c r="H189" s="40" t="inlineStr">
        <is>
          <t>N</t>
        </is>
      </c>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79">
      <c r="A190" s="5" t="n"/>
      <c r="B190" s="5" t="n"/>
      <c r="C190" s="5" t="n"/>
      <c r="D190" s="5" t="n"/>
      <c r="E190" s="5" t="n"/>
      <c r="F190" s="5" t="n"/>
      <c r="G190" s="5" t="inlineStr">
        <is>
          <t>liquidity lending group</t>
        </is>
      </c>
      <c r="H190" s="40" t="inlineStr">
        <is>
          <t>N</t>
        </is>
      </c>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79">
      <c r="A191" s="5" t="n"/>
      <c r="B191" s="5" t="n"/>
      <c r="C191" s="5" t="n"/>
      <c r="D191" s="5" t="n"/>
      <c r="E191" s="5" t="n"/>
      <c r="F191" s="5" t="n"/>
      <c r="G191" s="5" t="inlineStr">
        <is>
          <t>ontime cap</t>
        </is>
      </c>
      <c r="H191" s="40" t="inlineStr">
        <is>
          <t>N</t>
        </is>
      </c>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79">
      <c r="A192" s="5" t="n"/>
      <c r="B192" s="5" t="n"/>
      <c r="C192" s="5" t="n"/>
      <c r="D192" s="5" t="n"/>
      <c r="E192" s="5" t="n"/>
      <c r="F192" s="5" t="n"/>
      <c r="G192" s="5" t="inlineStr">
        <is>
          <t>peach tree capital</t>
        </is>
      </c>
      <c r="H192" s="40" t="inlineStr">
        <is>
          <t>N</t>
        </is>
      </c>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79">
      <c r="A193" s="5" t="n"/>
      <c r="B193" s="5" t="n"/>
      <c r="C193" s="5" t="n"/>
      <c r="D193" s="5" t="n"/>
      <c r="E193" s="5" t="n"/>
      <c r="F193" s="5" t="n"/>
      <c r="G193" s="5" t="inlineStr">
        <is>
          <t>penco holdings</t>
        </is>
      </c>
      <c r="H193" s="40" t="inlineStr">
        <is>
          <t>N</t>
        </is>
      </c>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79">
      <c r="A194" s="5" t="n"/>
      <c r="B194" s="5" t="n"/>
      <c r="C194" s="5" t="n"/>
      <c r="D194" s="5" t="n"/>
      <c r="E194" s="5" t="n"/>
      <c r="F194" s="5" t="n"/>
      <c r="G194" s="5" t="inlineStr">
        <is>
          <t>secure way capital</t>
        </is>
      </c>
      <c r="H194" s="40" t="inlineStr">
        <is>
          <t>N</t>
        </is>
      </c>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79">
      <c r="A195" s="5" t="n"/>
      <c r="B195" s="5" t="n"/>
      <c r="C195" s="5" t="n"/>
      <c r="D195" s="5" t="n"/>
      <c r="E195" s="5" t="n"/>
      <c r="F195" s="5" t="n"/>
      <c r="G195" s="5" t="inlineStr">
        <is>
          <t>upcrunch</t>
        </is>
      </c>
      <c r="H195" s="40" t="inlineStr">
        <is>
          <t>N</t>
        </is>
      </c>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79">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79">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9.5" customHeight="1" s="79">
      <c r="A198" s="43"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79">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row>
    <row r="200" ht="15.75" customHeight="1" s="79">
      <c r="A200" s="5" t="n"/>
      <c r="B200" s="17" t="n"/>
      <c r="C200" s="17"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79">
      <c r="A201" s="5" t="n"/>
      <c r="B201" s="17" t="n"/>
      <c r="C201" s="17"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79">
      <c r="A202" s="5" t="n"/>
      <c r="B202" s="17" t="n"/>
      <c r="C202" s="17"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79">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79">
      <c r="A204" s="43"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79">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79">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79">
      <c r="A207" s="43"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79">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79">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79">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79">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79">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79">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79">
      <c r="A214" s="43"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79">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79">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79">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79">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79">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79">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79">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79">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79">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79">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79">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79">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79">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79">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79">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79">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79">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79">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79">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79">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79">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79">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79">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79">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79">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79">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79">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79">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79">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79">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79">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79">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79">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79">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79">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79">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79">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79">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79">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79">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79">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79">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79">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79">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79">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79">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79">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79">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79">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79">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79">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79">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79">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79">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79">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79">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79">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79">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79">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79">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79">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79">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79">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79">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79">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79">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79">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79">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79">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79">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79">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79">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79">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79">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79">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79">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79">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79">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79">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79">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79">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79">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79">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79">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79">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79">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79">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79">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79">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79">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79">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79">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79">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79">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79">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79">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79">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79">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79">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79">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79">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79">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79">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79">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79">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79">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79">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79">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79">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79">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79">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79">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79">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79">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79">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79">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79">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79">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79">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79">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79">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79">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79">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79">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79">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79">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79">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79">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79">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79">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79">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79">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79">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79">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79">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79">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79">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79">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79">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79">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79">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79">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79">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79">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79">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79">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79">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79">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79">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79">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79">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79">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79">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79">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79">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79">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79">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79">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79">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79">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79">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79">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79">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79">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79">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79">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79">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79">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79">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79">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79">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79">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79">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79">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79">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79">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79">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79">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79">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79">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79">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79">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79">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79">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79">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79">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79">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79">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79">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79">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79">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79">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79">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79">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79">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79">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79">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79">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79">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79">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79">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79">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79">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79">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79">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79">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79">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79">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79">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79">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79">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79">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79">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79">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79">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79">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79">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79">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79">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79">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79">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79">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79">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79">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79">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79">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79">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79">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79">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79">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79">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79">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79">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79">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79">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79">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79">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79">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79">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79">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79">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79">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79">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79">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79">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79">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79">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79">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79">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79">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79">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79">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79">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79">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79">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79">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79">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79">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79">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79">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79">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79">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79">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79">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79">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79">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79">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79">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79">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79">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79">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79">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79">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79">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79">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79">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79">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79">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79">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79">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79">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79">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79">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79">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79">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79">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79">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79">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79">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79">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79">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79">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79">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79">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79">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79">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79">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79">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79">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79">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79">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79">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79">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79">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79">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79">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79">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79">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79">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79">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79">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79">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79">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79">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79">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79">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79">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79">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79">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79">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79">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79">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79">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79">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79">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79">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79">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79">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79">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79">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79">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79">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79">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79">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79">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79">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79">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79">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79">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79">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79">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79">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79">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79">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79">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79">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79">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79">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79">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79">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79">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79">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79">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79">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79">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79">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79">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79">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79">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79">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79">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79">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79">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79">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79">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79">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79">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79">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79">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79">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79">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79">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79">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79">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79">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79">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79">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79">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79">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79">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79">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79">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79">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79">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79">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79">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79">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79">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79">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79">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79">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79">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79">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79">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79">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79">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79">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79">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79">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79">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79">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79">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79">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79">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79">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79">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79">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79">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79">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79">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79">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79">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79">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79">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79">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79">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79">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79">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79">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79">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79">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79">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79">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79">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79">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79">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79">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79">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79">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79">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79">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79">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79">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79">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79">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79">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79">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79">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79">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79">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79">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79">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79">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79">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79">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79">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79">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79">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79">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79">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79">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79">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79">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79">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79">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79">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79">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79">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79">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79">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79">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79">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79">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79">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79">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79">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79">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79">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79">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79">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79">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79">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79">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79">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79">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79">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79">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79">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79">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79">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79">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79">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79">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79">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79">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79">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79">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79">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79">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79">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79">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79">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79">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79">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79">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79">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79">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79">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79">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79">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79">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79">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79">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79">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79">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79">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79">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79">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79">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79">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79">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79">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79">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79">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79">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79">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79">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79">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79">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79">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79">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79">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79">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79">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79">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79">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79">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79">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79">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79">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79">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79">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79">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79">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79">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79">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79">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79">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79">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79">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79">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79">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79">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79">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79">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79">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79">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79">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79">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79">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79">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79">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79">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79">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79">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79">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79">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79">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79">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79">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79">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79">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79">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79">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79">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79">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79">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79">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79">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79">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79">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79">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79">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79">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79">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79">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79">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79">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79">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79">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79">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79">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79">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79">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79">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79">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79">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79">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79">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79">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79">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79">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79">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79">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79">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79">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79">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79">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79">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79">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79">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79">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79">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79">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79">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79">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79">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79">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79">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79">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79">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79">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79">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79">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79">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79">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79">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79">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79">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79">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79">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79">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79">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79">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79">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79">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79">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79">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79">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79">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79">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79">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79">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79">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79">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79">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79">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79">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79">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79">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79">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79">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79">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79">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79">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79">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79">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79">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79">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79">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79">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79">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79">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79">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79">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79">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79">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79">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79">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79">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79">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79">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79">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79">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79">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79">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79">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79">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79">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79">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79">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79">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79">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79">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79">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79">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79">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79">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79">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79">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79">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79">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79">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79">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79">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79">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79">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79">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79">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79">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79">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79">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79">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79">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79">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79">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79">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79">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79">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79">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79">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79">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79">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79">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79">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79">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79">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79">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79">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79">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79">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79">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79">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79">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79">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79">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79">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79">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79">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79">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79">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79">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79">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79">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79">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79">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79">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79">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79">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79">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79">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79">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79">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79">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79">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79">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79">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79">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79">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79">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79">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79">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79">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79">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79">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79">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79">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79">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79">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79">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79">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79">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79">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79">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79">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79">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79">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79">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79">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79">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79">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79">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79">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79">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79">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79">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79">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79">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79">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79">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79">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79">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79">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79">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79">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79">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79">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79">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79">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79">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79">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79">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79">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79">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79">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79">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dataValidations count="3">
    <dataValidation sqref="B18" showDropDown="0" showInputMessage="0" showErrorMessage="0" allowBlank="1" type="list">
      <formula1>"5,10,15,20,25,30"</formula1>
    </dataValidation>
    <dataValidation sqref="B21 B40:B104 E40:E89 H40:H195" showDropDown="0" showInputMessage="0" showErrorMessage="0" allowBlank="1" type="list">
      <formula1>"Y,N"</formula1>
    </dataValidation>
    <dataValidation sqref="B17" showDropDown="0" showInputMessage="0" showErrorMessage="0" allowBlank="1" type="list">
      <formula1>"Top by funded $,Top by funded units,Largest principal lost $,Highest Principal lost rate %,Lowest Principal lost rate %,Highest net profit $,Selected only"</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AB1769"/>
  <sheetViews>
    <sheetView showGridLines="0" workbookViewId="0">
      <selection activeCell="A1" sqref="A1"/>
    </sheetView>
  </sheetViews>
  <sheetFormatPr baseColWidth="8" defaultColWidth="14.43" defaultRowHeight="15" customHeight="1"/>
  <cols>
    <col width="26" customWidth="1" style="79" min="1" max="1"/>
    <col width="13" customWidth="1" style="79" min="2" max="28"/>
  </cols>
  <sheetData>
    <row r="1" ht="19.5" customHeight="1" s="79">
      <c r="A1" s="2" t="inlineStr">
        <is>
          <t>VISUAL METRICS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row>
    <row r="2" ht="15" customHeight="1" s="79">
      <c r="A2" s="68" t="n"/>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c r="AA2" s="5" t="n"/>
      <c r="AB2" s="5" t="n"/>
    </row>
    <row r="3" ht="15" customHeight="1" s="79">
      <c r="A3" s="6" t="inlineStr">
        <is>
          <t>JUMP TO:</t>
        </is>
      </c>
      <c r="B3" s="69" t="inlineStr">
        <is>
          <t>Industry</t>
        </is>
      </c>
      <c r="C3" s="5" t="n"/>
      <c r="D3" s="69" t="inlineStr">
        <is>
          <t>State</t>
        </is>
      </c>
      <c r="E3" s="5" t="n"/>
      <c r="F3" s="69" t="inlineStr">
        <is>
          <t>ISO</t>
        </is>
      </c>
      <c r="G3" s="5" t="n"/>
      <c r="H3" s="69" t="inlineStr">
        <is>
          <t>Position</t>
        </is>
      </c>
      <c r="I3" s="5" t="n"/>
      <c r="J3" s="69" t="inlineStr">
        <is>
          <t>Deal size</t>
        </is>
      </c>
      <c r="K3" s="5" t="n"/>
      <c r="L3" s="69" t="inlineStr">
        <is>
          <t>Factor bucket</t>
        </is>
      </c>
      <c r="M3" s="5" t="n"/>
      <c r="N3" s="69" t="inlineStr">
        <is>
          <t>Term length</t>
        </is>
      </c>
      <c r="O3" s="5" t="n"/>
      <c r="P3" s="69" t="inlineStr">
        <is>
          <t>Funding month</t>
        </is>
      </c>
      <c r="Q3" s="5" t="n"/>
      <c r="R3" s="69" t="inlineStr">
        <is>
          <t>Funding quarter</t>
        </is>
      </c>
      <c r="S3" s="5" t="n"/>
      <c r="T3" s="69" t="inlineStr">
        <is>
          <t>Funding year</t>
        </is>
      </c>
      <c r="U3" s="5" t="n"/>
      <c r="V3" s="69" t="inlineStr">
        <is>
          <t>Advance to revenue</t>
        </is>
      </c>
      <c r="W3" s="5" t="n"/>
      <c r="X3" s="69" t="inlineStr">
        <is>
          <t>New vs renewal</t>
        </is>
      </c>
      <c r="Y3" s="5" t="n"/>
      <c r="Z3" s="69" t="inlineStr">
        <is>
          <t>Status</t>
        </is>
      </c>
      <c r="AA3" s="5" t="n"/>
      <c r="AB3" s="69" t="inlineStr">
        <is>
          <t>Payment frequency</t>
        </is>
      </c>
    </row>
    <row r="4">
      <c r="A4" s="5" t="n"/>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c r="AA4" s="5" t="n"/>
      <c r="AB4" s="5" t="n"/>
    </row>
    <row r="5">
      <c r="A5" s="5" t="n"/>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row>
    <row r="6" ht="15" customHeight="1" s="79">
      <c r="A6" s="43" t="inlineStr">
        <is>
          <t xml:space="preserve">INDUSTRY   </t>
        </is>
      </c>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row>
    <row r="7" ht="66" customHeight="1" s="79">
      <c r="A7" s="72" t="n"/>
      <c r="T7" s="72" t="n"/>
      <c r="U7" s="72" t="n"/>
      <c r="V7" s="72" t="n"/>
      <c r="W7" s="72" t="n"/>
      <c r="X7" s="72" t="n"/>
      <c r="Y7" s="72" t="n"/>
      <c r="Z7" s="72" t="n"/>
      <c r="AA7" s="72" t="n"/>
      <c r="AB7" s="5" t="n"/>
    </row>
    <row r="8">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row>
    <row r="9">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row>
    <row r="10">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row>
    <row r="11">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row>
    <row r="12">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row>
    <row r="13">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row>
    <row r="14">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row>
    <row r="15">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row>
    <row r="17">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row>
    <row r="18">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row>
    <row r="19">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row>
    <row r="20">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row>
    <row r="21" ht="15.75" customHeight="1" s="79">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row>
    <row r="22" ht="15.75" customHeight="1" s="79">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row>
    <row r="23" ht="15.75" customHeight="1" s="79">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row>
    <row r="24" ht="15.75" customHeight="1" s="79">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row>
    <row r="25" ht="15.75" customHeight="1" s="79">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row>
    <row r="26" ht="15.75" customHeight="1" s="79">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row>
    <row r="27" ht="15.75" customHeight="1" s="79">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row>
    <row r="28" ht="15.75" customHeight="1" s="79">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row>
    <row r="29" ht="15.75" customHeight="1" s="79">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row>
    <row r="30" ht="15.75" customHeight="1" s="79">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row>
    <row r="31" ht="15.75" customHeight="1" s="79">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row>
    <row r="32" ht="15.75" customHeight="1" s="79">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row>
    <row r="33" ht="15.75" customHeight="1" s="79">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row>
    <row r="34" ht="15.75" customHeight="1" s="79">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row>
    <row r="35" ht="15.75" customHeight="1" s="79">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row>
    <row r="36" ht="15.75" customHeight="1" s="79">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row>
    <row r="37" ht="15.75" customHeight="1" s="79">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row>
    <row r="38" ht="15.75" customHeight="1" s="79">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row>
    <row r="39" ht="15.75" customHeight="1" s="79">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row>
    <row r="40" ht="15.75" customHeight="1" s="79">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row>
    <row r="41" ht="15.75" customHeight="1" s="79">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row>
    <row r="42" ht="15.75" customHeight="1" s="79">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row>
    <row r="43" ht="15.75" customHeight="1" s="79">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row>
    <row r="44" ht="15.75" customHeight="1" s="79">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row>
    <row r="45" ht="15.75" customHeight="1" s="79">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row>
    <row r="46" ht="15.75" customHeight="1" s="79">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row>
    <row r="47" ht="15.75" customHeight="1" s="79">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row>
    <row r="48" ht="15.75" customHeight="1" s="79">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row>
    <row r="49" ht="15.75" customHeight="1" s="79">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row>
    <row r="50" ht="15.75" customHeight="1" s="79">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row>
    <row r="51" ht="15.75" customHeight="1" s="79">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row>
    <row r="52" ht="15.75" customHeight="1" s="79">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row>
    <row r="53" ht="15.75" customHeight="1" s="79">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row>
    <row r="54" ht="15.75" customHeight="1" s="79">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row>
    <row r="55" ht="15.75" customHeight="1" s="79">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row>
    <row r="56" ht="15.75" customHeight="1" s="79">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row>
    <row r="57" ht="15.75" customHeight="1" s="79">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row>
    <row r="58" ht="15.75" customHeight="1" s="79">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row>
    <row r="59" ht="15.75" customHeight="1" s="7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row>
    <row r="60" ht="15.75" customHeight="1" s="79">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row>
    <row r="61" ht="15.75" customHeight="1" s="79">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row>
    <row r="62" ht="15.75" customHeight="1" s="79">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row>
    <row r="63" ht="15.75" customHeight="1" s="79">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row>
    <row r="64" ht="15.75" customHeight="1" s="79">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row>
    <row r="65" ht="15.75" customHeight="1" s="79">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row>
    <row r="66" ht="15.75" customHeight="1" s="79">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row>
    <row r="67" ht="15.75" customHeight="1" s="79">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row>
    <row r="68" ht="15.75" customHeight="1" s="79">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row>
    <row r="69" ht="15.75" customHeight="1" s="79">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row>
    <row r="70" ht="15.75" customHeight="1" s="79">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row>
    <row r="71" ht="15.75" customHeight="1" s="79">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row>
    <row r="72" ht="15.75" customHeight="1" s="79">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row>
    <row r="73" ht="15.75" customHeight="1" s="79">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row>
    <row r="74" ht="15.75" customHeight="1" s="79">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row>
    <row r="75" ht="15.75" customHeight="1" s="79">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row>
    <row r="76" ht="15.75" customHeight="1" s="79">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row>
    <row r="77" ht="15.75" customHeight="1" s="79">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row>
    <row r="78" ht="15.75" customHeight="1" s="79">
      <c r="A78" s="5" t="inlineStr">
        <is>
          <t>Longer "Days on book, defaulted" is better; shorter "Days to close" is better; both are measured against the contracted term.</t>
        </is>
      </c>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row>
    <row r="79" ht="15.75" customHeight="1" s="79">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row>
    <row r="80" ht="15.75" customHeight="1" s="79">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row>
    <row r="81" ht="15.75" customHeight="1" s="79">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row>
    <row r="82" ht="15.75" customHeight="1" s="79">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row>
    <row r="83" ht="15.75" customHeight="1" s="79">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row>
    <row r="84" ht="15.75" customHeight="1" s="79">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row>
    <row r="85" ht="15.75" customHeight="1" s="79">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row>
    <row r="86" ht="15.75" customHeight="1" s="79">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row>
    <row r="87" ht="15.75" customHeight="1" s="79">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row>
    <row r="88" ht="15.75" customHeight="1" s="79">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row>
    <row r="89" ht="15.75" customHeight="1" s="79">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row>
    <row r="90" ht="15.75" customHeight="1" s="79">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row>
    <row r="91" ht="15.75" customHeight="1" s="79">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row>
    <row r="92" ht="15.75" customHeight="1" s="79">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row>
    <row r="93" ht="15.75" customHeight="1" s="79">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row>
    <row r="94" ht="15.75" customHeight="1" s="79">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row>
    <row r="95" ht="15.75" customHeight="1" s="79">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row>
    <row r="96" ht="15.75" customHeight="1" s="79">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row>
    <row r="97" ht="15.75" customHeight="1" s="79">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row>
    <row r="98" ht="15.75" customHeight="1" s="79">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row>
    <row r="99" ht="15.75" customHeight="1" s="79">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row>
    <row r="100" ht="15.75" customHeight="1" s="79">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row>
    <row r="101" ht="15.75" customHeight="1" s="79">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row>
    <row r="102" ht="15.75" customHeight="1" s="79">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row>
    <row r="103" ht="15.75" customHeight="1" s="79">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row>
    <row r="104" ht="15.75" customHeight="1" s="79">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row>
    <row r="105" ht="15.75" customHeight="1" s="79">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row>
    <row r="106" ht="15.75" customHeight="1" s="79">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row>
    <row r="107" ht="15.75" customHeight="1" s="79">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row>
    <row r="108" ht="15.75" customHeight="1" s="79">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row>
    <row r="109" ht="15.75" customHeight="1" s="79">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row>
    <row r="110" ht="15.75" customHeight="1" s="79">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row>
    <row r="111" ht="15.75" customHeight="1" s="79">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row>
    <row r="112" ht="15.75" customHeight="1" s="79">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row>
    <row r="113" ht="15.75" customHeight="1" s="79">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row>
    <row r="114" ht="15.75" customHeight="1" s="79">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row>
    <row r="115" ht="15.75" customHeight="1" s="79">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row>
    <row r="116" ht="15.75" customHeight="1" s="79">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row>
    <row r="117" ht="15.75" customHeight="1" s="79">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row>
    <row r="118" ht="15.75" customHeight="1" s="79">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row>
    <row r="119" ht="15.75" customHeight="1" s="79">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row>
    <row r="120" ht="15.75" customHeight="1" s="79">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row>
    <row r="121" ht="15.75" customHeight="1" s="79">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row>
    <row r="122" ht="15.75" customHeight="1" s="79">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row>
    <row r="123" ht="15.75" customHeight="1" s="79">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row>
    <row r="124" ht="15.75" customHeight="1" s="79">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row>
    <row r="125" ht="15.75" customHeight="1" s="79">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row>
    <row r="126" ht="15.75" customHeight="1" s="79">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row>
    <row r="127" ht="15.75" customHeight="1" s="79">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row>
    <row r="128" ht="15.75" customHeight="1" s="79">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row>
    <row r="129" ht="15.75" customHeight="1" s="79">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row>
    <row r="130" ht="15.75" customHeight="1" s="79">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row>
    <row r="131" ht="15.75" customHeight="1" s="79">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row>
    <row r="132" ht="15.75" customHeight="1" s="79">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row>
    <row r="133" ht="15.75" customHeight="1" s="79">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row>
    <row r="134" ht="30" customHeight="1" s="79">
      <c r="A134" s="34" t="inlineStr">
        <is>
          <t>Segment</t>
        </is>
      </c>
      <c r="B134" s="34" t="inlineStr">
        <is>
          <t>Funded $</t>
        </is>
      </c>
      <c r="C134" s="34" t="inlineStr">
        <is>
          <t>Collected $</t>
        </is>
      </c>
      <c r="D134" s="34" t="inlineStr">
        <is>
          <t>Net profit / loss $</t>
        </is>
      </c>
      <c r="E134" s="34" t="inlineStr">
        <is>
          <t>Commission $</t>
        </is>
      </c>
      <c r="F134" s="34" t="inlineStr">
        <is>
          <t>Principal lost $</t>
        </is>
      </c>
      <c r="G134" s="34" t="inlineStr">
        <is>
          <t>Principal default exposure</t>
        </is>
      </c>
      <c r="H134" s="34" t="inlineStr">
        <is>
          <t>Recovery rate</t>
        </is>
      </c>
      <c r="I134" s="34" t="inlineStr">
        <is>
          <t>Return on funded capital (%)</t>
        </is>
      </c>
      <c r="J134" s="34" t="inlineStr">
        <is>
          <t>Deals</t>
        </is>
      </c>
      <c r="K134" s="34" t="inlineStr">
        <is>
          <t>Share of funded dollars</t>
        </is>
      </c>
      <c r="L134" s="34" t="inlineStr">
        <is>
          <t>Avg deal size</t>
        </is>
      </c>
      <c r="M134" s="34" t="inlineStr">
        <is>
          <t>Avg expected term (business days)</t>
        </is>
      </c>
      <c r="N134" s="34" t="inlineStr">
        <is>
          <t>Avg expected term (payments)</t>
        </is>
      </c>
      <c r="O134" s="34" t="inlineStr">
        <is>
          <t>Avg days on book, defaulted</t>
        </is>
      </c>
      <c r="P134" s="34" t="inlineStr">
        <is>
          <t>Avg days to close</t>
        </is>
      </c>
      <c r="Q134" s="34" t="inlineStr">
        <is>
          <t>% of deals that were renewals</t>
        </is>
      </c>
      <c r="R134" s="34" t="inlineStr">
        <is>
          <t>% of funded dollars from renewals</t>
        </is>
      </c>
      <c r="S134" s="34" t="inlineStr">
        <is>
          <t>Book default exposure</t>
        </is>
      </c>
      <c r="T134" s="34" t="inlineStr">
        <is>
          <t>Book recovery</t>
        </is>
      </c>
      <c r="U134" s="34" t="inlineStr">
        <is>
          <t>Book return on funded capital</t>
        </is>
      </c>
      <c r="V134" s="34" t="inlineStr">
        <is>
          <t>Default rate (#)</t>
        </is>
      </c>
      <c r="W134" s="5" t="n"/>
      <c r="X134" s="5" t="n"/>
      <c r="Y134" s="5" t="n"/>
      <c r="Z134" s="5" t="n"/>
      <c r="AA134" s="5" t="n"/>
      <c r="AB134" s="5" t="n"/>
    </row>
    <row r="135" ht="15.75" customHeight="1" s="79">
      <c r="A135" s="5">
        <f>IFERROR(Calc!$A$5,"")</f>
        <v/>
      </c>
      <c r="B135" s="20">
        <f>IFERROR(Calc!B5,"")</f>
        <v/>
      </c>
      <c r="C135" s="20">
        <f>IFERROR(Calc!C5,"")</f>
        <v/>
      </c>
      <c r="D135" s="20">
        <f>IFERROR(Calc!D5,"")</f>
        <v/>
      </c>
      <c r="E135" s="20">
        <f>IFERROR(Calc!E5,"")</f>
        <v/>
      </c>
      <c r="F135" s="20">
        <f>IFERROR(Calc!F5,"")</f>
        <v/>
      </c>
      <c r="G135" s="21">
        <f>IFERROR(Calc!G5,"")</f>
        <v/>
      </c>
      <c r="H135" s="21">
        <f>IFERROR(Calc!H5,"")</f>
        <v/>
      </c>
      <c r="I135" s="21">
        <f>IFERROR(Calc!I5,"")</f>
        <v/>
      </c>
      <c r="J135" s="17">
        <f>IFERROR(Calc!J5,"")</f>
        <v/>
      </c>
      <c r="K135" s="21">
        <f>IFERROR(Calc!K5,"")</f>
        <v/>
      </c>
      <c r="L135" s="20">
        <f>IFERROR(Calc!L5,"")</f>
        <v/>
      </c>
      <c r="M135" s="17">
        <f>IFERROR(Calc!M5,"")</f>
        <v/>
      </c>
      <c r="N135" s="17">
        <f>IFERROR(Calc!N5,"")</f>
        <v/>
      </c>
      <c r="O135" s="17">
        <f>IFERROR(Calc!O5,"")</f>
        <v/>
      </c>
      <c r="P135" s="17">
        <f>IFERROR(Calc!P5,"")</f>
        <v/>
      </c>
      <c r="Q135" s="21">
        <f>IFERROR(Calc!Q5,"")</f>
        <v/>
      </c>
      <c r="R135" s="21">
        <f>IFERROR(Calc!R5,"")</f>
        <v/>
      </c>
      <c r="S135" s="21">
        <f>IFERROR(Calc!S5,"")</f>
        <v/>
      </c>
      <c r="T135" s="21">
        <f>IFERROR(Calc!T5,"")</f>
        <v/>
      </c>
      <c r="U135" s="21">
        <f>IFERROR(Calc!U5,"")</f>
        <v/>
      </c>
      <c r="V135" s="21">
        <f>IFERROR(Calc!V5,"")</f>
        <v/>
      </c>
      <c r="W135" s="5" t="n"/>
      <c r="X135" s="5" t="n"/>
      <c r="Y135" s="5" t="n"/>
      <c r="Z135" s="5" t="n"/>
      <c r="AA135" s="5" t="n"/>
      <c r="AB135" s="5" t="n"/>
    </row>
    <row r="136" ht="15.75" customHeight="1" s="79">
      <c r="A136" s="5">
        <f>IFERROR(Calc!$A$6,"")</f>
        <v/>
      </c>
      <c r="B136" s="20">
        <f>IFERROR(Calc!B6,"")</f>
        <v/>
      </c>
      <c r="C136" s="20">
        <f>IFERROR(Calc!C6,"")</f>
        <v/>
      </c>
      <c r="D136" s="20">
        <f>IFERROR(Calc!D6,"")</f>
        <v/>
      </c>
      <c r="E136" s="20">
        <f>IFERROR(Calc!E6,"")</f>
        <v/>
      </c>
      <c r="F136" s="20">
        <f>IFERROR(Calc!F6,"")</f>
        <v/>
      </c>
      <c r="G136" s="21">
        <f>IFERROR(Calc!G6,"")</f>
        <v/>
      </c>
      <c r="H136" s="21">
        <f>IFERROR(Calc!H6,"")</f>
        <v/>
      </c>
      <c r="I136" s="21">
        <f>IFERROR(Calc!I6,"")</f>
        <v/>
      </c>
      <c r="J136" s="17">
        <f>IFERROR(Calc!J6,"")</f>
        <v/>
      </c>
      <c r="K136" s="21">
        <f>IFERROR(Calc!K6,"")</f>
        <v/>
      </c>
      <c r="L136" s="20">
        <f>IFERROR(Calc!L6,"")</f>
        <v/>
      </c>
      <c r="M136" s="17">
        <f>IFERROR(Calc!M6,"")</f>
        <v/>
      </c>
      <c r="N136" s="17">
        <f>IFERROR(Calc!N6,"")</f>
        <v/>
      </c>
      <c r="O136" s="17">
        <f>IFERROR(Calc!O6,"")</f>
        <v/>
      </c>
      <c r="P136" s="17">
        <f>IFERROR(Calc!P6,"")</f>
        <v/>
      </c>
      <c r="Q136" s="21">
        <f>IFERROR(Calc!Q6,"")</f>
        <v/>
      </c>
      <c r="R136" s="21">
        <f>IFERROR(Calc!R6,"")</f>
        <v/>
      </c>
      <c r="S136" s="21">
        <f>IFERROR(Calc!S6,"")</f>
        <v/>
      </c>
      <c r="T136" s="21">
        <f>IFERROR(Calc!T6,"")</f>
        <v/>
      </c>
      <c r="U136" s="21">
        <f>IFERROR(Calc!U6,"")</f>
        <v/>
      </c>
      <c r="V136" s="21">
        <f>IFERROR(Calc!V6,"")</f>
        <v/>
      </c>
      <c r="W136" s="5" t="n"/>
      <c r="X136" s="5" t="n"/>
      <c r="Y136" s="5" t="n"/>
      <c r="Z136" s="5" t="n"/>
      <c r="AA136" s="5" t="n"/>
      <c r="AB136" s="5" t="n"/>
    </row>
    <row r="137" ht="15.75" customHeight="1" s="79">
      <c r="A137" s="5">
        <f>IFERROR(Calc!$A$7,"")</f>
        <v/>
      </c>
      <c r="B137" s="20">
        <f>IFERROR(Calc!B7,"")</f>
        <v/>
      </c>
      <c r="C137" s="20">
        <f>IFERROR(Calc!C7,"")</f>
        <v/>
      </c>
      <c r="D137" s="20">
        <f>IFERROR(Calc!D7,"")</f>
        <v/>
      </c>
      <c r="E137" s="20">
        <f>IFERROR(Calc!E7,"")</f>
        <v/>
      </c>
      <c r="F137" s="20">
        <f>IFERROR(Calc!F7,"")</f>
        <v/>
      </c>
      <c r="G137" s="21">
        <f>IFERROR(Calc!G7,"")</f>
        <v/>
      </c>
      <c r="H137" s="21">
        <f>IFERROR(Calc!H7,"")</f>
        <v/>
      </c>
      <c r="I137" s="21">
        <f>IFERROR(Calc!I7,"")</f>
        <v/>
      </c>
      <c r="J137" s="17">
        <f>IFERROR(Calc!J7,"")</f>
        <v/>
      </c>
      <c r="K137" s="21">
        <f>IFERROR(Calc!K7,"")</f>
        <v/>
      </c>
      <c r="L137" s="20">
        <f>IFERROR(Calc!L7,"")</f>
        <v/>
      </c>
      <c r="M137" s="17">
        <f>IFERROR(Calc!M7,"")</f>
        <v/>
      </c>
      <c r="N137" s="17">
        <f>IFERROR(Calc!N7,"")</f>
        <v/>
      </c>
      <c r="O137" s="17">
        <f>IFERROR(Calc!O7,"")</f>
        <v/>
      </c>
      <c r="P137" s="17">
        <f>IFERROR(Calc!P7,"")</f>
        <v/>
      </c>
      <c r="Q137" s="21">
        <f>IFERROR(Calc!Q7,"")</f>
        <v/>
      </c>
      <c r="R137" s="21">
        <f>IFERROR(Calc!R7,"")</f>
        <v/>
      </c>
      <c r="S137" s="21">
        <f>IFERROR(Calc!S7,"")</f>
        <v/>
      </c>
      <c r="T137" s="21">
        <f>IFERROR(Calc!T7,"")</f>
        <v/>
      </c>
      <c r="U137" s="21">
        <f>IFERROR(Calc!U7,"")</f>
        <v/>
      </c>
      <c r="V137" s="21">
        <f>IFERROR(Calc!V7,"")</f>
        <v/>
      </c>
      <c r="W137" s="5" t="n"/>
      <c r="X137" s="5" t="n"/>
      <c r="Y137" s="5" t="n"/>
      <c r="Z137" s="5" t="n"/>
      <c r="AA137" s="5" t="n"/>
      <c r="AB137" s="5" t="n"/>
    </row>
    <row r="138" ht="15.75" customHeight="1" s="79">
      <c r="A138" s="5">
        <f>IFERROR(Calc!$A$8,"")</f>
        <v/>
      </c>
      <c r="B138" s="20">
        <f>IFERROR(Calc!B8,"")</f>
        <v/>
      </c>
      <c r="C138" s="20">
        <f>IFERROR(Calc!C8,"")</f>
        <v/>
      </c>
      <c r="D138" s="20">
        <f>IFERROR(Calc!D8,"")</f>
        <v/>
      </c>
      <c r="E138" s="20">
        <f>IFERROR(Calc!E8,"")</f>
        <v/>
      </c>
      <c r="F138" s="20">
        <f>IFERROR(Calc!F8,"")</f>
        <v/>
      </c>
      <c r="G138" s="21">
        <f>IFERROR(Calc!G8,"")</f>
        <v/>
      </c>
      <c r="H138" s="21">
        <f>IFERROR(Calc!H8,"")</f>
        <v/>
      </c>
      <c r="I138" s="21">
        <f>IFERROR(Calc!I8,"")</f>
        <v/>
      </c>
      <c r="J138" s="17">
        <f>IFERROR(Calc!J8,"")</f>
        <v/>
      </c>
      <c r="K138" s="21">
        <f>IFERROR(Calc!K8,"")</f>
        <v/>
      </c>
      <c r="L138" s="20">
        <f>IFERROR(Calc!L8,"")</f>
        <v/>
      </c>
      <c r="M138" s="17">
        <f>IFERROR(Calc!M8,"")</f>
        <v/>
      </c>
      <c r="N138" s="17">
        <f>IFERROR(Calc!N8,"")</f>
        <v/>
      </c>
      <c r="O138" s="17">
        <f>IFERROR(Calc!O8,"")</f>
        <v/>
      </c>
      <c r="P138" s="17">
        <f>IFERROR(Calc!P8,"")</f>
        <v/>
      </c>
      <c r="Q138" s="21">
        <f>IFERROR(Calc!Q8,"")</f>
        <v/>
      </c>
      <c r="R138" s="21">
        <f>IFERROR(Calc!R8,"")</f>
        <v/>
      </c>
      <c r="S138" s="21">
        <f>IFERROR(Calc!S8,"")</f>
        <v/>
      </c>
      <c r="T138" s="21">
        <f>IFERROR(Calc!T8,"")</f>
        <v/>
      </c>
      <c r="U138" s="21">
        <f>IFERROR(Calc!U8,"")</f>
        <v/>
      </c>
      <c r="V138" s="21">
        <f>IFERROR(Calc!V8,"")</f>
        <v/>
      </c>
      <c r="W138" s="5" t="n"/>
      <c r="X138" s="5" t="n"/>
      <c r="Y138" s="5" t="n"/>
      <c r="Z138" s="5" t="n"/>
      <c r="AA138" s="5" t="n"/>
      <c r="AB138" s="5" t="n"/>
    </row>
    <row r="139" ht="15.75" customHeight="1" s="79">
      <c r="A139" s="5">
        <f>IFERROR(Calc!$A$9,"")</f>
        <v/>
      </c>
      <c r="B139" s="20">
        <f>IFERROR(Calc!B9,"")</f>
        <v/>
      </c>
      <c r="C139" s="20">
        <f>IFERROR(Calc!C9,"")</f>
        <v/>
      </c>
      <c r="D139" s="20">
        <f>IFERROR(Calc!D9,"")</f>
        <v/>
      </c>
      <c r="E139" s="20">
        <f>IFERROR(Calc!E9,"")</f>
        <v/>
      </c>
      <c r="F139" s="20">
        <f>IFERROR(Calc!F9,"")</f>
        <v/>
      </c>
      <c r="G139" s="21">
        <f>IFERROR(Calc!G9,"")</f>
        <v/>
      </c>
      <c r="H139" s="21">
        <f>IFERROR(Calc!H9,"")</f>
        <v/>
      </c>
      <c r="I139" s="21">
        <f>IFERROR(Calc!I9,"")</f>
        <v/>
      </c>
      <c r="J139" s="17">
        <f>IFERROR(Calc!J9,"")</f>
        <v/>
      </c>
      <c r="K139" s="21">
        <f>IFERROR(Calc!K9,"")</f>
        <v/>
      </c>
      <c r="L139" s="20">
        <f>IFERROR(Calc!L9,"")</f>
        <v/>
      </c>
      <c r="M139" s="17">
        <f>IFERROR(Calc!M9,"")</f>
        <v/>
      </c>
      <c r="N139" s="17">
        <f>IFERROR(Calc!N9,"")</f>
        <v/>
      </c>
      <c r="O139" s="17">
        <f>IFERROR(Calc!O9,"")</f>
        <v/>
      </c>
      <c r="P139" s="17">
        <f>IFERROR(Calc!P9,"")</f>
        <v/>
      </c>
      <c r="Q139" s="21">
        <f>IFERROR(Calc!Q9,"")</f>
        <v/>
      </c>
      <c r="R139" s="21">
        <f>IFERROR(Calc!R9,"")</f>
        <v/>
      </c>
      <c r="S139" s="21">
        <f>IFERROR(Calc!S9,"")</f>
        <v/>
      </c>
      <c r="T139" s="21">
        <f>IFERROR(Calc!T9,"")</f>
        <v/>
      </c>
      <c r="U139" s="21">
        <f>IFERROR(Calc!U9,"")</f>
        <v/>
      </c>
      <c r="V139" s="21">
        <f>IFERROR(Calc!V9,"")</f>
        <v/>
      </c>
      <c r="W139" s="5" t="n"/>
      <c r="X139" s="5" t="n"/>
      <c r="Y139" s="5" t="n"/>
      <c r="Z139" s="5" t="n"/>
      <c r="AA139" s="5" t="n"/>
      <c r="AB139" s="5" t="n"/>
    </row>
    <row r="140" ht="15.75" customHeight="1" s="79">
      <c r="A140" s="5">
        <f>IFERROR(Calc!$A$10,"")</f>
        <v/>
      </c>
      <c r="B140" s="20">
        <f>IFERROR(Calc!B10,"")</f>
        <v/>
      </c>
      <c r="C140" s="20">
        <f>IFERROR(Calc!C10,"")</f>
        <v/>
      </c>
      <c r="D140" s="20">
        <f>IFERROR(Calc!D10,"")</f>
        <v/>
      </c>
      <c r="E140" s="20">
        <f>IFERROR(Calc!E10,"")</f>
        <v/>
      </c>
      <c r="F140" s="20">
        <f>IFERROR(Calc!F10,"")</f>
        <v/>
      </c>
      <c r="G140" s="21">
        <f>IFERROR(Calc!G10,"")</f>
        <v/>
      </c>
      <c r="H140" s="21">
        <f>IFERROR(Calc!H10,"")</f>
        <v/>
      </c>
      <c r="I140" s="21">
        <f>IFERROR(Calc!I10,"")</f>
        <v/>
      </c>
      <c r="J140" s="17">
        <f>IFERROR(Calc!J10,"")</f>
        <v/>
      </c>
      <c r="K140" s="21">
        <f>IFERROR(Calc!K10,"")</f>
        <v/>
      </c>
      <c r="L140" s="20">
        <f>IFERROR(Calc!L10,"")</f>
        <v/>
      </c>
      <c r="M140" s="17">
        <f>IFERROR(Calc!M10,"")</f>
        <v/>
      </c>
      <c r="N140" s="17">
        <f>IFERROR(Calc!N10,"")</f>
        <v/>
      </c>
      <c r="O140" s="17">
        <f>IFERROR(Calc!O10,"")</f>
        <v/>
      </c>
      <c r="P140" s="17">
        <f>IFERROR(Calc!P10,"")</f>
        <v/>
      </c>
      <c r="Q140" s="21">
        <f>IFERROR(Calc!Q10,"")</f>
        <v/>
      </c>
      <c r="R140" s="21">
        <f>IFERROR(Calc!R10,"")</f>
        <v/>
      </c>
      <c r="S140" s="21">
        <f>IFERROR(Calc!S10,"")</f>
        <v/>
      </c>
      <c r="T140" s="21">
        <f>IFERROR(Calc!T10,"")</f>
        <v/>
      </c>
      <c r="U140" s="21">
        <f>IFERROR(Calc!U10,"")</f>
        <v/>
      </c>
      <c r="V140" s="21">
        <f>IFERROR(Calc!V10,"")</f>
        <v/>
      </c>
      <c r="W140" s="5" t="n"/>
      <c r="X140" s="5" t="n"/>
      <c r="Y140" s="5" t="n"/>
      <c r="Z140" s="5" t="n"/>
      <c r="AA140" s="5" t="n"/>
      <c r="AB140" s="5" t="n"/>
    </row>
    <row r="141" ht="15.75" customHeight="1" s="79">
      <c r="A141" s="5">
        <f>IFERROR(Calc!$A$11,"")</f>
        <v/>
      </c>
      <c r="B141" s="20">
        <f>IFERROR(Calc!B11,"")</f>
        <v/>
      </c>
      <c r="C141" s="20">
        <f>IFERROR(Calc!C11,"")</f>
        <v/>
      </c>
      <c r="D141" s="20">
        <f>IFERROR(Calc!D11,"")</f>
        <v/>
      </c>
      <c r="E141" s="20">
        <f>IFERROR(Calc!E11,"")</f>
        <v/>
      </c>
      <c r="F141" s="20">
        <f>IFERROR(Calc!F11,"")</f>
        <v/>
      </c>
      <c r="G141" s="21">
        <f>IFERROR(Calc!G11,"")</f>
        <v/>
      </c>
      <c r="H141" s="21">
        <f>IFERROR(Calc!H11,"")</f>
        <v/>
      </c>
      <c r="I141" s="21">
        <f>IFERROR(Calc!I11,"")</f>
        <v/>
      </c>
      <c r="J141" s="17">
        <f>IFERROR(Calc!J11,"")</f>
        <v/>
      </c>
      <c r="K141" s="21">
        <f>IFERROR(Calc!K11,"")</f>
        <v/>
      </c>
      <c r="L141" s="20">
        <f>IFERROR(Calc!L11,"")</f>
        <v/>
      </c>
      <c r="M141" s="17">
        <f>IFERROR(Calc!M11,"")</f>
        <v/>
      </c>
      <c r="N141" s="17">
        <f>IFERROR(Calc!N11,"")</f>
        <v/>
      </c>
      <c r="O141" s="17">
        <f>IFERROR(Calc!O11,"")</f>
        <v/>
      </c>
      <c r="P141" s="17">
        <f>IFERROR(Calc!P11,"")</f>
        <v/>
      </c>
      <c r="Q141" s="21">
        <f>IFERROR(Calc!Q11,"")</f>
        <v/>
      </c>
      <c r="R141" s="21">
        <f>IFERROR(Calc!R11,"")</f>
        <v/>
      </c>
      <c r="S141" s="21">
        <f>IFERROR(Calc!S11,"")</f>
        <v/>
      </c>
      <c r="T141" s="21">
        <f>IFERROR(Calc!T11,"")</f>
        <v/>
      </c>
      <c r="U141" s="21">
        <f>IFERROR(Calc!U11,"")</f>
        <v/>
      </c>
      <c r="V141" s="21">
        <f>IFERROR(Calc!V11,"")</f>
        <v/>
      </c>
      <c r="W141" s="5" t="n"/>
      <c r="X141" s="5" t="n"/>
      <c r="Y141" s="5" t="n"/>
      <c r="Z141" s="5" t="n"/>
      <c r="AA141" s="5" t="n"/>
      <c r="AB141" s="5" t="n"/>
    </row>
    <row r="142" ht="15.75" customHeight="1" s="79">
      <c r="A142" s="5">
        <f>IFERROR(Calc!$A$12,"")</f>
        <v/>
      </c>
      <c r="B142" s="20">
        <f>IFERROR(Calc!B12,"")</f>
        <v/>
      </c>
      <c r="C142" s="20">
        <f>IFERROR(Calc!C12,"")</f>
        <v/>
      </c>
      <c r="D142" s="20">
        <f>IFERROR(Calc!D12,"")</f>
        <v/>
      </c>
      <c r="E142" s="20">
        <f>IFERROR(Calc!E12,"")</f>
        <v/>
      </c>
      <c r="F142" s="20">
        <f>IFERROR(Calc!F12,"")</f>
        <v/>
      </c>
      <c r="G142" s="21">
        <f>IFERROR(Calc!G12,"")</f>
        <v/>
      </c>
      <c r="H142" s="21">
        <f>IFERROR(Calc!H12,"")</f>
        <v/>
      </c>
      <c r="I142" s="21">
        <f>IFERROR(Calc!I12,"")</f>
        <v/>
      </c>
      <c r="J142" s="17">
        <f>IFERROR(Calc!J12,"")</f>
        <v/>
      </c>
      <c r="K142" s="21">
        <f>IFERROR(Calc!K12,"")</f>
        <v/>
      </c>
      <c r="L142" s="20">
        <f>IFERROR(Calc!L12,"")</f>
        <v/>
      </c>
      <c r="M142" s="17">
        <f>IFERROR(Calc!M12,"")</f>
        <v/>
      </c>
      <c r="N142" s="17">
        <f>IFERROR(Calc!N12,"")</f>
        <v/>
      </c>
      <c r="O142" s="17">
        <f>IFERROR(Calc!O12,"")</f>
        <v/>
      </c>
      <c r="P142" s="17">
        <f>IFERROR(Calc!P12,"")</f>
        <v/>
      </c>
      <c r="Q142" s="21">
        <f>IFERROR(Calc!Q12,"")</f>
        <v/>
      </c>
      <c r="R142" s="21">
        <f>IFERROR(Calc!R12,"")</f>
        <v/>
      </c>
      <c r="S142" s="21">
        <f>IFERROR(Calc!S12,"")</f>
        <v/>
      </c>
      <c r="T142" s="21">
        <f>IFERROR(Calc!T12,"")</f>
        <v/>
      </c>
      <c r="U142" s="21">
        <f>IFERROR(Calc!U12,"")</f>
        <v/>
      </c>
      <c r="V142" s="21">
        <f>IFERROR(Calc!V12,"")</f>
        <v/>
      </c>
      <c r="W142" s="5" t="n"/>
      <c r="X142" s="5" t="n"/>
      <c r="Y142" s="5" t="n"/>
      <c r="Z142" s="5" t="n"/>
      <c r="AA142" s="5" t="n"/>
      <c r="AB142" s="5" t="n"/>
    </row>
    <row r="143" ht="15.75" customHeight="1" s="79">
      <c r="A143" s="5">
        <f>IFERROR(Calc!$A$13,"")</f>
        <v/>
      </c>
      <c r="B143" s="20">
        <f>IFERROR(Calc!B13,"")</f>
        <v/>
      </c>
      <c r="C143" s="20">
        <f>IFERROR(Calc!C13,"")</f>
        <v/>
      </c>
      <c r="D143" s="20">
        <f>IFERROR(Calc!D13,"")</f>
        <v/>
      </c>
      <c r="E143" s="20">
        <f>IFERROR(Calc!E13,"")</f>
        <v/>
      </c>
      <c r="F143" s="20">
        <f>IFERROR(Calc!F13,"")</f>
        <v/>
      </c>
      <c r="G143" s="21">
        <f>IFERROR(Calc!G13,"")</f>
        <v/>
      </c>
      <c r="H143" s="21">
        <f>IFERROR(Calc!H13,"")</f>
        <v/>
      </c>
      <c r="I143" s="21">
        <f>IFERROR(Calc!I13,"")</f>
        <v/>
      </c>
      <c r="J143" s="17">
        <f>IFERROR(Calc!J13,"")</f>
        <v/>
      </c>
      <c r="K143" s="21">
        <f>IFERROR(Calc!K13,"")</f>
        <v/>
      </c>
      <c r="L143" s="20">
        <f>IFERROR(Calc!L13,"")</f>
        <v/>
      </c>
      <c r="M143" s="17">
        <f>IFERROR(Calc!M13,"")</f>
        <v/>
      </c>
      <c r="N143" s="17">
        <f>IFERROR(Calc!N13,"")</f>
        <v/>
      </c>
      <c r="O143" s="17">
        <f>IFERROR(Calc!O13,"")</f>
        <v/>
      </c>
      <c r="P143" s="17">
        <f>IFERROR(Calc!P13,"")</f>
        <v/>
      </c>
      <c r="Q143" s="21">
        <f>IFERROR(Calc!Q13,"")</f>
        <v/>
      </c>
      <c r="R143" s="21">
        <f>IFERROR(Calc!R13,"")</f>
        <v/>
      </c>
      <c r="S143" s="21">
        <f>IFERROR(Calc!S13,"")</f>
        <v/>
      </c>
      <c r="T143" s="21">
        <f>IFERROR(Calc!T13,"")</f>
        <v/>
      </c>
      <c r="U143" s="21">
        <f>IFERROR(Calc!U13,"")</f>
        <v/>
      </c>
      <c r="V143" s="21">
        <f>IFERROR(Calc!V13,"")</f>
        <v/>
      </c>
      <c r="W143" s="5" t="n"/>
      <c r="X143" s="5" t="n"/>
      <c r="Y143" s="5" t="n"/>
      <c r="Z143" s="5" t="n"/>
      <c r="AA143" s="5" t="n"/>
      <c r="AB143" s="5" t="n"/>
    </row>
    <row r="144" ht="15.75" customHeight="1" s="79">
      <c r="A144" s="5">
        <f>IFERROR(Calc!$A$14,"")</f>
        <v/>
      </c>
      <c r="B144" s="20">
        <f>IFERROR(Calc!B14,"")</f>
        <v/>
      </c>
      <c r="C144" s="20">
        <f>IFERROR(Calc!C14,"")</f>
        <v/>
      </c>
      <c r="D144" s="20">
        <f>IFERROR(Calc!D14,"")</f>
        <v/>
      </c>
      <c r="E144" s="20">
        <f>IFERROR(Calc!E14,"")</f>
        <v/>
      </c>
      <c r="F144" s="20">
        <f>IFERROR(Calc!F14,"")</f>
        <v/>
      </c>
      <c r="G144" s="21">
        <f>IFERROR(Calc!G14,"")</f>
        <v/>
      </c>
      <c r="H144" s="21">
        <f>IFERROR(Calc!H14,"")</f>
        <v/>
      </c>
      <c r="I144" s="21">
        <f>IFERROR(Calc!I14,"")</f>
        <v/>
      </c>
      <c r="J144" s="17">
        <f>IFERROR(Calc!J14,"")</f>
        <v/>
      </c>
      <c r="K144" s="21">
        <f>IFERROR(Calc!K14,"")</f>
        <v/>
      </c>
      <c r="L144" s="20">
        <f>IFERROR(Calc!L14,"")</f>
        <v/>
      </c>
      <c r="M144" s="17">
        <f>IFERROR(Calc!M14,"")</f>
        <v/>
      </c>
      <c r="N144" s="17">
        <f>IFERROR(Calc!N14,"")</f>
        <v/>
      </c>
      <c r="O144" s="17">
        <f>IFERROR(Calc!O14,"")</f>
        <v/>
      </c>
      <c r="P144" s="17">
        <f>IFERROR(Calc!P14,"")</f>
        <v/>
      </c>
      <c r="Q144" s="21">
        <f>IFERROR(Calc!Q14,"")</f>
        <v/>
      </c>
      <c r="R144" s="21">
        <f>IFERROR(Calc!R14,"")</f>
        <v/>
      </c>
      <c r="S144" s="21">
        <f>IFERROR(Calc!S14,"")</f>
        <v/>
      </c>
      <c r="T144" s="21">
        <f>IFERROR(Calc!T14,"")</f>
        <v/>
      </c>
      <c r="U144" s="21">
        <f>IFERROR(Calc!U14,"")</f>
        <v/>
      </c>
      <c r="V144" s="21">
        <f>IFERROR(Calc!V14,"")</f>
        <v/>
      </c>
      <c r="W144" s="5" t="n"/>
      <c r="X144" s="5" t="n"/>
      <c r="Y144" s="5" t="n"/>
      <c r="Z144" s="5" t="n"/>
      <c r="AA144" s="5" t="n"/>
      <c r="AB144" s="5" t="n"/>
    </row>
    <row r="145" ht="15.75" customHeight="1" s="79">
      <c r="A145" s="5">
        <f>IFERROR(Calc!$A$15,"")</f>
        <v/>
      </c>
      <c r="B145" s="20">
        <f>IFERROR(Calc!B15,"")</f>
        <v/>
      </c>
      <c r="C145" s="20">
        <f>IFERROR(Calc!C15,"")</f>
        <v/>
      </c>
      <c r="D145" s="20">
        <f>IFERROR(Calc!D15,"")</f>
        <v/>
      </c>
      <c r="E145" s="20">
        <f>IFERROR(Calc!E15,"")</f>
        <v/>
      </c>
      <c r="F145" s="20">
        <f>IFERROR(Calc!F15,"")</f>
        <v/>
      </c>
      <c r="G145" s="21">
        <f>IFERROR(Calc!G15,"")</f>
        <v/>
      </c>
      <c r="H145" s="21">
        <f>IFERROR(Calc!H15,"")</f>
        <v/>
      </c>
      <c r="I145" s="21">
        <f>IFERROR(Calc!I15,"")</f>
        <v/>
      </c>
      <c r="J145" s="17">
        <f>IFERROR(Calc!J15,"")</f>
        <v/>
      </c>
      <c r="K145" s="21">
        <f>IFERROR(Calc!K15,"")</f>
        <v/>
      </c>
      <c r="L145" s="20">
        <f>IFERROR(Calc!L15,"")</f>
        <v/>
      </c>
      <c r="M145" s="17">
        <f>IFERROR(Calc!M15,"")</f>
        <v/>
      </c>
      <c r="N145" s="17">
        <f>IFERROR(Calc!N15,"")</f>
        <v/>
      </c>
      <c r="O145" s="17">
        <f>IFERROR(Calc!O15,"")</f>
        <v/>
      </c>
      <c r="P145" s="17">
        <f>IFERROR(Calc!P15,"")</f>
        <v/>
      </c>
      <c r="Q145" s="21">
        <f>IFERROR(Calc!Q15,"")</f>
        <v/>
      </c>
      <c r="R145" s="21">
        <f>IFERROR(Calc!R15,"")</f>
        <v/>
      </c>
      <c r="S145" s="21">
        <f>IFERROR(Calc!S15,"")</f>
        <v/>
      </c>
      <c r="T145" s="21">
        <f>IFERROR(Calc!T15,"")</f>
        <v/>
      </c>
      <c r="U145" s="21">
        <f>IFERROR(Calc!U15,"")</f>
        <v/>
      </c>
      <c r="V145" s="21">
        <f>IFERROR(Calc!V15,"")</f>
        <v/>
      </c>
      <c r="W145" s="5" t="n"/>
      <c r="X145" s="5" t="n"/>
      <c r="Y145" s="5" t="n"/>
      <c r="Z145" s="5" t="n"/>
      <c r="AA145" s="5" t="n"/>
      <c r="AB145" s="5" t="n"/>
    </row>
    <row r="146" ht="15.75" customHeight="1" s="79">
      <c r="A146" s="5">
        <f>IFERROR(Calc!$A$16,"")</f>
        <v/>
      </c>
      <c r="B146" s="20">
        <f>IFERROR(Calc!B16,"")</f>
        <v/>
      </c>
      <c r="C146" s="20">
        <f>IFERROR(Calc!C16,"")</f>
        <v/>
      </c>
      <c r="D146" s="20">
        <f>IFERROR(Calc!D16,"")</f>
        <v/>
      </c>
      <c r="E146" s="20">
        <f>IFERROR(Calc!E16,"")</f>
        <v/>
      </c>
      <c r="F146" s="20">
        <f>IFERROR(Calc!F16,"")</f>
        <v/>
      </c>
      <c r="G146" s="21">
        <f>IFERROR(Calc!G16,"")</f>
        <v/>
      </c>
      <c r="H146" s="21">
        <f>IFERROR(Calc!H16,"")</f>
        <v/>
      </c>
      <c r="I146" s="21">
        <f>IFERROR(Calc!I16,"")</f>
        <v/>
      </c>
      <c r="J146" s="17">
        <f>IFERROR(Calc!J16,"")</f>
        <v/>
      </c>
      <c r="K146" s="21">
        <f>IFERROR(Calc!K16,"")</f>
        <v/>
      </c>
      <c r="L146" s="20">
        <f>IFERROR(Calc!L16,"")</f>
        <v/>
      </c>
      <c r="M146" s="17">
        <f>IFERROR(Calc!M16,"")</f>
        <v/>
      </c>
      <c r="N146" s="17">
        <f>IFERROR(Calc!N16,"")</f>
        <v/>
      </c>
      <c r="O146" s="17">
        <f>IFERROR(Calc!O16,"")</f>
        <v/>
      </c>
      <c r="P146" s="17">
        <f>IFERROR(Calc!P16,"")</f>
        <v/>
      </c>
      <c r="Q146" s="21">
        <f>IFERROR(Calc!Q16,"")</f>
        <v/>
      </c>
      <c r="R146" s="21">
        <f>IFERROR(Calc!R16,"")</f>
        <v/>
      </c>
      <c r="S146" s="21">
        <f>IFERROR(Calc!S16,"")</f>
        <v/>
      </c>
      <c r="T146" s="21">
        <f>IFERROR(Calc!T16,"")</f>
        <v/>
      </c>
      <c r="U146" s="21">
        <f>IFERROR(Calc!U16,"")</f>
        <v/>
      </c>
      <c r="V146" s="21">
        <f>IFERROR(Calc!V16,"")</f>
        <v/>
      </c>
      <c r="W146" s="5" t="n"/>
      <c r="X146" s="5" t="n"/>
      <c r="Y146" s="5" t="n"/>
      <c r="Z146" s="5" t="n"/>
      <c r="AA146" s="5" t="n"/>
      <c r="AB146" s="5" t="n"/>
    </row>
    <row r="147" ht="15.75" customHeight="1" s="79">
      <c r="A147" s="5">
        <f>IFERROR(Calc!$A$17,"")</f>
        <v/>
      </c>
      <c r="B147" s="20">
        <f>IFERROR(Calc!B17,"")</f>
        <v/>
      </c>
      <c r="C147" s="20">
        <f>IFERROR(Calc!C17,"")</f>
        <v/>
      </c>
      <c r="D147" s="20">
        <f>IFERROR(Calc!D17,"")</f>
        <v/>
      </c>
      <c r="E147" s="20">
        <f>IFERROR(Calc!E17,"")</f>
        <v/>
      </c>
      <c r="F147" s="20">
        <f>IFERROR(Calc!F17,"")</f>
        <v/>
      </c>
      <c r="G147" s="21">
        <f>IFERROR(Calc!G17,"")</f>
        <v/>
      </c>
      <c r="H147" s="21">
        <f>IFERROR(Calc!H17,"")</f>
        <v/>
      </c>
      <c r="I147" s="21">
        <f>IFERROR(Calc!I17,"")</f>
        <v/>
      </c>
      <c r="J147" s="17">
        <f>IFERROR(Calc!J17,"")</f>
        <v/>
      </c>
      <c r="K147" s="21">
        <f>IFERROR(Calc!K17,"")</f>
        <v/>
      </c>
      <c r="L147" s="20">
        <f>IFERROR(Calc!L17,"")</f>
        <v/>
      </c>
      <c r="M147" s="17">
        <f>IFERROR(Calc!M17,"")</f>
        <v/>
      </c>
      <c r="N147" s="17">
        <f>IFERROR(Calc!N17,"")</f>
        <v/>
      </c>
      <c r="O147" s="17">
        <f>IFERROR(Calc!O17,"")</f>
        <v/>
      </c>
      <c r="P147" s="17">
        <f>IFERROR(Calc!P17,"")</f>
        <v/>
      </c>
      <c r="Q147" s="21">
        <f>IFERROR(Calc!Q17,"")</f>
        <v/>
      </c>
      <c r="R147" s="21">
        <f>IFERROR(Calc!R17,"")</f>
        <v/>
      </c>
      <c r="S147" s="21">
        <f>IFERROR(Calc!S17,"")</f>
        <v/>
      </c>
      <c r="T147" s="21">
        <f>IFERROR(Calc!T17,"")</f>
        <v/>
      </c>
      <c r="U147" s="21">
        <f>IFERROR(Calc!U17,"")</f>
        <v/>
      </c>
      <c r="V147" s="21">
        <f>IFERROR(Calc!V17,"")</f>
        <v/>
      </c>
      <c r="W147" s="5" t="n"/>
      <c r="X147" s="5" t="n"/>
      <c r="Y147" s="5" t="n"/>
      <c r="Z147" s="5" t="n"/>
      <c r="AA147" s="5" t="n"/>
      <c r="AB147" s="5" t="n"/>
    </row>
    <row r="148" ht="15.75" customHeight="1" s="79">
      <c r="A148" s="5">
        <f>IFERROR(Calc!$A$18,"")</f>
        <v/>
      </c>
      <c r="B148" s="20">
        <f>IFERROR(Calc!B18,"")</f>
        <v/>
      </c>
      <c r="C148" s="20">
        <f>IFERROR(Calc!C18,"")</f>
        <v/>
      </c>
      <c r="D148" s="20">
        <f>IFERROR(Calc!D18,"")</f>
        <v/>
      </c>
      <c r="E148" s="20">
        <f>IFERROR(Calc!E18,"")</f>
        <v/>
      </c>
      <c r="F148" s="20">
        <f>IFERROR(Calc!F18,"")</f>
        <v/>
      </c>
      <c r="G148" s="21">
        <f>IFERROR(Calc!G18,"")</f>
        <v/>
      </c>
      <c r="H148" s="21">
        <f>IFERROR(Calc!H18,"")</f>
        <v/>
      </c>
      <c r="I148" s="21">
        <f>IFERROR(Calc!I18,"")</f>
        <v/>
      </c>
      <c r="J148" s="17">
        <f>IFERROR(Calc!J18,"")</f>
        <v/>
      </c>
      <c r="K148" s="21">
        <f>IFERROR(Calc!K18,"")</f>
        <v/>
      </c>
      <c r="L148" s="20">
        <f>IFERROR(Calc!L18,"")</f>
        <v/>
      </c>
      <c r="M148" s="17">
        <f>IFERROR(Calc!M18,"")</f>
        <v/>
      </c>
      <c r="N148" s="17">
        <f>IFERROR(Calc!N18,"")</f>
        <v/>
      </c>
      <c r="O148" s="17">
        <f>IFERROR(Calc!O18,"")</f>
        <v/>
      </c>
      <c r="P148" s="17">
        <f>IFERROR(Calc!P18,"")</f>
        <v/>
      </c>
      <c r="Q148" s="21">
        <f>IFERROR(Calc!Q18,"")</f>
        <v/>
      </c>
      <c r="R148" s="21">
        <f>IFERROR(Calc!R18,"")</f>
        <v/>
      </c>
      <c r="S148" s="21">
        <f>IFERROR(Calc!S18,"")</f>
        <v/>
      </c>
      <c r="T148" s="21">
        <f>IFERROR(Calc!T18,"")</f>
        <v/>
      </c>
      <c r="U148" s="21">
        <f>IFERROR(Calc!U18,"")</f>
        <v/>
      </c>
      <c r="V148" s="21">
        <f>IFERROR(Calc!V18,"")</f>
        <v/>
      </c>
      <c r="W148" s="5" t="n"/>
      <c r="X148" s="5" t="n"/>
      <c r="Y148" s="5" t="n"/>
      <c r="Z148" s="5" t="n"/>
      <c r="AA148" s="5" t="n"/>
      <c r="AB148" s="5" t="n"/>
    </row>
    <row r="149" ht="15.75" customHeight="1" s="79">
      <c r="A149" s="5">
        <f>IFERROR(Calc!$A$19,"")</f>
        <v/>
      </c>
      <c r="B149" s="20">
        <f>IFERROR(Calc!B19,"")</f>
        <v/>
      </c>
      <c r="C149" s="20">
        <f>IFERROR(Calc!C19,"")</f>
        <v/>
      </c>
      <c r="D149" s="20">
        <f>IFERROR(Calc!D19,"")</f>
        <v/>
      </c>
      <c r="E149" s="20">
        <f>IFERROR(Calc!E19,"")</f>
        <v/>
      </c>
      <c r="F149" s="20">
        <f>IFERROR(Calc!F19,"")</f>
        <v/>
      </c>
      <c r="G149" s="21">
        <f>IFERROR(Calc!G19,"")</f>
        <v/>
      </c>
      <c r="H149" s="21">
        <f>IFERROR(Calc!H19,"")</f>
        <v/>
      </c>
      <c r="I149" s="21">
        <f>IFERROR(Calc!I19,"")</f>
        <v/>
      </c>
      <c r="J149" s="17">
        <f>IFERROR(Calc!J19,"")</f>
        <v/>
      </c>
      <c r="K149" s="21">
        <f>IFERROR(Calc!K19,"")</f>
        <v/>
      </c>
      <c r="L149" s="20">
        <f>IFERROR(Calc!L19,"")</f>
        <v/>
      </c>
      <c r="M149" s="17">
        <f>IFERROR(Calc!M19,"")</f>
        <v/>
      </c>
      <c r="N149" s="17">
        <f>IFERROR(Calc!N19,"")</f>
        <v/>
      </c>
      <c r="O149" s="17">
        <f>IFERROR(Calc!O19,"")</f>
        <v/>
      </c>
      <c r="P149" s="17">
        <f>IFERROR(Calc!P19,"")</f>
        <v/>
      </c>
      <c r="Q149" s="21">
        <f>IFERROR(Calc!Q19,"")</f>
        <v/>
      </c>
      <c r="R149" s="21">
        <f>IFERROR(Calc!R19,"")</f>
        <v/>
      </c>
      <c r="S149" s="21">
        <f>IFERROR(Calc!S19,"")</f>
        <v/>
      </c>
      <c r="T149" s="21">
        <f>IFERROR(Calc!T19,"")</f>
        <v/>
      </c>
      <c r="U149" s="21">
        <f>IFERROR(Calc!U19,"")</f>
        <v/>
      </c>
      <c r="V149" s="21">
        <f>IFERROR(Calc!V19,"")</f>
        <v/>
      </c>
      <c r="W149" s="5" t="n"/>
      <c r="X149" s="5" t="n"/>
      <c r="Y149" s="5" t="n"/>
      <c r="Z149" s="5" t="n"/>
      <c r="AA149" s="5" t="n"/>
      <c r="AB149" s="5" t="n"/>
    </row>
    <row r="150" ht="15.75" customHeight="1" s="79">
      <c r="A150" s="5">
        <f>IFERROR(Calc!$A$20,"")</f>
        <v/>
      </c>
      <c r="B150" s="20">
        <f>IFERROR(Calc!B20,"")</f>
        <v/>
      </c>
      <c r="C150" s="20">
        <f>IFERROR(Calc!C20,"")</f>
        <v/>
      </c>
      <c r="D150" s="20">
        <f>IFERROR(Calc!D20,"")</f>
        <v/>
      </c>
      <c r="E150" s="20">
        <f>IFERROR(Calc!E20,"")</f>
        <v/>
      </c>
      <c r="F150" s="20">
        <f>IFERROR(Calc!F20,"")</f>
        <v/>
      </c>
      <c r="G150" s="21">
        <f>IFERROR(Calc!G20,"")</f>
        <v/>
      </c>
      <c r="H150" s="21">
        <f>IFERROR(Calc!H20,"")</f>
        <v/>
      </c>
      <c r="I150" s="21">
        <f>IFERROR(Calc!I20,"")</f>
        <v/>
      </c>
      <c r="J150" s="17">
        <f>IFERROR(Calc!J20,"")</f>
        <v/>
      </c>
      <c r="K150" s="21">
        <f>IFERROR(Calc!K20,"")</f>
        <v/>
      </c>
      <c r="L150" s="20">
        <f>IFERROR(Calc!L20,"")</f>
        <v/>
      </c>
      <c r="M150" s="17">
        <f>IFERROR(Calc!M20,"")</f>
        <v/>
      </c>
      <c r="N150" s="17">
        <f>IFERROR(Calc!N20,"")</f>
        <v/>
      </c>
      <c r="O150" s="17">
        <f>IFERROR(Calc!O20,"")</f>
        <v/>
      </c>
      <c r="P150" s="17">
        <f>IFERROR(Calc!P20,"")</f>
        <v/>
      </c>
      <c r="Q150" s="21">
        <f>IFERROR(Calc!Q20,"")</f>
        <v/>
      </c>
      <c r="R150" s="21">
        <f>IFERROR(Calc!R20,"")</f>
        <v/>
      </c>
      <c r="S150" s="21">
        <f>IFERROR(Calc!S20,"")</f>
        <v/>
      </c>
      <c r="T150" s="21">
        <f>IFERROR(Calc!T20,"")</f>
        <v/>
      </c>
      <c r="U150" s="21">
        <f>IFERROR(Calc!U20,"")</f>
        <v/>
      </c>
      <c r="V150" s="21">
        <f>IFERROR(Calc!V20,"")</f>
        <v/>
      </c>
      <c r="W150" s="5" t="n"/>
      <c r="X150" s="5" t="n"/>
      <c r="Y150" s="5" t="n"/>
      <c r="Z150" s="5" t="n"/>
      <c r="AA150" s="5" t="n"/>
      <c r="AB150" s="5" t="n"/>
    </row>
    <row r="151" ht="15.75" customHeight="1" s="79">
      <c r="A151" s="5">
        <f>IFERROR(Calc!$A$21,"")</f>
        <v/>
      </c>
      <c r="B151" s="20">
        <f>IFERROR(Calc!B21,"")</f>
        <v/>
      </c>
      <c r="C151" s="20">
        <f>IFERROR(Calc!C21,"")</f>
        <v/>
      </c>
      <c r="D151" s="20">
        <f>IFERROR(Calc!D21,"")</f>
        <v/>
      </c>
      <c r="E151" s="20">
        <f>IFERROR(Calc!E21,"")</f>
        <v/>
      </c>
      <c r="F151" s="20">
        <f>IFERROR(Calc!F21,"")</f>
        <v/>
      </c>
      <c r="G151" s="21">
        <f>IFERROR(Calc!G21,"")</f>
        <v/>
      </c>
      <c r="H151" s="21">
        <f>IFERROR(Calc!H21,"")</f>
        <v/>
      </c>
      <c r="I151" s="21">
        <f>IFERROR(Calc!I21,"")</f>
        <v/>
      </c>
      <c r="J151" s="17">
        <f>IFERROR(Calc!J21,"")</f>
        <v/>
      </c>
      <c r="K151" s="21">
        <f>IFERROR(Calc!K21,"")</f>
        <v/>
      </c>
      <c r="L151" s="20">
        <f>IFERROR(Calc!L21,"")</f>
        <v/>
      </c>
      <c r="M151" s="17">
        <f>IFERROR(Calc!M21,"")</f>
        <v/>
      </c>
      <c r="N151" s="17">
        <f>IFERROR(Calc!N21,"")</f>
        <v/>
      </c>
      <c r="O151" s="17">
        <f>IFERROR(Calc!O21,"")</f>
        <v/>
      </c>
      <c r="P151" s="17">
        <f>IFERROR(Calc!P21,"")</f>
        <v/>
      </c>
      <c r="Q151" s="21">
        <f>IFERROR(Calc!Q21,"")</f>
        <v/>
      </c>
      <c r="R151" s="21">
        <f>IFERROR(Calc!R21,"")</f>
        <v/>
      </c>
      <c r="S151" s="21">
        <f>IFERROR(Calc!S21,"")</f>
        <v/>
      </c>
      <c r="T151" s="21">
        <f>IFERROR(Calc!T21,"")</f>
        <v/>
      </c>
      <c r="U151" s="21">
        <f>IFERROR(Calc!U21,"")</f>
        <v/>
      </c>
      <c r="V151" s="21">
        <f>IFERROR(Calc!V21,"")</f>
        <v/>
      </c>
      <c r="W151" s="5" t="n"/>
      <c r="X151" s="5" t="n"/>
      <c r="Y151" s="5" t="n"/>
      <c r="Z151" s="5" t="n"/>
      <c r="AA151" s="5" t="n"/>
      <c r="AB151" s="5" t="n"/>
    </row>
    <row r="152" ht="15.75" customHeight="1" s="79">
      <c r="A152" s="5">
        <f>IFERROR(Calc!$A$22,"")</f>
        <v/>
      </c>
      <c r="B152" s="20">
        <f>IFERROR(Calc!B22,"")</f>
        <v/>
      </c>
      <c r="C152" s="20">
        <f>IFERROR(Calc!C22,"")</f>
        <v/>
      </c>
      <c r="D152" s="20">
        <f>IFERROR(Calc!D22,"")</f>
        <v/>
      </c>
      <c r="E152" s="20">
        <f>IFERROR(Calc!E22,"")</f>
        <v/>
      </c>
      <c r="F152" s="20">
        <f>IFERROR(Calc!F22,"")</f>
        <v/>
      </c>
      <c r="G152" s="21">
        <f>IFERROR(Calc!G22,"")</f>
        <v/>
      </c>
      <c r="H152" s="21">
        <f>IFERROR(Calc!H22,"")</f>
        <v/>
      </c>
      <c r="I152" s="21">
        <f>IFERROR(Calc!I22,"")</f>
        <v/>
      </c>
      <c r="J152" s="17">
        <f>IFERROR(Calc!J22,"")</f>
        <v/>
      </c>
      <c r="K152" s="21">
        <f>IFERROR(Calc!K22,"")</f>
        <v/>
      </c>
      <c r="L152" s="20">
        <f>IFERROR(Calc!L22,"")</f>
        <v/>
      </c>
      <c r="M152" s="17">
        <f>IFERROR(Calc!M22,"")</f>
        <v/>
      </c>
      <c r="N152" s="17">
        <f>IFERROR(Calc!N22,"")</f>
        <v/>
      </c>
      <c r="O152" s="17">
        <f>IFERROR(Calc!O22,"")</f>
        <v/>
      </c>
      <c r="P152" s="17">
        <f>IFERROR(Calc!P22,"")</f>
        <v/>
      </c>
      <c r="Q152" s="21">
        <f>IFERROR(Calc!Q22,"")</f>
        <v/>
      </c>
      <c r="R152" s="21">
        <f>IFERROR(Calc!R22,"")</f>
        <v/>
      </c>
      <c r="S152" s="21">
        <f>IFERROR(Calc!S22,"")</f>
        <v/>
      </c>
      <c r="T152" s="21">
        <f>IFERROR(Calc!T22,"")</f>
        <v/>
      </c>
      <c r="U152" s="21">
        <f>IFERROR(Calc!U22,"")</f>
        <v/>
      </c>
      <c r="V152" s="21">
        <f>IFERROR(Calc!V22,"")</f>
        <v/>
      </c>
      <c r="W152" s="5" t="n"/>
      <c r="X152" s="5" t="n"/>
      <c r="Y152" s="5" t="n"/>
      <c r="Z152" s="5" t="n"/>
      <c r="AA152" s="5" t="n"/>
      <c r="AB152" s="5" t="n"/>
    </row>
    <row r="153" ht="15.75" customHeight="1" s="79">
      <c r="A153" s="5">
        <f>IFERROR(Calc!$A$23,"")</f>
        <v/>
      </c>
      <c r="B153" s="20">
        <f>IFERROR(Calc!B23,"")</f>
        <v/>
      </c>
      <c r="C153" s="20">
        <f>IFERROR(Calc!C23,"")</f>
        <v/>
      </c>
      <c r="D153" s="20">
        <f>IFERROR(Calc!D23,"")</f>
        <v/>
      </c>
      <c r="E153" s="20">
        <f>IFERROR(Calc!E23,"")</f>
        <v/>
      </c>
      <c r="F153" s="20">
        <f>IFERROR(Calc!F23,"")</f>
        <v/>
      </c>
      <c r="G153" s="21">
        <f>IFERROR(Calc!G23,"")</f>
        <v/>
      </c>
      <c r="H153" s="21">
        <f>IFERROR(Calc!H23,"")</f>
        <v/>
      </c>
      <c r="I153" s="21">
        <f>IFERROR(Calc!I23,"")</f>
        <v/>
      </c>
      <c r="J153" s="17">
        <f>IFERROR(Calc!J23,"")</f>
        <v/>
      </c>
      <c r="K153" s="21">
        <f>IFERROR(Calc!K23,"")</f>
        <v/>
      </c>
      <c r="L153" s="20">
        <f>IFERROR(Calc!L23,"")</f>
        <v/>
      </c>
      <c r="M153" s="17">
        <f>IFERROR(Calc!M23,"")</f>
        <v/>
      </c>
      <c r="N153" s="17">
        <f>IFERROR(Calc!N23,"")</f>
        <v/>
      </c>
      <c r="O153" s="17">
        <f>IFERROR(Calc!O23,"")</f>
        <v/>
      </c>
      <c r="P153" s="17">
        <f>IFERROR(Calc!P23,"")</f>
        <v/>
      </c>
      <c r="Q153" s="21">
        <f>IFERROR(Calc!Q23,"")</f>
        <v/>
      </c>
      <c r="R153" s="21">
        <f>IFERROR(Calc!R23,"")</f>
        <v/>
      </c>
      <c r="S153" s="21">
        <f>IFERROR(Calc!S23,"")</f>
        <v/>
      </c>
      <c r="T153" s="21">
        <f>IFERROR(Calc!T23,"")</f>
        <v/>
      </c>
      <c r="U153" s="21">
        <f>IFERROR(Calc!U23,"")</f>
        <v/>
      </c>
      <c r="V153" s="21">
        <f>IFERROR(Calc!V23,"")</f>
        <v/>
      </c>
      <c r="W153" s="5" t="n"/>
      <c r="X153" s="5" t="n"/>
      <c r="Y153" s="5" t="n"/>
      <c r="Z153" s="5" t="n"/>
      <c r="AA153" s="5" t="n"/>
      <c r="AB153" s="5" t="n"/>
    </row>
    <row r="154" ht="15.75" customHeight="1" s="79">
      <c r="A154" s="5">
        <f>IFERROR(Calc!$A$24,"")</f>
        <v/>
      </c>
      <c r="B154" s="20">
        <f>IFERROR(Calc!B24,"")</f>
        <v/>
      </c>
      <c r="C154" s="20">
        <f>IFERROR(Calc!C24,"")</f>
        <v/>
      </c>
      <c r="D154" s="20">
        <f>IFERROR(Calc!D24,"")</f>
        <v/>
      </c>
      <c r="E154" s="20">
        <f>IFERROR(Calc!E24,"")</f>
        <v/>
      </c>
      <c r="F154" s="20">
        <f>IFERROR(Calc!F24,"")</f>
        <v/>
      </c>
      <c r="G154" s="21">
        <f>IFERROR(Calc!G24,"")</f>
        <v/>
      </c>
      <c r="H154" s="21">
        <f>IFERROR(Calc!H24,"")</f>
        <v/>
      </c>
      <c r="I154" s="21">
        <f>IFERROR(Calc!I24,"")</f>
        <v/>
      </c>
      <c r="J154" s="17">
        <f>IFERROR(Calc!J24,"")</f>
        <v/>
      </c>
      <c r="K154" s="21">
        <f>IFERROR(Calc!K24,"")</f>
        <v/>
      </c>
      <c r="L154" s="20">
        <f>IFERROR(Calc!L24,"")</f>
        <v/>
      </c>
      <c r="M154" s="17">
        <f>IFERROR(Calc!M24,"")</f>
        <v/>
      </c>
      <c r="N154" s="17">
        <f>IFERROR(Calc!N24,"")</f>
        <v/>
      </c>
      <c r="O154" s="17">
        <f>IFERROR(Calc!O24,"")</f>
        <v/>
      </c>
      <c r="P154" s="17">
        <f>IFERROR(Calc!P24,"")</f>
        <v/>
      </c>
      <c r="Q154" s="21">
        <f>IFERROR(Calc!Q24,"")</f>
        <v/>
      </c>
      <c r="R154" s="21">
        <f>IFERROR(Calc!R24,"")</f>
        <v/>
      </c>
      <c r="S154" s="21">
        <f>IFERROR(Calc!S24,"")</f>
        <v/>
      </c>
      <c r="T154" s="21">
        <f>IFERROR(Calc!T24,"")</f>
        <v/>
      </c>
      <c r="U154" s="21">
        <f>IFERROR(Calc!U24,"")</f>
        <v/>
      </c>
      <c r="V154" s="21">
        <f>IFERROR(Calc!V24,"")</f>
        <v/>
      </c>
      <c r="W154" s="5" t="n"/>
      <c r="X154" s="5" t="n"/>
      <c r="Y154" s="5" t="n"/>
      <c r="Z154" s="5" t="n"/>
      <c r="AA154" s="5" t="n"/>
      <c r="AB154" s="5" t="n"/>
    </row>
    <row r="155" ht="15.75" customHeight="1" s="79">
      <c r="A155" s="5">
        <f>IFERROR(Calc!$A$25,"")</f>
        <v/>
      </c>
      <c r="B155" s="20">
        <f>IFERROR(Calc!B25,"")</f>
        <v/>
      </c>
      <c r="C155" s="20">
        <f>IFERROR(Calc!C25,"")</f>
        <v/>
      </c>
      <c r="D155" s="20">
        <f>IFERROR(Calc!D25,"")</f>
        <v/>
      </c>
      <c r="E155" s="20">
        <f>IFERROR(Calc!E25,"")</f>
        <v/>
      </c>
      <c r="F155" s="20">
        <f>IFERROR(Calc!F25,"")</f>
        <v/>
      </c>
      <c r="G155" s="21">
        <f>IFERROR(Calc!G25,"")</f>
        <v/>
      </c>
      <c r="H155" s="21">
        <f>IFERROR(Calc!H25,"")</f>
        <v/>
      </c>
      <c r="I155" s="21">
        <f>IFERROR(Calc!I25,"")</f>
        <v/>
      </c>
      <c r="J155" s="17">
        <f>IFERROR(Calc!J25,"")</f>
        <v/>
      </c>
      <c r="K155" s="21">
        <f>IFERROR(Calc!K25,"")</f>
        <v/>
      </c>
      <c r="L155" s="20">
        <f>IFERROR(Calc!L25,"")</f>
        <v/>
      </c>
      <c r="M155" s="17">
        <f>IFERROR(Calc!M25,"")</f>
        <v/>
      </c>
      <c r="N155" s="17">
        <f>IFERROR(Calc!N25,"")</f>
        <v/>
      </c>
      <c r="O155" s="17">
        <f>IFERROR(Calc!O25,"")</f>
        <v/>
      </c>
      <c r="P155" s="17">
        <f>IFERROR(Calc!P25,"")</f>
        <v/>
      </c>
      <c r="Q155" s="21">
        <f>IFERROR(Calc!Q25,"")</f>
        <v/>
      </c>
      <c r="R155" s="21">
        <f>IFERROR(Calc!R25,"")</f>
        <v/>
      </c>
      <c r="S155" s="21">
        <f>IFERROR(Calc!S25,"")</f>
        <v/>
      </c>
      <c r="T155" s="21">
        <f>IFERROR(Calc!T25,"")</f>
        <v/>
      </c>
      <c r="U155" s="21">
        <f>IFERROR(Calc!U25,"")</f>
        <v/>
      </c>
      <c r="V155" s="21">
        <f>IFERROR(Calc!V25,"")</f>
        <v/>
      </c>
      <c r="W155" s="5" t="n"/>
      <c r="X155" s="5" t="n"/>
      <c r="Y155" s="5" t="n"/>
      <c r="Z155" s="5" t="n"/>
      <c r="AA155" s="5" t="n"/>
      <c r="AB155" s="5" t="n"/>
    </row>
    <row r="156" ht="15.75" customHeight="1" s="79">
      <c r="A156" s="5">
        <f>IFERROR(Calc!$A$26,"")</f>
        <v/>
      </c>
      <c r="B156" s="20">
        <f>IFERROR(Calc!B26,"")</f>
        <v/>
      </c>
      <c r="C156" s="20">
        <f>IFERROR(Calc!C26,"")</f>
        <v/>
      </c>
      <c r="D156" s="20">
        <f>IFERROR(Calc!D26,"")</f>
        <v/>
      </c>
      <c r="E156" s="20">
        <f>IFERROR(Calc!E26,"")</f>
        <v/>
      </c>
      <c r="F156" s="20">
        <f>IFERROR(Calc!F26,"")</f>
        <v/>
      </c>
      <c r="G156" s="21">
        <f>IFERROR(Calc!G26,"")</f>
        <v/>
      </c>
      <c r="H156" s="21">
        <f>IFERROR(Calc!H26,"")</f>
        <v/>
      </c>
      <c r="I156" s="21">
        <f>IFERROR(Calc!I26,"")</f>
        <v/>
      </c>
      <c r="J156" s="17">
        <f>IFERROR(Calc!J26,"")</f>
        <v/>
      </c>
      <c r="K156" s="21">
        <f>IFERROR(Calc!K26,"")</f>
        <v/>
      </c>
      <c r="L156" s="20">
        <f>IFERROR(Calc!L26,"")</f>
        <v/>
      </c>
      <c r="M156" s="17">
        <f>IFERROR(Calc!M26,"")</f>
        <v/>
      </c>
      <c r="N156" s="17">
        <f>IFERROR(Calc!N26,"")</f>
        <v/>
      </c>
      <c r="O156" s="17">
        <f>IFERROR(Calc!O26,"")</f>
        <v/>
      </c>
      <c r="P156" s="17">
        <f>IFERROR(Calc!P26,"")</f>
        <v/>
      </c>
      <c r="Q156" s="21">
        <f>IFERROR(Calc!Q26,"")</f>
        <v/>
      </c>
      <c r="R156" s="21">
        <f>IFERROR(Calc!R26,"")</f>
        <v/>
      </c>
      <c r="S156" s="21">
        <f>IFERROR(Calc!S26,"")</f>
        <v/>
      </c>
      <c r="T156" s="21">
        <f>IFERROR(Calc!T26,"")</f>
        <v/>
      </c>
      <c r="U156" s="21">
        <f>IFERROR(Calc!U26,"")</f>
        <v/>
      </c>
      <c r="V156" s="21">
        <f>IFERROR(Calc!V26,"")</f>
        <v/>
      </c>
      <c r="W156" s="5" t="n"/>
      <c r="X156" s="5" t="n"/>
      <c r="Y156" s="5" t="n"/>
      <c r="Z156" s="5" t="n"/>
      <c r="AA156" s="5" t="n"/>
      <c r="AB156" s="5" t="n"/>
    </row>
    <row r="157" ht="15.75" customHeight="1" s="79">
      <c r="A157" s="5">
        <f>IFERROR(Calc!$A$27,"")</f>
        <v/>
      </c>
      <c r="B157" s="20">
        <f>IFERROR(Calc!B27,"")</f>
        <v/>
      </c>
      <c r="C157" s="20">
        <f>IFERROR(Calc!C27,"")</f>
        <v/>
      </c>
      <c r="D157" s="20">
        <f>IFERROR(Calc!D27,"")</f>
        <v/>
      </c>
      <c r="E157" s="20">
        <f>IFERROR(Calc!E27,"")</f>
        <v/>
      </c>
      <c r="F157" s="20">
        <f>IFERROR(Calc!F27,"")</f>
        <v/>
      </c>
      <c r="G157" s="21">
        <f>IFERROR(Calc!G27,"")</f>
        <v/>
      </c>
      <c r="H157" s="21">
        <f>IFERROR(Calc!H27,"")</f>
        <v/>
      </c>
      <c r="I157" s="21">
        <f>IFERROR(Calc!I27,"")</f>
        <v/>
      </c>
      <c r="J157" s="17">
        <f>IFERROR(Calc!J27,"")</f>
        <v/>
      </c>
      <c r="K157" s="21">
        <f>IFERROR(Calc!K27,"")</f>
        <v/>
      </c>
      <c r="L157" s="20">
        <f>IFERROR(Calc!L27,"")</f>
        <v/>
      </c>
      <c r="M157" s="17">
        <f>IFERROR(Calc!M27,"")</f>
        <v/>
      </c>
      <c r="N157" s="17">
        <f>IFERROR(Calc!N27,"")</f>
        <v/>
      </c>
      <c r="O157" s="17">
        <f>IFERROR(Calc!O27,"")</f>
        <v/>
      </c>
      <c r="P157" s="17">
        <f>IFERROR(Calc!P27,"")</f>
        <v/>
      </c>
      <c r="Q157" s="21">
        <f>IFERROR(Calc!Q27,"")</f>
        <v/>
      </c>
      <c r="R157" s="21">
        <f>IFERROR(Calc!R27,"")</f>
        <v/>
      </c>
      <c r="S157" s="21">
        <f>IFERROR(Calc!S27,"")</f>
        <v/>
      </c>
      <c r="T157" s="21">
        <f>IFERROR(Calc!T27,"")</f>
        <v/>
      </c>
      <c r="U157" s="21">
        <f>IFERROR(Calc!U27,"")</f>
        <v/>
      </c>
      <c r="V157" s="21">
        <f>IFERROR(Calc!V27,"")</f>
        <v/>
      </c>
      <c r="W157" s="5" t="n"/>
      <c r="X157" s="5" t="n"/>
      <c r="Y157" s="5" t="n"/>
      <c r="Z157" s="5" t="n"/>
      <c r="AA157" s="5" t="n"/>
      <c r="AB157" s="5" t="n"/>
    </row>
    <row r="158" ht="15.75" customHeight="1" s="79">
      <c r="A158" s="5">
        <f>IFERROR(Calc!$A$28,"")</f>
        <v/>
      </c>
      <c r="B158" s="20">
        <f>IFERROR(Calc!B28,"")</f>
        <v/>
      </c>
      <c r="C158" s="20">
        <f>IFERROR(Calc!C28,"")</f>
        <v/>
      </c>
      <c r="D158" s="20">
        <f>IFERROR(Calc!D28,"")</f>
        <v/>
      </c>
      <c r="E158" s="20">
        <f>IFERROR(Calc!E28,"")</f>
        <v/>
      </c>
      <c r="F158" s="20">
        <f>IFERROR(Calc!F28,"")</f>
        <v/>
      </c>
      <c r="G158" s="21">
        <f>IFERROR(Calc!G28,"")</f>
        <v/>
      </c>
      <c r="H158" s="21">
        <f>IFERROR(Calc!H28,"")</f>
        <v/>
      </c>
      <c r="I158" s="21">
        <f>IFERROR(Calc!I28,"")</f>
        <v/>
      </c>
      <c r="J158" s="17">
        <f>IFERROR(Calc!J28,"")</f>
        <v/>
      </c>
      <c r="K158" s="21">
        <f>IFERROR(Calc!K28,"")</f>
        <v/>
      </c>
      <c r="L158" s="20">
        <f>IFERROR(Calc!L28,"")</f>
        <v/>
      </c>
      <c r="M158" s="17">
        <f>IFERROR(Calc!M28,"")</f>
        <v/>
      </c>
      <c r="N158" s="17">
        <f>IFERROR(Calc!N28,"")</f>
        <v/>
      </c>
      <c r="O158" s="17">
        <f>IFERROR(Calc!O28,"")</f>
        <v/>
      </c>
      <c r="P158" s="17">
        <f>IFERROR(Calc!P28,"")</f>
        <v/>
      </c>
      <c r="Q158" s="21">
        <f>IFERROR(Calc!Q28,"")</f>
        <v/>
      </c>
      <c r="R158" s="21">
        <f>IFERROR(Calc!R28,"")</f>
        <v/>
      </c>
      <c r="S158" s="21">
        <f>IFERROR(Calc!S28,"")</f>
        <v/>
      </c>
      <c r="T158" s="21">
        <f>IFERROR(Calc!T28,"")</f>
        <v/>
      </c>
      <c r="U158" s="21">
        <f>IFERROR(Calc!U28,"")</f>
        <v/>
      </c>
      <c r="V158" s="21">
        <f>IFERROR(Calc!V28,"")</f>
        <v/>
      </c>
      <c r="W158" s="5" t="n"/>
      <c r="X158" s="5" t="n"/>
      <c r="Y158" s="5" t="n"/>
      <c r="Z158" s="5" t="n"/>
      <c r="AA158" s="5" t="n"/>
      <c r="AB158" s="5" t="n"/>
    </row>
    <row r="159" ht="15.75" customHeight="1" s="79">
      <c r="A159" s="5">
        <f>IFERROR(Calc!$A$29,"")</f>
        <v/>
      </c>
      <c r="B159" s="20">
        <f>IFERROR(Calc!B29,"")</f>
        <v/>
      </c>
      <c r="C159" s="20">
        <f>IFERROR(Calc!C29,"")</f>
        <v/>
      </c>
      <c r="D159" s="20">
        <f>IFERROR(Calc!D29,"")</f>
        <v/>
      </c>
      <c r="E159" s="20">
        <f>IFERROR(Calc!E29,"")</f>
        <v/>
      </c>
      <c r="F159" s="20">
        <f>IFERROR(Calc!F29,"")</f>
        <v/>
      </c>
      <c r="G159" s="21">
        <f>IFERROR(Calc!G29,"")</f>
        <v/>
      </c>
      <c r="H159" s="21">
        <f>IFERROR(Calc!H29,"")</f>
        <v/>
      </c>
      <c r="I159" s="21">
        <f>IFERROR(Calc!I29,"")</f>
        <v/>
      </c>
      <c r="J159" s="17">
        <f>IFERROR(Calc!J29,"")</f>
        <v/>
      </c>
      <c r="K159" s="21">
        <f>IFERROR(Calc!K29,"")</f>
        <v/>
      </c>
      <c r="L159" s="20">
        <f>IFERROR(Calc!L29,"")</f>
        <v/>
      </c>
      <c r="M159" s="17">
        <f>IFERROR(Calc!M29,"")</f>
        <v/>
      </c>
      <c r="N159" s="17">
        <f>IFERROR(Calc!N29,"")</f>
        <v/>
      </c>
      <c r="O159" s="17">
        <f>IFERROR(Calc!O29,"")</f>
        <v/>
      </c>
      <c r="P159" s="17">
        <f>IFERROR(Calc!P29,"")</f>
        <v/>
      </c>
      <c r="Q159" s="21">
        <f>IFERROR(Calc!Q29,"")</f>
        <v/>
      </c>
      <c r="R159" s="21">
        <f>IFERROR(Calc!R29,"")</f>
        <v/>
      </c>
      <c r="S159" s="21">
        <f>IFERROR(Calc!S29,"")</f>
        <v/>
      </c>
      <c r="T159" s="21">
        <f>IFERROR(Calc!T29,"")</f>
        <v/>
      </c>
      <c r="U159" s="21">
        <f>IFERROR(Calc!U29,"")</f>
        <v/>
      </c>
      <c r="V159" s="21">
        <f>IFERROR(Calc!V29,"")</f>
        <v/>
      </c>
      <c r="W159" s="5" t="n"/>
      <c r="X159" s="5" t="n"/>
      <c r="Y159" s="5" t="n"/>
      <c r="Z159" s="5" t="n"/>
      <c r="AA159" s="5" t="n"/>
      <c r="AB159" s="5" t="n"/>
    </row>
    <row r="160" ht="15.75" customHeight="1" s="79">
      <c r="A160" s="5">
        <f>IFERROR(Calc!$A$30,"")</f>
        <v/>
      </c>
      <c r="B160" s="20">
        <f>IFERROR(Calc!B30,"")</f>
        <v/>
      </c>
      <c r="C160" s="20">
        <f>IFERROR(Calc!C30,"")</f>
        <v/>
      </c>
      <c r="D160" s="20">
        <f>IFERROR(Calc!D30,"")</f>
        <v/>
      </c>
      <c r="E160" s="20">
        <f>IFERROR(Calc!E30,"")</f>
        <v/>
      </c>
      <c r="F160" s="20">
        <f>IFERROR(Calc!F30,"")</f>
        <v/>
      </c>
      <c r="G160" s="21">
        <f>IFERROR(Calc!G30,"")</f>
        <v/>
      </c>
      <c r="H160" s="21">
        <f>IFERROR(Calc!H30,"")</f>
        <v/>
      </c>
      <c r="I160" s="21">
        <f>IFERROR(Calc!I30,"")</f>
        <v/>
      </c>
      <c r="J160" s="17">
        <f>IFERROR(Calc!J30,"")</f>
        <v/>
      </c>
      <c r="K160" s="21">
        <f>IFERROR(Calc!K30,"")</f>
        <v/>
      </c>
      <c r="L160" s="20">
        <f>IFERROR(Calc!L30,"")</f>
        <v/>
      </c>
      <c r="M160" s="17">
        <f>IFERROR(Calc!M30,"")</f>
        <v/>
      </c>
      <c r="N160" s="17">
        <f>IFERROR(Calc!N30,"")</f>
        <v/>
      </c>
      <c r="O160" s="17">
        <f>IFERROR(Calc!O30,"")</f>
        <v/>
      </c>
      <c r="P160" s="17">
        <f>IFERROR(Calc!P30,"")</f>
        <v/>
      </c>
      <c r="Q160" s="21">
        <f>IFERROR(Calc!Q30,"")</f>
        <v/>
      </c>
      <c r="R160" s="21">
        <f>IFERROR(Calc!R30,"")</f>
        <v/>
      </c>
      <c r="S160" s="21">
        <f>IFERROR(Calc!S30,"")</f>
        <v/>
      </c>
      <c r="T160" s="21">
        <f>IFERROR(Calc!T30,"")</f>
        <v/>
      </c>
      <c r="U160" s="21">
        <f>IFERROR(Calc!U30,"")</f>
        <v/>
      </c>
      <c r="V160" s="21">
        <f>IFERROR(Calc!V30,"")</f>
        <v/>
      </c>
      <c r="W160" s="5" t="n"/>
      <c r="X160" s="5" t="n"/>
      <c r="Y160" s="5" t="n"/>
      <c r="Z160" s="5" t="n"/>
      <c r="AA160" s="5" t="n"/>
      <c r="AB160" s="5" t="n"/>
    </row>
    <row r="161" ht="15.75" customHeight="1" s="79">
      <c r="A161" s="5">
        <f>IFERROR(Calc!$A$31,"")</f>
        <v/>
      </c>
      <c r="B161" s="20">
        <f>IFERROR(Calc!B31,"")</f>
        <v/>
      </c>
      <c r="C161" s="20">
        <f>IFERROR(Calc!C31,"")</f>
        <v/>
      </c>
      <c r="D161" s="20">
        <f>IFERROR(Calc!D31,"")</f>
        <v/>
      </c>
      <c r="E161" s="20">
        <f>IFERROR(Calc!E31,"")</f>
        <v/>
      </c>
      <c r="F161" s="20">
        <f>IFERROR(Calc!F31,"")</f>
        <v/>
      </c>
      <c r="G161" s="21">
        <f>IFERROR(Calc!G31,"")</f>
        <v/>
      </c>
      <c r="H161" s="21">
        <f>IFERROR(Calc!H31,"")</f>
        <v/>
      </c>
      <c r="I161" s="21">
        <f>IFERROR(Calc!I31,"")</f>
        <v/>
      </c>
      <c r="J161" s="17">
        <f>IFERROR(Calc!J31,"")</f>
        <v/>
      </c>
      <c r="K161" s="21">
        <f>IFERROR(Calc!K31,"")</f>
        <v/>
      </c>
      <c r="L161" s="20">
        <f>IFERROR(Calc!L31,"")</f>
        <v/>
      </c>
      <c r="M161" s="17">
        <f>IFERROR(Calc!M31,"")</f>
        <v/>
      </c>
      <c r="N161" s="17">
        <f>IFERROR(Calc!N31,"")</f>
        <v/>
      </c>
      <c r="O161" s="17">
        <f>IFERROR(Calc!O31,"")</f>
        <v/>
      </c>
      <c r="P161" s="17">
        <f>IFERROR(Calc!P31,"")</f>
        <v/>
      </c>
      <c r="Q161" s="21">
        <f>IFERROR(Calc!Q31,"")</f>
        <v/>
      </c>
      <c r="R161" s="21">
        <f>IFERROR(Calc!R31,"")</f>
        <v/>
      </c>
      <c r="S161" s="21">
        <f>IFERROR(Calc!S31,"")</f>
        <v/>
      </c>
      <c r="T161" s="21">
        <f>IFERROR(Calc!T31,"")</f>
        <v/>
      </c>
      <c r="U161" s="21">
        <f>IFERROR(Calc!U31,"")</f>
        <v/>
      </c>
      <c r="V161" s="21">
        <f>IFERROR(Calc!V31,"")</f>
        <v/>
      </c>
      <c r="W161" s="5" t="n"/>
      <c r="X161" s="5" t="n"/>
      <c r="Y161" s="5" t="n"/>
      <c r="Z161" s="5" t="n"/>
      <c r="AA161" s="5" t="n"/>
      <c r="AB161" s="5" t="n"/>
    </row>
    <row r="162" ht="15.75" customHeight="1" s="79">
      <c r="A162" s="5">
        <f>IFERROR(Calc!$A$32,"")</f>
        <v/>
      </c>
      <c r="B162" s="20">
        <f>IFERROR(Calc!B32,"")</f>
        <v/>
      </c>
      <c r="C162" s="20">
        <f>IFERROR(Calc!C32,"")</f>
        <v/>
      </c>
      <c r="D162" s="20">
        <f>IFERROR(Calc!D32,"")</f>
        <v/>
      </c>
      <c r="E162" s="20">
        <f>IFERROR(Calc!E32,"")</f>
        <v/>
      </c>
      <c r="F162" s="20">
        <f>IFERROR(Calc!F32,"")</f>
        <v/>
      </c>
      <c r="G162" s="21">
        <f>IFERROR(Calc!G32,"")</f>
        <v/>
      </c>
      <c r="H162" s="21">
        <f>IFERROR(Calc!H32,"")</f>
        <v/>
      </c>
      <c r="I162" s="21">
        <f>IFERROR(Calc!I32,"")</f>
        <v/>
      </c>
      <c r="J162" s="17">
        <f>IFERROR(Calc!J32,"")</f>
        <v/>
      </c>
      <c r="K162" s="21">
        <f>IFERROR(Calc!K32,"")</f>
        <v/>
      </c>
      <c r="L162" s="20">
        <f>IFERROR(Calc!L32,"")</f>
        <v/>
      </c>
      <c r="M162" s="17">
        <f>IFERROR(Calc!M32,"")</f>
        <v/>
      </c>
      <c r="N162" s="17">
        <f>IFERROR(Calc!N32,"")</f>
        <v/>
      </c>
      <c r="O162" s="17">
        <f>IFERROR(Calc!O32,"")</f>
        <v/>
      </c>
      <c r="P162" s="17">
        <f>IFERROR(Calc!P32,"")</f>
        <v/>
      </c>
      <c r="Q162" s="21">
        <f>IFERROR(Calc!Q32,"")</f>
        <v/>
      </c>
      <c r="R162" s="21">
        <f>IFERROR(Calc!R32,"")</f>
        <v/>
      </c>
      <c r="S162" s="21">
        <f>IFERROR(Calc!S32,"")</f>
        <v/>
      </c>
      <c r="T162" s="21">
        <f>IFERROR(Calc!T32,"")</f>
        <v/>
      </c>
      <c r="U162" s="21">
        <f>IFERROR(Calc!U32,"")</f>
        <v/>
      </c>
      <c r="V162" s="21">
        <f>IFERROR(Calc!V32,"")</f>
        <v/>
      </c>
      <c r="W162" s="5" t="n"/>
      <c r="X162" s="5" t="n"/>
      <c r="Y162" s="5" t="n"/>
      <c r="Z162" s="5" t="n"/>
      <c r="AA162" s="5" t="n"/>
      <c r="AB162" s="5" t="n"/>
    </row>
    <row r="163" ht="15.75" customHeight="1" s="79">
      <c r="A163" s="5">
        <f>IFERROR(Calc!$A$33,"")</f>
        <v/>
      </c>
      <c r="B163" s="20">
        <f>IFERROR(Calc!B33,"")</f>
        <v/>
      </c>
      <c r="C163" s="20">
        <f>IFERROR(Calc!C33,"")</f>
        <v/>
      </c>
      <c r="D163" s="20">
        <f>IFERROR(Calc!D33,"")</f>
        <v/>
      </c>
      <c r="E163" s="20">
        <f>IFERROR(Calc!E33,"")</f>
        <v/>
      </c>
      <c r="F163" s="20">
        <f>IFERROR(Calc!F33,"")</f>
        <v/>
      </c>
      <c r="G163" s="21">
        <f>IFERROR(Calc!G33,"")</f>
        <v/>
      </c>
      <c r="H163" s="21">
        <f>IFERROR(Calc!H33,"")</f>
        <v/>
      </c>
      <c r="I163" s="21">
        <f>IFERROR(Calc!I33,"")</f>
        <v/>
      </c>
      <c r="J163" s="17">
        <f>IFERROR(Calc!J33,"")</f>
        <v/>
      </c>
      <c r="K163" s="21">
        <f>IFERROR(Calc!K33,"")</f>
        <v/>
      </c>
      <c r="L163" s="20">
        <f>IFERROR(Calc!L33,"")</f>
        <v/>
      </c>
      <c r="M163" s="17">
        <f>IFERROR(Calc!M33,"")</f>
        <v/>
      </c>
      <c r="N163" s="17">
        <f>IFERROR(Calc!N33,"")</f>
        <v/>
      </c>
      <c r="O163" s="17">
        <f>IFERROR(Calc!O33,"")</f>
        <v/>
      </c>
      <c r="P163" s="17">
        <f>IFERROR(Calc!P33,"")</f>
        <v/>
      </c>
      <c r="Q163" s="21">
        <f>IFERROR(Calc!Q33,"")</f>
        <v/>
      </c>
      <c r="R163" s="21">
        <f>IFERROR(Calc!R33,"")</f>
        <v/>
      </c>
      <c r="S163" s="21">
        <f>IFERROR(Calc!S33,"")</f>
        <v/>
      </c>
      <c r="T163" s="21">
        <f>IFERROR(Calc!T33,"")</f>
        <v/>
      </c>
      <c r="U163" s="21">
        <f>IFERROR(Calc!U33,"")</f>
        <v/>
      </c>
      <c r="V163" s="21">
        <f>IFERROR(Calc!V33,"")</f>
        <v/>
      </c>
      <c r="W163" s="5" t="n"/>
      <c r="X163" s="5" t="n"/>
      <c r="Y163" s="5" t="n"/>
      <c r="Z163" s="5" t="n"/>
      <c r="AA163" s="5" t="n"/>
      <c r="AB163" s="5" t="n"/>
    </row>
    <row r="164" ht="15.75" customHeight="1" s="79">
      <c r="A164" s="5">
        <f>IFERROR(Calc!$A$34,"")</f>
        <v/>
      </c>
      <c r="B164" s="20">
        <f>IFERROR(Calc!B34,"")</f>
        <v/>
      </c>
      <c r="C164" s="20">
        <f>IFERROR(Calc!C34,"")</f>
        <v/>
      </c>
      <c r="D164" s="20">
        <f>IFERROR(Calc!D34,"")</f>
        <v/>
      </c>
      <c r="E164" s="20">
        <f>IFERROR(Calc!E34,"")</f>
        <v/>
      </c>
      <c r="F164" s="20">
        <f>IFERROR(Calc!F34,"")</f>
        <v/>
      </c>
      <c r="G164" s="21">
        <f>IFERROR(Calc!G34,"")</f>
        <v/>
      </c>
      <c r="H164" s="21">
        <f>IFERROR(Calc!H34,"")</f>
        <v/>
      </c>
      <c r="I164" s="21">
        <f>IFERROR(Calc!I34,"")</f>
        <v/>
      </c>
      <c r="J164" s="17">
        <f>IFERROR(Calc!J34,"")</f>
        <v/>
      </c>
      <c r="K164" s="21">
        <f>IFERROR(Calc!K34,"")</f>
        <v/>
      </c>
      <c r="L164" s="20">
        <f>IFERROR(Calc!L34,"")</f>
        <v/>
      </c>
      <c r="M164" s="17">
        <f>IFERROR(Calc!M34,"")</f>
        <v/>
      </c>
      <c r="N164" s="17">
        <f>IFERROR(Calc!N34,"")</f>
        <v/>
      </c>
      <c r="O164" s="17">
        <f>IFERROR(Calc!O34,"")</f>
        <v/>
      </c>
      <c r="P164" s="17">
        <f>IFERROR(Calc!P34,"")</f>
        <v/>
      </c>
      <c r="Q164" s="21">
        <f>IFERROR(Calc!Q34,"")</f>
        <v/>
      </c>
      <c r="R164" s="21">
        <f>IFERROR(Calc!R34,"")</f>
        <v/>
      </c>
      <c r="S164" s="21">
        <f>IFERROR(Calc!S34,"")</f>
        <v/>
      </c>
      <c r="T164" s="21">
        <f>IFERROR(Calc!T34,"")</f>
        <v/>
      </c>
      <c r="U164" s="21">
        <f>IFERROR(Calc!U34,"")</f>
        <v/>
      </c>
      <c r="V164" s="21">
        <f>IFERROR(Calc!V34,"")</f>
        <v/>
      </c>
      <c r="W164" s="5" t="n"/>
      <c r="X164" s="5" t="n"/>
      <c r="Y164" s="5" t="n"/>
      <c r="Z164" s="5" t="n"/>
      <c r="AA164" s="5" t="n"/>
      <c r="AB164" s="5" t="n"/>
    </row>
    <row r="165" ht="15.75" customHeight="1" s="79">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row>
    <row r="166" ht="15.75" customHeight="1" s="79">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row>
    <row r="167" ht="15.75" customHeight="1" s="79">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row>
    <row r="168" ht="15.75" customHeight="1" s="79">
      <c r="A168" s="43" t="inlineStr">
        <is>
          <t xml:space="preserve">STATE   </t>
        </is>
      </c>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row>
    <row r="169" ht="66" customHeight="1" s="79">
      <c r="A169" s="72" t="n"/>
      <c r="AB169" s="5" t="n"/>
    </row>
    <row r="170" ht="15.75" customHeight="1" s="79">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row>
    <row r="171" ht="15.75" customHeight="1" s="79">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row>
    <row r="172" ht="15.75" customHeight="1" s="79">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row>
    <row r="173" ht="15.75" customHeight="1" s="79">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row>
    <row r="174" ht="15.75" customHeight="1" s="79">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row>
    <row r="175" ht="15.75" customHeight="1" s="79">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row>
    <row r="176" ht="15.75" customHeight="1" s="79">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row>
    <row r="177" ht="15.75" customHeight="1" s="79">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row>
    <row r="178" ht="15.75" customHeight="1" s="79">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row>
    <row r="179" ht="15.75" customHeight="1" s="79">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row>
    <row r="180" ht="15.75" customHeight="1" s="79">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row>
    <row r="181" ht="15.75" customHeight="1" s="79">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row>
    <row r="182" ht="15.75" customHeight="1" s="79">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row>
    <row r="183" ht="15.75" customHeight="1" s="79">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row>
    <row r="184" ht="15.75" customHeight="1" s="79">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row>
    <row r="185" ht="15.75" customHeight="1" s="79">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row>
    <row r="186" ht="15.75" customHeight="1" s="79">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row>
    <row r="187" ht="15.75" customHeight="1" s="79">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row>
    <row r="188" ht="15.75" customHeight="1" s="79">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row>
    <row r="189" ht="15.75" customHeight="1" s="79">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row>
    <row r="190" ht="15.75" customHeight="1" s="79">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row>
    <row r="191" ht="15.75" customHeight="1" s="79">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row>
    <row r="192" ht="15.75" customHeight="1" s="79">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row>
    <row r="193" ht="15.75" customHeight="1" s="79">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row>
    <row r="194" ht="15.75" customHeight="1" s="79">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row>
    <row r="195" ht="15.75" customHeight="1" s="79">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row>
    <row r="196" ht="15.75" customHeight="1" s="79">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row>
    <row r="197" ht="15.75" customHeight="1" s="79">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row>
    <row r="198" ht="15.75" customHeight="1" s="79">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row>
    <row r="199" ht="15.75" customHeight="1" s="79">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row>
    <row r="200" ht="15.75" customHeight="1" s="79">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row>
    <row r="201" ht="15.75" customHeight="1" s="79">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row>
    <row r="202" ht="15.75" customHeight="1" s="79">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row>
    <row r="203" ht="15.75" customHeight="1" s="79">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row>
    <row r="204" ht="15.75" customHeight="1" s="79">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row>
    <row r="205" ht="15.75" customHeight="1" s="79">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row>
    <row r="206" ht="15.75" customHeight="1" s="79">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row>
    <row r="207" ht="15.75" customHeight="1" s="79">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row>
    <row r="208" ht="15.75" customHeight="1" s="79">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row>
    <row r="209" ht="15.75" customHeight="1" s="79">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row>
    <row r="210" ht="15.75" customHeight="1" s="79">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row>
    <row r="211" ht="15.75" customHeight="1" s="79">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row>
    <row r="212" ht="15.75" customHeight="1" s="79">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row>
    <row r="213" ht="15.75" customHeight="1" s="79">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row>
    <row r="214" ht="15.75" customHeight="1" s="79">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row>
    <row r="215" ht="15.75" customHeight="1" s="79">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row>
    <row r="216" ht="15.75" customHeight="1" s="79">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row>
    <row r="217" ht="15.75" customHeight="1" s="79">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row>
    <row r="218" ht="15.75" customHeight="1" s="79">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row>
    <row r="219" ht="15.75" customHeight="1" s="79">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row>
    <row r="220" ht="15.75" customHeight="1" s="79">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row>
    <row r="221" ht="15.75" customHeight="1" s="79">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row>
    <row r="222" ht="15.75" customHeight="1" s="79">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row>
    <row r="223" ht="15.75" customHeight="1" s="79">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row>
    <row r="224" ht="15.75" customHeight="1" s="79">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row>
    <row r="225" ht="15.75" customHeight="1" s="79">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row>
    <row r="226" ht="15.75" customHeight="1" s="79">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row>
    <row r="227" ht="15.75" customHeight="1" s="79">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row>
    <row r="228" ht="15.75" customHeight="1" s="79">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row>
    <row r="229" ht="15.75" customHeight="1" s="79">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row>
    <row r="230" ht="15.75" customHeight="1" s="79">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row>
    <row r="231" ht="15.75" customHeight="1" s="79">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row>
    <row r="232" ht="15.75" customHeight="1" s="79">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row>
    <row r="233" ht="15.75" customHeight="1" s="79">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row>
    <row r="234" ht="15.75" customHeight="1" s="79">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row>
    <row r="235" ht="15.75" customHeight="1" s="79">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row>
    <row r="236" ht="15.75" customHeight="1" s="79">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row>
    <row r="237" ht="15.75" customHeight="1" s="79">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row>
    <row r="238" ht="15.75" customHeight="1" s="79">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row>
    <row r="239" ht="15.75" customHeight="1" s="79">
      <c r="A239" s="5" t="inlineStr">
        <is>
          <t>Longer "Days on book, defaulted" is better; shorter "Days to close" is better; both are measured against the contracted term.</t>
        </is>
      </c>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row>
    <row r="240" ht="15.75" customHeight="1" s="79">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row>
    <row r="241" ht="15.75" customHeight="1" s="79">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row>
    <row r="242" ht="15.75" customHeight="1" s="79">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row>
    <row r="243" ht="15.75" customHeight="1" s="79">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row>
    <row r="244" ht="15.75" customHeight="1" s="79">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row>
    <row r="245" ht="15.75" customHeight="1" s="79">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row>
    <row r="246" ht="15.75" customHeight="1" s="79">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row>
    <row r="247" ht="15.75" customHeight="1" s="79">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row>
    <row r="248" ht="15.75" customHeight="1" s="79">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row>
    <row r="249" ht="15.75" customHeight="1" s="79">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row>
    <row r="250" ht="15.75" customHeight="1" s="79">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row>
    <row r="251" ht="15.75" customHeight="1" s="79">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row>
    <row r="252" ht="15.75" customHeight="1" s="79">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row>
    <row r="253" ht="15.75" customHeight="1" s="79">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row>
    <row r="254" ht="15.75" customHeight="1" s="79">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row>
    <row r="255" ht="15.75" customHeight="1" s="79">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row>
    <row r="256" ht="15.75" customHeight="1" s="79">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row>
    <row r="257" ht="15.75" customHeight="1" s="79">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row>
    <row r="258" ht="15.75" customHeight="1" s="79">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row>
    <row r="259" ht="15.75" customHeight="1" s="79">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row>
    <row r="260" ht="15.75" customHeight="1" s="79">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row>
    <row r="261" ht="15.75" customHeight="1" s="79">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row>
    <row r="262" ht="15.75" customHeight="1" s="79">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row>
    <row r="263" ht="15.75" customHeight="1" s="79">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row>
    <row r="264" ht="15.75" customHeight="1" s="79">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row>
    <row r="265" ht="15.75" customHeight="1" s="79">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row>
    <row r="266" ht="15.75" customHeight="1" s="79">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row>
    <row r="267" ht="15.75" customHeight="1" s="79">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row>
    <row r="268" ht="15.75" customHeight="1" s="79">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row>
    <row r="269" ht="15.75" customHeight="1" s="79">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row>
    <row r="270" ht="15.75" customHeight="1" s="79">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row>
    <row r="271" ht="15.75" customHeight="1" s="79">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row>
    <row r="272" ht="15.75" customHeight="1" s="79">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row>
    <row r="273" ht="15.75" customHeight="1" s="79">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row>
    <row r="274" ht="15.75" customHeight="1" s="79">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row>
    <row r="275" ht="15.75" customHeight="1" s="79">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row>
    <row r="276" ht="15.75" customHeight="1" s="79">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row>
    <row r="277" ht="15.75" customHeight="1" s="79">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row>
    <row r="278" ht="15.75" customHeight="1" s="79">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row>
    <row r="279" ht="15.75" customHeight="1" s="79">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row>
    <row r="280" ht="15.75" customHeight="1" s="79">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row>
    <row r="281" ht="15.75" customHeight="1" s="79">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row>
    <row r="282" ht="15.75" customHeight="1" s="79">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row>
    <row r="283" ht="15.75" customHeight="1" s="79">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row>
    <row r="284" ht="15.75" customHeight="1" s="79">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row>
    <row r="285" ht="15.75" customHeight="1" s="79">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row>
    <row r="286" ht="15.75" customHeight="1" s="79">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row>
    <row r="287" ht="15.75" customHeight="1" s="79">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row>
    <row r="288" ht="15.75" customHeight="1" s="79">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row>
    <row r="289" ht="15.75" customHeight="1" s="79">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row>
    <row r="290" ht="15.75" customHeight="1" s="79">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row>
    <row r="291" ht="15.75" customHeight="1" s="79">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row>
    <row r="292" ht="15.75" customHeight="1" s="79">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row>
    <row r="293" ht="15.75" customHeight="1" s="79">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row>
    <row r="294" ht="15.75" customHeight="1" s="79">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row>
    <row r="295" ht="15.75" customHeight="1" s="79">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row>
    <row r="296" ht="30" customHeight="1" s="79">
      <c r="A296" s="34" t="inlineStr">
        <is>
          <t>Segment</t>
        </is>
      </c>
      <c r="B296" s="34" t="inlineStr">
        <is>
          <t>Funded $</t>
        </is>
      </c>
      <c r="C296" s="34" t="inlineStr">
        <is>
          <t>Collected $</t>
        </is>
      </c>
      <c r="D296" s="34" t="inlineStr">
        <is>
          <t>Net profit / loss $</t>
        </is>
      </c>
      <c r="E296" s="34" t="inlineStr">
        <is>
          <t>Commission $</t>
        </is>
      </c>
      <c r="F296" s="34" t="inlineStr">
        <is>
          <t>Principal lost $</t>
        </is>
      </c>
      <c r="G296" s="34" t="inlineStr">
        <is>
          <t>Principal default exposure</t>
        </is>
      </c>
      <c r="H296" s="34" t="inlineStr">
        <is>
          <t>Recovery rate</t>
        </is>
      </c>
      <c r="I296" s="34" t="inlineStr">
        <is>
          <t>Return on funded capital (%)</t>
        </is>
      </c>
      <c r="J296" s="34" t="inlineStr">
        <is>
          <t>Deals</t>
        </is>
      </c>
      <c r="K296" s="34" t="inlineStr">
        <is>
          <t>Share of funded dollars</t>
        </is>
      </c>
      <c r="L296" s="34" t="inlineStr">
        <is>
          <t>Avg deal size</t>
        </is>
      </c>
      <c r="M296" s="34" t="inlineStr">
        <is>
          <t>Avg expected term (business days)</t>
        </is>
      </c>
      <c r="N296" s="34" t="inlineStr">
        <is>
          <t>Avg expected term (payments)</t>
        </is>
      </c>
      <c r="O296" s="34" t="inlineStr">
        <is>
          <t>Avg days on book, defaulted</t>
        </is>
      </c>
      <c r="P296" s="34" t="inlineStr">
        <is>
          <t>Avg days to close</t>
        </is>
      </c>
      <c r="Q296" s="34" t="inlineStr">
        <is>
          <t>% of deals that were renewals</t>
        </is>
      </c>
      <c r="R296" s="34" t="inlineStr">
        <is>
          <t>% of funded dollars from renewals</t>
        </is>
      </c>
      <c r="S296" s="34" t="inlineStr">
        <is>
          <t>Book default exposure</t>
        </is>
      </c>
      <c r="T296" s="34" t="inlineStr">
        <is>
          <t>Book recovery</t>
        </is>
      </c>
      <c r="U296" s="34" t="inlineStr">
        <is>
          <t>Book return on funded capital</t>
        </is>
      </c>
      <c r="V296" s="34" t="inlineStr">
        <is>
          <t>Default rate (#)</t>
        </is>
      </c>
      <c r="W296" s="5" t="n"/>
      <c r="X296" s="5" t="n"/>
      <c r="Y296" s="5" t="n"/>
      <c r="Z296" s="5" t="n"/>
      <c r="AA296" s="5" t="n"/>
      <c r="AB296" s="5" t="n"/>
    </row>
    <row r="297" ht="15.75" customHeight="1" s="79">
      <c r="A297" s="5">
        <f>IFERROR(Calc!$A$39,"")</f>
        <v/>
      </c>
      <c r="B297" s="20">
        <f>IFERROR(Calc!B39,"")</f>
        <v/>
      </c>
      <c r="C297" s="20">
        <f>IFERROR(Calc!C39,"")</f>
        <v/>
      </c>
      <c r="D297" s="20">
        <f>IFERROR(Calc!D39,"")</f>
        <v/>
      </c>
      <c r="E297" s="20">
        <f>IFERROR(Calc!E39,"")</f>
        <v/>
      </c>
      <c r="F297" s="20">
        <f>IFERROR(Calc!F39,"")</f>
        <v/>
      </c>
      <c r="G297" s="21">
        <f>IFERROR(Calc!G39,"")</f>
        <v/>
      </c>
      <c r="H297" s="21">
        <f>IFERROR(Calc!H39,"")</f>
        <v/>
      </c>
      <c r="I297" s="21">
        <f>IFERROR(Calc!I39,"")</f>
        <v/>
      </c>
      <c r="J297" s="17">
        <f>IFERROR(Calc!J39,"")</f>
        <v/>
      </c>
      <c r="K297" s="21">
        <f>IFERROR(Calc!K39,"")</f>
        <v/>
      </c>
      <c r="L297" s="20">
        <f>IFERROR(Calc!L39,"")</f>
        <v/>
      </c>
      <c r="M297" s="17">
        <f>IFERROR(Calc!M39,"")</f>
        <v/>
      </c>
      <c r="N297" s="17">
        <f>IFERROR(Calc!N39,"")</f>
        <v/>
      </c>
      <c r="O297" s="17">
        <f>IFERROR(Calc!O39,"")</f>
        <v/>
      </c>
      <c r="P297" s="17">
        <f>IFERROR(Calc!P39,"")</f>
        <v/>
      </c>
      <c r="Q297" s="21">
        <f>IFERROR(Calc!Q39,"")</f>
        <v/>
      </c>
      <c r="R297" s="21">
        <f>IFERROR(Calc!R39,"")</f>
        <v/>
      </c>
      <c r="S297" s="21">
        <f>IFERROR(Calc!S39,"")</f>
        <v/>
      </c>
      <c r="T297" s="21">
        <f>IFERROR(Calc!T39,"")</f>
        <v/>
      </c>
      <c r="U297" s="21">
        <f>IFERROR(Calc!U39,"")</f>
        <v/>
      </c>
      <c r="V297" s="21">
        <f>IFERROR(Calc!V39,"")</f>
        <v/>
      </c>
      <c r="W297" s="5" t="n"/>
      <c r="X297" s="5" t="n"/>
      <c r="Y297" s="5" t="n"/>
      <c r="Z297" s="5" t="n"/>
      <c r="AA297" s="5" t="n"/>
      <c r="AB297" s="5" t="n"/>
    </row>
    <row r="298" ht="15.75" customHeight="1" s="79">
      <c r="A298" s="5">
        <f>IFERROR(Calc!$A$40,"")</f>
        <v/>
      </c>
      <c r="B298" s="20">
        <f>IFERROR(Calc!B40,"")</f>
        <v/>
      </c>
      <c r="C298" s="20">
        <f>IFERROR(Calc!C40,"")</f>
        <v/>
      </c>
      <c r="D298" s="20">
        <f>IFERROR(Calc!D40,"")</f>
        <v/>
      </c>
      <c r="E298" s="20">
        <f>IFERROR(Calc!E40,"")</f>
        <v/>
      </c>
      <c r="F298" s="20">
        <f>IFERROR(Calc!F40,"")</f>
        <v/>
      </c>
      <c r="G298" s="21">
        <f>IFERROR(Calc!G40,"")</f>
        <v/>
      </c>
      <c r="H298" s="21">
        <f>IFERROR(Calc!H40,"")</f>
        <v/>
      </c>
      <c r="I298" s="21">
        <f>IFERROR(Calc!I40,"")</f>
        <v/>
      </c>
      <c r="J298" s="17">
        <f>IFERROR(Calc!J40,"")</f>
        <v/>
      </c>
      <c r="K298" s="21">
        <f>IFERROR(Calc!K40,"")</f>
        <v/>
      </c>
      <c r="L298" s="20">
        <f>IFERROR(Calc!L40,"")</f>
        <v/>
      </c>
      <c r="M298" s="17">
        <f>IFERROR(Calc!M40,"")</f>
        <v/>
      </c>
      <c r="N298" s="17">
        <f>IFERROR(Calc!N40,"")</f>
        <v/>
      </c>
      <c r="O298" s="17">
        <f>IFERROR(Calc!O40,"")</f>
        <v/>
      </c>
      <c r="P298" s="17">
        <f>IFERROR(Calc!P40,"")</f>
        <v/>
      </c>
      <c r="Q298" s="21">
        <f>IFERROR(Calc!Q40,"")</f>
        <v/>
      </c>
      <c r="R298" s="21">
        <f>IFERROR(Calc!R40,"")</f>
        <v/>
      </c>
      <c r="S298" s="21">
        <f>IFERROR(Calc!S40,"")</f>
        <v/>
      </c>
      <c r="T298" s="21">
        <f>IFERROR(Calc!T40,"")</f>
        <v/>
      </c>
      <c r="U298" s="21">
        <f>IFERROR(Calc!U40,"")</f>
        <v/>
      </c>
      <c r="V298" s="21">
        <f>IFERROR(Calc!V40,"")</f>
        <v/>
      </c>
      <c r="W298" s="5" t="n"/>
      <c r="X298" s="5" t="n"/>
      <c r="Y298" s="5" t="n"/>
      <c r="Z298" s="5" t="n"/>
      <c r="AA298" s="5" t="n"/>
      <c r="AB298" s="5" t="n"/>
    </row>
    <row r="299" ht="15.75" customHeight="1" s="79">
      <c r="A299" s="5">
        <f>IFERROR(Calc!$A$41,"")</f>
        <v/>
      </c>
      <c r="B299" s="20">
        <f>IFERROR(Calc!B41,"")</f>
        <v/>
      </c>
      <c r="C299" s="20">
        <f>IFERROR(Calc!C41,"")</f>
        <v/>
      </c>
      <c r="D299" s="20">
        <f>IFERROR(Calc!D41,"")</f>
        <v/>
      </c>
      <c r="E299" s="20">
        <f>IFERROR(Calc!E41,"")</f>
        <v/>
      </c>
      <c r="F299" s="20">
        <f>IFERROR(Calc!F41,"")</f>
        <v/>
      </c>
      <c r="G299" s="21">
        <f>IFERROR(Calc!G41,"")</f>
        <v/>
      </c>
      <c r="H299" s="21">
        <f>IFERROR(Calc!H41,"")</f>
        <v/>
      </c>
      <c r="I299" s="21">
        <f>IFERROR(Calc!I41,"")</f>
        <v/>
      </c>
      <c r="J299" s="17">
        <f>IFERROR(Calc!J41,"")</f>
        <v/>
      </c>
      <c r="K299" s="21">
        <f>IFERROR(Calc!K41,"")</f>
        <v/>
      </c>
      <c r="L299" s="20">
        <f>IFERROR(Calc!L41,"")</f>
        <v/>
      </c>
      <c r="M299" s="17">
        <f>IFERROR(Calc!M41,"")</f>
        <v/>
      </c>
      <c r="N299" s="17">
        <f>IFERROR(Calc!N41,"")</f>
        <v/>
      </c>
      <c r="O299" s="17">
        <f>IFERROR(Calc!O41,"")</f>
        <v/>
      </c>
      <c r="P299" s="17">
        <f>IFERROR(Calc!P41,"")</f>
        <v/>
      </c>
      <c r="Q299" s="21">
        <f>IFERROR(Calc!Q41,"")</f>
        <v/>
      </c>
      <c r="R299" s="21">
        <f>IFERROR(Calc!R41,"")</f>
        <v/>
      </c>
      <c r="S299" s="21">
        <f>IFERROR(Calc!S41,"")</f>
        <v/>
      </c>
      <c r="T299" s="21">
        <f>IFERROR(Calc!T41,"")</f>
        <v/>
      </c>
      <c r="U299" s="21">
        <f>IFERROR(Calc!U41,"")</f>
        <v/>
      </c>
      <c r="V299" s="21">
        <f>IFERROR(Calc!V41,"")</f>
        <v/>
      </c>
      <c r="W299" s="5" t="n"/>
      <c r="X299" s="5" t="n"/>
      <c r="Y299" s="5" t="n"/>
      <c r="Z299" s="5" t="n"/>
      <c r="AA299" s="5" t="n"/>
      <c r="AB299" s="5" t="n"/>
    </row>
    <row r="300" ht="15.75" customHeight="1" s="79">
      <c r="A300" s="5">
        <f>IFERROR(Calc!$A$42,"")</f>
        <v/>
      </c>
      <c r="B300" s="20">
        <f>IFERROR(Calc!B42,"")</f>
        <v/>
      </c>
      <c r="C300" s="20">
        <f>IFERROR(Calc!C42,"")</f>
        <v/>
      </c>
      <c r="D300" s="20">
        <f>IFERROR(Calc!D42,"")</f>
        <v/>
      </c>
      <c r="E300" s="20">
        <f>IFERROR(Calc!E42,"")</f>
        <v/>
      </c>
      <c r="F300" s="20">
        <f>IFERROR(Calc!F42,"")</f>
        <v/>
      </c>
      <c r="G300" s="21">
        <f>IFERROR(Calc!G42,"")</f>
        <v/>
      </c>
      <c r="H300" s="21">
        <f>IFERROR(Calc!H42,"")</f>
        <v/>
      </c>
      <c r="I300" s="21">
        <f>IFERROR(Calc!I42,"")</f>
        <v/>
      </c>
      <c r="J300" s="17">
        <f>IFERROR(Calc!J42,"")</f>
        <v/>
      </c>
      <c r="K300" s="21">
        <f>IFERROR(Calc!K42,"")</f>
        <v/>
      </c>
      <c r="L300" s="20">
        <f>IFERROR(Calc!L42,"")</f>
        <v/>
      </c>
      <c r="M300" s="17">
        <f>IFERROR(Calc!M42,"")</f>
        <v/>
      </c>
      <c r="N300" s="17">
        <f>IFERROR(Calc!N42,"")</f>
        <v/>
      </c>
      <c r="O300" s="17">
        <f>IFERROR(Calc!O42,"")</f>
        <v/>
      </c>
      <c r="P300" s="17">
        <f>IFERROR(Calc!P42,"")</f>
        <v/>
      </c>
      <c r="Q300" s="21">
        <f>IFERROR(Calc!Q42,"")</f>
        <v/>
      </c>
      <c r="R300" s="21">
        <f>IFERROR(Calc!R42,"")</f>
        <v/>
      </c>
      <c r="S300" s="21">
        <f>IFERROR(Calc!S42,"")</f>
        <v/>
      </c>
      <c r="T300" s="21">
        <f>IFERROR(Calc!T42,"")</f>
        <v/>
      </c>
      <c r="U300" s="21">
        <f>IFERROR(Calc!U42,"")</f>
        <v/>
      </c>
      <c r="V300" s="21">
        <f>IFERROR(Calc!V42,"")</f>
        <v/>
      </c>
      <c r="W300" s="5" t="n"/>
      <c r="X300" s="5" t="n"/>
      <c r="Y300" s="5" t="n"/>
      <c r="Z300" s="5" t="n"/>
      <c r="AA300" s="5" t="n"/>
      <c r="AB300" s="5" t="n"/>
    </row>
    <row r="301" ht="15.75" customHeight="1" s="79">
      <c r="A301" s="5">
        <f>IFERROR(Calc!$A$43,"")</f>
        <v/>
      </c>
      <c r="B301" s="20">
        <f>IFERROR(Calc!B43,"")</f>
        <v/>
      </c>
      <c r="C301" s="20">
        <f>IFERROR(Calc!C43,"")</f>
        <v/>
      </c>
      <c r="D301" s="20">
        <f>IFERROR(Calc!D43,"")</f>
        <v/>
      </c>
      <c r="E301" s="20">
        <f>IFERROR(Calc!E43,"")</f>
        <v/>
      </c>
      <c r="F301" s="20">
        <f>IFERROR(Calc!F43,"")</f>
        <v/>
      </c>
      <c r="G301" s="21">
        <f>IFERROR(Calc!G43,"")</f>
        <v/>
      </c>
      <c r="H301" s="21">
        <f>IFERROR(Calc!H43,"")</f>
        <v/>
      </c>
      <c r="I301" s="21">
        <f>IFERROR(Calc!I43,"")</f>
        <v/>
      </c>
      <c r="J301" s="17">
        <f>IFERROR(Calc!J43,"")</f>
        <v/>
      </c>
      <c r="K301" s="21">
        <f>IFERROR(Calc!K43,"")</f>
        <v/>
      </c>
      <c r="L301" s="20">
        <f>IFERROR(Calc!L43,"")</f>
        <v/>
      </c>
      <c r="M301" s="17">
        <f>IFERROR(Calc!M43,"")</f>
        <v/>
      </c>
      <c r="N301" s="17">
        <f>IFERROR(Calc!N43,"")</f>
        <v/>
      </c>
      <c r="O301" s="17">
        <f>IFERROR(Calc!O43,"")</f>
        <v/>
      </c>
      <c r="P301" s="17">
        <f>IFERROR(Calc!P43,"")</f>
        <v/>
      </c>
      <c r="Q301" s="21">
        <f>IFERROR(Calc!Q43,"")</f>
        <v/>
      </c>
      <c r="R301" s="21">
        <f>IFERROR(Calc!R43,"")</f>
        <v/>
      </c>
      <c r="S301" s="21">
        <f>IFERROR(Calc!S43,"")</f>
        <v/>
      </c>
      <c r="T301" s="21">
        <f>IFERROR(Calc!T43,"")</f>
        <v/>
      </c>
      <c r="U301" s="21">
        <f>IFERROR(Calc!U43,"")</f>
        <v/>
      </c>
      <c r="V301" s="21">
        <f>IFERROR(Calc!V43,"")</f>
        <v/>
      </c>
      <c r="W301" s="5" t="n"/>
      <c r="X301" s="5" t="n"/>
      <c r="Y301" s="5" t="n"/>
      <c r="Z301" s="5" t="n"/>
      <c r="AA301" s="5" t="n"/>
      <c r="AB301" s="5" t="n"/>
    </row>
    <row r="302" ht="15.75" customHeight="1" s="79">
      <c r="A302" s="5">
        <f>IFERROR(Calc!$A$44,"")</f>
        <v/>
      </c>
      <c r="B302" s="20">
        <f>IFERROR(Calc!B44,"")</f>
        <v/>
      </c>
      <c r="C302" s="20">
        <f>IFERROR(Calc!C44,"")</f>
        <v/>
      </c>
      <c r="D302" s="20">
        <f>IFERROR(Calc!D44,"")</f>
        <v/>
      </c>
      <c r="E302" s="20">
        <f>IFERROR(Calc!E44,"")</f>
        <v/>
      </c>
      <c r="F302" s="20">
        <f>IFERROR(Calc!F44,"")</f>
        <v/>
      </c>
      <c r="G302" s="21">
        <f>IFERROR(Calc!G44,"")</f>
        <v/>
      </c>
      <c r="H302" s="21">
        <f>IFERROR(Calc!H44,"")</f>
        <v/>
      </c>
      <c r="I302" s="21">
        <f>IFERROR(Calc!I44,"")</f>
        <v/>
      </c>
      <c r="J302" s="17">
        <f>IFERROR(Calc!J44,"")</f>
        <v/>
      </c>
      <c r="K302" s="21">
        <f>IFERROR(Calc!K44,"")</f>
        <v/>
      </c>
      <c r="L302" s="20">
        <f>IFERROR(Calc!L44,"")</f>
        <v/>
      </c>
      <c r="M302" s="17">
        <f>IFERROR(Calc!M44,"")</f>
        <v/>
      </c>
      <c r="N302" s="17">
        <f>IFERROR(Calc!N44,"")</f>
        <v/>
      </c>
      <c r="O302" s="17">
        <f>IFERROR(Calc!O44,"")</f>
        <v/>
      </c>
      <c r="P302" s="17">
        <f>IFERROR(Calc!P44,"")</f>
        <v/>
      </c>
      <c r="Q302" s="21">
        <f>IFERROR(Calc!Q44,"")</f>
        <v/>
      </c>
      <c r="R302" s="21">
        <f>IFERROR(Calc!R44,"")</f>
        <v/>
      </c>
      <c r="S302" s="21">
        <f>IFERROR(Calc!S44,"")</f>
        <v/>
      </c>
      <c r="T302" s="21">
        <f>IFERROR(Calc!T44,"")</f>
        <v/>
      </c>
      <c r="U302" s="21">
        <f>IFERROR(Calc!U44,"")</f>
        <v/>
      </c>
      <c r="V302" s="21">
        <f>IFERROR(Calc!V44,"")</f>
        <v/>
      </c>
      <c r="W302" s="5" t="n"/>
      <c r="X302" s="5" t="n"/>
      <c r="Y302" s="5" t="n"/>
      <c r="Z302" s="5" t="n"/>
      <c r="AA302" s="5" t="n"/>
      <c r="AB302" s="5" t="n"/>
    </row>
    <row r="303" ht="15.75" customHeight="1" s="79">
      <c r="A303" s="5">
        <f>IFERROR(Calc!$A$45,"")</f>
        <v/>
      </c>
      <c r="B303" s="20">
        <f>IFERROR(Calc!B45,"")</f>
        <v/>
      </c>
      <c r="C303" s="20">
        <f>IFERROR(Calc!C45,"")</f>
        <v/>
      </c>
      <c r="D303" s="20">
        <f>IFERROR(Calc!D45,"")</f>
        <v/>
      </c>
      <c r="E303" s="20">
        <f>IFERROR(Calc!E45,"")</f>
        <v/>
      </c>
      <c r="F303" s="20">
        <f>IFERROR(Calc!F45,"")</f>
        <v/>
      </c>
      <c r="G303" s="21">
        <f>IFERROR(Calc!G45,"")</f>
        <v/>
      </c>
      <c r="H303" s="21">
        <f>IFERROR(Calc!H45,"")</f>
        <v/>
      </c>
      <c r="I303" s="21">
        <f>IFERROR(Calc!I45,"")</f>
        <v/>
      </c>
      <c r="J303" s="17">
        <f>IFERROR(Calc!J45,"")</f>
        <v/>
      </c>
      <c r="K303" s="21">
        <f>IFERROR(Calc!K45,"")</f>
        <v/>
      </c>
      <c r="L303" s="20">
        <f>IFERROR(Calc!L45,"")</f>
        <v/>
      </c>
      <c r="M303" s="17">
        <f>IFERROR(Calc!M45,"")</f>
        <v/>
      </c>
      <c r="N303" s="17">
        <f>IFERROR(Calc!N45,"")</f>
        <v/>
      </c>
      <c r="O303" s="17">
        <f>IFERROR(Calc!O45,"")</f>
        <v/>
      </c>
      <c r="P303" s="17">
        <f>IFERROR(Calc!P45,"")</f>
        <v/>
      </c>
      <c r="Q303" s="21">
        <f>IFERROR(Calc!Q45,"")</f>
        <v/>
      </c>
      <c r="R303" s="21">
        <f>IFERROR(Calc!R45,"")</f>
        <v/>
      </c>
      <c r="S303" s="21">
        <f>IFERROR(Calc!S45,"")</f>
        <v/>
      </c>
      <c r="T303" s="21">
        <f>IFERROR(Calc!T45,"")</f>
        <v/>
      </c>
      <c r="U303" s="21">
        <f>IFERROR(Calc!U45,"")</f>
        <v/>
      </c>
      <c r="V303" s="21">
        <f>IFERROR(Calc!V45,"")</f>
        <v/>
      </c>
      <c r="W303" s="5" t="n"/>
      <c r="X303" s="5" t="n"/>
      <c r="Y303" s="5" t="n"/>
      <c r="Z303" s="5" t="n"/>
      <c r="AA303" s="5" t="n"/>
      <c r="AB303" s="5" t="n"/>
    </row>
    <row r="304" ht="15.75" customHeight="1" s="79">
      <c r="A304" s="5">
        <f>IFERROR(Calc!$A$46,"")</f>
        <v/>
      </c>
      <c r="B304" s="20">
        <f>IFERROR(Calc!B46,"")</f>
        <v/>
      </c>
      <c r="C304" s="20">
        <f>IFERROR(Calc!C46,"")</f>
        <v/>
      </c>
      <c r="D304" s="20">
        <f>IFERROR(Calc!D46,"")</f>
        <v/>
      </c>
      <c r="E304" s="20">
        <f>IFERROR(Calc!E46,"")</f>
        <v/>
      </c>
      <c r="F304" s="20">
        <f>IFERROR(Calc!F46,"")</f>
        <v/>
      </c>
      <c r="G304" s="21">
        <f>IFERROR(Calc!G46,"")</f>
        <v/>
      </c>
      <c r="H304" s="21">
        <f>IFERROR(Calc!H46,"")</f>
        <v/>
      </c>
      <c r="I304" s="21">
        <f>IFERROR(Calc!I46,"")</f>
        <v/>
      </c>
      <c r="J304" s="17">
        <f>IFERROR(Calc!J46,"")</f>
        <v/>
      </c>
      <c r="K304" s="21">
        <f>IFERROR(Calc!K46,"")</f>
        <v/>
      </c>
      <c r="L304" s="20">
        <f>IFERROR(Calc!L46,"")</f>
        <v/>
      </c>
      <c r="M304" s="17">
        <f>IFERROR(Calc!M46,"")</f>
        <v/>
      </c>
      <c r="N304" s="17">
        <f>IFERROR(Calc!N46,"")</f>
        <v/>
      </c>
      <c r="O304" s="17">
        <f>IFERROR(Calc!O46,"")</f>
        <v/>
      </c>
      <c r="P304" s="17">
        <f>IFERROR(Calc!P46,"")</f>
        <v/>
      </c>
      <c r="Q304" s="21">
        <f>IFERROR(Calc!Q46,"")</f>
        <v/>
      </c>
      <c r="R304" s="21">
        <f>IFERROR(Calc!R46,"")</f>
        <v/>
      </c>
      <c r="S304" s="21">
        <f>IFERROR(Calc!S46,"")</f>
        <v/>
      </c>
      <c r="T304" s="21">
        <f>IFERROR(Calc!T46,"")</f>
        <v/>
      </c>
      <c r="U304" s="21">
        <f>IFERROR(Calc!U46,"")</f>
        <v/>
      </c>
      <c r="V304" s="21">
        <f>IFERROR(Calc!V46,"")</f>
        <v/>
      </c>
      <c r="W304" s="5" t="n"/>
      <c r="X304" s="5" t="n"/>
      <c r="Y304" s="5" t="n"/>
      <c r="Z304" s="5" t="n"/>
      <c r="AA304" s="5" t="n"/>
      <c r="AB304" s="5" t="n"/>
    </row>
    <row r="305" ht="15.75" customHeight="1" s="79">
      <c r="A305" s="5">
        <f>IFERROR(Calc!$A$47,"")</f>
        <v/>
      </c>
      <c r="B305" s="20">
        <f>IFERROR(Calc!B47,"")</f>
        <v/>
      </c>
      <c r="C305" s="20">
        <f>IFERROR(Calc!C47,"")</f>
        <v/>
      </c>
      <c r="D305" s="20">
        <f>IFERROR(Calc!D47,"")</f>
        <v/>
      </c>
      <c r="E305" s="20">
        <f>IFERROR(Calc!E47,"")</f>
        <v/>
      </c>
      <c r="F305" s="20">
        <f>IFERROR(Calc!F47,"")</f>
        <v/>
      </c>
      <c r="G305" s="21">
        <f>IFERROR(Calc!G47,"")</f>
        <v/>
      </c>
      <c r="H305" s="21">
        <f>IFERROR(Calc!H47,"")</f>
        <v/>
      </c>
      <c r="I305" s="21">
        <f>IFERROR(Calc!I47,"")</f>
        <v/>
      </c>
      <c r="J305" s="17">
        <f>IFERROR(Calc!J47,"")</f>
        <v/>
      </c>
      <c r="K305" s="21">
        <f>IFERROR(Calc!K47,"")</f>
        <v/>
      </c>
      <c r="L305" s="20">
        <f>IFERROR(Calc!L47,"")</f>
        <v/>
      </c>
      <c r="M305" s="17">
        <f>IFERROR(Calc!M47,"")</f>
        <v/>
      </c>
      <c r="N305" s="17">
        <f>IFERROR(Calc!N47,"")</f>
        <v/>
      </c>
      <c r="O305" s="17">
        <f>IFERROR(Calc!O47,"")</f>
        <v/>
      </c>
      <c r="P305" s="17">
        <f>IFERROR(Calc!P47,"")</f>
        <v/>
      </c>
      <c r="Q305" s="21">
        <f>IFERROR(Calc!Q47,"")</f>
        <v/>
      </c>
      <c r="R305" s="21">
        <f>IFERROR(Calc!R47,"")</f>
        <v/>
      </c>
      <c r="S305" s="21">
        <f>IFERROR(Calc!S47,"")</f>
        <v/>
      </c>
      <c r="T305" s="21">
        <f>IFERROR(Calc!T47,"")</f>
        <v/>
      </c>
      <c r="U305" s="21">
        <f>IFERROR(Calc!U47,"")</f>
        <v/>
      </c>
      <c r="V305" s="21">
        <f>IFERROR(Calc!V47,"")</f>
        <v/>
      </c>
      <c r="W305" s="5" t="n"/>
      <c r="X305" s="5" t="n"/>
      <c r="Y305" s="5" t="n"/>
      <c r="Z305" s="5" t="n"/>
      <c r="AA305" s="5" t="n"/>
      <c r="AB305" s="5" t="n"/>
    </row>
    <row r="306" ht="15.75" customHeight="1" s="79">
      <c r="A306" s="5">
        <f>IFERROR(Calc!$A$48,"")</f>
        <v/>
      </c>
      <c r="B306" s="20">
        <f>IFERROR(Calc!B48,"")</f>
        <v/>
      </c>
      <c r="C306" s="20">
        <f>IFERROR(Calc!C48,"")</f>
        <v/>
      </c>
      <c r="D306" s="20">
        <f>IFERROR(Calc!D48,"")</f>
        <v/>
      </c>
      <c r="E306" s="20">
        <f>IFERROR(Calc!E48,"")</f>
        <v/>
      </c>
      <c r="F306" s="20">
        <f>IFERROR(Calc!F48,"")</f>
        <v/>
      </c>
      <c r="G306" s="21">
        <f>IFERROR(Calc!G48,"")</f>
        <v/>
      </c>
      <c r="H306" s="21">
        <f>IFERROR(Calc!H48,"")</f>
        <v/>
      </c>
      <c r="I306" s="21">
        <f>IFERROR(Calc!I48,"")</f>
        <v/>
      </c>
      <c r="J306" s="17">
        <f>IFERROR(Calc!J48,"")</f>
        <v/>
      </c>
      <c r="K306" s="21">
        <f>IFERROR(Calc!K48,"")</f>
        <v/>
      </c>
      <c r="L306" s="20">
        <f>IFERROR(Calc!L48,"")</f>
        <v/>
      </c>
      <c r="M306" s="17">
        <f>IFERROR(Calc!M48,"")</f>
        <v/>
      </c>
      <c r="N306" s="17">
        <f>IFERROR(Calc!N48,"")</f>
        <v/>
      </c>
      <c r="O306" s="17">
        <f>IFERROR(Calc!O48,"")</f>
        <v/>
      </c>
      <c r="P306" s="17">
        <f>IFERROR(Calc!P48,"")</f>
        <v/>
      </c>
      <c r="Q306" s="21">
        <f>IFERROR(Calc!Q48,"")</f>
        <v/>
      </c>
      <c r="R306" s="21">
        <f>IFERROR(Calc!R48,"")</f>
        <v/>
      </c>
      <c r="S306" s="21">
        <f>IFERROR(Calc!S48,"")</f>
        <v/>
      </c>
      <c r="T306" s="21">
        <f>IFERROR(Calc!T48,"")</f>
        <v/>
      </c>
      <c r="U306" s="21">
        <f>IFERROR(Calc!U48,"")</f>
        <v/>
      </c>
      <c r="V306" s="21">
        <f>IFERROR(Calc!V48,"")</f>
        <v/>
      </c>
      <c r="W306" s="5" t="n"/>
      <c r="X306" s="5" t="n"/>
      <c r="Y306" s="5" t="n"/>
      <c r="Z306" s="5" t="n"/>
      <c r="AA306" s="5" t="n"/>
      <c r="AB306" s="5" t="n"/>
    </row>
    <row r="307" ht="15.75" customHeight="1" s="79">
      <c r="A307" s="5">
        <f>IFERROR(Calc!$A$49,"")</f>
        <v/>
      </c>
      <c r="B307" s="20">
        <f>IFERROR(Calc!B49,"")</f>
        <v/>
      </c>
      <c r="C307" s="20">
        <f>IFERROR(Calc!C49,"")</f>
        <v/>
      </c>
      <c r="D307" s="20">
        <f>IFERROR(Calc!D49,"")</f>
        <v/>
      </c>
      <c r="E307" s="20">
        <f>IFERROR(Calc!E49,"")</f>
        <v/>
      </c>
      <c r="F307" s="20">
        <f>IFERROR(Calc!F49,"")</f>
        <v/>
      </c>
      <c r="G307" s="21">
        <f>IFERROR(Calc!G49,"")</f>
        <v/>
      </c>
      <c r="H307" s="21">
        <f>IFERROR(Calc!H49,"")</f>
        <v/>
      </c>
      <c r="I307" s="21">
        <f>IFERROR(Calc!I49,"")</f>
        <v/>
      </c>
      <c r="J307" s="17">
        <f>IFERROR(Calc!J49,"")</f>
        <v/>
      </c>
      <c r="K307" s="21">
        <f>IFERROR(Calc!K49,"")</f>
        <v/>
      </c>
      <c r="L307" s="20">
        <f>IFERROR(Calc!L49,"")</f>
        <v/>
      </c>
      <c r="M307" s="17">
        <f>IFERROR(Calc!M49,"")</f>
        <v/>
      </c>
      <c r="N307" s="17">
        <f>IFERROR(Calc!N49,"")</f>
        <v/>
      </c>
      <c r="O307" s="17">
        <f>IFERROR(Calc!O49,"")</f>
        <v/>
      </c>
      <c r="P307" s="17">
        <f>IFERROR(Calc!P49,"")</f>
        <v/>
      </c>
      <c r="Q307" s="21">
        <f>IFERROR(Calc!Q49,"")</f>
        <v/>
      </c>
      <c r="R307" s="21">
        <f>IFERROR(Calc!R49,"")</f>
        <v/>
      </c>
      <c r="S307" s="21">
        <f>IFERROR(Calc!S49,"")</f>
        <v/>
      </c>
      <c r="T307" s="21">
        <f>IFERROR(Calc!T49,"")</f>
        <v/>
      </c>
      <c r="U307" s="21">
        <f>IFERROR(Calc!U49,"")</f>
        <v/>
      </c>
      <c r="V307" s="21">
        <f>IFERROR(Calc!V49,"")</f>
        <v/>
      </c>
      <c r="W307" s="5" t="n"/>
      <c r="X307" s="5" t="n"/>
      <c r="Y307" s="5" t="n"/>
      <c r="Z307" s="5" t="n"/>
      <c r="AA307" s="5" t="n"/>
      <c r="AB307" s="5" t="n"/>
    </row>
    <row r="308" ht="15.75" customHeight="1" s="79">
      <c r="A308" s="5">
        <f>IFERROR(Calc!$A$50,"")</f>
        <v/>
      </c>
      <c r="B308" s="20">
        <f>IFERROR(Calc!B50,"")</f>
        <v/>
      </c>
      <c r="C308" s="20">
        <f>IFERROR(Calc!C50,"")</f>
        <v/>
      </c>
      <c r="D308" s="20">
        <f>IFERROR(Calc!D50,"")</f>
        <v/>
      </c>
      <c r="E308" s="20">
        <f>IFERROR(Calc!E50,"")</f>
        <v/>
      </c>
      <c r="F308" s="20">
        <f>IFERROR(Calc!F50,"")</f>
        <v/>
      </c>
      <c r="G308" s="21">
        <f>IFERROR(Calc!G50,"")</f>
        <v/>
      </c>
      <c r="H308" s="21">
        <f>IFERROR(Calc!H50,"")</f>
        <v/>
      </c>
      <c r="I308" s="21">
        <f>IFERROR(Calc!I50,"")</f>
        <v/>
      </c>
      <c r="J308" s="17">
        <f>IFERROR(Calc!J50,"")</f>
        <v/>
      </c>
      <c r="K308" s="21">
        <f>IFERROR(Calc!K50,"")</f>
        <v/>
      </c>
      <c r="L308" s="20">
        <f>IFERROR(Calc!L50,"")</f>
        <v/>
      </c>
      <c r="M308" s="17">
        <f>IFERROR(Calc!M50,"")</f>
        <v/>
      </c>
      <c r="N308" s="17">
        <f>IFERROR(Calc!N50,"")</f>
        <v/>
      </c>
      <c r="O308" s="17">
        <f>IFERROR(Calc!O50,"")</f>
        <v/>
      </c>
      <c r="P308" s="17">
        <f>IFERROR(Calc!P50,"")</f>
        <v/>
      </c>
      <c r="Q308" s="21">
        <f>IFERROR(Calc!Q50,"")</f>
        <v/>
      </c>
      <c r="R308" s="21">
        <f>IFERROR(Calc!R50,"")</f>
        <v/>
      </c>
      <c r="S308" s="21">
        <f>IFERROR(Calc!S50,"")</f>
        <v/>
      </c>
      <c r="T308" s="21">
        <f>IFERROR(Calc!T50,"")</f>
        <v/>
      </c>
      <c r="U308" s="21">
        <f>IFERROR(Calc!U50,"")</f>
        <v/>
      </c>
      <c r="V308" s="21">
        <f>IFERROR(Calc!V50,"")</f>
        <v/>
      </c>
      <c r="W308" s="5" t="n"/>
      <c r="X308" s="5" t="n"/>
      <c r="Y308" s="5" t="n"/>
      <c r="Z308" s="5" t="n"/>
      <c r="AA308" s="5" t="n"/>
      <c r="AB308" s="5" t="n"/>
    </row>
    <row r="309" ht="15.75" customHeight="1" s="79">
      <c r="A309" s="5">
        <f>IFERROR(Calc!$A$51,"")</f>
        <v/>
      </c>
      <c r="B309" s="20">
        <f>IFERROR(Calc!B51,"")</f>
        <v/>
      </c>
      <c r="C309" s="20">
        <f>IFERROR(Calc!C51,"")</f>
        <v/>
      </c>
      <c r="D309" s="20">
        <f>IFERROR(Calc!D51,"")</f>
        <v/>
      </c>
      <c r="E309" s="20">
        <f>IFERROR(Calc!E51,"")</f>
        <v/>
      </c>
      <c r="F309" s="20">
        <f>IFERROR(Calc!F51,"")</f>
        <v/>
      </c>
      <c r="G309" s="21">
        <f>IFERROR(Calc!G51,"")</f>
        <v/>
      </c>
      <c r="H309" s="21">
        <f>IFERROR(Calc!H51,"")</f>
        <v/>
      </c>
      <c r="I309" s="21">
        <f>IFERROR(Calc!I51,"")</f>
        <v/>
      </c>
      <c r="J309" s="17">
        <f>IFERROR(Calc!J51,"")</f>
        <v/>
      </c>
      <c r="K309" s="21">
        <f>IFERROR(Calc!K51,"")</f>
        <v/>
      </c>
      <c r="L309" s="20">
        <f>IFERROR(Calc!L51,"")</f>
        <v/>
      </c>
      <c r="M309" s="17">
        <f>IFERROR(Calc!M51,"")</f>
        <v/>
      </c>
      <c r="N309" s="17">
        <f>IFERROR(Calc!N51,"")</f>
        <v/>
      </c>
      <c r="O309" s="17">
        <f>IFERROR(Calc!O51,"")</f>
        <v/>
      </c>
      <c r="P309" s="17">
        <f>IFERROR(Calc!P51,"")</f>
        <v/>
      </c>
      <c r="Q309" s="21">
        <f>IFERROR(Calc!Q51,"")</f>
        <v/>
      </c>
      <c r="R309" s="21">
        <f>IFERROR(Calc!R51,"")</f>
        <v/>
      </c>
      <c r="S309" s="21">
        <f>IFERROR(Calc!S51,"")</f>
        <v/>
      </c>
      <c r="T309" s="21">
        <f>IFERROR(Calc!T51,"")</f>
        <v/>
      </c>
      <c r="U309" s="21">
        <f>IFERROR(Calc!U51,"")</f>
        <v/>
      </c>
      <c r="V309" s="21">
        <f>IFERROR(Calc!V51,"")</f>
        <v/>
      </c>
      <c r="W309" s="5" t="n"/>
      <c r="X309" s="5" t="n"/>
      <c r="Y309" s="5" t="n"/>
      <c r="Z309" s="5" t="n"/>
      <c r="AA309" s="5" t="n"/>
      <c r="AB309" s="5" t="n"/>
    </row>
    <row r="310" ht="15.75" customHeight="1" s="79">
      <c r="A310" s="5">
        <f>IFERROR(Calc!$A$52,"")</f>
        <v/>
      </c>
      <c r="B310" s="20">
        <f>IFERROR(Calc!B52,"")</f>
        <v/>
      </c>
      <c r="C310" s="20">
        <f>IFERROR(Calc!C52,"")</f>
        <v/>
      </c>
      <c r="D310" s="20">
        <f>IFERROR(Calc!D52,"")</f>
        <v/>
      </c>
      <c r="E310" s="20">
        <f>IFERROR(Calc!E52,"")</f>
        <v/>
      </c>
      <c r="F310" s="20">
        <f>IFERROR(Calc!F52,"")</f>
        <v/>
      </c>
      <c r="G310" s="21">
        <f>IFERROR(Calc!G52,"")</f>
        <v/>
      </c>
      <c r="H310" s="21">
        <f>IFERROR(Calc!H52,"")</f>
        <v/>
      </c>
      <c r="I310" s="21">
        <f>IFERROR(Calc!I52,"")</f>
        <v/>
      </c>
      <c r="J310" s="17">
        <f>IFERROR(Calc!J52,"")</f>
        <v/>
      </c>
      <c r="K310" s="21">
        <f>IFERROR(Calc!K52,"")</f>
        <v/>
      </c>
      <c r="L310" s="20">
        <f>IFERROR(Calc!L52,"")</f>
        <v/>
      </c>
      <c r="M310" s="17">
        <f>IFERROR(Calc!M52,"")</f>
        <v/>
      </c>
      <c r="N310" s="17">
        <f>IFERROR(Calc!N52,"")</f>
        <v/>
      </c>
      <c r="O310" s="17">
        <f>IFERROR(Calc!O52,"")</f>
        <v/>
      </c>
      <c r="P310" s="17">
        <f>IFERROR(Calc!P52,"")</f>
        <v/>
      </c>
      <c r="Q310" s="21">
        <f>IFERROR(Calc!Q52,"")</f>
        <v/>
      </c>
      <c r="R310" s="21">
        <f>IFERROR(Calc!R52,"")</f>
        <v/>
      </c>
      <c r="S310" s="21">
        <f>IFERROR(Calc!S52,"")</f>
        <v/>
      </c>
      <c r="T310" s="21">
        <f>IFERROR(Calc!T52,"")</f>
        <v/>
      </c>
      <c r="U310" s="21">
        <f>IFERROR(Calc!U52,"")</f>
        <v/>
      </c>
      <c r="V310" s="21">
        <f>IFERROR(Calc!V52,"")</f>
        <v/>
      </c>
      <c r="W310" s="5" t="n"/>
      <c r="X310" s="5" t="n"/>
      <c r="Y310" s="5" t="n"/>
      <c r="Z310" s="5" t="n"/>
      <c r="AA310" s="5" t="n"/>
      <c r="AB310" s="5" t="n"/>
    </row>
    <row r="311" ht="15.75" customHeight="1" s="79">
      <c r="A311" s="5">
        <f>IFERROR(Calc!$A$53,"")</f>
        <v/>
      </c>
      <c r="B311" s="20">
        <f>IFERROR(Calc!B53,"")</f>
        <v/>
      </c>
      <c r="C311" s="20">
        <f>IFERROR(Calc!C53,"")</f>
        <v/>
      </c>
      <c r="D311" s="20">
        <f>IFERROR(Calc!D53,"")</f>
        <v/>
      </c>
      <c r="E311" s="20">
        <f>IFERROR(Calc!E53,"")</f>
        <v/>
      </c>
      <c r="F311" s="20">
        <f>IFERROR(Calc!F53,"")</f>
        <v/>
      </c>
      <c r="G311" s="21">
        <f>IFERROR(Calc!G53,"")</f>
        <v/>
      </c>
      <c r="H311" s="21">
        <f>IFERROR(Calc!H53,"")</f>
        <v/>
      </c>
      <c r="I311" s="21">
        <f>IFERROR(Calc!I53,"")</f>
        <v/>
      </c>
      <c r="J311" s="17">
        <f>IFERROR(Calc!J53,"")</f>
        <v/>
      </c>
      <c r="K311" s="21">
        <f>IFERROR(Calc!K53,"")</f>
        <v/>
      </c>
      <c r="L311" s="20">
        <f>IFERROR(Calc!L53,"")</f>
        <v/>
      </c>
      <c r="M311" s="17">
        <f>IFERROR(Calc!M53,"")</f>
        <v/>
      </c>
      <c r="N311" s="17">
        <f>IFERROR(Calc!N53,"")</f>
        <v/>
      </c>
      <c r="O311" s="17">
        <f>IFERROR(Calc!O53,"")</f>
        <v/>
      </c>
      <c r="P311" s="17">
        <f>IFERROR(Calc!P53,"")</f>
        <v/>
      </c>
      <c r="Q311" s="21">
        <f>IFERROR(Calc!Q53,"")</f>
        <v/>
      </c>
      <c r="R311" s="21">
        <f>IFERROR(Calc!R53,"")</f>
        <v/>
      </c>
      <c r="S311" s="21">
        <f>IFERROR(Calc!S53,"")</f>
        <v/>
      </c>
      <c r="T311" s="21">
        <f>IFERROR(Calc!T53,"")</f>
        <v/>
      </c>
      <c r="U311" s="21">
        <f>IFERROR(Calc!U53,"")</f>
        <v/>
      </c>
      <c r="V311" s="21">
        <f>IFERROR(Calc!V53,"")</f>
        <v/>
      </c>
      <c r="W311" s="5" t="n"/>
      <c r="X311" s="5" t="n"/>
      <c r="Y311" s="5" t="n"/>
      <c r="Z311" s="5" t="n"/>
      <c r="AA311" s="5" t="n"/>
      <c r="AB311" s="5" t="n"/>
    </row>
    <row r="312" ht="15.75" customHeight="1" s="79">
      <c r="A312" s="5">
        <f>IFERROR(Calc!$A$54,"")</f>
        <v/>
      </c>
      <c r="B312" s="20">
        <f>IFERROR(Calc!B54,"")</f>
        <v/>
      </c>
      <c r="C312" s="20">
        <f>IFERROR(Calc!C54,"")</f>
        <v/>
      </c>
      <c r="D312" s="20">
        <f>IFERROR(Calc!D54,"")</f>
        <v/>
      </c>
      <c r="E312" s="20">
        <f>IFERROR(Calc!E54,"")</f>
        <v/>
      </c>
      <c r="F312" s="20">
        <f>IFERROR(Calc!F54,"")</f>
        <v/>
      </c>
      <c r="G312" s="21">
        <f>IFERROR(Calc!G54,"")</f>
        <v/>
      </c>
      <c r="H312" s="21">
        <f>IFERROR(Calc!H54,"")</f>
        <v/>
      </c>
      <c r="I312" s="21">
        <f>IFERROR(Calc!I54,"")</f>
        <v/>
      </c>
      <c r="J312" s="17">
        <f>IFERROR(Calc!J54,"")</f>
        <v/>
      </c>
      <c r="K312" s="21">
        <f>IFERROR(Calc!K54,"")</f>
        <v/>
      </c>
      <c r="L312" s="20">
        <f>IFERROR(Calc!L54,"")</f>
        <v/>
      </c>
      <c r="M312" s="17">
        <f>IFERROR(Calc!M54,"")</f>
        <v/>
      </c>
      <c r="N312" s="17">
        <f>IFERROR(Calc!N54,"")</f>
        <v/>
      </c>
      <c r="O312" s="17">
        <f>IFERROR(Calc!O54,"")</f>
        <v/>
      </c>
      <c r="P312" s="17">
        <f>IFERROR(Calc!P54,"")</f>
        <v/>
      </c>
      <c r="Q312" s="21">
        <f>IFERROR(Calc!Q54,"")</f>
        <v/>
      </c>
      <c r="R312" s="21">
        <f>IFERROR(Calc!R54,"")</f>
        <v/>
      </c>
      <c r="S312" s="21">
        <f>IFERROR(Calc!S54,"")</f>
        <v/>
      </c>
      <c r="T312" s="21">
        <f>IFERROR(Calc!T54,"")</f>
        <v/>
      </c>
      <c r="U312" s="21">
        <f>IFERROR(Calc!U54,"")</f>
        <v/>
      </c>
      <c r="V312" s="21">
        <f>IFERROR(Calc!V54,"")</f>
        <v/>
      </c>
      <c r="W312" s="5" t="n"/>
      <c r="X312" s="5" t="n"/>
      <c r="Y312" s="5" t="n"/>
      <c r="Z312" s="5" t="n"/>
      <c r="AA312" s="5" t="n"/>
      <c r="AB312" s="5" t="n"/>
    </row>
    <row r="313" ht="15.75" customHeight="1" s="79">
      <c r="A313" s="5">
        <f>IFERROR(Calc!$A$55,"")</f>
        <v/>
      </c>
      <c r="B313" s="20">
        <f>IFERROR(Calc!B55,"")</f>
        <v/>
      </c>
      <c r="C313" s="20">
        <f>IFERROR(Calc!C55,"")</f>
        <v/>
      </c>
      <c r="D313" s="20">
        <f>IFERROR(Calc!D55,"")</f>
        <v/>
      </c>
      <c r="E313" s="20">
        <f>IFERROR(Calc!E55,"")</f>
        <v/>
      </c>
      <c r="F313" s="20">
        <f>IFERROR(Calc!F55,"")</f>
        <v/>
      </c>
      <c r="G313" s="21">
        <f>IFERROR(Calc!G55,"")</f>
        <v/>
      </c>
      <c r="H313" s="21">
        <f>IFERROR(Calc!H55,"")</f>
        <v/>
      </c>
      <c r="I313" s="21">
        <f>IFERROR(Calc!I55,"")</f>
        <v/>
      </c>
      <c r="J313" s="17">
        <f>IFERROR(Calc!J55,"")</f>
        <v/>
      </c>
      <c r="K313" s="21">
        <f>IFERROR(Calc!K55,"")</f>
        <v/>
      </c>
      <c r="L313" s="20">
        <f>IFERROR(Calc!L55,"")</f>
        <v/>
      </c>
      <c r="M313" s="17">
        <f>IFERROR(Calc!M55,"")</f>
        <v/>
      </c>
      <c r="N313" s="17">
        <f>IFERROR(Calc!N55,"")</f>
        <v/>
      </c>
      <c r="O313" s="17">
        <f>IFERROR(Calc!O55,"")</f>
        <v/>
      </c>
      <c r="P313" s="17">
        <f>IFERROR(Calc!P55,"")</f>
        <v/>
      </c>
      <c r="Q313" s="21">
        <f>IFERROR(Calc!Q55,"")</f>
        <v/>
      </c>
      <c r="R313" s="21">
        <f>IFERROR(Calc!R55,"")</f>
        <v/>
      </c>
      <c r="S313" s="21">
        <f>IFERROR(Calc!S55,"")</f>
        <v/>
      </c>
      <c r="T313" s="21">
        <f>IFERROR(Calc!T55,"")</f>
        <v/>
      </c>
      <c r="U313" s="21">
        <f>IFERROR(Calc!U55,"")</f>
        <v/>
      </c>
      <c r="V313" s="21">
        <f>IFERROR(Calc!V55,"")</f>
        <v/>
      </c>
      <c r="W313" s="5" t="n"/>
      <c r="X313" s="5" t="n"/>
      <c r="Y313" s="5" t="n"/>
      <c r="Z313" s="5" t="n"/>
      <c r="AA313" s="5" t="n"/>
      <c r="AB313" s="5" t="n"/>
    </row>
    <row r="314" ht="15.75" customHeight="1" s="79">
      <c r="A314" s="5">
        <f>IFERROR(Calc!$A$56,"")</f>
        <v/>
      </c>
      <c r="B314" s="20">
        <f>IFERROR(Calc!B56,"")</f>
        <v/>
      </c>
      <c r="C314" s="20">
        <f>IFERROR(Calc!C56,"")</f>
        <v/>
      </c>
      <c r="D314" s="20">
        <f>IFERROR(Calc!D56,"")</f>
        <v/>
      </c>
      <c r="E314" s="20">
        <f>IFERROR(Calc!E56,"")</f>
        <v/>
      </c>
      <c r="F314" s="20">
        <f>IFERROR(Calc!F56,"")</f>
        <v/>
      </c>
      <c r="G314" s="21">
        <f>IFERROR(Calc!G56,"")</f>
        <v/>
      </c>
      <c r="H314" s="21">
        <f>IFERROR(Calc!H56,"")</f>
        <v/>
      </c>
      <c r="I314" s="21">
        <f>IFERROR(Calc!I56,"")</f>
        <v/>
      </c>
      <c r="J314" s="17">
        <f>IFERROR(Calc!J56,"")</f>
        <v/>
      </c>
      <c r="K314" s="21">
        <f>IFERROR(Calc!K56,"")</f>
        <v/>
      </c>
      <c r="L314" s="20">
        <f>IFERROR(Calc!L56,"")</f>
        <v/>
      </c>
      <c r="M314" s="17">
        <f>IFERROR(Calc!M56,"")</f>
        <v/>
      </c>
      <c r="N314" s="17">
        <f>IFERROR(Calc!N56,"")</f>
        <v/>
      </c>
      <c r="O314" s="17">
        <f>IFERROR(Calc!O56,"")</f>
        <v/>
      </c>
      <c r="P314" s="17">
        <f>IFERROR(Calc!P56,"")</f>
        <v/>
      </c>
      <c r="Q314" s="21">
        <f>IFERROR(Calc!Q56,"")</f>
        <v/>
      </c>
      <c r="R314" s="21">
        <f>IFERROR(Calc!R56,"")</f>
        <v/>
      </c>
      <c r="S314" s="21">
        <f>IFERROR(Calc!S56,"")</f>
        <v/>
      </c>
      <c r="T314" s="21">
        <f>IFERROR(Calc!T56,"")</f>
        <v/>
      </c>
      <c r="U314" s="21">
        <f>IFERROR(Calc!U56,"")</f>
        <v/>
      </c>
      <c r="V314" s="21">
        <f>IFERROR(Calc!V56,"")</f>
        <v/>
      </c>
      <c r="W314" s="5" t="n"/>
      <c r="X314" s="5" t="n"/>
      <c r="Y314" s="5" t="n"/>
      <c r="Z314" s="5" t="n"/>
      <c r="AA314" s="5" t="n"/>
      <c r="AB314" s="5" t="n"/>
    </row>
    <row r="315" ht="15.75" customHeight="1" s="79">
      <c r="A315" s="5">
        <f>IFERROR(Calc!$A$57,"")</f>
        <v/>
      </c>
      <c r="B315" s="20">
        <f>IFERROR(Calc!B57,"")</f>
        <v/>
      </c>
      <c r="C315" s="20">
        <f>IFERROR(Calc!C57,"")</f>
        <v/>
      </c>
      <c r="D315" s="20">
        <f>IFERROR(Calc!D57,"")</f>
        <v/>
      </c>
      <c r="E315" s="20">
        <f>IFERROR(Calc!E57,"")</f>
        <v/>
      </c>
      <c r="F315" s="20">
        <f>IFERROR(Calc!F57,"")</f>
        <v/>
      </c>
      <c r="G315" s="21">
        <f>IFERROR(Calc!G57,"")</f>
        <v/>
      </c>
      <c r="H315" s="21">
        <f>IFERROR(Calc!H57,"")</f>
        <v/>
      </c>
      <c r="I315" s="21">
        <f>IFERROR(Calc!I57,"")</f>
        <v/>
      </c>
      <c r="J315" s="17">
        <f>IFERROR(Calc!J57,"")</f>
        <v/>
      </c>
      <c r="K315" s="21">
        <f>IFERROR(Calc!K57,"")</f>
        <v/>
      </c>
      <c r="L315" s="20">
        <f>IFERROR(Calc!L57,"")</f>
        <v/>
      </c>
      <c r="M315" s="17">
        <f>IFERROR(Calc!M57,"")</f>
        <v/>
      </c>
      <c r="N315" s="17">
        <f>IFERROR(Calc!N57,"")</f>
        <v/>
      </c>
      <c r="O315" s="17">
        <f>IFERROR(Calc!O57,"")</f>
        <v/>
      </c>
      <c r="P315" s="17">
        <f>IFERROR(Calc!P57,"")</f>
        <v/>
      </c>
      <c r="Q315" s="21">
        <f>IFERROR(Calc!Q57,"")</f>
        <v/>
      </c>
      <c r="R315" s="21">
        <f>IFERROR(Calc!R57,"")</f>
        <v/>
      </c>
      <c r="S315" s="21">
        <f>IFERROR(Calc!S57,"")</f>
        <v/>
      </c>
      <c r="T315" s="21">
        <f>IFERROR(Calc!T57,"")</f>
        <v/>
      </c>
      <c r="U315" s="21">
        <f>IFERROR(Calc!U57,"")</f>
        <v/>
      </c>
      <c r="V315" s="21">
        <f>IFERROR(Calc!V57,"")</f>
        <v/>
      </c>
      <c r="W315" s="5" t="n"/>
      <c r="X315" s="5" t="n"/>
      <c r="Y315" s="5" t="n"/>
      <c r="Z315" s="5" t="n"/>
      <c r="AA315" s="5" t="n"/>
      <c r="AB315" s="5" t="n"/>
    </row>
    <row r="316" ht="15.75" customHeight="1" s="79">
      <c r="A316" s="5">
        <f>IFERROR(Calc!$A$58,"")</f>
        <v/>
      </c>
      <c r="B316" s="20">
        <f>IFERROR(Calc!B58,"")</f>
        <v/>
      </c>
      <c r="C316" s="20">
        <f>IFERROR(Calc!C58,"")</f>
        <v/>
      </c>
      <c r="D316" s="20">
        <f>IFERROR(Calc!D58,"")</f>
        <v/>
      </c>
      <c r="E316" s="20">
        <f>IFERROR(Calc!E58,"")</f>
        <v/>
      </c>
      <c r="F316" s="20">
        <f>IFERROR(Calc!F58,"")</f>
        <v/>
      </c>
      <c r="G316" s="21">
        <f>IFERROR(Calc!G58,"")</f>
        <v/>
      </c>
      <c r="H316" s="21">
        <f>IFERROR(Calc!H58,"")</f>
        <v/>
      </c>
      <c r="I316" s="21">
        <f>IFERROR(Calc!I58,"")</f>
        <v/>
      </c>
      <c r="J316" s="17">
        <f>IFERROR(Calc!J58,"")</f>
        <v/>
      </c>
      <c r="K316" s="21">
        <f>IFERROR(Calc!K58,"")</f>
        <v/>
      </c>
      <c r="L316" s="20">
        <f>IFERROR(Calc!L58,"")</f>
        <v/>
      </c>
      <c r="M316" s="17">
        <f>IFERROR(Calc!M58,"")</f>
        <v/>
      </c>
      <c r="N316" s="17">
        <f>IFERROR(Calc!N58,"")</f>
        <v/>
      </c>
      <c r="O316" s="17">
        <f>IFERROR(Calc!O58,"")</f>
        <v/>
      </c>
      <c r="P316" s="17">
        <f>IFERROR(Calc!P58,"")</f>
        <v/>
      </c>
      <c r="Q316" s="21">
        <f>IFERROR(Calc!Q58,"")</f>
        <v/>
      </c>
      <c r="R316" s="21">
        <f>IFERROR(Calc!R58,"")</f>
        <v/>
      </c>
      <c r="S316" s="21">
        <f>IFERROR(Calc!S58,"")</f>
        <v/>
      </c>
      <c r="T316" s="21">
        <f>IFERROR(Calc!T58,"")</f>
        <v/>
      </c>
      <c r="U316" s="21">
        <f>IFERROR(Calc!U58,"")</f>
        <v/>
      </c>
      <c r="V316" s="21">
        <f>IFERROR(Calc!V58,"")</f>
        <v/>
      </c>
      <c r="W316" s="5" t="n"/>
      <c r="X316" s="5" t="n"/>
      <c r="Y316" s="5" t="n"/>
      <c r="Z316" s="5" t="n"/>
      <c r="AA316" s="5" t="n"/>
      <c r="AB316" s="5" t="n"/>
    </row>
    <row r="317" ht="15.75" customHeight="1" s="79">
      <c r="A317" s="5">
        <f>IFERROR(Calc!$A$59,"")</f>
        <v/>
      </c>
      <c r="B317" s="20">
        <f>IFERROR(Calc!B59,"")</f>
        <v/>
      </c>
      <c r="C317" s="20">
        <f>IFERROR(Calc!C59,"")</f>
        <v/>
      </c>
      <c r="D317" s="20">
        <f>IFERROR(Calc!D59,"")</f>
        <v/>
      </c>
      <c r="E317" s="20">
        <f>IFERROR(Calc!E59,"")</f>
        <v/>
      </c>
      <c r="F317" s="20">
        <f>IFERROR(Calc!F59,"")</f>
        <v/>
      </c>
      <c r="G317" s="21">
        <f>IFERROR(Calc!G59,"")</f>
        <v/>
      </c>
      <c r="H317" s="21">
        <f>IFERROR(Calc!H59,"")</f>
        <v/>
      </c>
      <c r="I317" s="21">
        <f>IFERROR(Calc!I59,"")</f>
        <v/>
      </c>
      <c r="J317" s="17">
        <f>IFERROR(Calc!J59,"")</f>
        <v/>
      </c>
      <c r="K317" s="21">
        <f>IFERROR(Calc!K59,"")</f>
        <v/>
      </c>
      <c r="L317" s="20">
        <f>IFERROR(Calc!L59,"")</f>
        <v/>
      </c>
      <c r="M317" s="17">
        <f>IFERROR(Calc!M59,"")</f>
        <v/>
      </c>
      <c r="N317" s="17">
        <f>IFERROR(Calc!N59,"")</f>
        <v/>
      </c>
      <c r="O317" s="17">
        <f>IFERROR(Calc!O59,"")</f>
        <v/>
      </c>
      <c r="P317" s="17">
        <f>IFERROR(Calc!P59,"")</f>
        <v/>
      </c>
      <c r="Q317" s="21">
        <f>IFERROR(Calc!Q59,"")</f>
        <v/>
      </c>
      <c r="R317" s="21">
        <f>IFERROR(Calc!R59,"")</f>
        <v/>
      </c>
      <c r="S317" s="21">
        <f>IFERROR(Calc!S59,"")</f>
        <v/>
      </c>
      <c r="T317" s="21">
        <f>IFERROR(Calc!T59,"")</f>
        <v/>
      </c>
      <c r="U317" s="21">
        <f>IFERROR(Calc!U59,"")</f>
        <v/>
      </c>
      <c r="V317" s="21">
        <f>IFERROR(Calc!V59,"")</f>
        <v/>
      </c>
      <c r="W317" s="5" t="n"/>
      <c r="X317" s="5" t="n"/>
      <c r="Y317" s="5" t="n"/>
      <c r="Z317" s="5" t="n"/>
      <c r="AA317" s="5" t="n"/>
      <c r="AB317" s="5" t="n"/>
    </row>
    <row r="318" ht="15.75" customHeight="1" s="79">
      <c r="A318" s="5">
        <f>IFERROR(Calc!$A$60,"")</f>
        <v/>
      </c>
      <c r="B318" s="20">
        <f>IFERROR(Calc!B60,"")</f>
        <v/>
      </c>
      <c r="C318" s="20">
        <f>IFERROR(Calc!C60,"")</f>
        <v/>
      </c>
      <c r="D318" s="20">
        <f>IFERROR(Calc!D60,"")</f>
        <v/>
      </c>
      <c r="E318" s="20">
        <f>IFERROR(Calc!E60,"")</f>
        <v/>
      </c>
      <c r="F318" s="20">
        <f>IFERROR(Calc!F60,"")</f>
        <v/>
      </c>
      <c r="G318" s="21">
        <f>IFERROR(Calc!G60,"")</f>
        <v/>
      </c>
      <c r="H318" s="21">
        <f>IFERROR(Calc!H60,"")</f>
        <v/>
      </c>
      <c r="I318" s="21">
        <f>IFERROR(Calc!I60,"")</f>
        <v/>
      </c>
      <c r="J318" s="17">
        <f>IFERROR(Calc!J60,"")</f>
        <v/>
      </c>
      <c r="K318" s="21">
        <f>IFERROR(Calc!K60,"")</f>
        <v/>
      </c>
      <c r="L318" s="20">
        <f>IFERROR(Calc!L60,"")</f>
        <v/>
      </c>
      <c r="M318" s="17">
        <f>IFERROR(Calc!M60,"")</f>
        <v/>
      </c>
      <c r="N318" s="17">
        <f>IFERROR(Calc!N60,"")</f>
        <v/>
      </c>
      <c r="O318" s="17">
        <f>IFERROR(Calc!O60,"")</f>
        <v/>
      </c>
      <c r="P318" s="17">
        <f>IFERROR(Calc!P60,"")</f>
        <v/>
      </c>
      <c r="Q318" s="21">
        <f>IFERROR(Calc!Q60,"")</f>
        <v/>
      </c>
      <c r="R318" s="21">
        <f>IFERROR(Calc!R60,"")</f>
        <v/>
      </c>
      <c r="S318" s="21">
        <f>IFERROR(Calc!S60,"")</f>
        <v/>
      </c>
      <c r="T318" s="21">
        <f>IFERROR(Calc!T60,"")</f>
        <v/>
      </c>
      <c r="U318" s="21">
        <f>IFERROR(Calc!U60,"")</f>
        <v/>
      </c>
      <c r="V318" s="21">
        <f>IFERROR(Calc!V60,"")</f>
        <v/>
      </c>
      <c r="W318" s="5" t="n"/>
      <c r="X318" s="5" t="n"/>
      <c r="Y318" s="5" t="n"/>
      <c r="Z318" s="5" t="n"/>
      <c r="AA318" s="5" t="n"/>
      <c r="AB318" s="5" t="n"/>
    </row>
    <row r="319" ht="15.75" customHeight="1" s="79">
      <c r="A319" s="5">
        <f>IFERROR(Calc!$A$61,"")</f>
        <v/>
      </c>
      <c r="B319" s="20">
        <f>IFERROR(Calc!B61,"")</f>
        <v/>
      </c>
      <c r="C319" s="20">
        <f>IFERROR(Calc!C61,"")</f>
        <v/>
      </c>
      <c r="D319" s="20">
        <f>IFERROR(Calc!D61,"")</f>
        <v/>
      </c>
      <c r="E319" s="20">
        <f>IFERROR(Calc!E61,"")</f>
        <v/>
      </c>
      <c r="F319" s="20">
        <f>IFERROR(Calc!F61,"")</f>
        <v/>
      </c>
      <c r="G319" s="21">
        <f>IFERROR(Calc!G61,"")</f>
        <v/>
      </c>
      <c r="H319" s="21">
        <f>IFERROR(Calc!H61,"")</f>
        <v/>
      </c>
      <c r="I319" s="21">
        <f>IFERROR(Calc!I61,"")</f>
        <v/>
      </c>
      <c r="J319" s="17">
        <f>IFERROR(Calc!J61,"")</f>
        <v/>
      </c>
      <c r="K319" s="21">
        <f>IFERROR(Calc!K61,"")</f>
        <v/>
      </c>
      <c r="L319" s="20">
        <f>IFERROR(Calc!L61,"")</f>
        <v/>
      </c>
      <c r="M319" s="17">
        <f>IFERROR(Calc!M61,"")</f>
        <v/>
      </c>
      <c r="N319" s="17">
        <f>IFERROR(Calc!N61,"")</f>
        <v/>
      </c>
      <c r="O319" s="17">
        <f>IFERROR(Calc!O61,"")</f>
        <v/>
      </c>
      <c r="P319" s="17">
        <f>IFERROR(Calc!P61,"")</f>
        <v/>
      </c>
      <c r="Q319" s="21">
        <f>IFERROR(Calc!Q61,"")</f>
        <v/>
      </c>
      <c r="R319" s="21">
        <f>IFERROR(Calc!R61,"")</f>
        <v/>
      </c>
      <c r="S319" s="21">
        <f>IFERROR(Calc!S61,"")</f>
        <v/>
      </c>
      <c r="T319" s="21">
        <f>IFERROR(Calc!T61,"")</f>
        <v/>
      </c>
      <c r="U319" s="21">
        <f>IFERROR(Calc!U61,"")</f>
        <v/>
      </c>
      <c r="V319" s="21">
        <f>IFERROR(Calc!V61,"")</f>
        <v/>
      </c>
      <c r="W319" s="5" t="n"/>
      <c r="X319" s="5" t="n"/>
      <c r="Y319" s="5" t="n"/>
      <c r="Z319" s="5" t="n"/>
      <c r="AA319" s="5" t="n"/>
      <c r="AB319" s="5" t="n"/>
    </row>
    <row r="320" ht="15.75" customHeight="1" s="79">
      <c r="A320" s="5">
        <f>IFERROR(Calc!$A$62,"")</f>
        <v/>
      </c>
      <c r="B320" s="20">
        <f>IFERROR(Calc!B62,"")</f>
        <v/>
      </c>
      <c r="C320" s="20">
        <f>IFERROR(Calc!C62,"")</f>
        <v/>
      </c>
      <c r="D320" s="20">
        <f>IFERROR(Calc!D62,"")</f>
        <v/>
      </c>
      <c r="E320" s="20">
        <f>IFERROR(Calc!E62,"")</f>
        <v/>
      </c>
      <c r="F320" s="20">
        <f>IFERROR(Calc!F62,"")</f>
        <v/>
      </c>
      <c r="G320" s="21">
        <f>IFERROR(Calc!G62,"")</f>
        <v/>
      </c>
      <c r="H320" s="21">
        <f>IFERROR(Calc!H62,"")</f>
        <v/>
      </c>
      <c r="I320" s="21">
        <f>IFERROR(Calc!I62,"")</f>
        <v/>
      </c>
      <c r="J320" s="17">
        <f>IFERROR(Calc!J62,"")</f>
        <v/>
      </c>
      <c r="K320" s="21">
        <f>IFERROR(Calc!K62,"")</f>
        <v/>
      </c>
      <c r="L320" s="20">
        <f>IFERROR(Calc!L62,"")</f>
        <v/>
      </c>
      <c r="M320" s="17">
        <f>IFERROR(Calc!M62,"")</f>
        <v/>
      </c>
      <c r="N320" s="17">
        <f>IFERROR(Calc!N62,"")</f>
        <v/>
      </c>
      <c r="O320" s="17">
        <f>IFERROR(Calc!O62,"")</f>
        <v/>
      </c>
      <c r="P320" s="17">
        <f>IFERROR(Calc!P62,"")</f>
        <v/>
      </c>
      <c r="Q320" s="21">
        <f>IFERROR(Calc!Q62,"")</f>
        <v/>
      </c>
      <c r="R320" s="21">
        <f>IFERROR(Calc!R62,"")</f>
        <v/>
      </c>
      <c r="S320" s="21">
        <f>IFERROR(Calc!S62,"")</f>
        <v/>
      </c>
      <c r="T320" s="21">
        <f>IFERROR(Calc!T62,"")</f>
        <v/>
      </c>
      <c r="U320" s="21">
        <f>IFERROR(Calc!U62,"")</f>
        <v/>
      </c>
      <c r="V320" s="21">
        <f>IFERROR(Calc!V62,"")</f>
        <v/>
      </c>
      <c r="W320" s="5" t="n"/>
      <c r="X320" s="5" t="n"/>
      <c r="Y320" s="5" t="n"/>
      <c r="Z320" s="5" t="n"/>
      <c r="AA320" s="5" t="n"/>
      <c r="AB320" s="5" t="n"/>
    </row>
    <row r="321" ht="15.75" customHeight="1" s="79">
      <c r="A321" s="5">
        <f>IFERROR(Calc!$A$63,"")</f>
        <v/>
      </c>
      <c r="B321" s="20">
        <f>IFERROR(Calc!B63,"")</f>
        <v/>
      </c>
      <c r="C321" s="20">
        <f>IFERROR(Calc!C63,"")</f>
        <v/>
      </c>
      <c r="D321" s="20">
        <f>IFERROR(Calc!D63,"")</f>
        <v/>
      </c>
      <c r="E321" s="20">
        <f>IFERROR(Calc!E63,"")</f>
        <v/>
      </c>
      <c r="F321" s="20">
        <f>IFERROR(Calc!F63,"")</f>
        <v/>
      </c>
      <c r="G321" s="21">
        <f>IFERROR(Calc!G63,"")</f>
        <v/>
      </c>
      <c r="H321" s="21">
        <f>IFERROR(Calc!H63,"")</f>
        <v/>
      </c>
      <c r="I321" s="21">
        <f>IFERROR(Calc!I63,"")</f>
        <v/>
      </c>
      <c r="J321" s="17">
        <f>IFERROR(Calc!J63,"")</f>
        <v/>
      </c>
      <c r="K321" s="21">
        <f>IFERROR(Calc!K63,"")</f>
        <v/>
      </c>
      <c r="L321" s="20">
        <f>IFERROR(Calc!L63,"")</f>
        <v/>
      </c>
      <c r="M321" s="17">
        <f>IFERROR(Calc!M63,"")</f>
        <v/>
      </c>
      <c r="N321" s="17">
        <f>IFERROR(Calc!N63,"")</f>
        <v/>
      </c>
      <c r="O321" s="17">
        <f>IFERROR(Calc!O63,"")</f>
        <v/>
      </c>
      <c r="P321" s="17">
        <f>IFERROR(Calc!P63,"")</f>
        <v/>
      </c>
      <c r="Q321" s="21">
        <f>IFERROR(Calc!Q63,"")</f>
        <v/>
      </c>
      <c r="R321" s="21">
        <f>IFERROR(Calc!R63,"")</f>
        <v/>
      </c>
      <c r="S321" s="21">
        <f>IFERROR(Calc!S63,"")</f>
        <v/>
      </c>
      <c r="T321" s="21">
        <f>IFERROR(Calc!T63,"")</f>
        <v/>
      </c>
      <c r="U321" s="21">
        <f>IFERROR(Calc!U63,"")</f>
        <v/>
      </c>
      <c r="V321" s="21">
        <f>IFERROR(Calc!V63,"")</f>
        <v/>
      </c>
      <c r="W321" s="5" t="n"/>
      <c r="X321" s="5" t="n"/>
      <c r="Y321" s="5" t="n"/>
      <c r="Z321" s="5" t="n"/>
      <c r="AA321" s="5" t="n"/>
      <c r="AB321" s="5" t="n"/>
    </row>
    <row r="322" ht="15.75" customHeight="1" s="79">
      <c r="A322" s="5">
        <f>IFERROR(Calc!$A$64,"")</f>
        <v/>
      </c>
      <c r="B322" s="20">
        <f>IFERROR(Calc!B64,"")</f>
        <v/>
      </c>
      <c r="C322" s="20">
        <f>IFERROR(Calc!C64,"")</f>
        <v/>
      </c>
      <c r="D322" s="20">
        <f>IFERROR(Calc!D64,"")</f>
        <v/>
      </c>
      <c r="E322" s="20">
        <f>IFERROR(Calc!E64,"")</f>
        <v/>
      </c>
      <c r="F322" s="20">
        <f>IFERROR(Calc!F64,"")</f>
        <v/>
      </c>
      <c r="G322" s="21">
        <f>IFERROR(Calc!G64,"")</f>
        <v/>
      </c>
      <c r="H322" s="21">
        <f>IFERROR(Calc!H64,"")</f>
        <v/>
      </c>
      <c r="I322" s="21">
        <f>IFERROR(Calc!I64,"")</f>
        <v/>
      </c>
      <c r="J322" s="17">
        <f>IFERROR(Calc!J64,"")</f>
        <v/>
      </c>
      <c r="K322" s="21">
        <f>IFERROR(Calc!K64,"")</f>
        <v/>
      </c>
      <c r="L322" s="20">
        <f>IFERROR(Calc!L64,"")</f>
        <v/>
      </c>
      <c r="M322" s="17">
        <f>IFERROR(Calc!M64,"")</f>
        <v/>
      </c>
      <c r="N322" s="17">
        <f>IFERROR(Calc!N64,"")</f>
        <v/>
      </c>
      <c r="O322" s="17">
        <f>IFERROR(Calc!O64,"")</f>
        <v/>
      </c>
      <c r="P322" s="17">
        <f>IFERROR(Calc!P64,"")</f>
        <v/>
      </c>
      <c r="Q322" s="21">
        <f>IFERROR(Calc!Q64,"")</f>
        <v/>
      </c>
      <c r="R322" s="21">
        <f>IFERROR(Calc!R64,"")</f>
        <v/>
      </c>
      <c r="S322" s="21">
        <f>IFERROR(Calc!S64,"")</f>
        <v/>
      </c>
      <c r="T322" s="21">
        <f>IFERROR(Calc!T64,"")</f>
        <v/>
      </c>
      <c r="U322" s="21">
        <f>IFERROR(Calc!U64,"")</f>
        <v/>
      </c>
      <c r="V322" s="21">
        <f>IFERROR(Calc!V64,"")</f>
        <v/>
      </c>
      <c r="W322" s="5" t="n"/>
      <c r="X322" s="5" t="n"/>
      <c r="Y322" s="5" t="n"/>
      <c r="Z322" s="5" t="n"/>
      <c r="AA322" s="5" t="n"/>
      <c r="AB322" s="5" t="n"/>
    </row>
    <row r="323" ht="15.75" customHeight="1" s="79">
      <c r="A323" s="5">
        <f>IFERROR(Calc!$A$65,"")</f>
        <v/>
      </c>
      <c r="B323" s="20">
        <f>IFERROR(Calc!B65,"")</f>
        <v/>
      </c>
      <c r="C323" s="20">
        <f>IFERROR(Calc!C65,"")</f>
        <v/>
      </c>
      <c r="D323" s="20">
        <f>IFERROR(Calc!D65,"")</f>
        <v/>
      </c>
      <c r="E323" s="20">
        <f>IFERROR(Calc!E65,"")</f>
        <v/>
      </c>
      <c r="F323" s="20">
        <f>IFERROR(Calc!F65,"")</f>
        <v/>
      </c>
      <c r="G323" s="21">
        <f>IFERROR(Calc!G65,"")</f>
        <v/>
      </c>
      <c r="H323" s="21">
        <f>IFERROR(Calc!H65,"")</f>
        <v/>
      </c>
      <c r="I323" s="21">
        <f>IFERROR(Calc!I65,"")</f>
        <v/>
      </c>
      <c r="J323" s="17">
        <f>IFERROR(Calc!J65,"")</f>
        <v/>
      </c>
      <c r="K323" s="21">
        <f>IFERROR(Calc!K65,"")</f>
        <v/>
      </c>
      <c r="L323" s="20">
        <f>IFERROR(Calc!L65,"")</f>
        <v/>
      </c>
      <c r="M323" s="17">
        <f>IFERROR(Calc!M65,"")</f>
        <v/>
      </c>
      <c r="N323" s="17">
        <f>IFERROR(Calc!N65,"")</f>
        <v/>
      </c>
      <c r="O323" s="17">
        <f>IFERROR(Calc!O65,"")</f>
        <v/>
      </c>
      <c r="P323" s="17">
        <f>IFERROR(Calc!P65,"")</f>
        <v/>
      </c>
      <c r="Q323" s="21">
        <f>IFERROR(Calc!Q65,"")</f>
        <v/>
      </c>
      <c r="R323" s="21">
        <f>IFERROR(Calc!R65,"")</f>
        <v/>
      </c>
      <c r="S323" s="21">
        <f>IFERROR(Calc!S65,"")</f>
        <v/>
      </c>
      <c r="T323" s="21">
        <f>IFERROR(Calc!T65,"")</f>
        <v/>
      </c>
      <c r="U323" s="21">
        <f>IFERROR(Calc!U65,"")</f>
        <v/>
      </c>
      <c r="V323" s="21">
        <f>IFERROR(Calc!V65,"")</f>
        <v/>
      </c>
      <c r="W323" s="5" t="n"/>
      <c r="X323" s="5" t="n"/>
      <c r="Y323" s="5" t="n"/>
      <c r="Z323" s="5" t="n"/>
      <c r="AA323" s="5" t="n"/>
      <c r="AB323" s="5" t="n"/>
    </row>
    <row r="324" ht="15.75" customHeight="1" s="79">
      <c r="A324" s="5">
        <f>IFERROR(Calc!$A$66,"")</f>
        <v/>
      </c>
      <c r="B324" s="20">
        <f>IFERROR(Calc!B66,"")</f>
        <v/>
      </c>
      <c r="C324" s="20">
        <f>IFERROR(Calc!C66,"")</f>
        <v/>
      </c>
      <c r="D324" s="20">
        <f>IFERROR(Calc!D66,"")</f>
        <v/>
      </c>
      <c r="E324" s="20">
        <f>IFERROR(Calc!E66,"")</f>
        <v/>
      </c>
      <c r="F324" s="20">
        <f>IFERROR(Calc!F66,"")</f>
        <v/>
      </c>
      <c r="G324" s="21">
        <f>IFERROR(Calc!G66,"")</f>
        <v/>
      </c>
      <c r="H324" s="21">
        <f>IFERROR(Calc!H66,"")</f>
        <v/>
      </c>
      <c r="I324" s="21">
        <f>IFERROR(Calc!I66,"")</f>
        <v/>
      </c>
      <c r="J324" s="17">
        <f>IFERROR(Calc!J66,"")</f>
        <v/>
      </c>
      <c r="K324" s="21">
        <f>IFERROR(Calc!K66,"")</f>
        <v/>
      </c>
      <c r="L324" s="20">
        <f>IFERROR(Calc!L66,"")</f>
        <v/>
      </c>
      <c r="M324" s="17">
        <f>IFERROR(Calc!M66,"")</f>
        <v/>
      </c>
      <c r="N324" s="17">
        <f>IFERROR(Calc!N66,"")</f>
        <v/>
      </c>
      <c r="O324" s="17">
        <f>IFERROR(Calc!O66,"")</f>
        <v/>
      </c>
      <c r="P324" s="17">
        <f>IFERROR(Calc!P66,"")</f>
        <v/>
      </c>
      <c r="Q324" s="21">
        <f>IFERROR(Calc!Q66,"")</f>
        <v/>
      </c>
      <c r="R324" s="21">
        <f>IFERROR(Calc!R66,"")</f>
        <v/>
      </c>
      <c r="S324" s="21">
        <f>IFERROR(Calc!S66,"")</f>
        <v/>
      </c>
      <c r="T324" s="21">
        <f>IFERROR(Calc!T66,"")</f>
        <v/>
      </c>
      <c r="U324" s="21">
        <f>IFERROR(Calc!U66,"")</f>
        <v/>
      </c>
      <c r="V324" s="21">
        <f>IFERROR(Calc!V66,"")</f>
        <v/>
      </c>
      <c r="W324" s="5" t="n"/>
      <c r="X324" s="5" t="n"/>
      <c r="Y324" s="5" t="n"/>
      <c r="Z324" s="5" t="n"/>
      <c r="AA324" s="5" t="n"/>
      <c r="AB324" s="5" t="n"/>
    </row>
    <row r="325" ht="15.75" customHeight="1" s="79">
      <c r="A325" s="5">
        <f>IFERROR(Calc!$A$67,"")</f>
        <v/>
      </c>
      <c r="B325" s="20">
        <f>IFERROR(Calc!B67,"")</f>
        <v/>
      </c>
      <c r="C325" s="20">
        <f>IFERROR(Calc!C67,"")</f>
        <v/>
      </c>
      <c r="D325" s="20">
        <f>IFERROR(Calc!D67,"")</f>
        <v/>
      </c>
      <c r="E325" s="20">
        <f>IFERROR(Calc!E67,"")</f>
        <v/>
      </c>
      <c r="F325" s="20">
        <f>IFERROR(Calc!F67,"")</f>
        <v/>
      </c>
      <c r="G325" s="21">
        <f>IFERROR(Calc!G67,"")</f>
        <v/>
      </c>
      <c r="H325" s="21">
        <f>IFERROR(Calc!H67,"")</f>
        <v/>
      </c>
      <c r="I325" s="21">
        <f>IFERROR(Calc!I67,"")</f>
        <v/>
      </c>
      <c r="J325" s="17">
        <f>IFERROR(Calc!J67,"")</f>
        <v/>
      </c>
      <c r="K325" s="21">
        <f>IFERROR(Calc!K67,"")</f>
        <v/>
      </c>
      <c r="L325" s="20">
        <f>IFERROR(Calc!L67,"")</f>
        <v/>
      </c>
      <c r="M325" s="17">
        <f>IFERROR(Calc!M67,"")</f>
        <v/>
      </c>
      <c r="N325" s="17">
        <f>IFERROR(Calc!N67,"")</f>
        <v/>
      </c>
      <c r="O325" s="17">
        <f>IFERROR(Calc!O67,"")</f>
        <v/>
      </c>
      <c r="P325" s="17">
        <f>IFERROR(Calc!P67,"")</f>
        <v/>
      </c>
      <c r="Q325" s="21">
        <f>IFERROR(Calc!Q67,"")</f>
        <v/>
      </c>
      <c r="R325" s="21">
        <f>IFERROR(Calc!R67,"")</f>
        <v/>
      </c>
      <c r="S325" s="21">
        <f>IFERROR(Calc!S67,"")</f>
        <v/>
      </c>
      <c r="T325" s="21">
        <f>IFERROR(Calc!T67,"")</f>
        <v/>
      </c>
      <c r="U325" s="21">
        <f>IFERROR(Calc!U67,"")</f>
        <v/>
      </c>
      <c r="V325" s="21">
        <f>IFERROR(Calc!V67,"")</f>
        <v/>
      </c>
      <c r="W325" s="5" t="n"/>
      <c r="X325" s="5" t="n"/>
      <c r="Y325" s="5" t="n"/>
      <c r="Z325" s="5" t="n"/>
      <c r="AA325" s="5" t="n"/>
      <c r="AB325" s="5" t="n"/>
    </row>
    <row r="326" ht="15.75" customHeight="1" s="79">
      <c r="A326" s="5">
        <f>IFERROR(Calc!$A$68,"")</f>
        <v/>
      </c>
      <c r="B326" s="20">
        <f>IFERROR(Calc!B68,"")</f>
        <v/>
      </c>
      <c r="C326" s="20">
        <f>IFERROR(Calc!C68,"")</f>
        <v/>
      </c>
      <c r="D326" s="20">
        <f>IFERROR(Calc!D68,"")</f>
        <v/>
      </c>
      <c r="E326" s="20">
        <f>IFERROR(Calc!E68,"")</f>
        <v/>
      </c>
      <c r="F326" s="20">
        <f>IFERROR(Calc!F68,"")</f>
        <v/>
      </c>
      <c r="G326" s="21">
        <f>IFERROR(Calc!G68,"")</f>
        <v/>
      </c>
      <c r="H326" s="21">
        <f>IFERROR(Calc!H68,"")</f>
        <v/>
      </c>
      <c r="I326" s="21">
        <f>IFERROR(Calc!I68,"")</f>
        <v/>
      </c>
      <c r="J326" s="17">
        <f>IFERROR(Calc!J68,"")</f>
        <v/>
      </c>
      <c r="K326" s="21">
        <f>IFERROR(Calc!K68,"")</f>
        <v/>
      </c>
      <c r="L326" s="20">
        <f>IFERROR(Calc!L68,"")</f>
        <v/>
      </c>
      <c r="M326" s="17">
        <f>IFERROR(Calc!M68,"")</f>
        <v/>
      </c>
      <c r="N326" s="17">
        <f>IFERROR(Calc!N68,"")</f>
        <v/>
      </c>
      <c r="O326" s="17">
        <f>IFERROR(Calc!O68,"")</f>
        <v/>
      </c>
      <c r="P326" s="17">
        <f>IFERROR(Calc!P68,"")</f>
        <v/>
      </c>
      <c r="Q326" s="21">
        <f>IFERROR(Calc!Q68,"")</f>
        <v/>
      </c>
      <c r="R326" s="21">
        <f>IFERROR(Calc!R68,"")</f>
        <v/>
      </c>
      <c r="S326" s="21">
        <f>IFERROR(Calc!S68,"")</f>
        <v/>
      </c>
      <c r="T326" s="21">
        <f>IFERROR(Calc!T68,"")</f>
        <v/>
      </c>
      <c r="U326" s="21">
        <f>IFERROR(Calc!U68,"")</f>
        <v/>
      </c>
      <c r="V326" s="21">
        <f>IFERROR(Calc!V68,"")</f>
        <v/>
      </c>
      <c r="W326" s="5" t="n"/>
      <c r="X326" s="5" t="n"/>
      <c r="Y326" s="5" t="n"/>
      <c r="Z326" s="5" t="n"/>
      <c r="AA326" s="5" t="n"/>
      <c r="AB326" s="5" t="n"/>
    </row>
    <row r="327" ht="15.75" customHeight="1" s="79">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row>
    <row r="328" ht="15.75" customHeight="1" s="79">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row>
    <row r="329" ht="15.75" customHeight="1" s="79">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row>
    <row r="330" ht="15.75" customHeight="1" s="79">
      <c r="A330" s="43" t="inlineStr">
        <is>
          <t xml:space="preserve">ISO   -   </t>
        </is>
      </c>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row>
    <row r="331" ht="66" customHeight="1" s="79">
      <c r="A331" s="72" t="inlineStr">
        <is>
          <t>ISO (12 ISOs have 15+ deals). PMF: 76 deals, $5,379,500 (15.6% of dollars), -41.6%, -$2,236,563 - the largest single ISO loss in the book. Fundwell: 115 deals, $5,279,626 (15.3%), -2.3%. Two ISOs of nearly identical size sit 39 points apart. United Secured Capital 8: 175 deals, 12.8%, -18.1% with 33.6% exposure. Westwood: 64 deals, 6.4%, -8.8% with only 4.8% exposure and 69.5% recovery.</t>
        </is>
      </c>
      <c r="AB331" s="5" t="n"/>
    </row>
    <row r="332" ht="15.75" customHeight="1" s="79">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row>
    <row r="333" ht="15.75" customHeight="1" s="79">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row>
    <row r="334" ht="15.75" customHeight="1" s="79">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row>
    <row r="335" ht="15.75" customHeight="1" s="79">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row>
    <row r="336" ht="15.75" customHeight="1" s="79">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row>
    <row r="337" ht="15.75" customHeight="1" s="79">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row>
    <row r="338" ht="15.75" customHeight="1" s="79">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row>
    <row r="339" ht="15.75" customHeight="1" s="79">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row>
    <row r="340" ht="15.75" customHeight="1" s="79">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row>
    <row r="341" ht="15.75" customHeight="1" s="79">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row>
    <row r="342" ht="15.75" customHeight="1" s="79">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row>
    <row r="343" ht="15.75" customHeight="1" s="79">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row>
    <row r="344" ht="15.75" customHeight="1" s="79">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row>
    <row r="345" ht="15.75" customHeight="1" s="79">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row>
    <row r="346" ht="15.75" customHeight="1" s="79">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row>
    <row r="347" ht="15.75" customHeight="1" s="79">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row>
    <row r="348" ht="15.75" customHeight="1" s="79">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row>
    <row r="349" ht="15.75" customHeight="1" s="79">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row>
    <row r="350" ht="15.75" customHeight="1" s="79">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row>
    <row r="351" ht="15.75" customHeight="1" s="79">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row>
    <row r="352" ht="15.75" customHeight="1" s="79">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row>
    <row r="353" ht="15.75" customHeight="1" s="79">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row>
    <row r="354" ht="15.75" customHeight="1" s="79">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row>
    <row r="355" ht="15.75" customHeight="1" s="79">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row>
    <row r="356" ht="15.75" customHeight="1" s="79">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row>
    <row r="357" ht="15.75" customHeight="1" s="79">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row>
    <row r="358" ht="15.75" customHeight="1" s="79">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row>
    <row r="359" ht="15.75" customHeight="1" s="79">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row>
    <row r="360" ht="15.75" customHeight="1" s="79">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row>
    <row r="361" ht="15.75" customHeight="1" s="79">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row>
    <row r="362" ht="15.75" customHeight="1" s="79">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row>
    <row r="363" ht="15.75" customHeight="1" s="79">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row>
    <row r="364" ht="15.75" customHeight="1" s="79">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row>
    <row r="365" ht="15.75" customHeight="1" s="79">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row>
    <row r="366" ht="15.75" customHeight="1" s="79">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row>
    <row r="367" ht="15.75" customHeight="1" s="79">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row>
    <row r="368" ht="15.75" customHeight="1" s="79">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row>
    <row r="369" ht="15.75" customHeight="1" s="79">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row>
    <row r="370" ht="15.75" customHeight="1" s="79">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row>
    <row r="371" ht="15.75" customHeight="1" s="79">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row>
    <row r="372" ht="15.75" customHeight="1" s="79">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row>
    <row r="373" ht="15.75" customHeight="1" s="79">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row>
    <row r="374" ht="15.75" customHeight="1" s="79">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row>
    <row r="375" ht="15.75" customHeight="1" s="79">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row>
    <row r="376" ht="15.75" customHeight="1" s="79">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row>
    <row r="377" ht="15.75" customHeight="1" s="79">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row>
    <row r="378" ht="15.75" customHeight="1" s="79">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row>
    <row r="379" ht="15.75" customHeight="1" s="79">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row>
    <row r="380" ht="15.75" customHeight="1" s="79">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row>
    <row r="381" ht="15.75" customHeight="1" s="79">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row>
    <row r="382" ht="15.75" customHeight="1" s="79">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row>
    <row r="383" ht="15.75" customHeight="1" s="79">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row>
    <row r="384" ht="15.75" customHeight="1" s="79">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row>
    <row r="385" ht="15.75" customHeight="1" s="79">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row>
    <row r="386" ht="15.75" customHeight="1" s="79">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row>
    <row r="387" ht="15.75" customHeight="1" s="79">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row>
    <row r="388" ht="15.75" customHeight="1" s="79">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row>
    <row r="389" ht="15.75" customHeight="1" s="79">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row>
    <row r="390" ht="15.75" customHeight="1" s="79">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row>
    <row r="391" ht="15.75" customHeight="1" s="79">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row>
    <row r="392" ht="15.75" customHeight="1" s="79">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row>
    <row r="393" ht="15.75" customHeight="1" s="79">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row>
    <row r="394" ht="15.75" customHeight="1" s="79">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row>
    <row r="395" ht="15.75" customHeight="1" s="79">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row>
    <row r="396" ht="15.75" customHeight="1" s="79">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row>
    <row r="397" ht="15.75" customHeight="1" s="79">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row>
    <row r="398" ht="15.75" customHeight="1" s="79">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row>
    <row r="399" ht="15.75" customHeight="1" s="79">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row>
    <row r="400" ht="15.75" customHeight="1" s="79">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row>
    <row r="401" ht="15.75" customHeight="1" s="79">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row>
    <row r="402" ht="15.75" customHeight="1" s="79">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row>
    <row r="403" ht="15.75" customHeight="1" s="79">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row>
    <row r="404" ht="15.75" customHeight="1" s="79">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row>
    <row r="405" ht="15.75" customHeight="1" s="79">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row>
    <row r="406" ht="15.75" customHeight="1" s="79">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row>
    <row r="407" ht="15.75" customHeight="1" s="79">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row>
    <row r="408" ht="15.75" customHeight="1" s="79">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row>
    <row r="409" ht="15.75" customHeight="1" s="79">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row>
    <row r="410" ht="15.75" customHeight="1" s="79">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row>
    <row r="411" ht="15.75" customHeight="1" s="79">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row>
    <row r="412" ht="15.75" customHeight="1" s="79">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row>
    <row r="413" ht="15.75" customHeight="1" s="79">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row>
    <row r="414" ht="15.75" customHeight="1" s="79">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row>
    <row r="415" ht="15.75" customHeight="1" s="79">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row>
    <row r="416" ht="15.75" customHeight="1" s="79">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row>
    <row r="417" ht="15.75" customHeight="1" s="79">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row>
    <row r="418" ht="15.75" customHeight="1" s="79">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row>
    <row r="419" ht="15.75" customHeight="1" s="79">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row>
    <row r="420" ht="15.75" customHeight="1" s="79">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row>
    <row r="421" ht="15.75" customHeight="1" s="79">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row>
    <row r="422" ht="15.75" customHeight="1" s="79">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row>
    <row r="423" ht="15.75" customHeight="1" s="79">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row>
    <row r="424" ht="15.75" customHeight="1" s="79">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row>
    <row r="425" ht="15.75" customHeight="1" s="79">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row>
    <row r="426" ht="15.75" customHeight="1" s="79">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row>
    <row r="427" ht="15.75" customHeight="1" s="79">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row>
    <row r="428" ht="15.75" customHeight="1" s="79">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row>
    <row r="429" ht="15.75" customHeight="1" s="79">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row>
    <row r="430" ht="15.75" customHeight="1" s="79">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row>
    <row r="431" ht="15.75" customHeight="1" s="79">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row>
    <row r="432" ht="15.75" customHeight="1" s="79">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row>
    <row r="433" ht="15.75" customHeight="1" s="79">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row>
    <row r="434" ht="15.75" customHeight="1" s="79">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row>
    <row r="435" ht="15.75" customHeight="1" s="79">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row>
    <row r="436" ht="15.75" customHeight="1" s="79">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row>
    <row r="437" ht="15.75" customHeight="1" s="79">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row>
    <row r="438" ht="15.75" customHeight="1" s="79">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row>
    <row r="439" ht="15.75" customHeight="1" s="79">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row>
    <row r="440" ht="15.75" customHeight="1" s="79">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row>
    <row r="441" ht="15.75" customHeight="1" s="79">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row>
    <row r="442" ht="15.75" customHeight="1" s="79">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row>
    <row r="443" ht="15.75" customHeight="1" s="79">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row>
    <row r="444" ht="15.75" customHeight="1" s="79">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row>
    <row r="445" ht="15.75" customHeight="1" s="79">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row>
    <row r="446" ht="15.75" customHeight="1" s="79">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row>
    <row r="447" ht="15.75" customHeight="1" s="79">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row>
    <row r="448" ht="15.75" customHeight="1" s="79">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row>
    <row r="449" ht="15.75" customHeight="1" s="79">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row>
    <row r="450" ht="15.75" customHeight="1" s="79">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row>
    <row r="451" ht="15.75" customHeight="1" s="79">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row>
    <row r="452" ht="15.75" customHeight="1" s="79">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row>
    <row r="453" ht="15.75" customHeight="1" s="79">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row>
    <row r="454" ht="15.75" customHeight="1" s="79">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row>
    <row r="455" ht="15.75" customHeight="1" s="79">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row>
    <row r="456" ht="15.75" customHeight="1" s="79">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row>
    <row r="457" ht="15.75" customHeight="1" s="79">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row>
    <row r="458" ht="30" customHeight="1" s="79">
      <c r="A458" s="34" t="inlineStr">
        <is>
          <t>Segment</t>
        </is>
      </c>
      <c r="B458" s="34" t="inlineStr">
        <is>
          <t>Funded $</t>
        </is>
      </c>
      <c r="C458" s="34" t="inlineStr">
        <is>
          <t>Collected $</t>
        </is>
      </c>
      <c r="D458" s="34" t="inlineStr">
        <is>
          <t>Net profit / loss $</t>
        </is>
      </c>
      <c r="E458" s="34" t="inlineStr">
        <is>
          <t>Commission $</t>
        </is>
      </c>
      <c r="F458" s="34" t="inlineStr">
        <is>
          <t>Principal lost $</t>
        </is>
      </c>
      <c r="G458" s="34" t="inlineStr">
        <is>
          <t>Principal default exposure</t>
        </is>
      </c>
      <c r="H458" s="34" t="inlineStr">
        <is>
          <t>Recovery rate</t>
        </is>
      </c>
      <c r="I458" s="34" t="inlineStr">
        <is>
          <t>Return on funded capital (%)</t>
        </is>
      </c>
      <c r="J458" s="34" t="inlineStr">
        <is>
          <t>Deals</t>
        </is>
      </c>
      <c r="K458" s="34" t="inlineStr">
        <is>
          <t>Share of funded dollars</t>
        </is>
      </c>
      <c r="L458" s="34" t="inlineStr">
        <is>
          <t>Avg deal size</t>
        </is>
      </c>
      <c r="M458" s="34" t="inlineStr">
        <is>
          <t>Avg expected term (business days)</t>
        </is>
      </c>
      <c r="N458" s="34" t="inlineStr">
        <is>
          <t>Avg expected term (payments)</t>
        </is>
      </c>
      <c r="O458" s="34" t="inlineStr">
        <is>
          <t>Avg days on book, defaulted</t>
        </is>
      </c>
      <c r="P458" s="34" t="inlineStr">
        <is>
          <t>Avg days to close</t>
        </is>
      </c>
      <c r="Q458" s="34" t="inlineStr">
        <is>
          <t>% of deals that were renewals</t>
        </is>
      </c>
      <c r="R458" s="34" t="inlineStr">
        <is>
          <t>% of funded dollars from renewals</t>
        </is>
      </c>
      <c r="S458" s="34" t="inlineStr">
        <is>
          <t>Book default exposure</t>
        </is>
      </c>
      <c r="T458" s="34" t="inlineStr">
        <is>
          <t>Book recovery</t>
        </is>
      </c>
      <c r="U458" s="34" t="inlineStr">
        <is>
          <t>Book return on funded capital</t>
        </is>
      </c>
      <c r="V458" s="34" t="inlineStr">
        <is>
          <t>Default rate (#)</t>
        </is>
      </c>
      <c r="W458" s="5" t="n"/>
      <c r="X458" s="5" t="n"/>
      <c r="Y458" s="5" t="n"/>
      <c r="Z458" s="5" t="n"/>
      <c r="AA458" s="5" t="n"/>
      <c r="AB458" s="5" t="n"/>
    </row>
    <row r="459" ht="15.75" customHeight="1" s="79">
      <c r="A459" s="5">
        <f>IFERROR(Calc!$A$73,"")</f>
        <v/>
      </c>
      <c r="B459" s="20">
        <f>IFERROR(Calc!B73,"")</f>
        <v/>
      </c>
      <c r="C459" s="20">
        <f>IFERROR(Calc!C73,"")</f>
        <v/>
      </c>
      <c r="D459" s="20">
        <f>IFERROR(Calc!D73,"")</f>
        <v/>
      </c>
      <c r="E459" s="20">
        <f>IFERROR(Calc!E73,"")</f>
        <v/>
      </c>
      <c r="F459" s="20">
        <f>IFERROR(Calc!F73,"")</f>
        <v/>
      </c>
      <c r="G459" s="21">
        <f>IFERROR(Calc!G73,"")</f>
        <v/>
      </c>
      <c r="H459" s="21">
        <f>IFERROR(Calc!H73,"")</f>
        <v/>
      </c>
      <c r="I459" s="21">
        <f>IFERROR(Calc!I73,"")</f>
        <v/>
      </c>
      <c r="J459" s="17">
        <f>IFERROR(Calc!J73,"")</f>
        <v/>
      </c>
      <c r="K459" s="21">
        <f>IFERROR(Calc!K73,"")</f>
        <v/>
      </c>
      <c r="L459" s="20">
        <f>IFERROR(Calc!L73,"")</f>
        <v/>
      </c>
      <c r="M459" s="17">
        <f>IFERROR(Calc!M73,"")</f>
        <v/>
      </c>
      <c r="N459" s="17">
        <f>IFERROR(Calc!N73,"")</f>
        <v/>
      </c>
      <c r="O459" s="17">
        <f>IFERROR(Calc!O73,"")</f>
        <v/>
      </c>
      <c r="P459" s="17">
        <f>IFERROR(Calc!P73,"")</f>
        <v/>
      </c>
      <c r="Q459" s="21">
        <f>IFERROR(Calc!Q73,"")</f>
        <v/>
      </c>
      <c r="R459" s="21">
        <f>IFERROR(Calc!R73,"")</f>
        <v/>
      </c>
      <c r="S459" s="21">
        <f>IFERROR(Calc!S73,"")</f>
        <v/>
      </c>
      <c r="T459" s="21">
        <f>IFERROR(Calc!T73,"")</f>
        <v/>
      </c>
      <c r="U459" s="21">
        <f>IFERROR(Calc!U73,"")</f>
        <v/>
      </c>
      <c r="V459" s="21">
        <f>IFERROR(Calc!V73,"")</f>
        <v/>
      </c>
      <c r="W459" s="5" t="n"/>
      <c r="X459" s="5" t="n"/>
      <c r="Y459" s="5" t="n"/>
      <c r="Z459" s="5" t="n"/>
      <c r="AA459" s="5" t="n"/>
      <c r="AB459" s="5" t="n"/>
    </row>
    <row r="460" ht="15.75" customHeight="1" s="79">
      <c r="A460" s="5">
        <f>IFERROR(Calc!$A$74,"")</f>
        <v/>
      </c>
      <c r="B460" s="20">
        <f>IFERROR(Calc!B74,"")</f>
        <v/>
      </c>
      <c r="C460" s="20">
        <f>IFERROR(Calc!C74,"")</f>
        <v/>
      </c>
      <c r="D460" s="20">
        <f>IFERROR(Calc!D74,"")</f>
        <v/>
      </c>
      <c r="E460" s="20">
        <f>IFERROR(Calc!E74,"")</f>
        <v/>
      </c>
      <c r="F460" s="20">
        <f>IFERROR(Calc!F74,"")</f>
        <v/>
      </c>
      <c r="G460" s="21">
        <f>IFERROR(Calc!G74,"")</f>
        <v/>
      </c>
      <c r="H460" s="21">
        <f>IFERROR(Calc!H74,"")</f>
        <v/>
      </c>
      <c r="I460" s="21">
        <f>IFERROR(Calc!I74,"")</f>
        <v/>
      </c>
      <c r="J460" s="17">
        <f>IFERROR(Calc!J74,"")</f>
        <v/>
      </c>
      <c r="K460" s="21">
        <f>IFERROR(Calc!K74,"")</f>
        <v/>
      </c>
      <c r="L460" s="20">
        <f>IFERROR(Calc!L74,"")</f>
        <v/>
      </c>
      <c r="M460" s="17">
        <f>IFERROR(Calc!M74,"")</f>
        <v/>
      </c>
      <c r="N460" s="17">
        <f>IFERROR(Calc!N74,"")</f>
        <v/>
      </c>
      <c r="O460" s="17">
        <f>IFERROR(Calc!O74,"")</f>
        <v/>
      </c>
      <c r="P460" s="17">
        <f>IFERROR(Calc!P74,"")</f>
        <v/>
      </c>
      <c r="Q460" s="21">
        <f>IFERROR(Calc!Q74,"")</f>
        <v/>
      </c>
      <c r="R460" s="21">
        <f>IFERROR(Calc!R74,"")</f>
        <v/>
      </c>
      <c r="S460" s="21">
        <f>IFERROR(Calc!S74,"")</f>
        <v/>
      </c>
      <c r="T460" s="21">
        <f>IFERROR(Calc!T74,"")</f>
        <v/>
      </c>
      <c r="U460" s="21">
        <f>IFERROR(Calc!U74,"")</f>
        <v/>
      </c>
      <c r="V460" s="21">
        <f>IFERROR(Calc!V74,"")</f>
        <v/>
      </c>
      <c r="W460" s="5" t="n"/>
      <c r="X460" s="5" t="n"/>
      <c r="Y460" s="5" t="n"/>
      <c r="Z460" s="5" t="n"/>
      <c r="AA460" s="5" t="n"/>
      <c r="AB460" s="5" t="n"/>
    </row>
    <row r="461" ht="15.75" customHeight="1" s="79">
      <c r="A461" s="5">
        <f>IFERROR(Calc!$A$75,"")</f>
        <v/>
      </c>
      <c r="B461" s="20">
        <f>IFERROR(Calc!B75,"")</f>
        <v/>
      </c>
      <c r="C461" s="20">
        <f>IFERROR(Calc!C75,"")</f>
        <v/>
      </c>
      <c r="D461" s="20">
        <f>IFERROR(Calc!D75,"")</f>
        <v/>
      </c>
      <c r="E461" s="20">
        <f>IFERROR(Calc!E75,"")</f>
        <v/>
      </c>
      <c r="F461" s="20">
        <f>IFERROR(Calc!F75,"")</f>
        <v/>
      </c>
      <c r="G461" s="21">
        <f>IFERROR(Calc!G75,"")</f>
        <v/>
      </c>
      <c r="H461" s="21">
        <f>IFERROR(Calc!H75,"")</f>
        <v/>
      </c>
      <c r="I461" s="21">
        <f>IFERROR(Calc!I75,"")</f>
        <v/>
      </c>
      <c r="J461" s="17">
        <f>IFERROR(Calc!J75,"")</f>
        <v/>
      </c>
      <c r="K461" s="21">
        <f>IFERROR(Calc!K75,"")</f>
        <v/>
      </c>
      <c r="L461" s="20">
        <f>IFERROR(Calc!L75,"")</f>
        <v/>
      </c>
      <c r="M461" s="17">
        <f>IFERROR(Calc!M75,"")</f>
        <v/>
      </c>
      <c r="N461" s="17">
        <f>IFERROR(Calc!N75,"")</f>
        <v/>
      </c>
      <c r="O461" s="17">
        <f>IFERROR(Calc!O75,"")</f>
        <v/>
      </c>
      <c r="P461" s="17">
        <f>IFERROR(Calc!P75,"")</f>
        <v/>
      </c>
      <c r="Q461" s="21">
        <f>IFERROR(Calc!Q75,"")</f>
        <v/>
      </c>
      <c r="R461" s="21">
        <f>IFERROR(Calc!R75,"")</f>
        <v/>
      </c>
      <c r="S461" s="21">
        <f>IFERROR(Calc!S75,"")</f>
        <v/>
      </c>
      <c r="T461" s="21">
        <f>IFERROR(Calc!T75,"")</f>
        <v/>
      </c>
      <c r="U461" s="21">
        <f>IFERROR(Calc!U75,"")</f>
        <v/>
      </c>
      <c r="V461" s="21">
        <f>IFERROR(Calc!V75,"")</f>
        <v/>
      </c>
      <c r="W461" s="5" t="n"/>
      <c r="X461" s="5" t="n"/>
      <c r="Y461" s="5" t="n"/>
      <c r="Z461" s="5" t="n"/>
      <c r="AA461" s="5" t="n"/>
      <c r="AB461" s="5" t="n"/>
    </row>
    <row r="462" ht="15.75" customHeight="1" s="79">
      <c r="A462" s="5">
        <f>IFERROR(Calc!$A$76,"")</f>
        <v/>
      </c>
      <c r="B462" s="20">
        <f>IFERROR(Calc!B76,"")</f>
        <v/>
      </c>
      <c r="C462" s="20">
        <f>IFERROR(Calc!C76,"")</f>
        <v/>
      </c>
      <c r="D462" s="20">
        <f>IFERROR(Calc!D76,"")</f>
        <v/>
      </c>
      <c r="E462" s="20">
        <f>IFERROR(Calc!E76,"")</f>
        <v/>
      </c>
      <c r="F462" s="20">
        <f>IFERROR(Calc!F76,"")</f>
        <v/>
      </c>
      <c r="G462" s="21">
        <f>IFERROR(Calc!G76,"")</f>
        <v/>
      </c>
      <c r="H462" s="21">
        <f>IFERROR(Calc!H76,"")</f>
        <v/>
      </c>
      <c r="I462" s="21">
        <f>IFERROR(Calc!I76,"")</f>
        <v/>
      </c>
      <c r="J462" s="17">
        <f>IFERROR(Calc!J76,"")</f>
        <v/>
      </c>
      <c r="K462" s="21">
        <f>IFERROR(Calc!K76,"")</f>
        <v/>
      </c>
      <c r="L462" s="20">
        <f>IFERROR(Calc!L76,"")</f>
        <v/>
      </c>
      <c r="M462" s="17">
        <f>IFERROR(Calc!M76,"")</f>
        <v/>
      </c>
      <c r="N462" s="17">
        <f>IFERROR(Calc!N76,"")</f>
        <v/>
      </c>
      <c r="O462" s="17">
        <f>IFERROR(Calc!O76,"")</f>
        <v/>
      </c>
      <c r="P462" s="17">
        <f>IFERROR(Calc!P76,"")</f>
        <v/>
      </c>
      <c r="Q462" s="21">
        <f>IFERROR(Calc!Q76,"")</f>
        <v/>
      </c>
      <c r="R462" s="21">
        <f>IFERROR(Calc!R76,"")</f>
        <v/>
      </c>
      <c r="S462" s="21">
        <f>IFERROR(Calc!S76,"")</f>
        <v/>
      </c>
      <c r="T462" s="21">
        <f>IFERROR(Calc!T76,"")</f>
        <v/>
      </c>
      <c r="U462" s="21">
        <f>IFERROR(Calc!U76,"")</f>
        <v/>
      </c>
      <c r="V462" s="21">
        <f>IFERROR(Calc!V76,"")</f>
        <v/>
      </c>
      <c r="W462" s="5" t="n"/>
      <c r="X462" s="5" t="n"/>
      <c r="Y462" s="5" t="n"/>
      <c r="Z462" s="5" t="n"/>
      <c r="AA462" s="5" t="n"/>
      <c r="AB462" s="5" t="n"/>
    </row>
    <row r="463" ht="15.75" customHeight="1" s="79">
      <c r="A463" s="5">
        <f>IFERROR(Calc!$A$77,"")</f>
        <v/>
      </c>
      <c r="B463" s="20">
        <f>IFERROR(Calc!B77,"")</f>
        <v/>
      </c>
      <c r="C463" s="20">
        <f>IFERROR(Calc!C77,"")</f>
        <v/>
      </c>
      <c r="D463" s="20">
        <f>IFERROR(Calc!D77,"")</f>
        <v/>
      </c>
      <c r="E463" s="20">
        <f>IFERROR(Calc!E77,"")</f>
        <v/>
      </c>
      <c r="F463" s="20">
        <f>IFERROR(Calc!F77,"")</f>
        <v/>
      </c>
      <c r="G463" s="21">
        <f>IFERROR(Calc!G77,"")</f>
        <v/>
      </c>
      <c r="H463" s="21">
        <f>IFERROR(Calc!H77,"")</f>
        <v/>
      </c>
      <c r="I463" s="21">
        <f>IFERROR(Calc!I77,"")</f>
        <v/>
      </c>
      <c r="J463" s="17">
        <f>IFERROR(Calc!J77,"")</f>
        <v/>
      </c>
      <c r="K463" s="21">
        <f>IFERROR(Calc!K77,"")</f>
        <v/>
      </c>
      <c r="L463" s="20">
        <f>IFERROR(Calc!L77,"")</f>
        <v/>
      </c>
      <c r="M463" s="17">
        <f>IFERROR(Calc!M77,"")</f>
        <v/>
      </c>
      <c r="N463" s="17">
        <f>IFERROR(Calc!N77,"")</f>
        <v/>
      </c>
      <c r="O463" s="17">
        <f>IFERROR(Calc!O77,"")</f>
        <v/>
      </c>
      <c r="P463" s="17">
        <f>IFERROR(Calc!P77,"")</f>
        <v/>
      </c>
      <c r="Q463" s="21">
        <f>IFERROR(Calc!Q77,"")</f>
        <v/>
      </c>
      <c r="R463" s="21">
        <f>IFERROR(Calc!R77,"")</f>
        <v/>
      </c>
      <c r="S463" s="21">
        <f>IFERROR(Calc!S77,"")</f>
        <v/>
      </c>
      <c r="T463" s="21">
        <f>IFERROR(Calc!T77,"")</f>
        <v/>
      </c>
      <c r="U463" s="21">
        <f>IFERROR(Calc!U77,"")</f>
        <v/>
      </c>
      <c r="V463" s="21">
        <f>IFERROR(Calc!V77,"")</f>
        <v/>
      </c>
      <c r="W463" s="5" t="n"/>
      <c r="X463" s="5" t="n"/>
      <c r="Y463" s="5" t="n"/>
      <c r="Z463" s="5" t="n"/>
      <c r="AA463" s="5" t="n"/>
      <c r="AB463" s="5" t="n"/>
    </row>
    <row r="464" ht="15.75" customHeight="1" s="79">
      <c r="A464" s="5">
        <f>IFERROR(Calc!$A$78,"")</f>
        <v/>
      </c>
      <c r="B464" s="20">
        <f>IFERROR(Calc!B78,"")</f>
        <v/>
      </c>
      <c r="C464" s="20">
        <f>IFERROR(Calc!C78,"")</f>
        <v/>
      </c>
      <c r="D464" s="20">
        <f>IFERROR(Calc!D78,"")</f>
        <v/>
      </c>
      <c r="E464" s="20">
        <f>IFERROR(Calc!E78,"")</f>
        <v/>
      </c>
      <c r="F464" s="20">
        <f>IFERROR(Calc!F78,"")</f>
        <v/>
      </c>
      <c r="G464" s="21">
        <f>IFERROR(Calc!G78,"")</f>
        <v/>
      </c>
      <c r="H464" s="21">
        <f>IFERROR(Calc!H78,"")</f>
        <v/>
      </c>
      <c r="I464" s="21">
        <f>IFERROR(Calc!I78,"")</f>
        <v/>
      </c>
      <c r="J464" s="17">
        <f>IFERROR(Calc!J78,"")</f>
        <v/>
      </c>
      <c r="K464" s="21">
        <f>IFERROR(Calc!K78,"")</f>
        <v/>
      </c>
      <c r="L464" s="20">
        <f>IFERROR(Calc!L78,"")</f>
        <v/>
      </c>
      <c r="M464" s="17">
        <f>IFERROR(Calc!M78,"")</f>
        <v/>
      </c>
      <c r="N464" s="17">
        <f>IFERROR(Calc!N78,"")</f>
        <v/>
      </c>
      <c r="O464" s="17">
        <f>IFERROR(Calc!O78,"")</f>
        <v/>
      </c>
      <c r="P464" s="17">
        <f>IFERROR(Calc!P78,"")</f>
        <v/>
      </c>
      <c r="Q464" s="21">
        <f>IFERROR(Calc!Q78,"")</f>
        <v/>
      </c>
      <c r="R464" s="21">
        <f>IFERROR(Calc!R78,"")</f>
        <v/>
      </c>
      <c r="S464" s="21">
        <f>IFERROR(Calc!S78,"")</f>
        <v/>
      </c>
      <c r="T464" s="21">
        <f>IFERROR(Calc!T78,"")</f>
        <v/>
      </c>
      <c r="U464" s="21">
        <f>IFERROR(Calc!U78,"")</f>
        <v/>
      </c>
      <c r="V464" s="21">
        <f>IFERROR(Calc!V78,"")</f>
        <v/>
      </c>
      <c r="W464" s="5" t="n"/>
      <c r="X464" s="5" t="n"/>
      <c r="Y464" s="5" t="n"/>
      <c r="Z464" s="5" t="n"/>
      <c r="AA464" s="5" t="n"/>
      <c r="AB464" s="5" t="n"/>
    </row>
    <row r="465" ht="15.75" customHeight="1" s="79">
      <c r="A465" s="5">
        <f>IFERROR(Calc!$A$79,"")</f>
        <v/>
      </c>
      <c r="B465" s="20">
        <f>IFERROR(Calc!B79,"")</f>
        <v/>
      </c>
      <c r="C465" s="20">
        <f>IFERROR(Calc!C79,"")</f>
        <v/>
      </c>
      <c r="D465" s="20">
        <f>IFERROR(Calc!D79,"")</f>
        <v/>
      </c>
      <c r="E465" s="20">
        <f>IFERROR(Calc!E79,"")</f>
        <v/>
      </c>
      <c r="F465" s="20">
        <f>IFERROR(Calc!F79,"")</f>
        <v/>
      </c>
      <c r="G465" s="21">
        <f>IFERROR(Calc!G79,"")</f>
        <v/>
      </c>
      <c r="H465" s="21">
        <f>IFERROR(Calc!H79,"")</f>
        <v/>
      </c>
      <c r="I465" s="21">
        <f>IFERROR(Calc!I79,"")</f>
        <v/>
      </c>
      <c r="J465" s="17">
        <f>IFERROR(Calc!J79,"")</f>
        <v/>
      </c>
      <c r="K465" s="21">
        <f>IFERROR(Calc!K79,"")</f>
        <v/>
      </c>
      <c r="L465" s="20">
        <f>IFERROR(Calc!L79,"")</f>
        <v/>
      </c>
      <c r="M465" s="17">
        <f>IFERROR(Calc!M79,"")</f>
        <v/>
      </c>
      <c r="N465" s="17">
        <f>IFERROR(Calc!N79,"")</f>
        <v/>
      </c>
      <c r="O465" s="17">
        <f>IFERROR(Calc!O79,"")</f>
        <v/>
      </c>
      <c r="P465" s="17">
        <f>IFERROR(Calc!P79,"")</f>
        <v/>
      </c>
      <c r="Q465" s="21">
        <f>IFERROR(Calc!Q79,"")</f>
        <v/>
      </c>
      <c r="R465" s="21">
        <f>IFERROR(Calc!R79,"")</f>
        <v/>
      </c>
      <c r="S465" s="21">
        <f>IFERROR(Calc!S79,"")</f>
        <v/>
      </c>
      <c r="T465" s="21">
        <f>IFERROR(Calc!T79,"")</f>
        <v/>
      </c>
      <c r="U465" s="21">
        <f>IFERROR(Calc!U79,"")</f>
        <v/>
      </c>
      <c r="V465" s="21">
        <f>IFERROR(Calc!V79,"")</f>
        <v/>
      </c>
      <c r="W465" s="5" t="n"/>
      <c r="X465" s="5" t="n"/>
      <c r="Y465" s="5" t="n"/>
      <c r="Z465" s="5" t="n"/>
      <c r="AA465" s="5" t="n"/>
      <c r="AB465" s="5" t="n"/>
    </row>
    <row r="466" ht="15.75" customHeight="1" s="79">
      <c r="A466" s="5">
        <f>IFERROR(Calc!$A$80,"")</f>
        <v/>
      </c>
      <c r="B466" s="20">
        <f>IFERROR(Calc!B80,"")</f>
        <v/>
      </c>
      <c r="C466" s="20">
        <f>IFERROR(Calc!C80,"")</f>
        <v/>
      </c>
      <c r="D466" s="20">
        <f>IFERROR(Calc!D80,"")</f>
        <v/>
      </c>
      <c r="E466" s="20">
        <f>IFERROR(Calc!E80,"")</f>
        <v/>
      </c>
      <c r="F466" s="20">
        <f>IFERROR(Calc!F80,"")</f>
        <v/>
      </c>
      <c r="G466" s="21">
        <f>IFERROR(Calc!G80,"")</f>
        <v/>
      </c>
      <c r="H466" s="21">
        <f>IFERROR(Calc!H80,"")</f>
        <v/>
      </c>
      <c r="I466" s="21">
        <f>IFERROR(Calc!I80,"")</f>
        <v/>
      </c>
      <c r="J466" s="17">
        <f>IFERROR(Calc!J80,"")</f>
        <v/>
      </c>
      <c r="K466" s="21">
        <f>IFERROR(Calc!K80,"")</f>
        <v/>
      </c>
      <c r="L466" s="20">
        <f>IFERROR(Calc!L80,"")</f>
        <v/>
      </c>
      <c r="M466" s="17">
        <f>IFERROR(Calc!M80,"")</f>
        <v/>
      </c>
      <c r="N466" s="17">
        <f>IFERROR(Calc!N80,"")</f>
        <v/>
      </c>
      <c r="O466" s="17">
        <f>IFERROR(Calc!O80,"")</f>
        <v/>
      </c>
      <c r="P466" s="17">
        <f>IFERROR(Calc!P80,"")</f>
        <v/>
      </c>
      <c r="Q466" s="21">
        <f>IFERROR(Calc!Q80,"")</f>
        <v/>
      </c>
      <c r="R466" s="21">
        <f>IFERROR(Calc!R80,"")</f>
        <v/>
      </c>
      <c r="S466" s="21">
        <f>IFERROR(Calc!S80,"")</f>
        <v/>
      </c>
      <c r="T466" s="21">
        <f>IFERROR(Calc!T80,"")</f>
        <v/>
      </c>
      <c r="U466" s="21">
        <f>IFERROR(Calc!U80,"")</f>
        <v/>
      </c>
      <c r="V466" s="21">
        <f>IFERROR(Calc!V80,"")</f>
        <v/>
      </c>
      <c r="W466" s="5" t="n"/>
      <c r="X466" s="5" t="n"/>
      <c r="Y466" s="5" t="n"/>
      <c r="Z466" s="5" t="n"/>
      <c r="AA466" s="5" t="n"/>
      <c r="AB466" s="5" t="n"/>
    </row>
    <row r="467" ht="15.75" customHeight="1" s="79">
      <c r="A467" s="5">
        <f>IFERROR(Calc!$A$81,"")</f>
        <v/>
      </c>
      <c r="B467" s="20">
        <f>IFERROR(Calc!B81,"")</f>
        <v/>
      </c>
      <c r="C467" s="20">
        <f>IFERROR(Calc!C81,"")</f>
        <v/>
      </c>
      <c r="D467" s="20">
        <f>IFERROR(Calc!D81,"")</f>
        <v/>
      </c>
      <c r="E467" s="20">
        <f>IFERROR(Calc!E81,"")</f>
        <v/>
      </c>
      <c r="F467" s="20">
        <f>IFERROR(Calc!F81,"")</f>
        <v/>
      </c>
      <c r="G467" s="21">
        <f>IFERROR(Calc!G81,"")</f>
        <v/>
      </c>
      <c r="H467" s="21">
        <f>IFERROR(Calc!H81,"")</f>
        <v/>
      </c>
      <c r="I467" s="21">
        <f>IFERROR(Calc!I81,"")</f>
        <v/>
      </c>
      <c r="J467" s="17">
        <f>IFERROR(Calc!J81,"")</f>
        <v/>
      </c>
      <c r="K467" s="21">
        <f>IFERROR(Calc!K81,"")</f>
        <v/>
      </c>
      <c r="L467" s="20">
        <f>IFERROR(Calc!L81,"")</f>
        <v/>
      </c>
      <c r="M467" s="17">
        <f>IFERROR(Calc!M81,"")</f>
        <v/>
      </c>
      <c r="N467" s="17">
        <f>IFERROR(Calc!N81,"")</f>
        <v/>
      </c>
      <c r="O467" s="17">
        <f>IFERROR(Calc!O81,"")</f>
        <v/>
      </c>
      <c r="P467" s="17">
        <f>IFERROR(Calc!P81,"")</f>
        <v/>
      </c>
      <c r="Q467" s="21">
        <f>IFERROR(Calc!Q81,"")</f>
        <v/>
      </c>
      <c r="R467" s="21">
        <f>IFERROR(Calc!R81,"")</f>
        <v/>
      </c>
      <c r="S467" s="21">
        <f>IFERROR(Calc!S81,"")</f>
        <v/>
      </c>
      <c r="T467" s="21">
        <f>IFERROR(Calc!T81,"")</f>
        <v/>
      </c>
      <c r="U467" s="21">
        <f>IFERROR(Calc!U81,"")</f>
        <v/>
      </c>
      <c r="V467" s="21">
        <f>IFERROR(Calc!V81,"")</f>
        <v/>
      </c>
      <c r="W467" s="5" t="n"/>
      <c r="X467" s="5" t="n"/>
      <c r="Y467" s="5" t="n"/>
      <c r="Z467" s="5" t="n"/>
      <c r="AA467" s="5" t="n"/>
      <c r="AB467" s="5" t="n"/>
    </row>
    <row r="468" ht="15.75" customHeight="1" s="79">
      <c r="A468" s="5">
        <f>IFERROR(Calc!$A$82,"")</f>
        <v/>
      </c>
      <c r="B468" s="20">
        <f>IFERROR(Calc!B82,"")</f>
        <v/>
      </c>
      <c r="C468" s="20">
        <f>IFERROR(Calc!C82,"")</f>
        <v/>
      </c>
      <c r="D468" s="20">
        <f>IFERROR(Calc!D82,"")</f>
        <v/>
      </c>
      <c r="E468" s="20">
        <f>IFERROR(Calc!E82,"")</f>
        <v/>
      </c>
      <c r="F468" s="20">
        <f>IFERROR(Calc!F82,"")</f>
        <v/>
      </c>
      <c r="G468" s="21">
        <f>IFERROR(Calc!G82,"")</f>
        <v/>
      </c>
      <c r="H468" s="21">
        <f>IFERROR(Calc!H82,"")</f>
        <v/>
      </c>
      <c r="I468" s="21">
        <f>IFERROR(Calc!I82,"")</f>
        <v/>
      </c>
      <c r="J468" s="17">
        <f>IFERROR(Calc!J82,"")</f>
        <v/>
      </c>
      <c r="K468" s="21">
        <f>IFERROR(Calc!K82,"")</f>
        <v/>
      </c>
      <c r="L468" s="20">
        <f>IFERROR(Calc!L82,"")</f>
        <v/>
      </c>
      <c r="M468" s="17">
        <f>IFERROR(Calc!M82,"")</f>
        <v/>
      </c>
      <c r="N468" s="17">
        <f>IFERROR(Calc!N82,"")</f>
        <v/>
      </c>
      <c r="O468" s="17">
        <f>IFERROR(Calc!O82,"")</f>
        <v/>
      </c>
      <c r="P468" s="17">
        <f>IFERROR(Calc!P82,"")</f>
        <v/>
      </c>
      <c r="Q468" s="21">
        <f>IFERROR(Calc!Q82,"")</f>
        <v/>
      </c>
      <c r="R468" s="21">
        <f>IFERROR(Calc!R82,"")</f>
        <v/>
      </c>
      <c r="S468" s="21">
        <f>IFERROR(Calc!S82,"")</f>
        <v/>
      </c>
      <c r="T468" s="21">
        <f>IFERROR(Calc!T82,"")</f>
        <v/>
      </c>
      <c r="U468" s="21">
        <f>IFERROR(Calc!U82,"")</f>
        <v/>
      </c>
      <c r="V468" s="21">
        <f>IFERROR(Calc!V82,"")</f>
        <v/>
      </c>
      <c r="W468" s="5" t="n"/>
      <c r="X468" s="5" t="n"/>
      <c r="Y468" s="5" t="n"/>
      <c r="Z468" s="5" t="n"/>
      <c r="AA468" s="5" t="n"/>
      <c r="AB468" s="5" t="n"/>
    </row>
    <row r="469" ht="15.75" customHeight="1" s="79">
      <c r="A469" s="5">
        <f>IFERROR(Calc!$A$83,"")</f>
        <v/>
      </c>
      <c r="B469" s="20">
        <f>IFERROR(Calc!B83,"")</f>
        <v/>
      </c>
      <c r="C469" s="20">
        <f>IFERROR(Calc!C83,"")</f>
        <v/>
      </c>
      <c r="D469" s="20">
        <f>IFERROR(Calc!D83,"")</f>
        <v/>
      </c>
      <c r="E469" s="20">
        <f>IFERROR(Calc!E83,"")</f>
        <v/>
      </c>
      <c r="F469" s="20">
        <f>IFERROR(Calc!F83,"")</f>
        <v/>
      </c>
      <c r="G469" s="21">
        <f>IFERROR(Calc!G83,"")</f>
        <v/>
      </c>
      <c r="H469" s="21">
        <f>IFERROR(Calc!H83,"")</f>
        <v/>
      </c>
      <c r="I469" s="21">
        <f>IFERROR(Calc!I83,"")</f>
        <v/>
      </c>
      <c r="J469" s="17">
        <f>IFERROR(Calc!J83,"")</f>
        <v/>
      </c>
      <c r="K469" s="21">
        <f>IFERROR(Calc!K83,"")</f>
        <v/>
      </c>
      <c r="L469" s="20">
        <f>IFERROR(Calc!L83,"")</f>
        <v/>
      </c>
      <c r="M469" s="17">
        <f>IFERROR(Calc!M83,"")</f>
        <v/>
      </c>
      <c r="N469" s="17">
        <f>IFERROR(Calc!N83,"")</f>
        <v/>
      </c>
      <c r="O469" s="17">
        <f>IFERROR(Calc!O83,"")</f>
        <v/>
      </c>
      <c r="P469" s="17">
        <f>IFERROR(Calc!P83,"")</f>
        <v/>
      </c>
      <c r="Q469" s="21">
        <f>IFERROR(Calc!Q83,"")</f>
        <v/>
      </c>
      <c r="R469" s="21">
        <f>IFERROR(Calc!R83,"")</f>
        <v/>
      </c>
      <c r="S469" s="21">
        <f>IFERROR(Calc!S83,"")</f>
        <v/>
      </c>
      <c r="T469" s="21">
        <f>IFERROR(Calc!T83,"")</f>
        <v/>
      </c>
      <c r="U469" s="21">
        <f>IFERROR(Calc!U83,"")</f>
        <v/>
      </c>
      <c r="V469" s="21">
        <f>IFERROR(Calc!V83,"")</f>
        <v/>
      </c>
      <c r="W469" s="5" t="n"/>
      <c r="X469" s="5" t="n"/>
      <c r="Y469" s="5" t="n"/>
      <c r="Z469" s="5" t="n"/>
      <c r="AA469" s="5" t="n"/>
      <c r="AB469" s="5" t="n"/>
    </row>
    <row r="470" ht="15.75" customHeight="1" s="79">
      <c r="A470" s="5">
        <f>IFERROR(Calc!$A$84,"")</f>
        <v/>
      </c>
      <c r="B470" s="20">
        <f>IFERROR(Calc!B84,"")</f>
        <v/>
      </c>
      <c r="C470" s="20">
        <f>IFERROR(Calc!C84,"")</f>
        <v/>
      </c>
      <c r="D470" s="20">
        <f>IFERROR(Calc!D84,"")</f>
        <v/>
      </c>
      <c r="E470" s="20">
        <f>IFERROR(Calc!E84,"")</f>
        <v/>
      </c>
      <c r="F470" s="20">
        <f>IFERROR(Calc!F84,"")</f>
        <v/>
      </c>
      <c r="G470" s="21">
        <f>IFERROR(Calc!G84,"")</f>
        <v/>
      </c>
      <c r="H470" s="21">
        <f>IFERROR(Calc!H84,"")</f>
        <v/>
      </c>
      <c r="I470" s="21">
        <f>IFERROR(Calc!I84,"")</f>
        <v/>
      </c>
      <c r="J470" s="17">
        <f>IFERROR(Calc!J84,"")</f>
        <v/>
      </c>
      <c r="K470" s="21">
        <f>IFERROR(Calc!K84,"")</f>
        <v/>
      </c>
      <c r="L470" s="20">
        <f>IFERROR(Calc!L84,"")</f>
        <v/>
      </c>
      <c r="M470" s="17">
        <f>IFERROR(Calc!M84,"")</f>
        <v/>
      </c>
      <c r="N470" s="17">
        <f>IFERROR(Calc!N84,"")</f>
        <v/>
      </c>
      <c r="O470" s="17">
        <f>IFERROR(Calc!O84,"")</f>
        <v/>
      </c>
      <c r="P470" s="17">
        <f>IFERROR(Calc!P84,"")</f>
        <v/>
      </c>
      <c r="Q470" s="21">
        <f>IFERROR(Calc!Q84,"")</f>
        <v/>
      </c>
      <c r="R470" s="21">
        <f>IFERROR(Calc!R84,"")</f>
        <v/>
      </c>
      <c r="S470" s="21">
        <f>IFERROR(Calc!S84,"")</f>
        <v/>
      </c>
      <c r="T470" s="21">
        <f>IFERROR(Calc!T84,"")</f>
        <v/>
      </c>
      <c r="U470" s="21">
        <f>IFERROR(Calc!U84,"")</f>
        <v/>
      </c>
      <c r="V470" s="21">
        <f>IFERROR(Calc!V84,"")</f>
        <v/>
      </c>
      <c r="W470" s="5" t="n"/>
      <c r="X470" s="5" t="n"/>
      <c r="Y470" s="5" t="n"/>
      <c r="Z470" s="5" t="n"/>
      <c r="AA470" s="5" t="n"/>
      <c r="AB470" s="5" t="n"/>
    </row>
    <row r="471" ht="15.75" customHeight="1" s="79">
      <c r="A471" s="5">
        <f>IFERROR(Calc!$A$85,"")</f>
        <v/>
      </c>
      <c r="B471" s="20">
        <f>IFERROR(Calc!B85,"")</f>
        <v/>
      </c>
      <c r="C471" s="20">
        <f>IFERROR(Calc!C85,"")</f>
        <v/>
      </c>
      <c r="D471" s="20">
        <f>IFERROR(Calc!D85,"")</f>
        <v/>
      </c>
      <c r="E471" s="20">
        <f>IFERROR(Calc!E85,"")</f>
        <v/>
      </c>
      <c r="F471" s="20">
        <f>IFERROR(Calc!F85,"")</f>
        <v/>
      </c>
      <c r="G471" s="21">
        <f>IFERROR(Calc!G85,"")</f>
        <v/>
      </c>
      <c r="H471" s="21">
        <f>IFERROR(Calc!H85,"")</f>
        <v/>
      </c>
      <c r="I471" s="21">
        <f>IFERROR(Calc!I85,"")</f>
        <v/>
      </c>
      <c r="J471" s="17">
        <f>IFERROR(Calc!J85,"")</f>
        <v/>
      </c>
      <c r="K471" s="21">
        <f>IFERROR(Calc!K85,"")</f>
        <v/>
      </c>
      <c r="L471" s="20">
        <f>IFERROR(Calc!L85,"")</f>
        <v/>
      </c>
      <c r="M471" s="17">
        <f>IFERROR(Calc!M85,"")</f>
        <v/>
      </c>
      <c r="N471" s="17">
        <f>IFERROR(Calc!N85,"")</f>
        <v/>
      </c>
      <c r="O471" s="17">
        <f>IFERROR(Calc!O85,"")</f>
        <v/>
      </c>
      <c r="P471" s="17">
        <f>IFERROR(Calc!P85,"")</f>
        <v/>
      </c>
      <c r="Q471" s="21">
        <f>IFERROR(Calc!Q85,"")</f>
        <v/>
      </c>
      <c r="R471" s="21">
        <f>IFERROR(Calc!R85,"")</f>
        <v/>
      </c>
      <c r="S471" s="21">
        <f>IFERROR(Calc!S85,"")</f>
        <v/>
      </c>
      <c r="T471" s="21">
        <f>IFERROR(Calc!T85,"")</f>
        <v/>
      </c>
      <c r="U471" s="21">
        <f>IFERROR(Calc!U85,"")</f>
        <v/>
      </c>
      <c r="V471" s="21">
        <f>IFERROR(Calc!V85,"")</f>
        <v/>
      </c>
      <c r="W471" s="5" t="n"/>
      <c r="X471" s="5" t="n"/>
      <c r="Y471" s="5" t="n"/>
      <c r="Z471" s="5" t="n"/>
      <c r="AA471" s="5" t="n"/>
      <c r="AB471" s="5" t="n"/>
    </row>
    <row r="472" ht="15.75" customHeight="1" s="79">
      <c r="A472" s="5">
        <f>IFERROR(Calc!$A$86,"")</f>
        <v/>
      </c>
      <c r="B472" s="20">
        <f>IFERROR(Calc!B86,"")</f>
        <v/>
      </c>
      <c r="C472" s="20">
        <f>IFERROR(Calc!C86,"")</f>
        <v/>
      </c>
      <c r="D472" s="20">
        <f>IFERROR(Calc!D86,"")</f>
        <v/>
      </c>
      <c r="E472" s="20">
        <f>IFERROR(Calc!E86,"")</f>
        <v/>
      </c>
      <c r="F472" s="20">
        <f>IFERROR(Calc!F86,"")</f>
        <v/>
      </c>
      <c r="G472" s="21">
        <f>IFERROR(Calc!G86,"")</f>
        <v/>
      </c>
      <c r="H472" s="21">
        <f>IFERROR(Calc!H86,"")</f>
        <v/>
      </c>
      <c r="I472" s="21">
        <f>IFERROR(Calc!I86,"")</f>
        <v/>
      </c>
      <c r="J472" s="17">
        <f>IFERROR(Calc!J86,"")</f>
        <v/>
      </c>
      <c r="K472" s="21">
        <f>IFERROR(Calc!K86,"")</f>
        <v/>
      </c>
      <c r="L472" s="20">
        <f>IFERROR(Calc!L86,"")</f>
        <v/>
      </c>
      <c r="M472" s="17">
        <f>IFERROR(Calc!M86,"")</f>
        <v/>
      </c>
      <c r="N472" s="17">
        <f>IFERROR(Calc!N86,"")</f>
        <v/>
      </c>
      <c r="O472" s="17">
        <f>IFERROR(Calc!O86,"")</f>
        <v/>
      </c>
      <c r="P472" s="17">
        <f>IFERROR(Calc!P86,"")</f>
        <v/>
      </c>
      <c r="Q472" s="21">
        <f>IFERROR(Calc!Q86,"")</f>
        <v/>
      </c>
      <c r="R472" s="21">
        <f>IFERROR(Calc!R86,"")</f>
        <v/>
      </c>
      <c r="S472" s="21">
        <f>IFERROR(Calc!S86,"")</f>
        <v/>
      </c>
      <c r="T472" s="21">
        <f>IFERROR(Calc!T86,"")</f>
        <v/>
      </c>
      <c r="U472" s="21">
        <f>IFERROR(Calc!U86,"")</f>
        <v/>
      </c>
      <c r="V472" s="21">
        <f>IFERROR(Calc!V86,"")</f>
        <v/>
      </c>
      <c r="W472" s="5" t="n"/>
      <c r="X472" s="5" t="n"/>
      <c r="Y472" s="5" t="n"/>
      <c r="Z472" s="5" t="n"/>
      <c r="AA472" s="5" t="n"/>
      <c r="AB472" s="5" t="n"/>
    </row>
    <row r="473" ht="15.75" customHeight="1" s="79">
      <c r="A473" s="5">
        <f>IFERROR(Calc!$A$87,"")</f>
        <v/>
      </c>
      <c r="B473" s="20">
        <f>IFERROR(Calc!B87,"")</f>
        <v/>
      </c>
      <c r="C473" s="20">
        <f>IFERROR(Calc!C87,"")</f>
        <v/>
      </c>
      <c r="D473" s="20">
        <f>IFERROR(Calc!D87,"")</f>
        <v/>
      </c>
      <c r="E473" s="20">
        <f>IFERROR(Calc!E87,"")</f>
        <v/>
      </c>
      <c r="F473" s="20">
        <f>IFERROR(Calc!F87,"")</f>
        <v/>
      </c>
      <c r="G473" s="21">
        <f>IFERROR(Calc!G87,"")</f>
        <v/>
      </c>
      <c r="H473" s="21">
        <f>IFERROR(Calc!H87,"")</f>
        <v/>
      </c>
      <c r="I473" s="21">
        <f>IFERROR(Calc!I87,"")</f>
        <v/>
      </c>
      <c r="J473" s="17">
        <f>IFERROR(Calc!J87,"")</f>
        <v/>
      </c>
      <c r="K473" s="21">
        <f>IFERROR(Calc!K87,"")</f>
        <v/>
      </c>
      <c r="L473" s="20">
        <f>IFERROR(Calc!L87,"")</f>
        <v/>
      </c>
      <c r="M473" s="17">
        <f>IFERROR(Calc!M87,"")</f>
        <v/>
      </c>
      <c r="N473" s="17">
        <f>IFERROR(Calc!N87,"")</f>
        <v/>
      </c>
      <c r="O473" s="17">
        <f>IFERROR(Calc!O87,"")</f>
        <v/>
      </c>
      <c r="P473" s="17">
        <f>IFERROR(Calc!P87,"")</f>
        <v/>
      </c>
      <c r="Q473" s="21">
        <f>IFERROR(Calc!Q87,"")</f>
        <v/>
      </c>
      <c r="R473" s="21">
        <f>IFERROR(Calc!R87,"")</f>
        <v/>
      </c>
      <c r="S473" s="21">
        <f>IFERROR(Calc!S87,"")</f>
        <v/>
      </c>
      <c r="T473" s="21">
        <f>IFERROR(Calc!T87,"")</f>
        <v/>
      </c>
      <c r="U473" s="21">
        <f>IFERROR(Calc!U87,"")</f>
        <v/>
      </c>
      <c r="V473" s="21">
        <f>IFERROR(Calc!V87,"")</f>
        <v/>
      </c>
      <c r="W473" s="5" t="n"/>
      <c r="X473" s="5" t="n"/>
      <c r="Y473" s="5" t="n"/>
      <c r="Z473" s="5" t="n"/>
      <c r="AA473" s="5" t="n"/>
      <c r="AB473" s="5" t="n"/>
    </row>
    <row r="474" ht="15.75" customHeight="1" s="79">
      <c r="A474" s="5">
        <f>IFERROR(Calc!$A$88,"")</f>
        <v/>
      </c>
      <c r="B474" s="20">
        <f>IFERROR(Calc!B88,"")</f>
        <v/>
      </c>
      <c r="C474" s="20">
        <f>IFERROR(Calc!C88,"")</f>
        <v/>
      </c>
      <c r="D474" s="20">
        <f>IFERROR(Calc!D88,"")</f>
        <v/>
      </c>
      <c r="E474" s="20">
        <f>IFERROR(Calc!E88,"")</f>
        <v/>
      </c>
      <c r="F474" s="20">
        <f>IFERROR(Calc!F88,"")</f>
        <v/>
      </c>
      <c r="G474" s="21">
        <f>IFERROR(Calc!G88,"")</f>
        <v/>
      </c>
      <c r="H474" s="21">
        <f>IFERROR(Calc!H88,"")</f>
        <v/>
      </c>
      <c r="I474" s="21">
        <f>IFERROR(Calc!I88,"")</f>
        <v/>
      </c>
      <c r="J474" s="17">
        <f>IFERROR(Calc!J88,"")</f>
        <v/>
      </c>
      <c r="K474" s="21">
        <f>IFERROR(Calc!K88,"")</f>
        <v/>
      </c>
      <c r="L474" s="20">
        <f>IFERROR(Calc!L88,"")</f>
        <v/>
      </c>
      <c r="M474" s="17">
        <f>IFERROR(Calc!M88,"")</f>
        <v/>
      </c>
      <c r="N474" s="17">
        <f>IFERROR(Calc!N88,"")</f>
        <v/>
      </c>
      <c r="O474" s="17">
        <f>IFERROR(Calc!O88,"")</f>
        <v/>
      </c>
      <c r="P474" s="17">
        <f>IFERROR(Calc!P88,"")</f>
        <v/>
      </c>
      <c r="Q474" s="21">
        <f>IFERROR(Calc!Q88,"")</f>
        <v/>
      </c>
      <c r="R474" s="21">
        <f>IFERROR(Calc!R88,"")</f>
        <v/>
      </c>
      <c r="S474" s="21">
        <f>IFERROR(Calc!S88,"")</f>
        <v/>
      </c>
      <c r="T474" s="21">
        <f>IFERROR(Calc!T88,"")</f>
        <v/>
      </c>
      <c r="U474" s="21">
        <f>IFERROR(Calc!U88,"")</f>
        <v/>
      </c>
      <c r="V474" s="21">
        <f>IFERROR(Calc!V88,"")</f>
        <v/>
      </c>
      <c r="W474" s="5" t="n"/>
      <c r="X474" s="5" t="n"/>
      <c r="Y474" s="5" t="n"/>
      <c r="Z474" s="5" t="n"/>
      <c r="AA474" s="5" t="n"/>
      <c r="AB474" s="5" t="n"/>
    </row>
    <row r="475" ht="15.75" customHeight="1" s="79">
      <c r="A475" s="5">
        <f>IFERROR(Calc!$A$89,"")</f>
        <v/>
      </c>
      <c r="B475" s="20">
        <f>IFERROR(Calc!B89,"")</f>
        <v/>
      </c>
      <c r="C475" s="20">
        <f>IFERROR(Calc!C89,"")</f>
        <v/>
      </c>
      <c r="D475" s="20">
        <f>IFERROR(Calc!D89,"")</f>
        <v/>
      </c>
      <c r="E475" s="20">
        <f>IFERROR(Calc!E89,"")</f>
        <v/>
      </c>
      <c r="F475" s="20">
        <f>IFERROR(Calc!F89,"")</f>
        <v/>
      </c>
      <c r="G475" s="21">
        <f>IFERROR(Calc!G89,"")</f>
        <v/>
      </c>
      <c r="H475" s="21">
        <f>IFERROR(Calc!H89,"")</f>
        <v/>
      </c>
      <c r="I475" s="21">
        <f>IFERROR(Calc!I89,"")</f>
        <v/>
      </c>
      <c r="J475" s="17">
        <f>IFERROR(Calc!J89,"")</f>
        <v/>
      </c>
      <c r="K475" s="21">
        <f>IFERROR(Calc!K89,"")</f>
        <v/>
      </c>
      <c r="L475" s="20">
        <f>IFERROR(Calc!L89,"")</f>
        <v/>
      </c>
      <c r="M475" s="17">
        <f>IFERROR(Calc!M89,"")</f>
        <v/>
      </c>
      <c r="N475" s="17">
        <f>IFERROR(Calc!N89,"")</f>
        <v/>
      </c>
      <c r="O475" s="17">
        <f>IFERROR(Calc!O89,"")</f>
        <v/>
      </c>
      <c r="P475" s="17">
        <f>IFERROR(Calc!P89,"")</f>
        <v/>
      </c>
      <c r="Q475" s="21">
        <f>IFERROR(Calc!Q89,"")</f>
        <v/>
      </c>
      <c r="R475" s="21">
        <f>IFERROR(Calc!R89,"")</f>
        <v/>
      </c>
      <c r="S475" s="21">
        <f>IFERROR(Calc!S89,"")</f>
        <v/>
      </c>
      <c r="T475" s="21">
        <f>IFERROR(Calc!T89,"")</f>
        <v/>
      </c>
      <c r="U475" s="21">
        <f>IFERROR(Calc!U89,"")</f>
        <v/>
      </c>
      <c r="V475" s="21">
        <f>IFERROR(Calc!V89,"")</f>
        <v/>
      </c>
      <c r="W475" s="5" t="n"/>
      <c r="X475" s="5" t="n"/>
      <c r="Y475" s="5" t="n"/>
      <c r="Z475" s="5" t="n"/>
      <c r="AA475" s="5" t="n"/>
      <c r="AB475" s="5" t="n"/>
    </row>
    <row r="476" ht="15.75" customHeight="1" s="79">
      <c r="A476" s="5">
        <f>IFERROR(Calc!$A$90,"")</f>
        <v/>
      </c>
      <c r="B476" s="20">
        <f>IFERROR(Calc!B90,"")</f>
        <v/>
      </c>
      <c r="C476" s="20">
        <f>IFERROR(Calc!C90,"")</f>
        <v/>
      </c>
      <c r="D476" s="20">
        <f>IFERROR(Calc!D90,"")</f>
        <v/>
      </c>
      <c r="E476" s="20">
        <f>IFERROR(Calc!E90,"")</f>
        <v/>
      </c>
      <c r="F476" s="20">
        <f>IFERROR(Calc!F90,"")</f>
        <v/>
      </c>
      <c r="G476" s="21">
        <f>IFERROR(Calc!G90,"")</f>
        <v/>
      </c>
      <c r="H476" s="21">
        <f>IFERROR(Calc!H90,"")</f>
        <v/>
      </c>
      <c r="I476" s="21">
        <f>IFERROR(Calc!I90,"")</f>
        <v/>
      </c>
      <c r="J476" s="17">
        <f>IFERROR(Calc!J90,"")</f>
        <v/>
      </c>
      <c r="K476" s="21">
        <f>IFERROR(Calc!K90,"")</f>
        <v/>
      </c>
      <c r="L476" s="20">
        <f>IFERROR(Calc!L90,"")</f>
        <v/>
      </c>
      <c r="M476" s="17">
        <f>IFERROR(Calc!M90,"")</f>
        <v/>
      </c>
      <c r="N476" s="17">
        <f>IFERROR(Calc!N90,"")</f>
        <v/>
      </c>
      <c r="O476" s="17">
        <f>IFERROR(Calc!O90,"")</f>
        <v/>
      </c>
      <c r="P476" s="17">
        <f>IFERROR(Calc!P90,"")</f>
        <v/>
      </c>
      <c r="Q476" s="21">
        <f>IFERROR(Calc!Q90,"")</f>
        <v/>
      </c>
      <c r="R476" s="21">
        <f>IFERROR(Calc!R90,"")</f>
        <v/>
      </c>
      <c r="S476" s="21">
        <f>IFERROR(Calc!S90,"")</f>
        <v/>
      </c>
      <c r="T476" s="21">
        <f>IFERROR(Calc!T90,"")</f>
        <v/>
      </c>
      <c r="U476" s="21">
        <f>IFERROR(Calc!U90,"")</f>
        <v/>
      </c>
      <c r="V476" s="21">
        <f>IFERROR(Calc!V90,"")</f>
        <v/>
      </c>
      <c r="W476" s="5" t="n"/>
      <c r="X476" s="5" t="n"/>
      <c r="Y476" s="5" t="n"/>
      <c r="Z476" s="5" t="n"/>
      <c r="AA476" s="5" t="n"/>
      <c r="AB476" s="5" t="n"/>
    </row>
    <row r="477" ht="15.75" customHeight="1" s="79">
      <c r="A477" s="5">
        <f>IFERROR(Calc!$A$91,"")</f>
        <v/>
      </c>
      <c r="B477" s="20">
        <f>IFERROR(Calc!B91,"")</f>
        <v/>
      </c>
      <c r="C477" s="20">
        <f>IFERROR(Calc!C91,"")</f>
        <v/>
      </c>
      <c r="D477" s="20">
        <f>IFERROR(Calc!D91,"")</f>
        <v/>
      </c>
      <c r="E477" s="20">
        <f>IFERROR(Calc!E91,"")</f>
        <v/>
      </c>
      <c r="F477" s="20">
        <f>IFERROR(Calc!F91,"")</f>
        <v/>
      </c>
      <c r="G477" s="21">
        <f>IFERROR(Calc!G91,"")</f>
        <v/>
      </c>
      <c r="H477" s="21">
        <f>IFERROR(Calc!H91,"")</f>
        <v/>
      </c>
      <c r="I477" s="21">
        <f>IFERROR(Calc!I91,"")</f>
        <v/>
      </c>
      <c r="J477" s="17">
        <f>IFERROR(Calc!J91,"")</f>
        <v/>
      </c>
      <c r="K477" s="21">
        <f>IFERROR(Calc!K91,"")</f>
        <v/>
      </c>
      <c r="L477" s="20">
        <f>IFERROR(Calc!L91,"")</f>
        <v/>
      </c>
      <c r="M477" s="17">
        <f>IFERROR(Calc!M91,"")</f>
        <v/>
      </c>
      <c r="N477" s="17">
        <f>IFERROR(Calc!N91,"")</f>
        <v/>
      </c>
      <c r="O477" s="17">
        <f>IFERROR(Calc!O91,"")</f>
        <v/>
      </c>
      <c r="P477" s="17">
        <f>IFERROR(Calc!P91,"")</f>
        <v/>
      </c>
      <c r="Q477" s="21">
        <f>IFERROR(Calc!Q91,"")</f>
        <v/>
      </c>
      <c r="R477" s="21">
        <f>IFERROR(Calc!R91,"")</f>
        <v/>
      </c>
      <c r="S477" s="21">
        <f>IFERROR(Calc!S91,"")</f>
        <v/>
      </c>
      <c r="T477" s="21">
        <f>IFERROR(Calc!T91,"")</f>
        <v/>
      </c>
      <c r="U477" s="21">
        <f>IFERROR(Calc!U91,"")</f>
        <v/>
      </c>
      <c r="V477" s="21">
        <f>IFERROR(Calc!V91,"")</f>
        <v/>
      </c>
      <c r="W477" s="5" t="n"/>
      <c r="X477" s="5" t="n"/>
      <c r="Y477" s="5" t="n"/>
      <c r="Z477" s="5" t="n"/>
      <c r="AA477" s="5" t="n"/>
      <c r="AB477" s="5" t="n"/>
    </row>
    <row r="478" ht="15.75" customHeight="1" s="79">
      <c r="A478" s="5">
        <f>IFERROR(Calc!$A$92,"")</f>
        <v/>
      </c>
      <c r="B478" s="20">
        <f>IFERROR(Calc!B92,"")</f>
        <v/>
      </c>
      <c r="C478" s="20">
        <f>IFERROR(Calc!C92,"")</f>
        <v/>
      </c>
      <c r="D478" s="20">
        <f>IFERROR(Calc!D92,"")</f>
        <v/>
      </c>
      <c r="E478" s="20">
        <f>IFERROR(Calc!E92,"")</f>
        <v/>
      </c>
      <c r="F478" s="20">
        <f>IFERROR(Calc!F92,"")</f>
        <v/>
      </c>
      <c r="G478" s="21">
        <f>IFERROR(Calc!G92,"")</f>
        <v/>
      </c>
      <c r="H478" s="21">
        <f>IFERROR(Calc!H92,"")</f>
        <v/>
      </c>
      <c r="I478" s="21">
        <f>IFERROR(Calc!I92,"")</f>
        <v/>
      </c>
      <c r="J478" s="17">
        <f>IFERROR(Calc!J92,"")</f>
        <v/>
      </c>
      <c r="K478" s="21">
        <f>IFERROR(Calc!K92,"")</f>
        <v/>
      </c>
      <c r="L478" s="20">
        <f>IFERROR(Calc!L92,"")</f>
        <v/>
      </c>
      <c r="M478" s="17">
        <f>IFERROR(Calc!M92,"")</f>
        <v/>
      </c>
      <c r="N478" s="17">
        <f>IFERROR(Calc!N92,"")</f>
        <v/>
      </c>
      <c r="O478" s="17">
        <f>IFERROR(Calc!O92,"")</f>
        <v/>
      </c>
      <c r="P478" s="17">
        <f>IFERROR(Calc!P92,"")</f>
        <v/>
      </c>
      <c r="Q478" s="21">
        <f>IFERROR(Calc!Q92,"")</f>
        <v/>
      </c>
      <c r="R478" s="21">
        <f>IFERROR(Calc!R92,"")</f>
        <v/>
      </c>
      <c r="S478" s="21">
        <f>IFERROR(Calc!S92,"")</f>
        <v/>
      </c>
      <c r="T478" s="21">
        <f>IFERROR(Calc!T92,"")</f>
        <v/>
      </c>
      <c r="U478" s="21">
        <f>IFERROR(Calc!U92,"")</f>
        <v/>
      </c>
      <c r="V478" s="21">
        <f>IFERROR(Calc!V92,"")</f>
        <v/>
      </c>
      <c r="W478" s="5" t="n"/>
      <c r="X478" s="5" t="n"/>
      <c r="Y478" s="5" t="n"/>
      <c r="Z478" s="5" t="n"/>
      <c r="AA478" s="5" t="n"/>
      <c r="AB478" s="5" t="n"/>
    </row>
    <row r="479" ht="15.75" customHeight="1" s="79">
      <c r="A479" s="5">
        <f>IFERROR(Calc!$A$93,"")</f>
        <v/>
      </c>
      <c r="B479" s="20">
        <f>IFERROR(Calc!B93,"")</f>
        <v/>
      </c>
      <c r="C479" s="20">
        <f>IFERROR(Calc!C93,"")</f>
        <v/>
      </c>
      <c r="D479" s="20">
        <f>IFERROR(Calc!D93,"")</f>
        <v/>
      </c>
      <c r="E479" s="20">
        <f>IFERROR(Calc!E93,"")</f>
        <v/>
      </c>
      <c r="F479" s="20">
        <f>IFERROR(Calc!F93,"")</f>
        <v/>
      </c>
      <c r="G479" s="21">
        <f>IFERROR(Calc!G93,"")</f>
        <v/>
      </c>
      <c r="H479" s="21">
        <f>IFERROR(Calc!H93,"")</f>
        <v/>
      </c>
      <c r="I479" s="21">
        <f>IFERROR(Calc!I93,"")</f>
        <v/>
      </c>
      <c r="J479" s="17">
        <f>IFERROR(Calc!J93,"")</f>
        <v/>
      </c>
      <c r="K479" s="21">
        <f>IFERROR(Calc!K93,"")</f>
        <v/>
      </c>
      <c r="L479" s="20">
        <f>IFERROR(Calc!L93,"")</f>
        <v/>
      </c>
      <c r="M479" s="17">
        <f>IFERROR(Calc!M93,"")</f>
        <v/>
      </c>
      <c r="N479" s="17">
        <f>IFERROR(Calc!N93,"")</f>
        <v/>
      </c>
      <c r="O479" s="17">
        <f>IFERROR(Calc!O93,"")</f>
        <v/>
      </c>
      <c r="P479" s="17">
        <f>IFERROR(Calc!P93,"")</f>
        <v/>
      </c>
      <c r="Q479" s="21">
        <f>IFERROR(Calc!Q93,"")</f>
        <v/>
      </c>
      <c r="R479" s="21">
        <f>IFERROR(Calc!R93,"")</f>
        <v/>
      </c>
      <c r="S479" s="21">
        <f>IFERROR(Calc!S93,"")</f>
        <v/>
      </c>
      <c r="T479" s="21">
        <f>IFERROR(Calc!T93,"")</f>
        <v/>
      </c>
      <c r="U479" s="21">
        <f>IFERROR(Calc!U93,"")</f>
        <v/>
      </c>
      <c r="V479" s="21">
        <f>IFERROR(Calc!V93,"")</f>
        <v/>
      </c>
      <c r="W479" s="5" t="n"/>
      <c r="X479" s="5" t="n"/>
      <c r="Y479" s="5" t="n"/>
      <c r="Z479" s="5" t="n"/>
      <c r="AA479" s="5" t="n"/>
      <c r="AB479" s="5" t="n"/>
    </row>
    <row r="480" ht="15.75" customHeight="1" s="79">
      <c r="A480" s="5">
        <f>IFERROR(Calc!$A$94,"")</f>
        <v/>
      </c>
      <c r="B480" s="20">
        <f>IFERROR(Calc!B94,"")</f>
        <v/>
      </c>
      <c r="C480" s="20">
        <f>IFERROR(Calc!C94,"")</f>
        <v/>
      </c>
      <c r="D480" s="20">
        <f>IFERROR(Calc!D94,"")</f>
        <v/>
      </c>
      <c r="E480" s="20">
        <f>IFERROR(Calc!E94,"")</f>
        <v/>
      </c>
      <c r="F480" s="20">
        <f>IFERROR(Calc!F94,"")</f>
        <v/>
      </c>
      <c r="G480" s="21">
        <f>IFERROR(Calc!G94,"")</f>
        <v/>
      </c>
      <c r="H480" s="21">
        <f>IFERROR(Calc!H94,"")</f>
        <v/>
      </c>
      <c r="I480" s="21">
        <f>IFERROR(Calc!I94,"")</f>
        <v/>
      </c>
      <c r="J480" s="17">
        <f>IFERROR(Calc!J94,"")</f>
        <v/>
      </c>
      <c r="K480" s="21">
        <f>IFERROR(Calc!K94,"")</f>
        <v/>
      </c>
      <c r="L480" s="20">
        <f>IFERROR(Calc!L94,"")</f>
        <v/>
      </c>
      <c r="M480" s="17">
        <f>IFERROR(Calc!M94,"")</f>
        <v/>
      </c>
      <c r="N480" s="17">
        <f>IFERROR(Calc!N94,"")</f>
        <v/>
      </c>
      <c r="O480" s="17">
        <f>IFERROR(Calc!O94,"")</f>
        <v/>
      </c>
      <c r="P480" s="17">
        <f>IFERROR(Calc!P94,"")</f>
        <v/>
      </c>
      <c r="Q480" s="21">
        <f>IFERROR(Calc!Q94,"")</f>
        <v/>
      </c>
      <c r="R480" s="21">
        <f>IFERROR(Calc!R94,"")</f>
        <v/>
      </c>
      <c r="S480" s="21">
        <f>IFERROR(Calc!S94,"")</f>
        <v/>
      </c>
      <c r="T480" s="21">
        <f>IFERROR(Calc!T94,"")</f>
        <v/>
      </c>
      <c r="U480" s="21">
        <f>IFERROR(Calc!U94,"")</f>
        <v/>
      </c>
      <c r="V480" s="21">
        <f>IFERROR(Calc!V94,"")</f>
        <v/>
      </c>
      <c r="W480" s="5" t="n"/>
      <c r="X480" s="5" t="n"/>
      <c r="Y480" s="5" t="n"/>
      <c r="Z480" s="5" t="n"/>
      <c r="AA480" s="5" t="n"/>
      <c r="AB480" s="5" t="n"/>
    </row>
    <row r="481" ht="15.75" customHeight="1" s="79">
      <c r="A481" s="5">
        <f>IFERROR(Calc!$A$95,"")</f>
        <v/>
      </c>
      <c r="B481" s="20">
        <f>IFERROR(Calc!B95,"")</f>
        <v/>
      </c>
      <c r="C481" s="20">
        <f>IFERROR(Calc!C95,"")</f>
        <v/>
      </c>
      <c r="D481" s="20">
        <f>IFERROR(Calc!D95,"")</f>
        <v/>
      </c>
      <c r="E481" s="20">
        <f>IFERROR(Calc!E95,"")</f>
        <v/>
      </c>
      <c r="F481" s="20">
        <f>IFERROR(Calc!F95,"")</f>
        <v/>
      </c>
      <c r="G481" s="21">
        <f>IFERROR(Calc!G95,"")</f>
        <v/>
      </c>
      <c r="H481" s="21">
        <f>IFERROR(Calc!H95,"")</f>
        <v/>
      </c>
      <c r="I481" s="21">
        <f>IFERROR(Calc!I95,"")</f>
        <v/>
      </c>
      <c r="J481" s="17">
        <f>IFERROR(Calc!J95,"")</f>
        <v/>
      </c>
      <c r="K481" s="21">
        <f>IFERROR(Calc!K95,"")</f>
        <v/>
      </c>
      <c r="L481" s="20">
        <f>IFERROR(Calc!L95,"")</f>
        <v/>
      </c>
      <c r="M481" s="17">
        <f>IFERROR(Calc!M95,"")</f>
        <v/>
      </c>
      <c r="N481" s="17">
        <f>IFERROR(Calc!N95,"")</f>
        <v/>
      </c>
      <c r="O481" s="17">
        <f>IFERROR(Calc!O95,"")</f>
        <v/>
      </c>
      <c r="P481" s="17">
        <f>IFERROR(Calc!P95,"")</f>
        <v/>
      </c>
      <c r="Q481" s="21">
        <f>IFERROR(Calc!Q95,"")</f>
        <v/>
      </c>
      <c r="R481" s="21">
        <f>IFERROR(Calc!R95,"")</f>
        <v/>
      </c>
      <c r="S481" s="21">
        <f>IFERROR(Calc!S95,"")</f>
        <v/>
      </c>
      <c r="T481" s="21">
        <f>IFERROR(Calc!T95,"")</f>
        <v/>
      </c>
      <c r="U481" s="21">
        <f>IFERROR(Calc!U95,"")</f>
        <v/>
      </c>
      <c r="V481" s="21">
        <f>IFERROR(Calc!V95,"")</f>
        <v/>
      </c>
      <c r="W481" s="5" t="n"/>
      <c r="X481" s="5" t="n"/>
      <c r="Y481" s="5" t="n"/>
      <c r="Z481" s="5" t="n"/>
      <c r="AA481" s="5" t="n"/>
      <c r="AB481" s="5" t="n"/>
    </row>
    <row r="482" ht="15.75" customHeight="1" s="79">
      <c r="A482" s="5">
        <f>IFERROR(Calc!$A$96,"")</f>
        <v/>
      </c>
      <c r="B482" s="20">
        <f>IFERROR(Calc!B96,"")</f>
        <v/>
      </c>
      <c r="C482" s="20">
        <f>IFERROR(Calc!C96,"")</f>
        <v/>
      </c>
      <c r="D482" s="20">
        <f>IFERROR(Calc!D96,"")</f>
        <v/>
      </c>
      <c r="E482" s="20">
        <f>IFERROR(Calc!E96,"")</f>
        <v/>
      </c>
      <c r="F482" s="20">
        <f>IFERROR(Calc!F96,"")</f>
        <v/>
      </c>
      <c r="G482" s="21">
        <f>IFERROR(Calc!G96,"")</f>
        <v/>
      </c>
      <c r="H482" s="21">
        <f>IFERROR(Calc!H96,"")</f>
        <v/>
      </c>
      <c r="I482" s="21">
        <f>IFERROR(Calc!I96,"")</f>
        <v/>
      </c>
      <c r="J482" s="17">
        <f>IFERROR(Calc!J96,"")</f>
        <v/>
      </c>
      <c r="K482" s="21">
        <f>IFERROR(Calc!K96,"")</f>
        <v/>
      </c>
      <c r="L482" s="20">
        <f>IFERROR(Calc!L96,"")</f>
        <v/>
      </c>
      <c r="M482" s="17">
        <f>IFERROR(Calc!M96,"")</f>
        <v/>
      </c>
      <c r="N482" s="17">
        <f>IFERROR(Calc!N96,"")</f>
        <v/>
      </c>
      <c r="O482" s="17">
        <f>IFERROR(Calc!O96,"")</f>
        <v/>
      </c>
      <c r="P482" s="17">
        <f>IFERROR(Calc!P96,"")</f>
        <v/>
      </c>
      <c r="Q482" s="21">
        <f>IFERROR(Calc!Q96,"")</f>
        <v/>
      </c>
      <c r="R482" s="21">
        <f>IFERROR(Calc!R96,"")</f>
        <v/>
      </c>
      <c r="S482" s="21">
        <f>IFERROR(Calc!S96,"")</f>
        <v/>
      </c>
      <c r="T482" s="21">
        <f>IFERROR(Calc!T96,"")</f>
        <v/>
      </c>
      <c r="U482" s="21">
        <f>IFERROR(Calc!U96,"")</f>
        <v/>
      </c>
      <c r="V482" s="21">
        <f>IFERROR(Calc!V96,"")</f>
        <v/>
      </c>
      <c r="W482" s="5" t="n"/>
      <c r="X482" s="5" t="n"/>
      <c r="Y482" s="5" t="n"/>
      <c r="Z482" s="5" t="n"/>
      <c r="AA482" s="5" t="n"/>
      <c r="AB482" s="5" t="n"/>
    </row>
    <row r="483" ht="15.75" customHeight="1" s="79">
      <c r="A483" s="5">
        <f>IFERROR(Calc!$A$97,"")</f>
        <v/>
      </c>
      <c r="B483" s="20">
        <f>IFERROR(Calc!B97,"")</f>
        <v/>
      </c>
      <c r="C483" s="20">
        <f>IFERROR(Calc!C97,"")</f>
        <v/>
      </c>
      <c r="D483" s="20">
        <f>IFERROR(Calc!D97,"")</f>
        <v/>
      </c>
      <c r="E483" s="20">
        <f>IFERROR(Calc!E97,"")</f>
        <v/>
      </c>
      <c r="F483" s="20">
        <f>IFERROR(Calc!F97,"")</f>
        <v/>
      </c>
      <c r="G483" s="21">
        <f>IFERROR(Calc!G97,"")</f>
        <v/>
      </c>
      <c r="H483" s="21">
        <f>IFERROR(Calc!H97,"")</f>
        <v/>
      </c>
      <c r="I483" s="21">
        <f>IFERROR(Calc!I97,"")</f>
        <v/>
      </c>
      <c r="J483" s="17">
        <f>IFERROR(Calc!J97,"")</f>
        <v/>
      </c>
      <c r="K483" s="21">
        <f>IFERROR(Calc!K97,"")</f>
        <v/>
      </c>
      <c r="L483" s="20">
        <f>IFERROR(Calc!L97,"")</f>
        <v/>
      </c>
      <c r="M483" s="17">
        <f>IFERROR(Calc!M97,"")</f>
        <v/>
      </c>
      <c r="N483" s="17">
        <f>IFERROR(Calc!N97,"")</f>
        <v/>
      </c>
      <c r="O483" s="17">
        <f>IFERROR(Calc!O97,"")</f>
        <v/>
      </c>
      <c r="P483" s="17">
        <f>IFERROR(Calc!P97,"")</f>
        <v/>
      </c>
      <c r="Q483" s="21">
        <f>IFERROR(Calc!Q97,"")</f>
        <v/>
      </c>
      <c r="R483" s="21">
        <f>IFERROR(Calc!R97,"")</f>
        <v/>
      </c>
      <c r="S483" s="21">
        <f>IFERROR(Calc!S97,"")</f>
        <v/>
      </c>
      <c r="T483" s="21">
        <f>IFERROR(Calc!T97,"")</f>
        <v/>
      </c>
      <c r="U483" s="21">
        <f>IFERROR(Calc!U97,"")</f>
        <v/>
      </c>
      <c r="V483" s="21">
        <f>IFERROR(Calc!V97,"")</f>
        <v/>
      </c>
      <c r="W483" s="5" t="n"/>
      <c r="X483" s="5" t="n"/>
      <c r="Y483" s="5" t="n"/>
      <c r="Z483" s="5" t="n"/>
      <c r="AA483" s="5" t="n"/>
      <c r="AB483" s="5" t="n"/>
    </row>
    <row r="484" ht="15.75" customHeight="1" s="79">
      <c r="A484" s="5">
        <f>IFERROR(Calc!$A$98,"")</f>
        <v/>
      </c>
      <c r="B484" s="20">
        <f>IFERROR(Calc!B98,"")</f>
        <v/>
      </c>
      <c r="C484" s="20">
        <f>IFERROR(Calc!C98,"")</f>
        <v/>
      </c>
      <c r="D484" s="20">
        <f>IFERROR(Calc!D98,"")</f>
        <v/>
      </c>
      <c r="E484" s="20">
        <f>IFERROR(Calc!E98,"")</f>
        <v/>
      </c>
      <c r="F484" s="20">
        <f>IFERROR(Calc!F98,"")</f>
        <v/>
      </c>
      <c r="G484" s="21">
        <f>IFERROR(Calc!G98,"")</f>
        <v/>
      </c>
      <c r="H484" s="21">
        <f>IFERROR(Calc!H98,"")</f>
        <v/>
      </c>
      <c r="I484" s="21">
        <f>IFERROR(Calc!I98,"")</f>
        <v/>
      </c>
      <c r="J484" s="17">
        <f>IFERROR(Calc!J98,"")</f>
        <v/>
      </c>
      <c r="K484" s="21">
        <f>IFERROR(Calc!K98,"")</f>
        <v/>
      </c>
      <c r="L484" s="20">
        <f>IFERROR(Calc!L98,"")</f>
        <v/>
      </c>
      <c r="M484" s="17">
        <f>IFERROR(Calc!M98,"")</f>
        <v/>
      </c>
      <c r="N484" s="17">
        <f>IFERROR(Calc!N98,"")</f>
        <v/>
      </c>
      <c r="O484" s="17">
        <f>IFERROR(Calc!O98,"")</f>
        <v/>
      </c>
      <c r="P484" s="17">
        <f>IFERROR(Calc!P98,"")</f>
        <v/>
      </c>
      <c r="Q484" s="21">
        <f>IFERROR(Calc!Q98,"")</f>
        <v/>
      </c>
      <c r="R484" s="21">
        <f>IFERROR(Calc!R98,"")</f>
        <v/>
      </c>
      <c r="S484" s="21">
        <f>IFERROR(Calc!S98,"")</f>
        <v/>
      </c>
      <c r="T484" s="21">
        <f>IFERROR(Calc!T98,"")</f>
        <v/>
      </c>
      <c r="U484" s="21">
        <f>IFERROR(Calc!U98,"")</f>
        <v/>
      </c>
      <c r="V484" s="21">
        <f>IFERROR(Calc!V98,"")</f>
        <v/>
      </c>
      <c r="W484" s="5" t="n"/>
      <c r="X484" s="5" t="n"/>
      <c r="Y484" s="5" t="n"/>
      <c r="Z484" s="5" t="n"/>
      <c r="AA484" s="5" t="n"/>
      <c r="AB484" s="5" t="n"/>
    </row>
    <row r="485" ht="15.75" customHeight="1" s="79">
      <c r="A485" s="5">
        <f>IFERROR(Calc!$A$99,"")</f>
        <v/>
      </c>
      <c r="B485" s="20">
        <f>IFERROR(Calc!B99,"")</f>
        <v/>
      </c>
      <c r="C485" s="20">
        <f>IFERROR(Calc!C99,"")</f>
        <v/>
      </c>
      <c r="D485" s="20">
        <f>IFERROR(Calc!D99,"")</f>
        <v/>
      </c>
      <c r="E485" s="20">
        <f>IFERROR(Calc!E99,"")</f>
        <v/>
      </c>
      <c r="F485" s="20">
        <f>IFERROR(Calc!F99,"")</f>
        <v/>
      </c>
      <c r="G485" s="21">
        <f>IFERROR(Calc!G99,"")</f>
        <v/>
      </c>
      <c r="H485" s="21">
        <f>IFERROR(Calc!H99,"")</f>
        <v/>
      </c>
      <c r="I485" s="21">
        <f>IFERROR(Calc!I99,"")</f>
        <v/>
      </c>
      <c r="J485" s="17">
        <f>IFERROR(Calc!J99,"")</f>
        <v/>
      </c>
      <c r="K485" s="21">
        <f>IFERROR(Calc!K99,"")</f>
        <v/>
      </c>
      <c r="L485" s="20">
        <f>IFERROR(Calc!L99,"")</f>
        <v/>
      </c>
      <c r="M485" s="17">
        <f>IFERROR(Calc!M99,"")</f>
        <v/>
      </c>
      <c r="N485" s="17">
        <f>IFERROR(Calc!N99,"")</f>
        <v/>
      </c>
      <c r="O485" s="17">
        <f>IFERROR(Calc!O99,"")</f>
        <v/>
      </c>
      <c r="P485" s="17">
        <f>IFERROR(Calc!P99,"")</f>
        <v/>
      </c>
      <c r="Q485" s="21">
        <f>IFERROR(Calc!Q99,"")</f>
        <v/>
      </c>
      <c r="R485" s="21">
        <f>IFERROR(Calc!R99,"")</f>
        <v/>
      </c>
      <c r="S485" s="21">
        <f>IFERROR(Calc!S99,"")</f>
        <v/>
      </c>
      <c r="T485" s="21">
        <f>IFERROR(Calc!T99,"")</f>
        <v/>
      </c>
      <c r="U485" s="21">
        <f>IFERROR(Calc!U99,"")</f>
        <v/>
      </c>
      <c r="V485" s="21">
        <f>IFERROR(Calc!V99,"")</f>
        <v/>
      </c>
      <c r="W485" s="5" t="n"/>
      <c r="X485" s="5" t="n"/>
      <c r="Y485" s="5" t="n"/>
      <c r="Z485" s="5" t="n"/>
      <c r="AA485" s="5" t="n"/>
      <c r="AB485" s="5" t="n"/>
    </row>
    <row r="486" ht="15.75" customHeight="1" s="79">
      <c r="A486" s="5">
        <f>IFERROR(Calc!$A$100,"")</f>
        <v/>
      </c>
      <c r="B486" s="20">
        <f>IFERROR(Calc!B100,"")</f>
        <v/>
      </c>
      <c r="C486" s="20">
        <f>IFERROR(Calc!C100,"")</f>
        <v/>
      </c>
      <c r="D486" s="20">
        <f>IFERROR(Calc!D100,"")</f>
        <v/>
      </c>
      <c r="E486" s="20">
        <f>IFERROR(Calc!E100,"")</f>
        <v/>
      </c>
      <c r="F486" s="20">
        <f>IFERROR(Calc!F100,"")</f>
        <v/>
      </c>
      <c r="G486" s="21">
        <f>IFERROR(Calc!G100,"")</f>
        <v/>
      </c>
      <c r="H486" s="21">
        <f>IFERROR(Calc!H100,"")</f>
        <v/>
      </c>
      <c r="I486" s="21">
        <f>IFERROR(Calc!I100,"")</f>
        <v/>
      </c>
      <c r="J486" s="17">
        <f>IFERROR(Calc!J100,"")</f>
        <v/>
      </c>
      <c r="K486" s="21">
        <f>IFERROR(Calc!K100,"")</f>
        <v/>
      </c>
      <c r="L486" s="20">
        <f>IFERROR(Calc!L100,"")</f>
        <v/>
      </c>
      <c r="M486" s="17">
        <f>IFERROR(Calc!M100,"")</f>
        <v/>
      </c>
      <c r="N486" s="17">
        <f>IFERROR(Calc!N100,"")</f>
        <v/>
      </c>
      <c r="O486" s="17">
        <f>IFERROR(Calc!O100,"")</f>
        <v/>
      </c>
      <c r="P486" s="17">
        <f>IFERROR(Calc!P100,"")</f>
        <v/>
      </c>
      <c r="Q486" s="21">
        <f>IFERROR(Calc!Q100,"")</f>
        <v/>
      </c>
      <c r="R486" s="21">
        <f>IFERROR(Calc!R100,"")</f>
        <v/>
      </c>
      <c r="S486" s="21">
        <f>IFERROR(Calc!S100,"")</f>
        <v/>
      </c>
      <c r="T486" s="21">
        <f>IFERROR(Calc!T100,"")</f>
        <v/>
      </c>
      <c r="U486" s="21">
        <f>IFERROR(Calc!U100,"")</f>
        <v/>
      </c>
      <c r="V486" s="21">
        <f>IFERROR(Calc!V100,"")</f>
        <v/>
      </c>
      <c r="W486" s="5" t="n"/>
      <c r="X486" s="5" t="n"/>
      <c r="Y486" s="5" t="n"/>
      <c r="Z486" s="5" t="n"/>
      <c r="AA486" s="5" t="n"/>
      <c r="AB486" s="5" t="n"/>
    </row>
    <row r="487" ht="15.75" customHeight="1" s="79">
      <c r="A487" s="5">
        <f>IFERROR(Calc!$A$101,"")</f>
        <v/>
      </c>
      <c r="B487" s="20">
        <f>IFERROR(Calc!B101,"")</f>
        <v/>
      </c>
      <c r="C487" s="20">
        <f>IFERROR(Calc!C101,"")</f>
        <v/>
      </c>
      <c r="D487" s="20">
        <f>IFERROR(Calc!D101,"")</f>
        <v/>
      </c>
      <c r="E487" s="20">
        <f>IFERROR(Calc!E101,"")</f>
        <v/>
      </c>
      <c r="F487" s="20">
        <f>IFERROR(Calc!F101,"")</f>
        <v/>
      </c>
      <c r="G487" s="21">
        <f>IFERROR(Calc!G101,"")</f>
        <v/>
      </c>
      <c r="H487" s="21">
        <f>IFERROR(Calc!H101,"")</f>
        <v/>
      </c>
      <c r="I487" s="21">
        <f>IFERROR(Calc!I101,"")</f>
        <v/>
      </c>
      <c r="J487" s="17">
        <f>IFERROR(Calc!J101,"")</f>
        <v/>
      </c>
      <c r="K487" s="21">
        <f>IFERROR(Calc!K101,"")</f>
        <v/>
      </c>
      <c r="L487" s="20">
        <f>IFERROR(Calc!L101,"")</f>
        <v/>
      </c>
      <c r="M487" s="17">
        <f>IFERROR(Calc!M101,"")</f>
        <v/>
      </c>
      <c r="N487" s="17">
        <f>IFERROR(Calc!N101,"")</f>
        <v/>
      </c>
      <c r="O487" s="17">
        <f>IFERROR(Calc!O101,"")</f>
        <v/>
      </c>
      <c r="P487" s="17">
        <f>IFERROR(Calc!P101,"")</f>
        <v/>
      </c>
      <c r="Q487" s="21">
        <f>IFERROR(Calc!Q101,"")</f>
        <v/>
      </c>
      <c r="R487" s="21">
        <f>IFERROR(Calc!R101,"")</f>
        <v/>
      </c>
      <c r="S487" s="21">
        <f>IFERROR(Calc!S101,"")</f>
        <v/>
      </c>
      <c r="T487" s="21">
        <f>IFERROR(Calc!T101,"")</f>
        <v/>
      </c>
      <c r="U487" s="21">
        <f>IFERROR(Calc!U101,"")</f>
        <v/>
      </c>
      <c r="V487" s="21">
        <f>IFERROR(Calc!V101,"")</f>
        <v/>
      </c>
      <c r="W487" s="5" t="n"/>
      <c r="X487" s="5" t="n"/>
      <c r="Y487" s="5" t="n"/>
      <c r="Z487" s="5" t="n"/>
      <c r="AA487" s="5" t="n"/>
      <c r="AB487" s="5" t="n"/>
    </row>
    <row r="488" ht="15.75" customHeight="1" s="79">
      <c r="A488" s="5">
        <f>IFERROR(Calc!$A$102,"")</f>
        <v/>
      </c>
      <c r="B488" s="20">
        <f>IFERROR(Calc!B102,"")</f>
        <v/>
      </c>
      <c r="C488" s="20">
        <f>IFERROR(Calc!C102,"")</f>
        <v/>
      </c>
      <c r="D488" s="20">
        <f>IFERROR(Calc!D102,"")</f>
        <v/>
      </c>
      <c r="E488" s="20">
        <f>IFERROR(Calc!E102,"")</f>
        <v/>
      </c>
      <c r="F488" s="20">
        <f>IFERROR(Calc!F102,"")</f>
        <v/>
      </c>
      <c r="G488" s="21">
        <f>IFERROR(Calc!G102,"")</f>
        <v/>
      </c>
      <c r="H488" s="21">
        <f>IFERROR(Calc!H102,"")</f>
        <v/>
      </c>
      <c r="I488" s="21">
        <f>IFERROR(Calc!I102,"")</f>
        <v/>
      </c>
      <c r="J488" s="17">
        <f>IFERROR(Calc!J102,"")</f>
        <v/>
      </c>
      <c r="K488" s="21">
        <f>IFERROR(Calc!K102,"")</f>
        <v/>
      </c>
      <c r="L488" s="20">
        <f>IFERROR(Calc!L102,"")</f>
        <v/>
      </c>
      <c r="M488" s="17">
        <f>IFERROR(Calc!M102,"")</f>
        <v/>
      </c>
      <c r="N488" s="17">
        <f>IFERROR(Calc!N102,"")</f>
        <v/>
      </c>
      <c r="O488" s="17">
        <f>IFERROR(Calc!O102,"")</f>
        <v/>
      </c>
      <c r="P488" s="17">
        <f>IFERROR(Calc!P102,"")</f>
        <v/>
      </c>
      <c r="Q488" s="21">
        <f>IFERROR(Calc!Q102,"")</f>
        <v/>
      </c>
      <c r="R488" s="21">
        <f>IFERROR(Calc!R102,"")</f>
        <v/>
      </c>
      <c r="S488" s="21">
        <f>IFERROR(Calc!S102,"")</f>
        <v/>
      </c>
      <c r="T488" s="21">
        <f>IFERROR(Calc!T102,"")</f>
        <v/>
      </c>
      <c r="U488" s="21">
        <f>IFERROR(Calc!U102,"")</f>
        <v/>
      </c>
      <c r="V488" s="21">
        <f>IFERROR(Calc!V102,"")</f>
        <v/>
      </c>
      <c r="W488" s="5" t="n"/>
      <c r="X488" s="5" t="n"/>
      <c r="Y488" s="5" t="n"/>
      <c r="Z488" s="5" t="n"/>
      <c r="AA488" s="5" t="n"/>
      <c r="AB488" s="5" t="n"/>
    </row>
    <row r="489" ht="15.75" customHeight="1" s="79">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row>
    <row r="490" ht="15.75" customHeight="1" s="79">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row>
    <row r="491" ht="15.75" customHeight="1" s="79">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row>
    <row r="492" ht="15.75" customHeight="1" s="79">
      <c r="A492" s="43" t="inlineStr">
        <is>
          <t>POSITION</t>
        </is>
      </c>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row>
    <row r="493" ht="66" customHeight="1" s="79">
      <c r="A493" s="72" t="n"/>
      <c r="R493" s="72" t="n"/>
      <c r="S493" s="72" t="n"/>
      <c r="T493" s="72" t="n"/>
      <c r="U493" s="72" t="n"/>
      <c r="V493" s="72" t="n"/>
      <c r="W493" s="72" t="n"/>
      <c r="X493" s="72" t="n"/>
      <c r="Y493" s="72" t="n"/>
      <c r="Z493" s="72" t="n"/>
      <c r="AA493" s="72" t="n"/>
      <c r="AB493" s="5" t="n"/>
    </row>
    <row r="494" ht="15.75" customHeight="1" s="79">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row>
    <row r="495" ht="15.75" customHeight="1" s="79">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row>
    <row r="496" ht="15.75" customHeight="1" s="79">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row>
    <row r="497" ht="15.75" customHeight="1" s="79">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row>
    <row r="498" ht="15.75" customHeight="1" s="79">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row>
    <row r="499" ht="15.75" customHeight="1" s="79">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row>
    <row r="500" ht="15.75" customHeight="1" s="79">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row>
    <row r="501" ht="15.75" customHeight="1" s="79">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row>
    <row r="502" ht="15.75" customHeight="1" s="79">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row>
    <row r="503" ht="15.75" customHeight="1" s="79">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row>
    <row r="504" ht="15.75" customHeight="1" s="79">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row>
    <row r="505" ht="15.75" customHeight="1" s="79">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row>
    <row r="506" ht="15.75" customHeight="1" s="79">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row>
    <row r="507" ht="15.75" customHeight="1" s="79">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row>
    <row r="508" ht="15.75" customHeight="1" s="79">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row>
    <row r="509" ht="15.75" customHeight="1" s="79">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row>
    <row r="510" ht="15.75" customHeight="1" s="79">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row>
    <row r="511" ht="15.75" customHeight="1" s="79">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row>
    <row r="512" ht="15.75" customHeight="1" s="79">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row>
    <row r="513" ht="15.75" customHeight="1" s="79">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row>
    <row r="514" ht="15.75" customHeight="1" s="79">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row>
    <row r="515" ht="15.75" customHeight="1" s="79">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row>
    <row r="516" ht="15.75" customHeight="1" s="79">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row>
    <row r="517" ht="15.75" customHeight="1" s="79">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row>
    <row r="518" ht="15.75" customHeight="1" s="79">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row>
    <row r="519" ht="15.75" customHeight="1" s="79">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row>
    <row r="520" ht="15.75" customHeight="1" s="79">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row>
    <row r="521" ht="15.75" customHeight="1" s="79">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row>
    <row r="522" ht="15.75" customHeight="1" s="79">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row>
    <row r="523" ht="15.75" customHeight="1" s="79">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row>
    <row r="524" ht="15.75" customHeight="1" s="79">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row>
    <row r="525" ht="15.75" customHeight="1" s="79">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row>
    <row r="526" ht="15.75" customHeight="1" s="79">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row>
    <row r="527" ht="15.75" customHeight="1" s="79">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row>
    <row r="528" ht="15.75" customHeight="1" s="79">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row>
    <row r="529" ht="15.75" customHeight="1" s="79">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row>
    <row r="530" ht="15.75" customHeight="1" s="79">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row>
    <row r="531" ht="15.75" customHeight="1" s="79">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row>
    <row r="532" ht="15.75" customHeight="1" s="79">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row>
    <row r="533" ht="15.75" customHeight="1" s="79">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row>
    <row r="534" ht="15.75" customHeight="1" s="79">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row>
    <row r="535" ht="15.75" customHeight="1" s="79">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row>
    <row r="536" ht="15.75" customHeight="1" s="79">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row>
    <row r="537" ht="15.75" customHeight="1" s="79">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row>
    <row r="538" ht="15.75" customHeight="1" s="79">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row>
    <row r="539" ht="15.75" customHeight="1" s="79">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row>
    <row r="540" ht="15.75" customHeight="1" s="79">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row>
    <row r="541" ht="15.75" customHeight="1" s="79">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row>
    <row r="542" ht="15.75" customHeight="1" s="79">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row>
    <row r="543" ht="15.75" customHeight="1" s="79">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row>
    <row r="544" ht="15.75" customHeight="1" s="79">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row>
    <row r="545" ht="15.75" customHeight="1" s="79">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row>
    <row r="546" ht="15.75" customHeight="1" s="79">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row>
    <row r="547" ht="15.75" customHeight="1" s="79">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row>
    <row r="548" ht="15.75" customHeight="1" s="79">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row>
    <row r="549" ht="15.75" customHeight="1" s="79">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row>
    <row r="550" ht="15.75" customHeight="1" s="79">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row>
    <row r="551" ht="15.75" customHeight="1" s="79">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row>
    <row r="552" ht="15.75" customHeight="1" s="79">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row>
    <row r="553" ht="15.75" customHeight="1" s="79">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row>
    <row r="554" ht="15.75" customHeight="1" s="79">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row>
    <row r="555" ht="15.75" customHeight="1" s="79">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row>
    <row r="556" ht="15.75" customHeight="1" s="79">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row>
    <row r="557" ht="15.75" customHeight="1" s="79">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row>
    <row r="558" ht="15.75" customHeight="1" s="79">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row>
    <row r="559" ht="15.75" customHeight="1" s="79">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row>
    <row r="560" ht="15.75" customHeight="1" s="79">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row>
    <row r="561" ht="15.75" customHeight="1" s="79">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row>
    <row r="562" ht="15.75" customHeight="1" s="79">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row>
    <row r="563" ht="15.75" customHeight="1" s="79">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row>
    <row r="564" ht="15.75" customHeight="1" s="79">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row>
    <row r="565" ht="15.75" customHeight="1" s="79">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row>
    <row r="566" ht="15.75" customHeight="1" s="79">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row>
    <row r="567" ht="15.75" customHeight="1" s="79">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row>
    <row r="568" ht="15.75" customHeight="1" s="79">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row>
    <row r="569" ht="15.75" customHeight="1" s="79">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row>
    <row r="570" ht="15.75" customHeight="1" s="79">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row>
    <row r="571" ht="15.75" customHeight="1" s="79">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row>
    <row r="572" ht="15.75" customHeight="1" s="79">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row>
    <row r="573" ht="15.75" customHeight="1" s="79">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row>
    <row r="574" ht="15.75" customHeight="1" s="79">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row>
    <row r="575" ht="15.75" customHeight="1" s="79">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row>
    <row r="576" ht="15.75" customHeight="1" s="79">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row>
    <row r="577" ht="15.75" customHeight="1" s="79">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row>
    <row r="578" ht="15.75" customHeight="1" s="79">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row>
    <row r="579" ht="15.75" customHeight="1" s="79">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row>
    <row r="580" ht="15.75" customHeight="1" s="79">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row>
    <row r="581" ht="15.75" customHeight="1" s="79">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row>
    <row r="582" ht="15.75" customHeight="1" s="79">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row>
    <row r="583" ht="15.75" customHeight="1" s="79">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row>
    <row r="584" ht="15.75" customHeight="1" s="79">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row>
    <row r="585" ht="15.75" customHeight="1" s="79">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row>
    <row r="586" ht="15.75" customHeight="1" s="79">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row>
    <row r="587" ht="15.75" customHeight="1" s="79">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row>
    <row r="588" ht="15.75" customHeight="1" s="79">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row>
    <row r="589" ht="15.75" customHeight="1" s="79">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row>
    <row r="590" ht="15.75" customHeight="1" s="79">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row>
    <row r="591" ht="15.75" customHeight="1" s="79">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row>
    <row r="592" ht="15.75" customHeight="1" s="79">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row>
    <row r="593" ht="15.75" customHeight="1" s="79">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row>
    <row r="594" ht="15.75" customHeight="1" s="79">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row>
    <row r="595" ht="30" customHeight="1" s="79">
      <c r="A595" s="34" t="inlineStr">
        <is>
          <t>Segment</t>
        </is>
      </c>
      <c r="B595" s="34" t="inlineStr">
        <is>
          <t>Funded $</t>
        </is>
      </c>
      <c r="C595" s="34" t="inlineStr">
        <is>
          <t>Collected $</t>
        </is>
      </c>
      <c r="D595" s="34" t="inlineStr">
        <is>
          <t>Net profit / loss $</t>
        </is>
      </c>
      <c r="E595" s="34" t="inlineStr">
        <is>
          <t>Commission $</t>
        </is>
      </c>
      <c r="F595" s="34" t="inlineStr">
        <is>
          <t>Principal lost $</t>
        </is>
      </c>
      <c r="G595" s="34" t="inlineStr">
        <is>
          <t>Principal default exposure</t>
        </is>
      </c>
      <c r="H595" s="34" t="inlineStr">
        <is>
          <t>Recovery rate</t>
        </is>
      </c>
      <c r="I595" s="34" t="inlineStr">
        <is>
          <t>Return on funded capital (%)</t>
        </is>
      </c>
      <c r="J595" s="34" t="inlineStr">
        <is>
          <t>Deals</t>
        </is>
      </c>
      <c r="K595" s="34" t="inlineStr">
        <is>
          <t>Share of funded dollars</t>
        </is>
      </c>
      <c r="L595" s="34" t="inlineStr">
        <is>
          <t>Avg deal size</t>
        </is>
      </c>
      <c r="M595" s="34" t="inlineStr">
        <is>
          <t>Avg expected term (business days)</t>
        </is>
      </c>
      <c r="N595" s="34" t="inlineStr">
        <is>
          <t>Avg expected term (payments)</t>
        </is>
      </c>
      <c r="O595" s="34" t="inlineStr">
        <is>
          <t>Avg days on book, defaulted</t>
        </is>
      </c>
      <c r="P595" s="34" t="inlineStr">
        <is>
          <t>Avg days to close</t>
        </is>
      </c>
      <c r="Q595" s="34" t="inlineStr">
        <is>
          <t>% of deals that were renewals</t>
        </is>
      </c>
      <c r="R595" s="34" t="inlineStr">
        <is>
          <t>% of funded dollars from renewals</t>
        </is>
      </c>
      <c r="S595" s="34" t="inlineStr">
        <is>
          <t>Book default exposure</t>
        </is>
      </c>
      <c r="T595" s="34" t="inlineStr">
        <is>
          <t>Book recovery</t>
        </is>
      </c>
      <c r="U595" s="34" t="inlineStr">
        <is>
          <t>Book return on funded capital</t>
        </is>
      </c>
      <c r="V595" s="34" t="inlineStr">
        <is>
          <t>Default rate (#)</t>
        </is>
      </c>
      <c r="W595" s="5" t="n"/>
      <c r="X595" s="5" t="n"/>
      <c r="Y595" s="5" t="n"/>
      <c r="Z595" s="5" t="n"/>
      <c r="AA595" s="5" t="n"/>
      <c r="AB595" s="5" t="n"/>
    </row>
    <row r="596" ht="15.75" customHeight="1" s="79">
      <c r="A596" s="5">
        <f>IFERROR(Calc!$A$107,"")</f>
        <v/>
      </c>
      <c r="B596" s="20">
        <f>IFERROR(Calc!B107,"")</f>
        <v/>
      </c>
      <c r="C596" s="20">
        <f>IFERROR(Calc!C107,"")</f>
        <v/>
      </c>
      <c r="D596" s="20">
        <f>IFERROR(Calc!D107,"")</f>
        <v/>
      </c>
      <c r="E596" s="20">
        <f>IFERROR(Calc!E107,"")</f>
        <v/>
      </c>
      <c r="F596" s="20">
        <f>IFERROR(Calc!F107,"")</f>
        <v/>
      </c>
      <c r="G596" s="21">
        <f>IFERROR(Calc!G107,"")</f>
        <v/>
      </c>
      <c r="H596" s="21">
        <f>IFERROR(Calc!H107,"")</f>
        <v/>
      </c>
      <c r="I596" s="21">
        <f>IFERROR(Calc!I107,"")</f>
        <v/>
      </c>
      <c r="J596" s="17">
        <f>IFERROR(Calc!J107,"")</f>
        <v/>
      </c>
      <c r="K596" s="21">
        <f>IFERROR(Calc!K107,"")</f>
        <v/>
      </c>
      <c r="L596" s="20">
        <f>IFERROR(Calc!L107,"")</f>
        <v/>
      </c>
      <c r="M596" s="17">
        <f>IFERROR(Calc!M107,"")</f>
        <v/>
      </c>
      <c r="N596" s="17">
        <f>IFERROR(Calc!N107,"")</f>
        <v/>
      </c>
      <c r="O596" s="17">
        <f>IFERROR(Calc!O107,"")</f>
        <v/>
      </c>
      <c r="P596" s="17">
        <f>IFERROR(Calc!P107,"")</f>
        <v/>
      </c>
      <c r="Q596" s="21">
        <f>IFERROR(Calc!Q107,"")</f>
        <v/>
      </c>
      <c r="R596" s="21">
        <f>IFERROR(Calc!R107,"")</f>
        <v/>
      </c>
      <c r="S596" s="21">
        <f>IFERROR(Calc!S107,"")</f>
        <v/>
      </c>
      <c r="T596" s="21">
        <f>IFERROR(Calc!T107,"")</f>
        <v/>
      </c>
      <c r="U596" s="21">
        <f>IFERROR(Calc!U107,"")</f>
        <v/>
      </c>
      <c r="V596" s="21">
        <f>IFERROR(Calc!V107,"")</f>
        <v/>
      </c>
      <c r="W596" s="5" t="n"/>
      <c r="X596" s="5" t="n"/>
      <c r="Y596" s="5" t="n"/>
      <c r="Z596" s="5" t="n"/>
      <c r="AA596" s="5" t="n"/>
      <c r="AB596" s="5" t="n"/>
    </row>
    <row r="597" ht="15.75" customHeight="1" s="79">
      <c r="A597" s="5">
        <f>IFERROR(Calc!$A$108,"")</f>
        <v/>
      </c>
      <c r="B597" s="20">
        <f>IFERROR(Calc!B108,"")</f>
        <v/>
      </c>
      <c r="C597" s="20">
        <f>IFERROR(Calc!C108,"")</f>
        <v/>
      </c>
      <c r="D597" s="20">
        <f>IFERROR(Calc!D108,"")</f>
        <v/>
      </c>
      <c r="E597" s="20">
        <f>IFERROR(Calc!E108,"")</f>
        <v/>
      </c>
      <c r="F597" s="20">
        <f>IFERROR(Calc!F108,"")</f>
        <v/>
      </c>
      <c r="G597" s="21">
        <f>IFERROR(Calc!G108,"")</f>
        <v/>
      </c>
      <c r="H597" s="21">
        <f>IFERROR(Calc!H108,"")</f>
        <v/>
      </c>
      <c r="I597" s="21">
        <f>IFERROR(Calc!I108,"")</f>
        <v/>
      </c>
      <c r="J597" s="17">
        <f>IFERROR(Calc!J108,"")</f>
        <v/>
      </c>
      <c r="K597" s="21">
        <f>IFERROR(Calc!K108,"")</f>
        <v/>
      </c>
      <c r="L597" s="20">
        <f>IFERROR(Calc!L108,"")</f>
        <v/>
      </c>
      <c r="M597" s="17">
        <f>IFERROR(Calc!M108,"")</f>
        <v/>
      </c>
      <c r="N597" s="17">
        <f>IFERROR(Calc!N108,"")</f>
        <v/>
      </c>
      <c r="O597" s="17">
        <f>IFERROR(Calc!O108,"")</f>
        <v/>
      </c>
      <c r="P597" s="17">
        <f>IFERROR(Calc!P108,"")</f>
        <v/>
      </c>
      <c r="Q597" s="21">
        <f>IFERROR(Calc!Q108,"")</f>
        <v/>
      </c>
      <c r="R597" s="21">
        <f>IFERROR(Calc!R108,"")</f>
        <v/>
      </c>
      <c r="S597" s="21">
        <f>IFERROR(Calc!S108,"")</f>
        <v/>
      </c>
      <c r="T597" s="21">
        <f>IFERROR(Calc!T108,"")</f>
        <v/>
      </c>
      <c r="U597" s="21">
        <f>IFERROR(Calc!U108,"")</f>
        <v/>
      </c>
      <c r="V597" s="21">
        <f>IFERROR(Calc!V108,"")</f>
        <v/>
      </c>
      <c r="W597" s="5" t="n"/>
      <c r="X597" s="5" t="n"/>
      <c r="Y597" s="5" t="n"/>
      <c r="Z597" s="5" t="n"/>
      <c r="AA597" s="5" t="n"/>
      <c r="AB597" s="5" t="n"/>
    </row>
    <row r="598" ht="15.75" customHeight="1" s="79">
      <c r="A598" s="5">
        <f>IFERROR(Calc!$A$109,"")</f>
        <v/>
      </c>
      <c r="B598" s="20">
        <f>IFERROR(Calc!B109,"")</f>
        <v/>
      </c>
      <c r="C598" s="20">
        <f>IFERROR(Calc!C109,"")</f>
        <v/>
      </c>
      <c r="D598" s="20">
        <f>IFERROR(Calc!D109,"")</f>
        <v/>
      </c>
      <c r="E598" s="20">
        <f>IFERROR(Calc!E109,"")</f>
        <v/>
      </c>
      <c r="F598" s="20">
        <f>IFERROR(Calc!F109,"")</f>
        <v/>
      </c>
      <c r="G598" s="21">
        <f>IFERROR(Calc!G109,"")</f>
        <v/>
      </c>
      <c r="H598" s="21">
        <f>IFERROR(Calc!H109,"")</f>
        <v/>
      </c>
      <c r="I598" s="21">
        <f>IFERROR(Calc!I109,"")</f>
        <v/>
      </c>
      <c r="J598" s="17">
        <f>IFERROR(Calc!J109,"")</f>
        <v/>
      </c>
      <c r="K598" s="21">
        <f>IFERROR(Calc!K109,"")</f>
        <v/>
      </c>
      <c r="L598" s="20">
        <f>IFERROR(Calc!L109,"")</f>
        <v/>
      </c>
      <c r="M598" s="17">
        <f>IFERROR(Calc!M109,"")</f>
        <v/>
      </c>
      <c r="N598" s="17">
        <f>IFERROR(Calc!N109,"")</f>
        <v/>
      </c>
      <c r="O598" s="17">
        <f>IFERROR(Calc!O109,"")</f>
        <v/>
      </c>
      <c r="P598" s="17">
        <f>IFERROR(Calc!P109,"")</f>
        <v/>
      </c>
      <c r="Q598" s="21">
        <f>IFERROR(Calc!Q109,"")</f>
        <v/>
      </c>
      <c r="R598" s="21">
        <f>IFERROR(Calc!R109,"")</f>
        <v/>
      </c>
      <c r="S598" s="21">
        <f>IFERROR(Calc!S109,"")</f>
        <v/>
      </c>
      <c r="T598" s="21">
        <f>IFERROR(Calc!T109,"")</f>
        <v/>
      </c>
      <c r="U598" s="21">
        <f>IFERROR(Calc!U109,"")</f>
        <v/>
      </c>
      <c r="V598" s="21">
        <f>IFERROR(Calc!V109,"")</f>
        <v/>
      </c>
      <c r="W598" s="5" t="n"/>
      <c r="X598" s="5" t="n"/>
      <c r="Y598" s="5" t="n"/>
      <c r="Z598" s="5" t="n"/>
      <c r="AA598" s="5" t="n"/>
      <c r="AB598" s="5" t="n"/>
    </row>
    <row r="599" ht="15.75" customHeight="1" s="79">
      <c r="A599" s="5">
        <f>IFERROR(Calc!$A$110,"")</f>
        <v/>
      </c>
      <c r="B599" s="20">
        <f>IFERROR(Calc!B110,"")</f>
        <v/>
      </c>
      <c r="C599" s="20">
        <f>IFERROR(Calc!C110,"")</f>
        <v/>
      </c>
      <c r="D599" s="20">
        <f>IFERROR(Calc!D110,"")</f>
        <v/>
      </c>
      <c r="E599" s="20">
        <f>IFERROR(Calc!E110,"")</f>
        <v/>
      </c>
      <c r="F599" s="20">
        <f>IFERROR(Calc!F110,"")</f>
        <v/>
      </c>
      <c r="G599" s="21">
        <f>IFERROR(Calc!G110,"")</f>
        <v/>
      </c>
      <c r="H599" s="21">
        <f>IFERROR(Calc!H110,"")</f>
        <v/>
      </c>
      <c r="I599" s="21">
        <f>IFERROR(Calc!I110,"")</f>
        <v/>
      </c>
      <c r="J599" s="17">
        <f>IFERROR(Calc!J110,"")</f>
        <v/>
      </c>
      <c r="K599" s="21">
        <f>IFERROR(Calc!K110,"")</f>
        <v/>
      </c>
      <c r="L599" s="20">
        <f>IFERROR(Calc!L110,"")</f>
        <v/>
      </c>
      <c r="M599" s="17">
        <f>IFERROR(Calc!M110,"")</f>
        <v/>
      </c>
      <c r="N599" s="17">
        <f>IFERROR(Calc!N110,"")</f>
        <v/>
      </c>
      <c r="O599" s="17">
        <f>IFERROR(Calc!O110,"")</f>
        <v/>
      </c>
      <c r="P599" s="17">
        <f>IFERROR(Calc!P110,"")</f>
        <v/>
      </c>
      <c r="Q599" s="21">
        <f>IFERROR(Calc!Q110,"")</f>
        <v/>
      </c>
      <c r="R599" s="21">
        <f>IFERROR(Calc!R110,"")</f>
        <v/>
      </c>
      <c r="S599" s="21">
        <f>IFERROR(Calc!S110,"")</f>
        <v/>
      </c>
      <c r="T599" s="21">
        <f>IFERROR(Calc!T110,"")</f>
        <v/>
      </c>
      <c r="U599" s="21">
        <f>IFERROR(Calc!U110,"")</f>
        <v/>
      </c>
      <c r="V599" s="21">
        <f>IFERROR(Calc!V110,"")</f>
        <v/>
      </c>
      <c r="W599" s="5" t="n"/>
      <c r="X599" s="5" t="n"/>
      <c r="Y599" s="5" t="n"/>
      <c r="Z599" s="5" t="n"/>
      <c r="AA599" s="5" t="n"/>
      <c r="AB599" s="5" t="n"/>
    </row>
    <row r="600" ht="15.75" customHeight="1" s="79">
      <c r="A600" s="5">
        <f>IFERROR(Calc!$A$111,"")</f>
        <v/>
      </c>
      <c r="B600" s="20">
        <f>IFERROR(Calc!B111,"")</f>
        <v/>
      </c>
      <c r="C600" s="20">
        <f>IFERROR(Calc!C111,"")</f>
        <v/>
      </c>
      <c r="D600" s="20">
        <f>IFERROR(Calc!D111,"")</f>
        <v/>
      </c>
      <c r="E600" s="20">
        <f>IFERROR(Calc!E111,"")</f>
        <v/>
      </c>
      <c r="F600" s="20">
        <f>IFERROR(Calc!F111,"")</f>
        <v/>
      </c>
      <c r="G600" s="21">
        <f>IFERROR(Calc!G111,"")</f>
        <v/>
      </c>
      <c r="H600" s="21">
        <f>IFERROR(Calc!H111,"")</f>
        <v/>
      </c>
      <c r="I600" s="21">
        <f>IFERROR(Calc!I111,"")</f>
        <v/>
      </c>
      <c r="J600" s="17">
        <f>IFERROR(Calc!J111,"")</f>
        <v/>
      </c>
      <c r="K600" s="21">
        <f>IFERROR(Calc!K111,"")</f>
        <v/>
      </c>
      <c r="L600" s="20">
        <f>IFERROR(Calc!L111,"")</f>
        <v/>
      </c>
      <c r="M600" s="17">
        <f>IFERROR(Calc!M111,"")</f>
        <v/>
      </c>
      <c r="N600" s="17">
        <f>IFERROR(Calc!N111,"")</f>
        <v/>
      </c>
      <c r="O600" s="17">
        <f>IFERROR(Calc!O111,"")</f>
        <v/>
      </c>
      <c r="P600" s="17">
        <f>IFERROR(Calc!P111,"")</f>
        <v/>
      </c>
      <c r="Q600" s="21">
        <f>IFERROR(Calc!Q111,"")</f>
        <v/>
      </c>
      <c r="R600" s="21">
        <f>IFERROR(Calc!R111,"")</f>
        <v/>
      </c>
      <c r="S600" s="21">
        <f>IFERROR(Calc!S111,"")</f>
        <v/>
      </c>
      <c r="T600" s="21">
        <f>IFERROR(Calc!T111,"")</f>
        <v/>
      </c>
      <c r="U600" s="21">
        <f>IFERROR(Calc!U111,"")</f>
        <v/>
      </c>
      <c r="V600" s="21">
        <f>IFERROR(Calc!V111,"")</f>
        <v/>
      </c>
      <c r="W600" s="5" t="n"/>
      <c r="X600" s="5" t="n"/>
      <c r="Y600" s="5" t="n"/>
      <c r="Z600" s="5" t="n"/>
      <c r="AA600" s="5" t="n"/>
      <c r="AB600" s="5" t="n"/>
    </row>
    <row r="601" ht="15.75" customHeight="1" s="79">
      <c r="A601" s="5">
        <f>IFERROR(Calc!$A$112,"")</f>
        <v/>
      </c>
      <c r="B601" s="20">
        <f>IFERROR(Calc!B112,"")</f>
        <v/>
      </c>
      <c r="C601" s="20">
        <f>IFERROR(Calc!C112,"")</f>
        <v/>
      </c>
      <c r="D601" s="20">
        <f>IFERROR(Calc!D112,"")</f>
        <v/>
      </c>
      <c r="E601" s="20">
        <f>IFERROR(Calc!E112,"")</f>
        <v/>
      </c>
      <c r="F601" s="20">
        <f>IFERROR(Calc!F112,"")</f>
        <v/>
      </c>
      <c r="G601" s="21">
        <f>IFERROR(Calc!G112,"")</f>
        <v/>
      </c>
      <c r="H601" s="21">
        <f>IFERROR(Calc!H112,"")</f>
        <v/>
      </c>
      <c r="I601" s="21">
        <f>IFERROR(Calc!I112,"")</f>
        <v/>
      </c>
      <c r="J601" s="17">
        <f>IFERROR(Calc!J112,"")</f>
        <v/>
      </c>
      <c r="K601" s="21">
        <f>IFERROR(Calc!K112,"")</f>
        <v/>
      </c>
      <c r="L601" s="20">
        <f>IFERROR(Calc!L112,"")</f>
        <v/>
      </c>
      <c r="M601" s="17">
        <f>IFERROR(Calc!M112,"")</f>
        <v/>
      </c>
      <c r="N601" s="17">
        <f>IFERROR(Calc!N112,"")</f>
        <v/>
      </c>
      <c r="O601" s="17">
        <f>IFERROR(Calc!O112,"")</f>
        <v/>
      </c>
      <c r="P601" s="17">
        <f>IFERROR(Calc!P112,"")</f>
        <v/>
      </c>
      <c r="Q601" s="21">
        <f>IFERROR(Calc!Q112,"")</f>
        <v/>
      </c>
      <c r="R601" s="21">
        <f>IFERROR(Calc!R112,"")</f>
        <v/>
      </c>
      <c r="S601" s="21">
        <f>IFERROR(Calc!S112,"")</f>
        <v/>
      </c>
      <c r="T601" s="21">
        <f>IFERROR(Calc!T112,"")</f>
        <v/>
      </c>
      <c r="U601" s="21">
        <f>IFERROR(Calc!U112,"")</f>
        <v/>
      </c>
      <c r="V601" s="21">
        <f>IFERROR(Calc!V112,"")</f>
        <v/>
      </c>
      <c r="W601" s="5" t="n"/>
      <c r="X601" s="5" t="n"/>
      <c r="Y601" s="5" t="n"/>
      <c r="Z601" s="5" t="n"/>
      <c r="AA601" s="5" t="n"/>
      <c r="AB601" s="5" t="n"/>
    </row>
    <row r="602" ht="15.75" customHeight="1" s="79">
      <c r="A602" s="5">
        <f>IFERROR(Calc!$A$113,"")</f>
        <v/>
      </c>
      <c r="B602" s="20">
        <f>IFERROR(Calc!B113,"")</f>
        <v/>
      </c>
      <c r="C602" s="20">
        <f>IFERROR(Calc!C113,"")</f>
        <v/>
      </c>
      <c r="D602" s="20">
        <f>IFERROR(Calc!D113,"")</f>
        <v/>
      </c>
      <c r="E602" s="20">
        <f>IFERROR(Calc!E113,"")</f>
        <v/>
      </c>
      <c r="F602" s="20">
        <f>IFERROR(Calc!F113,"")</f>
        <v/>
      </c>
      <c r="G602" s="21">
        <f>IFERROR(Calc!G113,"")</f>
        <v/>
      </c>
      <c r="H602" s="21">
        <f>IFERROR(Calc!H113,"")</f>
        <v/>
      </c>
      <c r="I602" s="21">
        <f>IFERROR(Calc!I113,"")</f>
        <v/>
      </c>
      <c r="J602" s="17">
        <f>IFERROR(Calc!J113,"")</f>
        <v/>
      </c>
      <c r="K602" s="21">
        <f>IFERROR(Calc!K113,"")</f>
        <v/>
      </c>
      <c r="L602" s="20">
        <f>IFERROR(Calc!L113,"")</f>
        <v/>
      </c>
      <c r="M602" s="17">
        <f>IFERROR(Calc!M113,"")</f>
        <v/>
      </c>
      <c r="N602" s="17">
        <f>IFERROR(Calc!N113,"")</f>
        <v/>
      </c>
      <c r="O602" s="17">
        <f>IFERROR(Calc!O113,"")</f>
        <v/>
      </c>
      <c r="P602" s="17">
        <f>IFERROR(Calc!P113,"")</f>
        <v/>
      </c>
      <c r="Q602" s="21">
        <f>IFERROR(Calc!Q113,"")</f>
        <v/>
      </c>
      <c r="R602" s="21">
        <f>IFERROR(Calc!R113,"")</f>
        <v/>
      </c>
      <c r="S602" s="21">
        <f>IFERROR(Calc!S113,"")</f>
        <v/>
      </c>
      <c r="T602" s="21">
        <f>IFERROR(Calc!T113,"")</f>
        <v/>
      </c>
      <c r="U602" s="21">
        <f>IFERROR(Calc!U113,"")</f>
        <v/>
      </c>
      <c r="V602" s="21">
        <f>IFERROR(Calc!V113,"")</f>
        <v/>
      </c>
      <c r="W602" s="5" t="n"/>
      <c r="X602" s="5" t="n"/>
      <c r="Y602" s="5" t="n"/>
      <c r="Z602" s="5" t="n"/>
      <c r="AA602" s="5" t="n"/>
      <c r="AB602" s="5" t="n"/>
    </row>
    <row r="603" ht="15.75" customHeight="1" s="79">
      <c r="A603" s="5">
        <f>IFERROR(Calc!$A$114,"")</f>
        <v/>
      </c>
      <c r="B603" s="20">
        <f>IFERROR(Calc!B114,"")</f>
        <v/>
      </c>
      <c r="C603" s="20">
        <f>IFERROR(Calc!C114,"")</f>
        <v/>
      </c>
      <c r="D603" s="20">
        <f>IFERROR(Calc!D114,"")</f>
        <v/>
      </c>
      <c r="E603" s="20">
        <f>IFERROR(Calc!E114,"")</f>
        <v/>
      </c>
      <c r="F603" s="20">
        <f>IFERROR(Calc!F114,"")</f>
        <v/>
      </c>
      <c r="G603" s="21">
        <f>IFERROR(Calc!G114,"")</f>
        <v/>
      </c>
      <c r="H603" s="21">
        <f>IFERROR(Calc!H114,"")</f>
        <v/>
      </c>
      <c r="I603" s="21">
        <f>IFERROR(Calc!I114,"")</f>
        <v/>
      </c>
      <c r="J603" s="17">
        <f>IFERROR(Calc!J114,"")</f>
        <v/>
      </c>
      <c r="K603" s="21">
        <f>IFERROR(Calc!K114,"")</f>
        <v/>
      </c>
      <c r="L603" s="20">
        <f>IFERROR(Calc!L114,"")</f>
        <v/>
      </c>
      <c r="M603" s="17">
        <f>IFERROR(Calc!M114,"")</f>
        <v/>
      </c>
      <c r="N603" s="17">
        <f>IFERROR(Calc!N114,"")</f>
        <v/>
      </c>
      <c r="O603" s="17">
        <f>IFERROR(Calc!O114,"")</f>
        <v/>
      </c>
      <c r="P603" s="17">
        <f>IFERROR(Calc!P114,"")</f>
        <v/>
      </c>
      <c r="Q603" s="21">
        <f>IFERROR(Calc!Q114,"")</f>
        <v/>
      </c>
      <c r="R603" s="21">
        <f>IFERROR(Calc!R114,"")</f>
        <v/>
      </c>
      <c r="S603" s="21">
        <f>IFERROR(Calc!S114,"")</f>
        <v/>
      </c>
      <c r="T603" s="21">
        <f>IFERROR(Calc!T114,"")</f>
        <v/>
      </c>
      <c r="U603" s="21">
        <f>IFERROR(Calc!U114,"")</f>
        <v/>
      </c>
      <c r="V603" s="21">
        <f>IFERROR(Calc!V114,"")</f>
        <v/>
      </c>
      <c r="W603" s="5" t="n"/>
      <c r="X603" s="5" t="n"/>
      <c r="Y603" s="5" t="n"/>
      <c r="Z603" s="5" t="n"/>
      <c r="AA603" s="5" t="n"/>
      <c r="AB603" s="5" t="n"/>
    </row>
    <row r="604" ht="15.75" customHeight="1" s="79">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row>
    <row r="605" ht="15.75" customHeight="1" s="79">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row>
    <row r="606" ht="15.75" customHeight="1" s="79">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row>
    <row r="607" ht="15.75" customHeight="1" s="79">
      <c r="A607" s="43" t="inlineStr">
        <is>
          <t>DEAL SIZE</t>
        </is>
      </c>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row>
    <row r="608" ht="66" customHeight="1" s="79">
      <c r="A608" s="72" t="n"/>
      <c r="T608" s="72" t="n"/>
      <c r="U608" s="72" t="n"/>
      <c r="V608" s="72" t="n"/>
      <c r="W608" s="72" t="n"/>
      <c r="X608" s="72" t="n"/>
      <c r="Y608" s="72" t="n"/>
      <c r="Z608" s="72" t="n"/>
      <c r="AA608" s="72" t="n"/>
      <c r="AB608" s="73" t="n"/>
    </row>
    <row r="609" ht="15.75" customHeight="1" s="79">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row>
    <row r="610" ht="15.75" customHeight="1" s="79">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row>
    <row r="611" ht="15.75" customHeight="1" s="79">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row>
    <row r="612" ht="15.75" customHeight="1" s="79">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row>
    <row r="613" ht="15.75" customHeight="1" s="79">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row>
    <row r="614" ht="15.75" customHeight="1" s="79">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row>
    <row r="615" ht="15.75" customHeight="1" s="79">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row>
    <row r="616" ht="15.75" customHeight="1" s="79">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row>
    <row r="617" ht="15.75" customHeight="1" s="79">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row>
    <row r="618" ht="15.75" customHeight="1" s="79">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row>
    <row r="619" ht="15.75" customHeight="1" s="79">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row>
    <row r="620" ht="15.75" customHeight="1" s="79">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row>
    <row r="621" ht="15.75" customHeight="1" s="79">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row>
    <row r="622" ht="15.75" customHeight="1" s="79">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row>
    <row r="623" ht="15.75" customHeight="1" s="79">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row>
    <row r="624" ht="15.75" customHeight="1" s="79">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row>
    <row r="625" ht="15.75" customHeight="1" s="79">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row>
    <row r="626" ht="15.75" customHeight="1" s="79">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row>
    <row r="627" ht="15.75" customHeight="1" s="79">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row>
    <row r="628" ht="15.75" customHeight="1" s="79">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row>
    <row r="629" ht="15.75" customHeight="1" s="79">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row>
    <row r="630" ht="15.75" customHeight="1" s="79">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row>
    <row r="631" ht="15.75" customHeight="1" s="79">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row>
    <row r="632" ht="15.75" customHeight="1" s="79">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row>
    <row r="633" ht="15.75" customHeight="1" s="79">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row>
    <row r="634" ht="15.75" customHeight="1" s="79">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row>
    <row r="635" ht="15.75" customHeight="1" s="79">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row>
    <row r="636" ht="15.75" customHeight="1" s="79">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row>
    <row r="637" ht="15.75" customHeight="1" s="79">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row>
    <row r="638" ht="15.75" customHeight="1" s="79">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row>
    <row r="639" ht="15.75" customHeight="1" s="79">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row>
    <row r="640" ht="15.75" customHeight="1" s="79">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row>
    <row r="641" ht="15.75" customHeight="1" s="79">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row>
    <row r="642" ht="15.75" customHeight="1" s="79">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row>
    <row r="643" ht="15.75" customHeight="1" s="79">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row>
    <row r="644" ht="15.75" customHeight="1" s="79">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row>
    <row r="645" ht="15.75" customHeight="1" s="79">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row>
    <row r="646" ht="15.75" customHeight="1" s="79">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row>
    <row r="647" ht="15.75" customHeight="1" s="79">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row>
    <row r="648" ht="15.75" customHeight="1" s="79">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row>
    <row r="649" ht="15.75" customHeight="1" s="79">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row>
    <row r="650" ht="15.75" customHeight="1" s="79">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row>
    <row r="651" ht="15.75" customHeight="1" s="79">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row>
    <row r="652" ht="15.75" customHeight="1" s="79">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row>
    <row r="653" ht="15.75" customHeight="1" s="79">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row>
    <row r="654" ht="15.75" customHeight="1" s="79">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row>
    <row r="655" ht="15.75" customHeight="1" s="79">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row>
    <row r="656" ht="15.75" customHeight="1" s="79">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row>
    <row r="657" ht="15.75" customHeight="1" s="79">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row>
    <row r="658" ht="15.75" customHeight="1" s="79">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row>
    <row r="659" ht="15.75" customHeight="1" s="79">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row>
    <row r="660" ht="15.75" customHeight="1" s="79">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row>
    <row r="661" ht="15.75" customHeight="1" s="79">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row>
    <row r="662" ht="15.75" customHeight="1" s="79">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row>
    <row r="663" ht="15.75" customHeight="1" s="79">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row>
    <row r="664" ht="15.75" customHeight="1" s="79">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row>
    <row r="665" ht="15.75" customHeight="1" s="79">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row>
    <row r="666" ht="15.75" customHeight="1" s="79">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row>
    <row r="667" ht="15.75" customHeight="1" s="79">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row>
    <row r="668" ht="15.75" customHeight="1" s="79">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row>
    <row r="669" ht="15.75" customHeight="1" s="79">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row>
    <row r="670" ht="15.75" customHeight="1" s="79">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row>
    <row r="671" ht="15.75" customHeight="1" s="79">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row>
    <row r="672" ht="15.75" customHeight="1" s="79">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row>
    <row r="673" ht="15.75" customHeight="1" s="79">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row>
    <row r="674" ht="15.75" customHeight="1" s="79">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row>
    <row r="675" ht="15.75" customHeight="1" s="79">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row>
    <row r="676" ht="15.75" customHeight="1" s="79">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row>
    <row r="677" ht="15.75" customHeight="1" s="79">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row>
    <row r="678" ht="15.75" customHeight="1" s="79">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row>
    <row r="679" ht="15.75" customHeight="1" s="79">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row>
    <row r="680" ht="15.75" customHeight="1" s="79">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row>
    <row r="681" ht="15.75" customHeight="1" s="79">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row>
    <row r="682" ht="15.75" customHeight="1" s="79">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row>
    <row r="683" ht="15.75" customHeight="1" s="79">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row>
    <row r="684" ht="15.75" customHeight="1" s="79">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row>
    <row r="685" ht="15.75" customHeight="1" s="79">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row>
    <row r="686" ht="15.75" customHeight="1" s="79">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row>
    <row r="687" ht="15.75" customHeight="1" s="79">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row>
    <row r="688" ht="15.75" customHeight="1" s="79">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row>
    <row r="689" ht="15.75" customHeight="1" s="79">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row>
    <row r="690" ht="15.75" customHeight="1" s="79">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row>
    <row r="691" ht="15.75" customHeight="1" s="79">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row>
    <row r="692" ht="15.75" customHeight="1" s="79">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row>
    <row r="693" ht="15.75" customHeight="1" s="79">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row>
    <row r="694" ht="15.75" customHeight="1" s="79">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row>
    <row r="695" ht="15.75" customHeight="1" s="79">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row>
    <row r="696" ht="15.75" customHeight="1" s="79">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row>
    <row r="697" ht="15.75" customHeight="1" s="79">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row>
    <row r="698" ht="15.75" customHeight="1" s="79">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row>
    <row r="699" ht="15.75" customHeight="1" s="79">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row>
    <row r="700" ht="15.75" customHeight="1" s="79">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row>
    <row r="701" ht="15.75" customHeight="1" s="79">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row>
    <row r="702" ht="15.75" customHeight="1" s="79">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row>
    <row r="703" ht="15.75" customHeight="1" s="79">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row>
    <row r="704" ht="15.75" customHeight="1" s="79">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row>
    <row r="705" ht="15.75" customHeight="1" s="79">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row>
    <row r="706" ht="15.75" customHeight="1" s="79">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row>
    <row r="707" ht="15.75" customHeight="1" s="79">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row>
    <row r="708" ht="15.75" customHeight="1" s="79">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row>
    <row r="709" ht="15.75" customHeight="1" s="79">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row>
    <row r="710" ht="30" customHeight="1" s="79">
      <c r="A710" s="34" t="inlineStr">
        <is>
          <t>Segment</t>
        </is>
      </c>
      <c r="B710" s="34" t="inlineStr">
        <is>
          <t>Funded $</t>
        </is>
      </c>
      <c r="C710" s="34" t="inlineStr">
        <is>
          <t>Collected $</t>
        </is>
      </c>
      <c r="D710" s="34" t="inlineStr">
        <is>
          <t>Net profit / loss $</t>
        </is>
      </c>
      <c r="E710" s="34" t="inlineStr">
        <is>
          <t>Commission $</t>
        </is>
      </c>
      <c r="F710" s="34" t="inlineStr">
        <is>
          <t>Principal lost $</t>
        </is>
      </c>
      <c r="G710" s="34" t="inlineStr">
        <is>
          <t>Principal default exposure</t>
        </is>
      </c>
      <c r="H710" s="34" t="inlineStr">
        <is>
          <t>Recovery rate</t>
        </is>
      </c>
      <c r="I710" s="34" t="inlineStr">
        <is>
          <t>Return on funded capital (%)</t>
        </is>
      </c>
      <c r="J710" s="34" t="inlineStr">
        <is>
          <t>Deals</t>
        </is>
      </c>
      <c r="K710" s="34" t="inlineStr">
        <is>
          <t>Share of funded dollars</t>
        </is>
      </c>
      <c r="L710" s="34" t="inlineStr">
        <is>
          <t>Avg deal size</t>
        </is>
      </c>
      <c r="M710" s="34" t="inlineStr">
        <is>
          <t>Avg expected term (business days)</t>
        </is>
      </c>
      <c r="N710" s="34" t="inlineStr">
        <is>
          <t>Avg expected term (payments)</t>
        </is>
      </c>
      <c r="O710" s="34" t="inlineStr">
        <is>
          <t>Avg days on book, defaulted</t>
        </is>
      </c>
      <c r="P710" s="34" t="inlineStr">
        <is>
          <t>Avg days to close</t>
        </is>
      </c>
      <c r="Q710" s="34" t="inlineStr">
        <is>
          <t>% of deals that were renewals</t>
        </is>
      </c>
      <c r="R710" s="34" t="inlineStr">
        <is>
          <t>% of funded dollars from renewals</t>
        </is>
      </c>
      <c r="S710" s="34" t="inlineStr">
        <is>
          <t>Book default exposure</t>
        </is>
      </c>
      <c r="T710" s="34" t="inlineStr">
        <is>
          <t>Book recovery</t>
        </is>
      </c>
      <c r="U710" s="34" t="inlineStr">
        <is>
          <t>Book return on funded capital</t>
        </is>
      </c>
      <c r="V710" s="34" t="inlineStr">
        <is>
          <t>Default rate (#)</t>
        </is>
      </c>
      <c r="W710" s="5" t="n"/>
      <c r="X710" s="5" t="n"/>
      <c r="Y710" s="5" t="n"/>
      <c r="Z710" s="5" t="n"/>
      <c r="AA710" s="5" t="n"/>
      <c r="AB710" s="5" t="n"/>
    </row>
    <row r="711" ht="15.75" customHeight="1" s="79">
      <c r="A711" s="5">
        <f>IFERROR(Calc!$A$119,"")</f>
        <v/>
      </c>
      <c r="B711" s="20">
        <f>IFERROR(Calc!B119,"")</f>
        <v/>
      </c>
      <c r="C711" s="20">
        <f>IFERROR(Calc!C119,"")</f>
        <v/>
      </c>
      <c r="D711" s="20">
        <f>IFERROR(Calc!D119,"")</f>
        <v/>
      </c>
      <c r="E711" s="20">
        <f>IFERROR(Calc!E119,"")</f>
        <v/>
      </c>
      <c r="F711" s="20">
        <f>IFERROR(Calc!F119,"")</f>
        <v/>
      </c>
      <c r="G711" s="21">
        <f>IFERROR(Calc!G119,"")</f>
        <v/>
      </c>
      <c r="H711" s="21">
        <f>IFERROR(Calc!H119,"")</f>
        <v/>
      </c>
      <c r="I711" s="21">
        <f>IFERROR(Calc!I119,"")</f>
        <v/>
      </c>
      <c r="J711" s="17">
        <f>IFERROR(Calc!J119,"")</f>
        <v/>
      </c>
      <c r="K711" s="21">
        <f>IFERROR(Calc!K119,"")</f>
        <v/>
      </c>
      <c r="L711" s="20">
        <f>IFERROR(Calc!L119,"")</f>
        <v/>
      </c>
      <c r="M711" s="17">
        <f>IFERROR(Calc!M119,"")</f>
        <v/>
      </c>
      <c r="N711" s="17">
        <f>IFERROR(Calc!N119,"")</f>
        <v/>
      </c>
      <c r="O711" s="17">
        <f>IFERROR(Calc!O119,"")</f>
        <v/>
      </c>
      <c r="P711" s="17">
        <f>IFERROR(Calc!P119,"")</f>
        <v/>
      </c>
      <c r="Q711" s="21">
        <f>IFERROR(Calc!Q119,"")</f>
        <v/>
      </c>
      <c r="R711" s="21">
        <f>IFERROR(Calc!R119,"")</f>
        <v/>
      </c>
      <c r="S711" s="21">
        <f>IFERROR(Calc!S119,"")</f>
        <v/>
      </c>
      <c r="T711" s="21">
        <f>IFERROR(Calc!T119,"")</f>
        <v/>
      </c>
      <c r="U711" s="21">
        <f>IFERROR(Calc!U119,"")</f>
        <v/>
      </c>
      <c r="V711" s="21">
        <f>IFERROR(Calc!V119,"")</f>
        <v/>
      </c>
      <c r="W711" s="5" t="n"/>
      <c r="X711" s="5" t="n"/>
      <c r="Y711" s="5" t="n"/>
      <c r="Z711" s="5" t="n"/>
      <c r="AA711" s="5" t="n"/>
      <c r="AB711" s="5" t="n"/>
    </row>
    <row r="712" ht="15.75" customHeight="1" s="79">
      <c r="A712" s="5">
        <f>IFERROR(Calc!$A$120,"")</f>
        <v/>
      </c>
      <c r="B712" s="20">
        <f>IFERROR(Calc!B120,"")</f>
        <v/>
      </c>
      <c r="C712" s="20">
        <f>IFERROR(Calc!C120,"")</f>
        <v/>
      </c>
      <c r="D712" s="20">
        <f>IFERROR(Calc!D120,"")</f>
        <v/>
      </c>
      <c r="E712" s="20">
        <f>IFERROR(Calc!E120,"")</f>
        <v/>
      </c>
      <c r="F712" s="20">
        <f>IFERROR(Calc!F120,"")</f>
        <v/>
      </c>
      <c r="G712" s="21">
        <f>IFERROR(Calc!G120,"")</f>
        <v/>
      </c>
      <c r="H712" s="21">
        <f>IFERROR(Calc!H120,"")</f>
        <v/>
      </c>
      <c r="I712" s="21">
        <f>IFERROR(Calc!I120,"")</f>
        <v/>
      </c>
      <c r="J712" s="17">
        <f>IFERROR(Calc!J120,"")</f>
        <v/>
      </c>
      <c r="K712" s="21">
        <f>IFERROR(Calc!K120,"")</f>
        <v/>
      </c>
      <c r="L712" s="20">
        <f>IFERROR(Calc!L120,"")</f>
        <v/>
      </c>
      <c r="M712" s="17">
        <f>IFERROR(Calc!M120,"")</f>
        <v/>
      </c>
      <c r="N712" s="17">
        <f>IFERROR(Calc!N120,"")</f>
        <v/>
      </c>
      <c r="O712" s="17">
        <f>IFERROR(Calc!O120,"")</f>
        <v/>
      </c>
      <c r="P712" s="17">
        <f>IFERROR(Calc!P120,"")</f>
        <v/>
      </c>
      <c r="Q712" s="21">
        <f>IFERROR(Calc!Q120,"")</f>
        <v/>
      </c>
      <c r="R712" s="21">
        <f>IFERROR(Calc!R120,"")</f>
        <v/>
      </c>
      <c r="S712" s="21">
        <f>IFERROR(Calc!S120,"")</f>
        <v/>
      </c>
      <c r="T712" s="21">
        <f>IFERROR(Calc!T120,"")</f>
        <v/>
      </c>
      <c r="U712" s="21">
        <f>IFERROR(Calc!U120,"")</f>
        <v/>
      </c>
      <c r="V712" s="21">
        <f>IFERROR(Calc!V120,"")</f>
        <v/>
      </c>
      <c r="W712" s="5" t="n"/>
      <c r="X712" s="5" t="n"/>
      <c r="Y712" s="5" t="n"/>
      <c r="Z712" s="5" t="n"/>
      <c r="AA712" s="5" t="n"/>
      <c r="AB712" s="5" t="n"/>
    </row>
    <row r="713" ht="15.75" customHeight="1" s="79">
      <c r="A713" s="5">
        <f>IFERROR(Calc!$A$121,"")</f>
        <v/>
      </c>
      <c r="B713" s="20">
        <f>IFERROR(Calc!B121,"")</f>
        <v/>
      </c>
      <c r="C713" s="20">
        <f>IFERROR(Calc!C121,"")</f>
        <v/>
      </c>
      <c r="D713" s="20">
        <f>IFERROR(Calc!D121,"")</f>
        <v/>
      </c>
      <c r="E713" s="20">
        <f>IFERROR(Calc!E121,"")</f>
        <v/>
      </c>
      <c r="F713" s="20">
        <f>IFERROR(Calc!F121,"")</f>
        <v/>
      </c>
      <c r="G713" s="21">
        <f>IFERROR(Calc!G121,"")</f>
        <v/>
      </c>
      <c r="H713" s="21">
        <f>IFERROR(Calc!H121,"")</f>
        <v/>
      </c>
      <c r="I713" s="21">
        <f>IFERROR(Calc!I121,"")</f>
        <v/>
      </c>
      <c r="J713" s="17">
        <f>IFERROR(Calc!J121,"")</f>
        <v/>
      </c>
      <c r="K713" s="21">
        <f>IFERROR(Calc!K121,"")</f>
        <v/>
      </c>
      <c r="L713" s="20">
        <f>IFERROR(Calc!L121,"")</f>
        <v/>
      </c>
      <c r="M713" s="17">
        <f>IFERROR(Calc!M121,"")</f>
        <v/>
      </c>
      <c r="N713" s="17">
        <f>IFERROR(Calc!N121,"")</f>
        <v/>
      </c>
      <c r="O713" s="17">
        <f>IFERROR(Calc!O121,"")</f>
        <v/>
      </c>
      <c r="P713" s="17">
        <f>IFERROR(Calc!P121,"")</f>
        <v/>
      </c>
      <c r="Q713" s="21">
        <f>IFERROR(Calc!Q121,"")</f>
        <v/>
      </c>
      <c r="R713" s="21">
        <f>IFERROR(Calc!R121,"")</f>
        <v/>
      </c>
      <c r="S713" s="21">
        <f>IFERROR(Calc!S121,"")</f>
        <v/>
      </c>
      <c r="T713" s="21">
        <f>IFERROR(Calc!T121,"")</f>
        <v/>
      </c>
      <c r="U713" s="21">
        <f>IFERROR(Calc!U121,"")</f>
        <v/>
      </c>
      <c r="V713" s="21">
        <f>IFERROR(Calc!V121,"")</f>
        <v/>
      </c>
      <c r="W713" s="5" t="n"/>
      <c r="X713" s="5" t="n"/>
      <c r="Y713" s="5" t="n"/>
      <c r="Z713" s="5" t="n"/>
      <c r="AA713" s="5" t="n"/>
      <c r="AB713" s="5" t="n"/>
    </row>
    <row r="714" ht="15.75" customHeight="1" s="79">
      <c r="A714" s="5">
        <f>IFERROR(Calc!$A$122,"")</f>
        <v/>
      </c>
      <c r="B714" s="20">
        <f>IFERROR(Calc!B122,"")</f>
        <v/>
      </c>
      <c r="C714" s="20">
        <f>IFERROR(Calc!C122,"")</f>
        <v/>
      </c>
      <c r="D714" s="20">
        <f>IFERROR(Calc!D122,"")</f>
        <v/>
      </c>
      <c r="E714" s="20">
        <f>IFERROR(Calc!E122,"")</f>
        <v/>
      </c>
      <c r="F714" s="20">
        <f>IFERROR(Calc!F122,"")</f>
        <v/>
      </c>
      <c r="G714" s="21">
        <f>IFERROR(Calc!G122,"")</f>
        <v/>
      </c>
      <c r="H714" s="21">
        <f>IFERROR(Calc!H122,"")</f>
        <v/>
      </c>
      <c r="I714" s="21">
        <f>IFERROR(Calc!I122,"")</f>
        <v/>
      </c>
      <c r="J714" s="17">
        <f>IFERROR(Calc!J122,"")</f>
        <v/>
      </c>
      <c r="K714" s="21">
        <f>IFERROR(Calc!K122,"")</f>
        <v/>
      </c>
      <c r="L714" s="20">
        <f>IFERROR(Calc!L122,"")</f>
        <v/>
      </c>
      <c r="M714" s="17">
        <f>IFERROR(Calc!M122,"")</f>
        <v/>
      </c>
      <c r="N714" s="17">
        <f>IFERROR(Calc!N122,"")</f>
        <v/>
      </c>
      <c r="O714" s="17">
        <f>IFERROR(Calc!O122,"")</f>
        <v/>
      </c>
      <c r="P714" s="17">
        <f>IFERROR(Calc!P122,"")</f>
        <v/>
      </c>
      <c r="Q714" s="21">
        <f>IFERROR(Calc!Q122,"")</f>
        <v/>
      </c>
      <c r="R714" s="21">
        <f>IFERROR(Calc!R122,"")</f>
        <v/>
      </c>
      <c r="S714" s="21">
        <f>IFERROR(Calc!S122,"")</f>
        <v/>
      </c>
      <c r="T714" s="21">
        <f>IFERROR(Calc!T122,"")</f>
        <v/>
      </c>
      <c r="U714" s="21">
        <f>IFERROR(Calc!U122,"")</f>
        <v/>
      </c>
      <c r="V714" s="21">
        <f>IFERROR(Calc!V122,"")</f>
        <v/>
      </c>
      <c r="W714" s="5" t="n"/>
      <c r="X714" s="5" t="n"/>
      <c r="Y714" s="5" t="n"/>
      <c r="Z714" s="5" t="n"/>
      <c r="AA714" s="5" t="n"/>
      <c r="AB714" s="5" t="n"/>
    </row>
    <row r="715" ht="15.75" customHeight="1" s="79">
      <c r="A715" s="5">
        <f>IFERROR(Calc!$A$123,"")</f>
        <v/>
      </c>
      <c r="B715" s="20">
        <f>IFERROR(Calc!B123,"")</f>
        <v/>
      </c>
      <c r="C715" s="20">
        <f>IFERROR(Calc!C123,"")</f>
        <v/>
      </c>
      <c r="D715" s="20">
        <f>IFERROR(Calc!D123,"")</f>
        <v/>
      </c>
      <c r="E715" s="20">
        <f>IFERROR(Calc!E123,"")</f>
        <v/>
      </c>
      <c r="F715" s="20">
        <f>IFERROR(Calc!F123,"")</f>
        <v/>
      </c>
      <c r="G715" s="21">
        <f>IFERROR(Calc!G123,"")</f>
        <v/>
      </c>
      <c r="H715" s="21">
        <f>IFERROR(Calc!H123,"")</f>
        <v/>
      </c>
      <c r="I715" s="21">
        <f>IFERROR(Calc!I123,"")</f>
        <v/>
      </c>
      <c r="J715" s="17">
        <f>IFERROR(Calc!J123,"")</f>
        <v/>
      </c>
      <c r="K715" s="21">
        <f>IFERROR(Calc!K123,"")</f>
        <v/>
      </c>
      <c r="L715" s="20">
        <f>IFERROR(Calc!L123,"")</f>
        <v/>
      </c>
      <c r="M715" s="17">
        <f>IFERROR(Calc!M123,"")</f>
        <v/>
      </c>
      <c r="N715" s="17">
        <f>IFERROR(Calc!N123,"")</f>
        <v/>
      </c>
      <c r="O715" s="17">
        <f>IFERROR(Calc!O123,"")</f>
        <v/>
      </c>
      <c r="P715" s="17">
        <f>IFERROR(Calc!P123,"")</f>
        <v/>
      </c>
      <c r="Q715" s="21">
        <f>IFERROR(Calc!Q123,"")</f>
        <v/>
      </c>
      <c r="R715" s="21">
        <f>IFERROR(Calc!R123,"")</f>
        <v/>
      </c>
      <c r="S715" s="21">
        <f>IFERROR(Calc!S123,"")</f>
        <v/>
      </c>
      <c r="T715" s="21">
        <f>IFERROR(Calc!T123,"")</f>
        <v/>
      </c>
      <c r="U715" s="21">
        <f>IFERROR(Calc!U123,"")</f>
        <v/>
      </c>
      <c r="V715" s="21">
        <f>IFERROR(Calc!V123,"")</f>
        <v/>
      </c>
      <c r="W715" s="5" t="n"/>
      <c r="X715" s="5" t="n"/>
      <c r="Y715" s="5" t="n"/>
      <c r="Z715" s="5" t="n"/>
      <c r="AA715" s="5" t="n"/>
      <c r="AB715" s="5" t="n"/>
    </row>
    <row r="716" ht="15.75" customHeight="1" s="79">
      <c r="A716" s="5">
        <f>IFERROR(Calc!$A$124,"")</f>
        <v/>
      </c>
      <c r="B716" s="20">
        <f>IFERROR(Calc!B124,"")</f>
        <v/>
      </c>
      <c r="C716" s="20">
        <f>IFERROR(Calc!C124,"")</f>
        <v/>
      </c>
      <c r="D716" s="20">
        <f>IFERROR(Calc!D124,"")</f>
        <v/>
      </c>
      <c r="E716" s="20">
        <f>IFERROR(Calc!E124,"")</f>
        <v/>
      </c>
      <c r="F716" s="20">
        <f>IFERROR(Calc!F124,"")</f>
        <v/>
      </c>
      <c r="G716" s="21">
        <f>IFERROR(Calc!G124,"")</f>
        <v/>
      </c>
      <c r="H716" s="21">
        <f>IFERROR(Calc!H124,"")</f>
        <v/>
      </c>
      <c r="I716" s="21">
        <f>IFERROR(Calc!I124,"")</f>
        <v/>
      </c>
      <c r="J716" s="17">
        <f>IFERROR(Calc!J124,"")</f>
        <v/>
      </c>
      <c r="K716" s="21">
        <f>IFERROR(Calc!K124,"")</f>
        <v/>
      </c>
      <c r="L716" s="20">
        <f>IFERROR(Calc!L124,"")</f>
        <v/>
      </c>
      <c r="M716" s="17">
        <f>IFERROR(Calc!M124,"")</f>
        <v/>
      </c>
      <c r="N716" s="17">
        <f>IFERROR(Calc!N124,"")</f>
        <v/>
      </c>
      <c r="O716" s="17">
        <f>IFERROR(Calc!O124,"")</f>
        <v/>
      </c>
      <c r="P716" s="17">
        <f>IFERROR(Calc!P124,"")</f>
        <v/>
      </c>
      <c r="Q716" s="21">
        <f>IFERROR(Calc!Q124,"")</f>
        <v/>
      </c>
      <c r="R716" s="21">
        <f>IFERROR(Calc!R124,"")</f>
        <v/>
      </c>
      <c r="S716" s="21">
        <f>IFERROR(Calc!S124,"")</f>
        <v/>
      </c>
      <c r="T716" s="21">
        <f>IFERROR(Calc!T124,"")</f>
        <v/>
      </c>
      <c r="U716" s="21">
        <f>IFERROR(Calc!U124,"")</f>
        <v/>
      </c>
      <c r="V716" s="21">
        <f>IFERROR(Calc!V124,"")</f>
        <v/>
      </c>
      <c r="W716" s="5" t="n"/>
      <c r="X716" s="5" t="n"/>
      <c r="Y716" s="5" t="n"/>
      <c r="Z716" s="5" t="n"/>
      <c r="AA716" s="5" t="n"/>
      <c r="AB716" s="5" t="n"/>
    </row>
    <row r="717" ht="15.75" customHeight="1" s="79">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row>
    <row r="718" ht="15.75" customHeight="1" s="79">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row>
    <row r="719" ht="15.75" customHeight="1" s="79">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row>
    <row r="720" ht="15.75" customHeight="1" s="79">
      <c r="A720" s="43" t="inlineStr">
        <is>
          <t>FACTOR BUCKET</t>
        </is>
      </c>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row>
    <row r="721" ht="66" customHeight="1" s="79">
      <c r="A721" s="72" t="n"/>
      <c r="AB721" s="5" t="n"/>
    </row>
    <row r="722" ht="15.75" customHeight="1" s="79">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row>
    <row r="723" ht="15.75" customHeight="1" s="79">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row>
    <row r="724" ht="15.75" customHeight="1" s="79">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row>
    <row r="725" ht="15.75" customHeight="1" s="79">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row>
    <row r="726" ht="15.75" customHeight="1" s="79">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row>
    <row r="727" ht="15.75" customHeight="1" s="79">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row>
    <row r="728" ht="15.75" customHeight="1" s="79">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row>
    <row r="729" ht="15.75" customHeight="1" s="79">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row>
    <row r="730" ht="15.75" customHeight="1" s="79">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row>
    <row r="731" ht="15.75" customHeight="1" s="79">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row>
    <row r="732" ht="15.75" customHeight="1" s="79">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row>
    <row r="733" ht="15.75" customHeight="1" s="79">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row>
    <row r="734" ht="15.75" customHeight="1" s="79">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row>
    <row r="735" ht="15.75" customHeight="1" s="79">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row>
    <row r="736" ht="15.75" customHeight="1" s="79">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row>
    <row r="737" ht="15.75" customHeight="1" s="79">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row>
    <row r="738" ht="15.75" customHeight="1" s="79">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row>
    <row r="739" ht="15.75" customHeight="1" s="79">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row>
    <row r="740" ht="15.75" customHeight="1" s="79">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row>
    <row r="741" ht="15.75" customHeight="1" s="79">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row>
    <row r="742" ht="15.75" customHeight="1" s="79">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row>
    <row r="743" ht="15.75" customHeight="1" s="79">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row>
    <row r="744" ht="15.75" customHeight="1" s="79">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row>
    <row r="745" ht="15.75" customHeight="1" s="79">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row>
    <row r="746" ht="15.75" customHeight="1" s="79">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row>
    <row r="747" ht="15.75" customHeight="1" s="79">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row>
    <row r="748" ht="15.75" customHeight="1" s="79">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row>
    <row r="749" ht="15.75" customHeight="1" s="79">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row>
    <row r="750" ht="15.75" customHeight="1" s="79">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row>
    <row r="751" ht="15.75" customHeight="1" s="79">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row>
    <row r="752" ht="15.75" customHeight="1" s="79">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row>
    <row r="753" ht="15.75" customHeight="1" s="79">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row>
    <row r="754" ht="15.75" customHeight="1" s="79">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row>
    <row r="755" ht="15.75" customHeight="1" s="79">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row>
    <row r="756" ht="15.75" customHeight="1" s="79">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row>
    <row r="757" ht="15.75" customHeight="1" s="79">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row>
    <row r="758" ht="15.75" customHeight="1" s="79">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row>
    <row r="759" ht="15.75" customHeight="1" s="79">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row>
    <row r="760" ht="15.75" customHeight="1" s="79">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row>
    <row r="761" ht="15.75" customHeight="1" s="79">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row>
    <row r="762" ht="15.75" customHeight="1" s="79">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row>
    <row r="763" ht="15.75" customHeight="1" s="79">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row>
    <row r="764" ht="15.75" customHeight="1" s="79">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row>
    <row r="765" ht="15.75" customHeight="1" s="79">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row>
    <row r="766" ht="15.75" customHeight="1" s="79">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row>
    <row r="767" ht="15.75" customHeight="1" s="79">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row>
    <row r="768" ht="15.75" customHeight="1" s="79">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row>
    <row r="769" ht="15.75" customHeight="1" s="79">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row>
    <row r="770" ht="15.75" customHeight="1" s="79">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row>
    <row r="771" ht="15.75" customHeight="1" s="79">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row>
    <row r="772" ht="15.75" customHeight="1" s="79">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row>
    <row r="773" ht="15.75" customHeight="1" s="79">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row>
    <row r="774" ht="15.75" customHeight="1" s="79">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row>
    <row r="775" ht="15.75" customHeight="1" s="79">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row>
    <row r="776" ht="15.75" customHeight="1" s="79">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row>
    <row r="777" ht="15.75" customHeight="1" s="79">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row>
    <row r="778" ht="15.75" customHeight="1" s="79">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row>
    <row r="779" ht="15.75" customHeight="1" s="79">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row>
    <row r="780" ht="15.75" customHeight="1" s="79">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row>
    <row r="781" ht="15.75" customHeight="1" s="79">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row>
    <row r="782" ht="15.75" customHeight="1" s="79">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row>
    <row r="783" ht="15.75" customHeight="1" s="79">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row>
    <row r="784" ht="15.75" customHeight="1" s="79">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row>
    <row r="785" ht="15.75" customHeight="1" s="79">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row>
    <row r="786" ht="15.75" customHeight="1" s="79">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row>
    <row r="787" ht="15.75" customHeight="1" s="79">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row>
    <row r="788" ht="15.75" customHeight="1" s="79">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row>
    <row r="789" ht="15.75" customHeight="1" s="79">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row>
    <row r="790" ht="15.75" customHeight="1" s="79">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row>
    <row r="791" ht="15.75" customHeight="1" s="79">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row>
    <row r="792" ht="15.75" customHeight="1" s="79">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row>
    <row r="793" ht="15.75" customHeight="1" s="79">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row>
    <row r="794" ht="15.75" customHeight="1" s="79">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row>
    <row r="795" ht="15.75" customHeight="1" s="79">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row>
    <row r="796" ht="15.75" customHeight="1" s="79">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row>
    <row r="797" ht="15.75" customHeight="1" s="79">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row>
    <row r="798" ht="15.75" customHeight="1" s="79">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row>
    <row r="799" ht="15.75" customHeight="1" s="79">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row>
    <row r="800" ht="15.75" customHeight="1" s="79">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row>
    <row r="801" ht="15.75" customHeight="1" s="79">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row>
    <row r="802" ht="15.75" customHeight="1" s="79">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row>
    <row r="803" ht="15.75" customHeight="1" s="79">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row>
    <row r="804" ht="15.75" customHeight="1" s="79">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row>
    <row r="805" ht="15.75" customHeight="1" s="79">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row>
    <row r="806" ht="15.75" customHeight="1" s="79">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row>
    <row r="807" ht="15.75" customHeight="1" s="79">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row>
    <row r="808" ht="15.75" customHeight="1" s="79">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row>
    <row r="809" ht="15.75" customHeight="1" s="79">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row>
    <row r="810" ht="15.75" customHeight="1" s="79">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row>
    <row r="811" ht="15.75" customHeight="1" s="79">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row>
    <row r="812" ht="15.75" customHeight="1" s="79">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row>
    <row r="813" ht="15.75" customHeight="1" s="79">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row>
    <row r="814" ht="15.75" customHeight="1" s="79">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row>
    <row r="815" ht="15.75" customHeight="1" s="79">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row>
    <row r="816" ht="15.75" customHeight="1" s="79">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row>
    <row r="817" ht="15.75" customHeight="1" s="79">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row>
    <row r="818" ht="15.75" customHeight="1" s="79">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row>
    <row r="819" ht="15.75" customHeight="1" s="79">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row>
    <row r="820" ht="15.75" customHeight="1" s="79">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row>
    <row r="821" ht="15.75" customHeight="1" s="79">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row>
    <row r="822" ht="15.75" customHeight="1" s="79">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row>
    <row r="823" ht="30" customHeight="1" s="79">
      <c r="A823" s="34" t="inlineStr">
        <is>
          <t>Segment</t>
        </is>
      </c>
      <c r="B823" s="34" t="inlineStr">
        <is>
          <t>Funded $</t>
        </is>
      </c>
      <c r="C823" s="34" t="inlineStr">
        <is>
          <t>Collected $</t>
        </is>
      </c>
      <c r="D823" s="34" t="inlineStr">
        <is>
          <t>Net profit / loss $</t>
        </is>
      </c>
      <c r="E823" s="34" t="inlineStr">
        <is>
          <t>Commission $</t>
        </is>
      </c>
      <c r="F823" s="34" t="inlineStr">
        <is>
          <t>Principal lost $</t>
        </is>
      </c>
      <c r="G823" s="34" t="inlineStr">
        <is>
          <t>Principal default exposure</t>
        </is>
      </c>
      <c r="H823" s="34" t="inlineStr">
        <is>
          <t>Recovery rate</t>
        </is>
      </c>
      <c r="I823" s="34" t="inlineStr">
        <is>
          <t>Return on funded capital (%)</t>
        </is>
      </c>
      <c r="J823" s="34" t="inlineStr">
        <is>
          <t>Deals</t>
        </is>
      </c>
      <c r="K823" s="34" t="inlineStr">
        <is>
          <t>Share of funded dollars</t>
        </is>
      </c>
      <c r="L823" s="34" t="inlineStr">
        <is>
          <t>Avg deal size</t>
        </is>
      </c>
      <c r="M823" s="34" t="inlineStr">
        <is>
          <t>Avg expected term (business days)</t>
        </is>
      </c>
      <c r="N823" s="34" t="inlineStr">
        <is>
          <t>Avg expected term (payments)</t>
        </is>
      </c>
      <c r="O823" s="34" t="inlineStr">
        <is>
          <t>Avg days on book, defaulted</t>
        </is>
      </c>
      <c r="P823" s="34" t="inlineStr">
        <is>
          <t>Avg days to close</t>
        </is>
      </c>
      <c r="Q823" s="34" t="inlineStr">
        <is>
          <t>% of deals that were renewals</t>
        </is>
      </c>
      <c r="R823" s="34" t="inlineStr">
        <is>
          <t>% of funded dollars from renewals</t>
        </is>
      </c>
      <c r="S823" s="34" t="inlineStr">
        <is>
          <t>Book default exposure</t>
        </is>
      </c>
      <c r="T823" s="34" t="inlineStr">
        <is>
          <t>Book recovery</t>
        </is>
      </c>
      <c r="U823" s="34" t="inlineStr">
        <is>
          <t>Book return on funded capital</t>
        </is>
      </c>
      <c r="V823" s="34" t="inlineStr">
        <is>
          <t>Default rate (#)</t>
        </is>
      </c>
      <c r="W823" s="5" t="n"/>
      <c r="X823" s="5" t="n"/>
      <c r="Y823" s="5" t="n"/>
      <c r="Z823" s="5" t="n"/>
      <c r="AA823" s="5" t="n"/>
      <c r="AB823" s="5" t="n"/>
    </row>
    <row r="824" ht="15.75" customHeight="1" s="79">
      <c r="A824" s="5">
        <f>IFERROR(Calc!$A$129,"")</f>
        <v/>
      </c>
      <c r="B824" s="20">
        <f>IFERROR(Calc!B129,"")</f>
        <v/>
      </c>
      <c r="C824" s="20">
        <f>IFERROR(Calc!C129,"")</f>
        <v/>
      </c>
      <c r="D824" s="20">
        <f>IFERROR(Calc!D129,"")</f>
        <v/>
      </c>
      <c r="E824" s="20">
        <f>IFERROR(Calc!E129,"")</f>
        <v/>
      </c>
      <c r="F824" s="20">
        <f>IFERROR(Calc!F129,"")</f>
        <v/>
      </c>
      <c r="G824" s="21">
        <f>IFERROR(Calc!G129,"")</f>
        <v/>
      </c>
      <c r="H824" s="21">
        <f>IFERROR(Calc!H129,"")</f>
        <v/>
      </c>
      <c r="I824" s="21">
        <f>IFERROR(Calc!I129,"")</f>
        <v/>
      </c>
      <c r="J824" s="17">
        <f>IFERROR(Calc!J129,"")</f>
        <v/>
      </c>
      <c r="K824" s="21">
        <f>IFERROR(Calc!K129,"")</f>
        <v/>
      </c>
      <c r="L824" s="20">
        <f>IFERROR(Calc!L129,"")</f>
        <v/>
      </c>
      <c r="M824" s="17">
        <f>IFERROR(Calc!M129,"")</f>
        <v/>
      </c>
      <c r="N824" s="17">
        <f>IFERROR(Calc!N129,"")</f>
        <v/>
      </c>
      <c r="O824" s="17">
        <f>IFERROR(Calc!O129,"")</f>
        <v/>
      </c>
      <c r="P824" s="17">
        <f>IFERROR(Calc!P129,"")</f>
        <v/>
      </c>
      <c r="Q824" s="21">
        <f>IFERROR(Calc!Q129,"")</f>
        <v/>
      </c>
      <c r="R824" s="21">
        <f>IFERROR(Calc!R129,"")</f>
        <v/>
      </c>
      <c r="S824" s="21">
        <f>IFERROR(Calc!S129,"")</f>
        <v/>
      </c>
      <c r="T824" s="21">
        <f>IFERROR(Calc!T129,"")</f>
        <v/>
      </c>
      <c r="U824" s="21">
        <f>IFERROR(Calc!U129,"")</f>
        <v/>
      </c>
      <c r="V824" s="21">
        <f>IFERROR(Calc!V129,"")</f>
        <v/>
      </c>
      <c r="W824" s="5" t="n"/>
      <c r="X824" s="5" t="n"/>
      <c r="Y824" s="5" t="n"/>
      <c r="Z824" s="5" t="n"/>
      <c r="AA824" s="5" t="n"/>
      <c r="AB824" s="5" t="n"/>
    </row>
    <row r="825" ht="15.75" customHeight="1" s="79">
      <c r="A825" s="5">
        <f>IFERROR(Calc!$A$130,"")</f>
        <v/>
      </c>
      <c r="B825" s="20">
        <f>IFERROR(Calc!B130,"")</f>
        <v/>
      </c>
      <c r="C825" s="20">
        <f>IFERROR(Calc!C130,"")</f>
        <v/>
      </c>
      <c r="D825" s="20">
        <f>IFERROR(Calc!D130,"")</f>
        <v/>
      </c>
      <c r="E825" s="20">
        <f>IFERROR(Calc!E130,"")</f>
        <v/>
      </c>
      <c r="F825" s="20">
        <f>IFERROR(Calc!F130,"")</f>
        <v/>
      </c>
      <c r="G825" s="21">
        <f>IFERROR(Calc!G130,"")</f>
        <v/>
      </c>
      <c r="H825" s="21">
        <f>IFERROR(Calc!H130,"")</f>
        <v/>
      </c>
      <c r="I825" s="21">
        <f>IFERROR(Calc!I130,"")</f>
        <v/>
      </c>
      <c r="J825" s="17">
        <f>IFERROR(Calc!J130,"")</f>
        <v/>
      </c>
      <c r="K825" s="21">
        <f>IFERROR(Calc!K130,"")</f>
        <v/>
      </c>
      <c r="L825" s="20">
        <f>IFERROR(Calc!L130,"")</f>
        <v/>
      </c>
      <c r="M825" s="17">
        <f>IFERROR(Calc!M130,"")</f>
        <v/>
      </c>
      <c r="N825" s="17">
        <f>IFERROR(Calc!N130,"")</f>
        <v/>
      </c>
      <c r="O825" s="17">
        <f>IFERROR(Calc!O130,"")</f>
        <v/>
      </c>
      <c r="P825" s="17">
        <f>IFERROR(Calc!P130,"")</f>
        <v/>
      </c>
      <c r="Q825" s="21">
        <f>IFERROR(Calc!Q130,"")</f>
        <v/>
      </c>
      <c r="R825" s="21">
        <f>IFERROR(Calc!R130,"")</f>
        <v/>
      </c>
      <c r="S825" s="21">
        <f>IFERROR(Calc!S130,"")</f>
        <v/>
      </c>
      <c r="T825" s="21">
        <f>IFERROR(Calc!T130,"")</f>
        <v/>
      </c>
      <c r="U825" s="21">
        <f>IFERROR(Calc!U130,"")</f>
        <v/>
      </c>
      <c r="V825" s="21">
        <f>IFERROR(Calc!V130,"")</f>
        <v/>
      </c>
      <c r="W825" s="5" t="n"/>
      <c r="X825" s="5" t="n"/>
      <c r="Y825" s="5" t="n"/>
      <c r="Z825" s="5" t="n"/>
      <c r="AA825" s="5" t="n"/>
      <c r="AB825" s="5" t="n"/>
    </row>
    <row r="826" ht="15.75" customHeight="1" s="79">
      <c r="A826" s="5">
        <f>IFERROR(Calc!$A$131,"")</f>
        <v/>
      </c>
      <c r="B826" s="20">
        <f>IFERROR(Calc!B131,"")</f>
        <v/>
      </c>
      <c r="C826" s="20">
        <f>IFERROR(Calc!C131,"")</f>
        <v/>
      </c>
      <c r="D826" s="20">
        <f>IFERROR(Calc!D131,"")</f>
        <v/>
      </c>
      <c r="E826" s="20">
        <f>IFERROR(Calc!E131,"")</f>
        <v/>
      </c>
      <c r="F826" s="20">
        <f>IFERROR(Calc!F131,"")</f>
        <v/>
      </c>
      <c r="G826" s="21">
        <f>IFERROR(Calc!G131,"")</f>
        <v/>
      </c>
      <c r="H826" s="21">
        <f>IFERROR(Calc!H131,"")</f>
        <v/>
      </c>
      <c r="I826" s="21">
        <f>IFERROR(Calc!I131,"")</f>
        <v/>
      </c>
      <c r="J826" s="17">
        <f>IFERROR(Calc!J131,"")</f>
        <v/>
      </c>
      <c r="K826" s="21">
        <f>IFERROR(Calc!K131,"")</f>
        <v/>
      </c>
      <c r="L826" s="20">
        <f>IFERROR(Calc!L131,"")</f>
        <v/>
      </c>
      <c r="M826" s="17">
        <f>IFERROR(Calc!M131,"")</f>
        <v/>
      </c>
      <c r="N826" s="17">
        <f>IFERROR(Calc!N131,"")</f>
        <v/>
      </c>
      <c r="O826" s="17">
        <f>IFERROR(Calc!O131,"")</f>
        <v/>
      </c>
      <c r="P826" s="17">
        <f>IFERROR(Calc!P131,"")</f>
        <v/>
      </c>
      <c r="Q826" s="21">
        <f>IFERROR(Calc!Q131,"")</f>
        <v/>
      </c>
      <c r="R826" s="21">
        <f>IFERROR(Calc!R131,"")</f>
        <v/>
      </c>
      <c r="S826" s="21">
        <f>IFERROR(Calc!S131,"")</f>
        <v/>
      </c>
      <c r="T826" s="21">
        <f>IFERROR(Calc!T131,"")</f>
        <v/>
      </c>
      <c r="U826" s="21">
        <f>IFERROR(Calc!U131,"")</f>
        <v/>
      </c>
      <c r="V826" s="21">
        <f>IFERROR(Calc!V131,"")</f>
        <v/>
      </c>
      <c r="W826" s="5" t="n"/>
      <c r="X826" s="5" t="n"/>
      <c r="Y826" s="5" t="n"/>
      <c r="Z826" s="5" t="n"/>
      <c r="AA826" s="5" t="n"/>
      <c r="AB826" s="5" t="n"/>
    </row>
    <row r="827" ht="15.75" customHeight="1" s="79">
      <c r="A827" s="5">
        <f>IFERROR(Calc!$A$132,"")</f>
        <v/>
      </c>
      <c r="B827" s="20">
        <f>IFERROR(Calc!B132,"")</f>
        <v/>
      </c>
      <c r="C827" s="20">
        <f>IFERROR(Calc!C132,"")</f>
        <v/>
      </c>
      <c r="D827" s="20">
        <f>IFERROR(Calc!D132,"")</f>
        <v/>
      </c>
      <c r="E827" s="20">
        <f>IFERROR(Calc!E132,"")</f>
        <v/>
      </c>
      <c r="F827" s="20">
        <f>IFERROR(Calc!F132,"")</f>
        <v/>
      </c>
      <c r="G827" s="21">
        <f>IFERROR(Calc!G132,"")</f>
        <v/>
      </c>
      <c r="H827" s="21">
        <f>IFERROR(Calc!H132,"")</f>
        <v/>
      </c>
      <c r="I827" s="21">
        <f>IFERROR(Calc!I132,"")</f>
        <v/>
      </c>
      <c r="J827" s="17">
        <f>IFERROR(Calc!J132,"")</f>
        <v/>
      </c>
      <c r="K827" s="21">
        <f>IFERROR(Calc!K132,"")</f>
        <v/>
      </c>
      <c r="L827" s="20">
        <f>IFERROR(Calc!L132,"")</f>
        <v/>
      </c>
      <c r="M827" s="17">
        <f>IFERROR(Calc!M132,"")</f>
        <v/>
      </c>
      <c r="N827" s="17">
        <f>IFERROR(Calc!N132,"")</f>
        <v/>
      </c>
      <c r="O827" s="17">
        <f>IFERROR(Calc!O132,"")</f>
        <v/>
      </c>
      <c r="P827" s="17">
        <f>IFERROR(Calc!P132,"")</f>
        <v/>
      </c>
      <c r="Q827" s="21">
        <f>IFERROR(Calc!Q132,"")</f>
        <v/>
      </c>
      <c r="R827" s="21">
        <f>IFERROR(Calc!R132,"")</f>
        <v/>
      </c>
      <c r="S827" s="21">
        <f>IFERROR(Calc!S132,"")</f>
        <v/>
      </c>
      <c r="T827" s="21">
        <f>IFERROR(Calc!T132,"")</f>
        <v/>
      </c>
      <c r="U827" s="21">
        <f>IFERROR(Calc!U132,"")</f>
        <v/>
      </c>
      <c r="V827" s="21">
        <f>IFERROR(Calc!V132,"")</f>
        <v/>
      </c>
      <c r="W827" s="5" t="n"/>
      <c r="X827" s="5" t="n"/>
      <c r="Y827" s="5" t="n"/>
      <c r="Z827" s="5" t="n"/>
      <c r="AA827" s="5" t="n"/>
      <c r="AB827" s="5" t="n"/>
    </row>
    <row r="828" ht="15.75" customHeight="1" s="79">
      <c r="A828" s="5">
        <f>IFERROR(Calc!$A$133,"")</f>
        <v/>
      </c>
      <c r="B828" s="20">
        <f>IFERROR(Calc!B133,"")</f>
        <v/>
      </c>
      <c r="C828" s="20">
        <f>IFERROR(Calc!C133,"")</f>
        <v/>
      </c>
      <c r="D828" s="20">
        <f>IFERROR(Calc!D133,"")</f>
        <v/>
      </c>
      <c r="E828" s="20">
        <f>IFERROR(Calc!E133,"")</f>
        <v/>
      </c>
      <c r="F828" s="20">
        <f>IFERROR(Calc!F133,"")</f>
        <v/>
      </c>
      <c r="G828" s="21">
        <f>IFERROR(Calc!G133,"")</f>
        <v/>
      </c>
      <c r="H828" s="21">
        <f>IFERROR(Calc!H133,"")</f>
        <v/>
      </c>
      <c r="I828" s="21">
        <f>IFERROR(Calc!I133,"")</f>
        <v/>
      </c>
      <c r="J828" s="17">
        <f>IFERROR(Calc!J133,"")</f>
        <v/>
      </c>
      <c r="K828" s="21">
        <f>IFERROR(Calc!K133,"")</f>
        <v/>
      </c>
      <c r="L828" s="20">
        <f>IFERROR(Calc!L133,"")</f>
        <v/>
      </c>
      <c r="M828" s="17">
        <f>IFERROR(Calc!M133,"")</f>
        <v/>
      </c>
      <c r="N828" s="17">
        <f>IFERROR(Calc!N133,"")</f>
        <v/>
      </c>
      <c r="O828" s="17">
        <f>IFERROR(Calc!O133,"")</f>
        <v/>
      </c>
      <c r="P828" s="17">
        <f>IFERROR(Calc!P133,"")</f>
        <v/>
      </c>
      <c r="Q828" s="21">
        <f>IFERROR(Calc!Q133,"")</f>
        <v/>
      </c>
      <c r="R828" s="21">
        <f>IFERROR(Calc!R133,"")</f>
        <v/>
      </c>
      <c r="S828" s="21">
        <f>IFERROR(Calc!S133,"")</f>
        <v/>
      </c>
      <c r="T828" s="21">
        <f>IFERROR(Calc!T133,"")</f>
        <v/>
      </c>
      <c r="U828" s="21">
        <f>IFERROR(Calc!U133,"")</f>
        <v/>
      </c>
      <c r="V828" s="21">
        <f>IFERROR(Calc!V133,"")</f>
        <v/>
      </c>
      <c r="W828" s="5" t="n"/>
      <c r="X828" s="5" t="n"/>
      <c r="Y828" s="5" t="n"/>
      <c r="Z828" s="5" t="n"/>
      <c r="AA828" s="5" t="n"/>
      <c r="AB828" s="5" t="n"/>
    </row>
    <row r="829" ht="15.75" customHeight="1" s="79">
      <c r="A829" s="5">
        <f>IFERROR(Calc!$A$134,"")</f>
        <v/>
      </c>
      <c r="B829" s="20">
        <f>IFERROR(Calc!B134,"")</f>
        <v/>
      </c>
      <c r="C829" s="20">
        <f>IFERROR(Calc!C134,"")</f>
        <v/>
      </c>
      <c r="D829" s="20">
        <f>IFERROR(Calc!D134,"")</f>
        <v/>
      </c>
      <c r="E829" s="20">
        <f>IFERROR(Calc!E134,"")</f>
        <v/>
      </c>
      <c r="F829" s="20">
        <f>IFERROR(Calc!F134,"")</f>
        <v/>
      </c>
      <c r="G829" s="21">
        <f>IFERROR(Calc!G134,"")</f>
        <v/>
      </c>
      <c r="H829" s="21">
        <f>IFERROR(Calc!H134,"")</f>
        <v/>
      </c>
      <c r="I829" s="21">
        <f>IFERROR(Calc!I134,"")</f>
        <v/>
      </c>
      <c r="J829" s="17">
        <f>IFERROR(Calc!J134,"")</f>
        <v/>
      </c>
      <c r="K829" s="21">
        <f>IFERROR(Calc!K134,"")</f>
        <v/>
      </c>
      <c r="L829" s="20">
        <f>IFERROR(Calc!L134,"")</f>
        <v/>
      </c>
      <c r="M829" s="17">
        <f>IFERROR(Calc!M134,"")</f>
        <v/>
      </c>
      <c r="N829" s="17">
        <f>IFERROR(Calc!N134,"")</f>
        <v/>
      </c>
      <c r="O829" s="17">
        <f>IFERROR(Calc!O134,"")</f>
        <v/>
      </c>
      <c r="P829" s="17">
        <f>IFERROR(Calc!P134,"")</f>
        <v/>
      </c>
      <c r="Q829" s="21">
        <f>IFERROR(Calc!Q134,"")</f>
        <v/>
      </c>
      <c r="R829" s="21">
        <f>IFERROR(Calc!R134,"")</f>
        <v/>
      </c>
      <c r="S829" s="21">
        <f>IFERROR(Calc!S134,"")</f>
        <v/>
      </c>
      <c r="T829" s="21">
        <f>IFERROR(Calc!T134,"")</f>
        <v/>
      </c>
      <c r="U829" s="21">
        <f>IFERROR(Calc!U134,"")</f>
        <v/>
      </c>
      <c r="V829" s="21">
        <f>IFERROR(Calc!V134,"")</f>
        <v/>
      </c>
      <c r="W829" s="5" t="n"/>
      <c r="X829" s="5" t="n"/>
      <c r="Y829" s="5" t="n"/>
      <c r="Z829" s="5" t="n"/>
      <c r="AA829" s="5" t="n"/>
      <c r="AB829" s="5" t="n"/>
    </row>
    <row r="830" ht="15.75" customHeight="1" s="79">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row>
    <row r="831" ht="15.75" customHeight="1" s="79">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row>
    <row r="832" ht="15.75" customHeight="1" s="79">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row>
    <row r="833" ht="15.75" customHeight="1" s="79">
      <c r="A833" s="43" t="inlineStr">
        <is>
          <t>TERM LENGTH</t>
        </is>
      </c>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row>
    <row r="834" ht="66" customHeight="1" s="79">
      <c r="A834" s="72" t="n"/>
      <c r="T834" s="72" t="n"/>
      <c r="U834" s="72" t="n"/>
      <c r="V834" s="72" t="n"/>
      <c r="W834" s="72" t="n"/>
      <c r="X834" s="72" t="n"/>
      <c r="Y834" s="72" t="n"/>
      <c r="Z834" s="72" t="n"/>
      <c r="AA834" s="72" t="n"/>
      <c r="AB834" s="5" t="n"/>
    </row>
    <row r="835" ht="15.75" customHeight="1" s="79">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row>
    <row r="836" ht="15.75" customHeight="1" s="79">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row>
    <row r="837" ht="15.75" customHeight="1" s="79">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row>
    <row r="838" ht="15.75" customHeight="1" s="79">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row>
    <row r="839" ht="15.75" customHeight="1" s="79">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row>
    <row r="840" ht="15.75" customHeight="1" s="79">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row>
    <row r="841" ht="15.75" customHeight="1" s="79">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row>
    <row r="842" ht="15.75" customHeight="1" s="79">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row>
    <row r="843" ht="15.75" customHeight="1" s="79">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row>
    <row r="844" ht="15.75" customHeight="1" s="79">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row>
    <row r="845" ht="15.75" customHeight="1" s="79">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row>
    <row r="846" ht="15.75" customHeight="1" s="79">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row>
    <row r="847" ht="15.75" customHeight="1" s="79">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row>
    <row r="848" ht="15.75" customHeight="1" s="79">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row>
    <row r="849" ht="15.75" customHeight="1" s="79">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row>
    <row r="850" ht="15.75" customHeight="1" s="79">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row>
    <row r="851" ht="15.75" customHeight="1" s="79">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row>
    <row r="852" ht="15.75" customHeight="1" s="79">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row>
    <row r="853" ht="15.75" customHeight="1" s="79">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row>
    <row r="854" ht="15.75" customHeight="1" s="79">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row>
    <row r="855" ht="15.75" customHeight="1" s="79">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row>
    <row r="856" ht="15.75" customHeight="1" s="79">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row>
    <row r="857" ht="15.75" customHeight="1" s="79">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row>
    <row r="858" ht="15.75" customHeight="1" s="79">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row>
    <row r="859" ht="15.75" customHeight="1" s="79">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row>
    <row r="860" ht="15.75" customHeight="1" s="79">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row>
    <row r="861" ht="15.75" customHeight="1" s="79">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row>
    <row r="862" ht="15.75" customHeight="1" s="79">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row>
    <row r="863" ht="15.75" customHeight="1" s="79">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row>
    <row r="864" ht="15.75" customHeight="1" s="79">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row>
    <row r="865" ht="15.75" customHeight="1" s="79">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row>
    <row r="866" ht="15.75" customHeight="1" s="79">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row>
    <row r="867" ht="15.75" customHeight="1" s="79">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row>
    <row r="868" ht="15.75" customHeight="1" s="79">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row>
    <row r="869" ht="15.75" customHeight="1" s="79">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row>
    <row r="870" ht="15.75" customHeight="1" s="79">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row>
    <row r="871" ht="15.75" customHeight="1" s="79">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row>
    <row r="872" ht="15.75" customHeight="1" s="79">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row>
    <row r="873" ht="15.75" customHeight="1" s="79">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row>
    <row r="874" ht="15.75" customHeight="1" s="79">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row>
    <row r="875" ht="15.75" customHeight="1" s="79">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row>
    <row r="876" ht="15.75" customHeight="1" s="79">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row>
    <row r="877" ht="15.75" customHeight="1" s="79">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row>
    <row r="878" ht="15.75" customHeight="1" s="79">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row>
    <row r="879" ht="15.75" customHeight="1" s="79">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row>
    <row r="880" ht="15.75" customHeight="1" s="79">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row>
    <row r="881" ht="15.75" customHeight="1" s="79">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row>
    <row r="882" ht="15.75" customHeight="1" s="79">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row>
    <row r="883" ht="15.75" customHeight="1" s="79">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row>
    <row r="884" ht="15.75" customHeight="1" s="79">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row>
    <row r="885" ht="15.75" customHeight="1" s="79">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row>
    <row r="886" ht="15.75" customHeight="1" s="79">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row>
    <row r="887" ht="15.75" customHeight="1" s="79">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row>
    <row r="888" ht="15.75" customHeight="1" s="79">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row>
    <row r="889" ht="15.75" customHeight="1" s="79">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row>
    <row r="890" ht="15.75" customHeight="1" s="79">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row>
    <row r="891" ht="15.75" customHeight="1" s="79">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row>
    <row r="892" ht="15.75" customHeight="1" s="79">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row>
    <row r="893" ht="15.75" customHeight="1" s="79">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row>
    <row r="894" ht="15.75" customHeight="1" s="79">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row>
    <row r="895" ht="15.75" customHeight="1" s="79">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row>
    <row r="896" ht="15.75" customHeight="1" s="79">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row>
    <row r="897" ht="15.75" customHeight="1" s="79">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row>
    <row r="898" ht="15.75" customHeight="1" s="79">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row>
    <row r="899" ht="15.75" customHeight="1" s="79">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row>
    <row r="900" ht="15.75" customHeight="1" s="79">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row>
    <row r="901" ht="15.75" customHeight="1" s="79">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row>
    <row r="902" ht="15.75" customHeight="1" s="79">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row>
    <row r="903" ht="15.75" customHeight="1" s="79">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row>
    <row r="904" ht="15.75" customHeight="1" s="79">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row>
    <row r="905" ht="15.75" customHeight="1" s="79">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row>
    <row r="906" ht="15.75" customHeight="1" s="79">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row>
    <row r="907" ht="15.75" customHeight="1" s="79">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row>
    <row r="908" ht="15.75" customHeight="1" s="79">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row>
    <row r="909" ht="15.75" customHeight="1" s="79">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row>
    <row r="910" ht="15.75" customHeight="1" s="79">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row>
    <row r="911" ht="15.75" customHeight="1" s="79">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row>
    <row r="912" ht="15.75" customHeight="1" s="79">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row>
    <row r="913" ht="15.75" customHeight="1" s="79">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row>
    <row r="914" ht="15.75" customHeight="1" s="79">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row>
    <row r="915" ht="15.75" customHeight="1" s="79">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row>
    <row r="916" ht="15.75" customHeight="1" s="79">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row>
    <row r="917" ht="15.75" customHeight="1" s="79">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row>
    <row r="918" ht="15.75" customHeight="1" s="79">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row>
    <row r="919" ht="15.75" customHeight="1" s="79">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row>
    <row r="920" ht="15.75" customHeight="1" s="79">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row>
    <row r="921" ht="15.75" customHeight="1" s="79">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row>
    <row r="922" ht="15.75" customHeight="1" s="79">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row>
    <row r="923" ht="15.75" customHeight="1" s="79">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row>
    <row r="924" ht="15.75" customHeight="1" s="79">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row>
    <row r="925" ht="15.75" customHeight="1" s="79">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row>
    <row r="926" ht="15.75" customHeight="1" s="79">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row>
    <row r="927" ht="15.75" customHeight="1" s="79">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row>
    <row r="928" ht="15.75" customHeight="1" s="79">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row>
    <row r="929" ht="15.75" customHeight="1" s="79">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row>
    <row r="930" ht="15.75" customHeight="1" s="79">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row>
    <row r="931" ht="15.75" customHeight="1" s="79">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row>
    <row r="932" ht="15.75" customHeight="1" s="79">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row>
    <row r="933" ht="15.75" customHeight="1" s="79">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row>
    <row r="934" ht="15.75" customHeight="1" s="79">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row>
    <row r="935" ht="15.75" customHeight="1" s="79">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row>
    <row r="936" ht="30" customHeight="1" s="79">
      <c r="A936" s="34" t="inlineStr">
        <is>
          <t>Segment</t>
        </is>
      </c>
      <c r="B936" s="34" t="inlineStr">
        <is>
          <t>Funded $</t>
        </is>
      </c>
      <c r="C936" s="34" t="inlineStr">
        <is>
          <t>Collected $</t>
        </is>
      </c>
      <c r="D936" s="34" t="inlineStr">
        <is>
          <t>Net profit / loss $</t>
        </is>
      </c>
      <c r="E936" s="34" t="inlineStr">
        <is>
          <t>Commission $</t>
        </is>
      </c>
      <c r="F936" s="34" t="inlineStr">
        <is>
          <t>Principal lost $</t>
        </is>
      </c>
      <c r="G936" s="34" t="inlineStr">
        <is>
          <t>Principal default exposure</t>
        </is>
      </c>
      <c r="H936" s="34" t="inlineStr">
        <is>
          <t>Recovery rate</t>
        </is>
      </c>
      <c r="I936" s="34" t="inlineStr">
        <is>
          <t>Return on funded capital (%)</t>
        </is>
      </c>
      <c r="J936" s="34" t="inlineStr">
        <is>
          <t>Deals</t>
        </is>
      </c>
      <c r="K936" s="34" t="inlineStr">
        <is>
          <t>Share of funded dollars</t>
        </is>
      </c>
      <c r="L936" s="34" t="inlineStr">
        <is>
          <t>Avg deal size</t>
        </is>
      </c>
      <c r="M936" s="34" t="inlineStr">
        <is>
          <t>Avg expected term (business days)</t>
        </is>
      </c>
      <c r="N936" s="34" t="inlineStr">
        <is>
          <t>Avg expected term (payments)</t>
        </is>
      </c>
      <c r="O936" s="34" t="inlineStr">
        <is>
          <t>Avg days on book, defaulted</t>
        </is>
      </c>
      <c r="P936" s="34" t="inlineStr">
        <is>
          <t>Avg days to close</t>
        </is>
      </c>
      <c r="Q936" s="34" t="inlineStr">
        <is>
          <t>% of deals that were renewals</t>
        </is>
      </c>
      <c r="R936" s="34" t="inlineStr">
        <is>
          <t>% of funded dollars from renewals</t>
        </is>
      </c>
      <c r="S936" s="34" t="inlineStr">
        <is>
          <t>Book default exposure</t>
        </is>
      </c>
      <c r="T936" s="34" t="inlineStr">
        <is>
          <t>Book recovery</t>
        </is>
      </c>
      <c r="U936" s="34" t="inlineStr">
        <is>
          <t>Book return on funded capital</t>
        </is>
      </c>
      <c r="V936" s="34" t="inlineStr">
        <is>
          <t>Default rate (#)</t>
        </is>
      </c>
      <c r="W936" s="5" t="n"/>
      <c r="X936" s="5" t="n"/>
      <c r="Y936" s="5" t="n"/>
      <c r="Z936" s="5" t="n"/>
      <c r="AA936" s="5" t="n"/>
      <c r="AB936" s="5" t="n"/>
    </row>
    <row r="937" ht="15.75" customHeight="1" s="79">
      <c r="A937" s="5">
        <f>IFERROR(Calc!$A$139,"")</f>
        <v/>
      </c>
      <c r="B937" s="20">
        <f>IFERROR(Calc!B139,"")</f>
        <v/>
      </c>
      <c r="C937" s="20">
        <f>IFERROR(Calc!C139,"")</f>
        <v/>
      </c>
      <c r="D937" s="20">
        <f>IFERROR(Calc!D139,"")</f>
        <v/>
      </c>
      <c r="E937" s="20">
        <f>IFERROR(Calc!E139,"")</f>
        <v/>
      </c>
      <c r="F937" s="20">
        <f>IFERROR(Calc!F139,"")</f>
        <v/>
      </c>
      <c r="G937" s="21">
        <f>IFERROR(Calc!G139,"")</f>
        <v/>
      </c>
      <c r="H937" s="21">
        <f>IFERROR(Calc!H139,"")</f>
        <v/>
      </c>
      <c r="I937" s="21">
        <f>IFERROR(Calc!I139,"")</f>
        <v/>
      </c>
      <c r="J937" s="17">
        <f>IFERROR(Calc!J139,"")</f>
        <v/>
      </c>
      <c r="K937" s="21">
        <f>IFERROR(Calc!K139,"")</f>
        <v/>
      </c>
      <c r="L937" s="20">
        <f>IFERROR(Calc!L139,"")</f>
        <v/>
      </c>
      <c r="M937" s="17">
        <f>IFERROR(Calc!M139,"")</f>
        <v/>
      </c>
      <c r="N937" s="17">
        <f>IFERROR(Calc!N139,"")</f>
        <v/>
      </c>
      <c r="O937" s="17">
        <f>IFERROR(Calc!O139,"")</f>
        <v/>
      </c>
      <c r="P937" s="17">
        <f>IFERROR(Calc!P139,"")</f>
        <v/>
      </c>
      <c r="Q937" s="21">
        <f>IFERROR(Calc!Q139,"")</f>
        <v/>
      </c>
      <c r="R937" s="21">
        <f>IFERROR(Calc!R139,"")</f>
        <v/>
      </c>
      <c r="S937" s="21">
        <f>IFERROR(Calc!S139,"")</f>
        <v/>
      </c>
      <c r="T937" s="21">
        <f>IFERROR(Calc!T139,"")</f>
        <v/>
      </c>
      <c r="U937" s="21">
        <f>IFERROR(Calc!U139,"")</f>
        <v/>
      </c>
      <c r="V937" s="21">
        <f>IFERROR(Calc!V139,"")</f>
        <v/>
      </c>
      <c r="W937" s="5" t="n"/>
      <c r="X937" s="5" t="n"/>
      <c r="Y937" s="5" t="n"/>
      <c r="Z937" s="5" t="n"/>
      <c r="AA937" s="5" t="n"/>
      <c r="AB937" s="5" t="n"/>
    </row>
    <row r="938" ht="15.75" customHeight="1" s="79">
      <c r="A938" s="5">
        <f>IFERROR(Calc!$A$140,"")</f>
        <v/>
      </c>
      <c r="B938" s="20">
        <f>IFERROR(Calc!B140,"")</f>
        <v/>
      </c>
      <c r="C938" s="20">
        <f>IFERROR(Calc!C140,"")</f>
        <v/>
      </c>
      <c r="D938" s="20">
        <f>IFERROR(Calc!D140,"")</f>
        <v/>
      </c>
      <c r="E938" s="20">
        <f>IFERROR(Calc!E140,"")</f>
        <v/>
      </c>
      <c r="F938" s="20">
        <f>IFERROR(Calc!F140,"")</f>
        <v/>
      </c>
      <c r="G938" s="21">
        <f>IFERROR(Calc!G140,"")</f>
        <v/>
      </c>
      <c r="H938" s="21">
        <f>IFERROR(Calc!H140,"")</f>
        <v/>
      </c>
      <c r="I938" s="21">
        <f>IFERROR(Calc!I140,"")</f>
        <v/>
      </c>
      <c r="J938" s="17">
        <f>IFERROR(Calc!J140,"")</f>
        <v/>
      </c>
      <c r="K938" s="21">
        <f>IFERROR(Calc!K140,"")</f>
        <v/>
      </c>
      <c r="L938" s="20">
        <f>IFERROR(Calc!L140,"")</f>
        <v/>
      </c>
      <c r="M938" s="17">
        <f>IFERROR(Calc!M140,"")</f>
        <v/>
      </c>
      <c r="N938" s="17">
        <f>IFERROR(Calc!N140,"")</f>
        <v/>
      </c>
      <c r="O938" s="17">
        <f>IFERROR(Calc!O140,"")</f>
        <v/>
      </c>
      <c r="P938" s="17">
        <f>IFERROR(Calc!P140,"")</f>
        <v/>
      </c>
      <c r="Q938" s="21">
        <f>IFERROR(Calc!Q140,"")</f>
        <v/>
      </c>
      <c r="R938" s="21">
        <f>IFERROR(Calc!R140,"")</f>
        <v/>
      </c>
      <c r="S938" s="21">
        <f>IFERROR(Calc!S140,"")</f>
        <v/>
      </c>
      <c r="T938" s="21">
        <f>IFERROR(Calc!T140,"")</f>
        <v/>
      </c>
      <c r="U938" s="21">
        <f>IFERROR(Calc!U140,"")</f>
        <v/>
      </c>
      <c r="V938" s="21">
        <f>IFERROR(Calc!V140,"")</f>
        <v/>
      </c>
      <c r="W938" s="5" t="n"/>
      <c r="X938" s="5" t="n"/>
      <c r="Y938" s="5" t="n"/>
      <c r="Z938" s="5" t="n"/>
      <c r="AA938" s="5" t="n"/>
      <c r="AB938" s="5" t="n"/>
    </row>
    <row r="939" ht="15.75" customHeight="1" s="79">
      <c r="A939" s="5">
        <f>IFERROR(Calc!$A$141,"")</f>
        <v/>
      </c>
      <c r="B939" s="20">
        <f>IFERROR(Calc!B141,"")</f>
        <v/>
      </c>
      <c r="C939" s="20">
        <f>IFERROR(Calc!C141,"")</f>
        <v/>
      </c>
      <c r="D939" s="20">
        <f>IFERROR(Calc!D141,"")</f>
        <v/>
      </c>
      <c r="E939" s="20">
        <f>IFERROR(Calc!E141,"")</f>
        <v/>
      </c>
      <c r="F939" s="20">
        <f>IFERROR(Calc!F141,"")</f>
        <v/>
      </c>
      <c r="G939" s="21">
        <f>IFERROR(Calc!G141,"")</f>
        <v/>
      </c>
      <c r="H939" s="21">
        <f>IFERROR(Calc!H141,"")</f>
        <v/>
      </c>
      <c r="I939" s="21">
        <f>IFERROR(Calc!I141,"")</f>
        <v/>
      </c>
      <c r="J939" s="17">
        <f>IFERROR(Calc!J141,"")</f>
        <v/>
      </c>
      <c r="K939" s="21">
        <f>IFERROR(Calc!K141,"")</f>
        <v/>
      </c>
      <c r="L939" s="20">
        <f>IFERROR(Calc!L141,"")</f>
        <v/>
      </c>
      <c r="M939" s="17">
        <f>IFERROR(Calc!M141,"")</f>
        <v/>
      </c>
      <c r="N939" s="17">
        <f>IFERROR(Calc!N141,"")</f>
        <v/>
      </c>
      <c r="O939" s="17">
        <f>IFERROR(Calc!O141,"")</f>
        <v/>
      </c>
      <c r="P939" s="17">
        <f>IFERROR(Calc!P141,"")</f>
        <v/>
      </c>
      <c r="Q939" s="21">
        <f>IFERROR(Calc!Q141,"")</f>
        <v/>
      </c>
      <c r="R939" s="21">
        <f>IFERROR(Calc!R141,"")</f>
        <v/>
      </c>
      <c r="S939" s="21">
        <f>IFERROR(Calc!S141,"")</f>
        <v/>
      </c>
      <c r="T939" s="21">
        <f>IFERROR(Calc!T141,"")</f>
        <v/>
      </c>
      <c r="U939" s="21">
        <f>IFERROR(Calc!U141,"")</f>
        <v/>
      </c>
      <c r="V939" s="21">
        <f>IFERROR(Calc!V141,"")</f>
        <v/>
      </c>
      <c r="W939" s="5" t="n"/>
      <c r="X939" s="5" t="n"/>
      <c r="Y939" s="5" t="n"/>
      <c r="Z939" s="5" t="n"/>
      <c r="AA939" s="5" t="n"/>
      <c r="AB939" s="5" t="n"/>
    </row>
    <row r="940" ht="15.75" customHeight="1" s="79">
      <c r="A940" s="5">
        <f>IFERROR(Calc!$A$142,"")</f>
        <v/>
      </c>
      <c r="B940" s="20">
        <f>IFERROR(Calc!B142,"")</f>
        <v/>
      </c>
      <c r="C940" s="20">
        <f>IFERROR(Calc!C142,"")</f>
        <v/>
      </c>
      <c r="D940" s="20">
        <f>IFERROR(Calc!D142,"")</f>
        <v/>
      </c>
      <c r="E940" s="20">
        <f>IFERROR(Calc!E142,"")</f>
        <v/>
      </c>
      <c r="F940" s="20">
        <f>IFERROR(Calc!F142,"")</f>
        <v/>
      </c>
      <c r="G940" s="21">
        <f>IFERROR(Calc!G142,"")</f>
        <v/>
      </c>
      <c r="H940" s="21">
        <f>IFERROR(Calc!H142,"")</f>
        <v/>
      </c>
      <c r="I940" s="21">
        <f>IFERROR(Calc!I142,"")</f>
        <v/>
      </c>
      <c r="J940" s="17">
        <f>IFERROR(Calc!J142,"")</f>
        <v/>
      </c>
      <c r="K940" s="21">
        <f>IFERROR(Calc!K142,"")</f>
        <v/>
      </c>
      <c r="L940" s="20">
        <f>IFERROR(Calc!L142,"")</f>
        <v/>
      </c>
      <c r="M940" s="17">
        <f>IFERROR(Calc!M142,"")</f>
        <v/>
      </c>
      <c r="N940" s="17">
        <f>IFERROR(Calc!N142,"")</f>
        <v/>
      </c>
      <c r="O940" s="17">
        <f>IFERROR(Calc!O142,"")</f>
        <v/>
      </c>
      <c r="P940" s="17">
        <f>IFERROR(Calc!P142,"")</f>
        <v/>
      </c>
      <c r="Q940" s="21">
        <f>IFERROR(Calc!Q142,"")</f>
        <v/>
      </c>
      <c r="R940" s="21">
        <f>IFERROR(Calc!R142,"")</f>
        <v/>
      </c>
      <c r="S940" s="21">
        <f>IFERROR(Calc!S142,"")</f>
        <v/>
      </c>
      <c r="T940" s="21">
        <f>IFERROR(Calc!T142,"")</f>
        <v/>
      </c>
      <c r="U940" s="21">
        <f>IFERROR(Calc!U142,"")</f>
        <v/>
      </c>
      <c r="V940" s="21">
        <f>IFERROR(Calc!V142,"")</f>
        <v/>
      </c>
      <c r="W940" s="5" t="n"/>
      <c r="X940" s="5" t="n"/>
      <c r="Y940" s="5" t="n"/>
      <c r="Z940" s="5" t="n"/>
      <c r="AA940" s="5" t="n"/>
      <c r="AB940" s="5" t="n"/>
    </row>
    <row r="941" ht="15.75" customHeight="1" s="79">
      <c r="A941" s="5">
        <f>IFERROR(Calc!$A$143,"")</f>
        <v/>
      </c>
      <c r="B941" s="20">
        <f>IFERROR(Calc!B143,"")</f>
        <v/>
      </c>
      <c r="C941" s="20">
        <f>IFERROR(Calc!C143,"")</f>
        <v/>
      </c>
      <c r="D941" s="20">
        <f>IFERROR(Calc!D143,"")</f>
        <v/>
      </c>
      <c r="E941" s="20">
        <f>IFERROR(Calc!E143,"")</f>
        <v/>
      </c>
      <c r="F941" s="20">
        <f>IFERROR(Calc!F143,"")</f>
        <v/>
      </c>
      <c r="G941" s="21">
        <f>IFERROR(Calc!G143,"")</f>
        <v/>
      </c>
      <c r="H941" s="21">
        <f>IFERROR(Calc!H143,"")</f>
        <v/>
      </c>
      <c r="I941" s="21">
        <f>IFERROR(Calc!I143,"")</f>
        <v/>
      </c>
      <c r="J941" s="17">
        <f>IFERROR(Calc!J143,"")</f>
        <v/>
      </c>
      <c r="K941" s="21">
        <f>IFERROR(Calc!K143,"")</f>
        <v/>
      </c>
      <c r="L941" s="20">
        <f>IFERROR(Calc!L143,"")</f>
        <v/>
      </c>
      <c r="M941" s="17">
        <f>IFERROR(Calc!M143,"")</f>
        <v/>
      </c>
      <c r="N941" s="17">
        <f>IFERROR(Calc!N143,"")</f>
        <v/>
      </c>
      <c r="O941" s="17">
        <f>IFERROR(Calc!O143,"")</f>
        <v/>
      </c>
      <c r="P941" s="17">
        <f>IFERROR(Calc!P143,"")</f>
        <v/>
      </c>
      <c r="Q941" s="21">
        <f>IFERROR(Calc!Q143,"")</f>
        <v/>
      </c>
      <c r="R941" s="21">
        <f>IFERROR(Calc!R143,"")</f>
        <v/>
      </c>
      <c r="S941" s="21">
        <f>IFERROR(Calc!S143,"")</f>
        <v/>
      </c>
      <c r="T941" s="21">
        <f>IFERROR(Calc!T143,"")</f>
        <v/>
      </c>
      <c r="U941" s="21">
        <f>IFERROR(Calc!U143,"")</f>
        <v/>
      </c>
      <c r="V941" s="21">
        <f>IFERROR(Calc!V143,"")</f>
        <v/>
      </c>
      <c r="W941" s="5" t="n"/>
      <c r="X941" s="5" t="n"/>
      <c r="Y941" s="5" t="n"/>
      <c r="Z941" s="5" t="n"/>
      <c r="AA941" s="5" t="n"/>
      <c r="AB941" s="5" t="n"/>
    </row>
    <row r="942" ht="15.75" customHeight="1" s="79">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row>
    <row r="943" ht="15.75" customHeight="1" s="79">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row>
    <row r="944" ht="15.75" customHeight="1" s="79">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row>
    <row r="945" ht="15.75" customHeight="1" s="79">
      <c r="A945" s="43" t="inlineStr">
        <is>
          <t>FUNDING MONTH</t>
        </is>
      </c>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row>
    <row r="946" ht="66" customHeight="1" s="79">
      <c r="A946" s="72" t="n"/>
      <c r="AB946" s="5" t="n"/>
    </row>
    <row r="947" ht="15.75" customHeight="1" s="79">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row>
    <row r="948" ht="15.75" customHeight="1" s="79">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row>
    <row r="949" ht="15.75" customHeight="1" s="79">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row>
    <row r="950" ht="15.75" customHeight="1" s="79">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row>
    <row r="951" ht="15.75" customHeight="1" s="79">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row>
    <row r="952" ht="15.75" customHeight="1" s="79">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row>
    <row r="953" ht="15.75" customHeight="1" s="79">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row>
    <row r="954" ht="15.75" customHeight="1" s="79">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row>
    <row r="955" ht="15.75" customHeight="1" s="79">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row>
    <row r="956" ht="15.75" customHeight="1" s="79">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row>
    <row r="957" ht="15.75" customHeight="1" s="79">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row>
    <row r="958" ht="15.75" customHeight="1" s="79">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row>
    <row r="959" ht="15.75" customHeight="1" s="79">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row>
    <row r="960" ht="15.75" customHeight="1" s="79">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row>
    <row r="961" ht="15.75" customHeight="1" s="79">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row>
    <row r="962" ht="15.75" customHeight="1" s="79">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row>
    <row r="963" ht="15.75" customHeight="1" s="79">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row>
    <row r="964" ht="15.75" customHeight="1" s="79">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row>
    <row r="965" ht="15.75" customHeight="1" s="79">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row>
    <row r="966" ht="15.75" customHeight="1" s="79">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row>
    <row r="967" ht="15.75" customHeight="1" s="79">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row>
    <row r="968" ht="15.75" customHeight="1" s="79">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row>
    <row r="969" ht="15.75" customHeight="1" s="79">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row>
    <row r="970" ht="15.75" customHeight="1" s="79">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row>
    <row r="971" ht="15.75" customHeight="1" s="79">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row>
    <row r="972" ht="15.75" customHeight="1" s="79">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row>
    <row r="973" ht="15.75" customHeight="1" s="79">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row>
    <row r="974" ht="15.75" customHeight="1" s="79">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row>
    <row r="975" ht="15.75" customHeight="1" s="79">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row>
    <row r="976" ht="15.75" customHeight="1" s="79">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row>
    <row r="977" ht="15.75" customHeight="1" s="79">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row>
    <row r="978" ht="15.75" customHeight="1" s="79">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row>
    <row r="979" ht="15.75" customHeight="1" s="79">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row>
    <row r="980" ht="15.75" customHeight="1" s="79">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row>
    <row r="981" ht="15.75" customHeight="1" s="79">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row>
    <row r="982" ht="15.75" customHeight="1" s="79">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row>
    <row r="983" ht="15.75" customHeight="1" s="79">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row>
    <row r="984" ht="15.75" customHeight="1" s="79">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row>
    <row r="985" ht="15.75" customHeight="1" s="79">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row>
    <row r="986" ht="15.75" customHeight="1" s="79">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row>
    <row r="987" ht="15.75" customHeight="1" s="79">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row>
    <row r="988" ht="15.75" customHeight="1" s="79">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row>
    <row r="989" ht="15.75" customHeight="1" s="79">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row>
    <row r="990" ht="15.75" customHeight="1" s="79">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row>
    <row r="991" ht="15.75" customHeight="1" s="79">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row>
    <row r="992" ht="15.75" customHeight="1" s="79">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row>
    <row r="993" ht="15.75" customHeight="1" s="79">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row>
    <row r="994" ht="15.75" customHeight="1" s="79">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row>
    <row r="995" ht="15.75" customHeight="1" s="79">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row>
    <row r="996" ht="15.75" customHeight="1" s="79">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row>
    <row r="997" ht="15.75" customHeight="1" s="79">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row>
    <row r="998" ht="15.75" customHeight="1" s="79">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row>
    <row r="999" ht="15.75" customHeight="1" s="79">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row>
    <row r="1000" ht="15.75" customHeight="1" s="79">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row>
    <row r="1001" ht="15.75" customHeight="1" s="79">
      <c r="A1001" s="5" t="n"/>
      <c r="B1001" s="5" t="n"/>
      <c r="C1001" s="5" t="n"/>
      <c r="D1001" s="5" t="n"/>
      <c r="E1001" s="5" t="n"/>
      <c r="F1001" s="5" t="n"/>
      <c r="G1001" s="5" t="n"/>
      <c r="H1001" s="5" t="n"/>
      <c r="I1001" s="5" t="n"/>
      <c r="J1001" s="5" t="n"/>
      <c r="K1001" s="5" t="n"/>
      <c r="L1001" s="5" t="n"/>
      <c r="M1001" s="5" t="n"/>
      <c r="N1001" s="5" t="n"/>
      <c r="O1001" s="5" t="n"/>
      <c r="P1001" s="5" t="n"/>
      <c r="Q1001" s="5" t="n"/>
      <c r="R1001" s="5" t="n"/>
      <c r="S1001" s="5" t="n"/>
      <c r="T1001" s="5" t="n"/>
      <c r="U1001" s="5" t="n"/>
      <c r="V1001" s="5" t="n"/>
      <c r="W1001" s="5" t="n"/>
      <c r="X1001" s="5" t="n"/>
      <c r="Y1001" s="5" t="n"/>
      <c r="Z1001" s="5" t="n"/>
      <c r="AA1001" s="5" t="n"/>
      <c r="AB1001" s="5" t="n"/>
    </row>
    <row r="1002" ht="15.75" customHeight="1" s="79">
      <c r="A1002" s="5" t="n"/>
      <c r="B1002" s="5" t="n"/>
      <c r="C1002" s="5" t="n"/>
      <c r="D1002" s="5" t="n"/>
      <c r="E1002" s="5" t="n"/>
      <c r="F1002" s="5" t="n"/>
      <c r="G1002" s="5" t="n"/>
      <c r="H1002" s="5" t="n"/>
      <c r="I1002" s="5" t="n"/>
      <c r="J1002" s="5" t="n"/>
      <c r="K1002" s="5" t="n"/>
      <c r="L1002" s="5" t="n"/>
      <c r="M1002" s="5" t="n"/>
      <c r="N1002" s="5" t="n"/>
      <c r="O1002" s="5" t="n"/>
      <c r="P1002" s="5" t="n"/>
      <c r="Q1002" s="5" t="n"/>
      <c r="R1002" s="5" t="n"/>
      <c r="S1002" s="5" t="n"/>
      <c r="T1002" s="5" t="n"/>
      <c r="U1002" s="5" t="n"/>
      <c r="V1002" s="5" t="n"/>
      <c r="W1002" s="5" t="n"/>
      <c r="X1002" s="5" t="n"/>
      <c r="Y1002" s="5" t="n"/>
      <c r="Z1002" s="5" t="n"/>
      <c r="AA1002" s="5" t="n"/>
      <c r="AB1002" s="5" t="n"/>
    </row>
    <row r="1003" ht="15.75" customHeight="1" s="79">
      <c r="A1003" s="5" t="n"/>
      <c r="B1003" s="5" t="n"/>
      <c r="C1003" s="5" t="n"/>
      <c r="D1003" s="5" t="n"/>
      <c r="E1003" s="5" t="n"/>
      <c r="F1003" s="5" t="n"/>
      <c r="G1003" s="5" t="n"/>
      <c r="H1003" s="5" t="n"/>
      <c r="I1003" s="5" t="n"/>
      <c r="J1003" s="5" t="n"/>
      <c r="K1003" s="5" t="n"/>
      <c r="L1003" s="5" t="n"/>
      <c r="M1003" s="5" t="n"/>
      <c r="N1003" s="5" t="n"/>
      <c r="O1003" s="5" t="n"/>
      <c r="P1003" s="5" t="n"/>
      <c r="Q1003" s="5" t="n"/>
      <c r="R1003" s="5" t="n"/>
      <c r="S1003" s="5" t="n"/>
      <c r="T1003" s="5" t="n"/>
      <c r="U1003" s="5" t="n"/>
      <c r="V1003" s="5" t="n"/>
      <c r="W1003" s="5" t="n"/>
      <c r="X1003" s="5" t="n"/>
      <c r="Y1003" s="5" t="n"/>
      <c r="Z1003" s="5" t="n"/>
      <c r="AA1003" s="5" t="n"/>
      <c r="AB1003" s="5" t="n"/>
    </row>
    <row r="1004" ht="15.75" customHeight="1" s="79">
      <c r="A1004" s="5" t="n"/>
      <c r="B1004" s="5" t="n"/>
      <c r="C1004" s="5" t="n"/>
      <c r="D1004" s="5" t="n"/>
      <c r="E1004" s="5" t="n"/>
      <c r="F1004" s="5" t="n"/>
      <c r="G1004" s="5" t="n"/>
      <c r="H1004" s="5" t="n"/>
      <c r="I1004" s="5" t="n"/>
      <c r="J1004" s="5" t="n"/>
      <c r="K1004" s="5" t="n"/>
      <c r="L1004" s="5" t="n"/>
      <c r="M1004" s="5" t="n"/>
      <c r="N1004" s="5" t="n"/>
      <c r="O1004" s="5" t="n"/>
      <c r="P1004" s="5" t="n"/>
      <c r="Q1004" s="5" t="n"/>
      <c r="R1004" s="5" t="n"/>
      <c r="S1004" s="5" t="n"/>
      <c r="T1004" s="5" t="n"/>
      <c r="U1004" s="5" t="n"/>
      <c r="V1004" s="5" t="n"/>
      <c r="W1004" s="5" t="n"/>
      <c r="X1004" s="5" t="n"/>
      <c r="Y1004" s="5" t="n"/>
      <c r="Z1004" s="5" t="n"/>
      <c r="AA1004" s="5" t="n"/>
      <c r="AB1004" s="5" t="n"/>
    </row>
    <row r="1005" ht="15.75" customHeight="1" s="79">
      <c r="A1005" s="5" t="n"/>
      <c r="B1005" s="5" t="n"/>
      <c r="C1005" s="5" t="n"/>
      <c r="D1005" s="5" t="n"/>
      <c r="E1005" s="5" t="n"/>
      <c r="F1005" s="5" t="n"/>
      <c r="G1005" s="5" t="n"/>
      <c r="H1005" s="5" t="n"/>
      <c r="I1005" s="5" t="n"/>
      <c r="J1005" s="5" t="n"/>
      <c r="K1005" s="5" t="n"/>
      <c r="L1005" s="5" t="n"/>
      <c r="M1005" s="5" t="n"/>
      <c r="N1005" s="5" t="n"/>
      <c r="O1005" s="5" t="n"/>
      <c r="P1005" s="5" t="n"/>
      <c r="Q1005" s="5" t="n"/>
      <c r="R1005" s="5" t="n"/>
      <c r="S1005" s="5" t="n"/>
      <c r="T1005" s="5" t="n"/>
      <c r="U1005" s="5" t="n"/>
      <c r="V1005" s="5" t="n"/>
      <c r="W1005" s="5" t="n"/>
      <c r="X1005" s="5" t="n"/>
      <c r="Y1005" s="5" t="n"/>
      <c r="Z1005" s="5" t="n"/>
      <c r="AA1005" s="5" t="n"/>
      <c r="AB1005" s="5" t="n"/>
    </row>
    <row r="1006" ht="15.75" customHeight="1" s="79">
      <c r="A1006" s="5" t="n"/>
      <c r="B1006" s="5" t="n"/>
      <c r="C1006" s="5" t="n"/>
      <c r="D1006" s="5" t="n"/>
      <c r="E1006" s="5" t="n"/>
      <c r="F1006" s="5" t="n"/>
      <c r="G1006" s="5" t="n"/>
      <c r="H1006" s="5" t="n"/>
      <c r="I1006" s="5" t="n"/>
      <c r="J1006" s="5" t="n"/>
      <c r="K1006" s="5" t="n"/>
      <c r="L1006" s="5" t="n"/>
      <c r="M1006" s="5" t="n"/>
      <c r="N1006" s="5" t="n"/>
      <c r="O1006" s="5" t="n"/>
      <c r="P1006" s="5" t="n"/>
      <c r="Q1006" s="5" t="n"/>
      <c r="R1006" s="5" t="n"/>
      <c r="S1006" s="5" t="n"/>
      <c r="T1006" s="5" t="n"/>
      <c r="U1006" s="5" t="n"/>
      <c r="V1006" s="5" t="n"/>
      <c r="W1006" s="5" t="n"/>
      <c r="X1006" s="5" t="n"/>
      <c r="Y1006" s="5" t="n"/>
      <c r="Z1006" s="5" t="n"/>
      <c r="AA1006" s="5" t="n"/>
      <c r="AB1006" s="5" t="n"/>
    </row>
    <row r="1007" ht="15.75" customHeight="1" s="79">
      <c r="A1007" s="5" t="n"/>
      <c r="B1007" s="5" t="n"/>
      <c r="C1007" s="5" t="n"/>
      <c r="D1007" s="5" t="n"/>
      <c r="E1007" s="5" t="n"/>
      <c r="F1007" s="5" t="n"/>
      <c r="G1007" s="5" t="n"/>
      <c r="H1007" s="5" t="n"/>
      <c r="I1007" s="5" t="n"/>
      <c r="J1007" s="5" t="n"/>
      <c r="K1007" s="5" t="n"/>
      <c r="L1007" s="5" t="n"/>
      <c r="M1007" s="5" t="n"/>
      <c r="N1007" s="5" t="n"/>
      <c r="O1007" s="5" t="n"/>
      <c r="P1007" s="5" t="n"/>
      <c r="Q1007" s="5" t="n"/>
      <c r="R1007" s="5" t="n"/>
      <c r="S1007" s="5" t="n"/>
      <c r="T1007" s="5" t="n"/>
      <c r="U1007" s="5" t="n"/>
      <c r="V1007" s="5" t="n"/>
      <c r="W1007" s="5" t="n"/>
      <c r="X1007" s="5" t="n"/>
      <c r="Y1007" s="5" t="n"/>
      <c r="Z1007" s="5" t="n"/>
      <c r="AA1007" s="5" t="n"/>
      <c r="AB1007" s="5" t="n"/>
    </row>
    <row r="1008" ht="15.75" customHeight="1" s="79">
      <c r="A1008" s="5" t="n"/>
      <c r="B1008" s="5" t="n"/>
      <c r="C1008" s="5" t="n"/>
      <c r="D1008" s="5" t="n"/>
      <c r="E1008" s="5" t="n"/>
      <c r="F1008" s="5" t="n"/>
      <c r="G1008" s="5" t="n"/>
      <c r="H1008" s="5" t="n"/>
      <c r="I1008" s="5" t="n"/>
      <c r="J1008" s="5" t="n"/>
      <c r="K1008" s="5" t="n"/>
      <c r="L1008" s="5" t="n"/>
      <c r="M1008" s="5" t="n"/>
      <c r="N1008" s="5" t="n"/>
      <c r="O1008" s="5" t="n"/>
      <c r="P1008" s="5" t="n"/>
      <c r="Q1008" s="5" t="n"/>
      <c r="R1008" s="5" t="n"/>
      <c r="S1008" s="5" t="n"/>
      <c r="T1008" s="5" t="n"/>
      <c r="U1008" s="5" t="n"/>
      <c r="V1008" s="5" t="n"/>
      <c r="W1008" s="5" t="n"/>
      <c r="X1008" s="5" t="n"/>
      <c r="Y1008" s="5" t="n"/>
      <c r="Z1008" s="5" t="n"/>
      <c r="AA1008" s="5" t="n"/>
      <c r="AB1008" s="5" t="n"/>
    </row>
    <row r="1009" ht="15.75" customHeight="1" s="79">
      <c r="A1009" s="5" t="n"/>
      <c r="B1009" s="5" t="n"/>
      <c r="C1009" s="5" t="n"/>
      <c r="D1009" s="5" t="n"/>
      <c r="E1009" s="5" t="n"/>
      <c r="F1009" s="5" t="n"/>
      <c r="G1009" s="5" t="n"/>
      <c r="H1009" s="5" t="n"/>
      <c r="I1009" s="5" t="n"/>
      <c r="J1009" s="5" t="n"/>
      <c r="K1009" s="5" t="n"/>
      <c r="L1009" s="5" t="n"/>
      <c r="M1009" s="5" t="n"/>
      <c r="N1009" s="5" t="n"/>
      <c r="O1009" s="5" t="n"/>
      <c r="P1009" s="5" t="n"/>
      <c r="Q1009" s="5" t="n"/>
      <c r="R1009" s="5" t="n"/>
      <c r="S1009" s="5" t="n"/>
      <c r="T1009" s="5" t="n"/>
      <c r="U1009" s="5" t="n"/>
      <c r="V1009" s="5" t="n"/>
      <c r="W1009" s="5" t="n"/>
      <c r="X1009" s="5" t="n"/>
      <c r="Y1009" s="5" t="n"/>
      <c r="Z1009" s="5" t="n"/>
      <c r="AA1009" s="5" t="n"/>
      <c r="AB1009" s="5" t="n"/>
    </row>
    <row r="1010" ht="15.75" customHeight="1" s="79">
      <c r="A1010" s="5" t="n"/>
      <c r="B1010" s="5" t="n"/>
      <c r="C1010" s="5" t="n"/>
      <c r="D1010" s="5" t="n"/>
      <c r="E1010" s="5" t="n"/>
      <c r="F1010" s="5" t="n"/>
      <c r="G1010" s="5" t="n"/>
      <c r="H1010" s="5" t="n"/>
      <c r="I1010" s="5" t="n"/>
      <c r="J1010" s="5" t="n"/>
      <c r="K1010" s="5" t="n"/>
      <c r="L1010" s="5" t="n"/>
      <c r="M1010" s="5" t="n"/>
      <c r="N1010" s="5" t="n"/>
      <c r="O1010" s="5" t="n"/>
      <c r="P1010" s="5" t="n"/>
      <c r="Q1010" s="5" t="n"/>
      <c r="R1010" s="5" t="n"/>
      <c r="S1010" s="5" t="n"/>
      <c r="T1010" s="5" t="n"/>
      <c r="U1010" s="5" t="n"/>
      <c r="V1010" s="5" t="n"/>
      <c r="W1010" s="5" t="n"/>
      <c r="X1010" s="5" t="n"/>
      <c r="Y1010" s="5" t="n"/>
      <c r="Z1010" s="5" t="n"/>
      <c r="AA1010" s="5" t="n"/>
      <c r="AB1010" s="5" t="n"/>
    </row>
    <row r="1011" ht="15.75" customHeight="1" s="79">
      <c r="A1011" s="5" t="n"/>
      <c r="B1011" s="5" t="n"/>
      <c r="C1011" s="5" t="n"/>
      <c r="D1011" s="5" t="n"/>
      <c r="E1011" s="5" t="n"/>
      <c r="F1011" s="5" t="n"/>
      <c r="G1011" s="5" t="n"/>
      <c r="H1011" s="5" t="n"/>
      <c r="I1011" s="5" t="n"/>
      <c r="J1011" s="5" t="n"/>
      <c r="K1011" s="5" t="n"/>
      <c r="L1011" s="5" t="n"/>
      <c r="M1011" s="5" t="n"/>
      <c r="N1011" s="5" t="n"/>
      <c r="O1011" s="5" t="n"/>
      <c r="P1011" s="5" t="n"/>
      <c r="Q1011" s="5" t="n"/>
      <c r="R1011" s="5" t="n"/>
      <c r="S1011" s="5" t="n"/>
      <c r="T1011" s="5" t="n"/>
      <c r="U1011" s="5" t="n"/>
      <c r="V1011" s="5" t="n"/>
      <c r="W1011" s="5" t="n"/>
      <c r="X1011" s="5" t="n"/>
      <c r="Y1011" s="5" t="n"/>
      <c r="Z1011" s="5" t="n"/>
      <c r="AA1011" s="5" t="n"/>
      <c r="AB1011" s="5" t="n"/>
    </row>
    <row r="1012" ht="15.75" customHeight="1" s="79">
      <c r="A1012" s="5" t="n"/>
      <c r="B1012" s="5" t="n"/>
      <c r="C1012" s="5" t="n"/>
      <c r="D1012" s="5" t="n"/>
      <c r="E1012" s="5" t="n"/>
      <c r="F1012" s="5" t="n"/>
      <c r="G1012" s="5" t="n"/>
      <c r="H1012" s="5" t="n"/>
      <c r="I1012" s="5" t="n"/>
      <c r="J1012" s="5" t="n"/>
      <c r="K1012" s="5" t="n"/>
      <c r="L1012" s="5" t="n"/>
      <c r="M1012" s="5" t="n"/>
      <c r="N1012" s="5" t="n"/>
      <c r="O1012" s="5" t="n"/>
      <c r="P1012" s="5" t="n"/>
      <c r="Q1012" s="5" t="n"/>
      <c r="R1012" s="5" t="n"/>
      <c r="S1012" s="5" t="n"/>
      <c r="T1012" s="5" t="n"/>
      <c r="U1012" s="5" t="n"/>
      <c r="V1012" s="5" t="n"/>
      <c r="W1012" s="5" t="n"/>
      <c r="X1012" s="5" t="n"/>
      <c r="Y1012" s="5" t="n"/>
      <c r="Z1012" s="5" t="n"/>
      <c r="AA1012" s="5" t="n"/>
      <c r="AB1012" s="5" t="n"/>
    </row>
    <row r="1013" ht="15.75" customHeight="1" s="79">
      <c r="A1013" s="5" t="n"/>
      <c r="B1013" s="5" t="n"/>
      <c r="C1013" s="5" t="n"/>
      <c r="D1013" s="5" t="n"/>
      <c r="E1013" s="5" t="n"/>
      <c r="F1013" s="5" t="n"/>
      <c r="G1013" s="5" t="n"/>
      <c r="H1013" s="5" t="n"/>
      <c r="I1013" s="5" t="n"/>
      <c r="J1013" s="5" t="n"/>
      <c r="K1013" s="5" t="n"/>
      <c r="L1013" s="5" t="n"/>
      <c r="M1013" s="5" t="n"/>
      <c r="N1013" s="5" t="n"/>
      <c r="O1013" s="5" t="n"/>
      <c r="P1013" s="5" t="n"/>
      <c r="Q1013" s="5" t="n"/>
      <c r="R1013" s="5" t="n"/>
      <c r="S1013" s="5" t="n"/>
      <c r="T1013" s="5" t="n"/>
      <c r="U1013" s="5" t="n"/>
      <c r="V1013" s="5" t="n"/>
      <c r="W1013" s="5" t="n"/>
      <c r="X1013" s="5" t="n"/>
      <c r="Y1013" s="5" t="n"/>
      <c r="Z1013" s="5" t="n"/>
      <c r="AA1013" s="5" t="n"/>
      <c r="AB1013" s="5" t="n"/>
    </row>
    <row r="1014" ht="15.75" customHeight="1" s="79">
      <c r="A1014" s="5" t="n"/>
      <c r="B1014" s="5" t="n"/>
      <c r="C1014" s="5" t="n"/>
      <c r="D1014" s="5" t="n"/>
      <c r="E1014" s="5" t="n"/>
      <c r="F1014" s="5" t="n"/>
      <c r="G1014" s="5" t="n"/>
      <c r="H1014" s="5" t="n"/>
      <c r="I1014" s="5" t="n"/>
      <c r="J1014" s="5" t="n"/>
      <c r="K1014" s="5" t="n"/>
      <c r="L1014" s="5" t="n"/>
      <c r="M1014" s="5" t="n"/>
      <c r="N1014" s="5" t="n"/>
      <c r="O1014" s="5" t="n"/>
      <c r="P1014" s="5" t="n"/>
      <c r="Q1014" s="5" t="n"/>
      <c r="R1014" s="5" t="n"/>
      <c r="S1014" s="5" t="n"/>
      <c r="T1014" s="5" t="n"/>
      <c r="U1014" s="5" t="n"/>
      <c r="V1014" s="5" t="n"/>
      <c r="W1014" s="5" t="n"/>
      <c r="X1014" s="5" t="n"/>
      <c r="Y1014" s="5" t="n"/>
      <c r="Z1014" s="5" t="n"/>
      <c r="AA1014" s="5" t="n"/>
      <c r="AB1014" s="5" t="n"/>
    </row>
    <row r="1015" ht="15.75" customHeight="1" s="79">
      <c r="A1015" s="5" t="n"/>
      <c r="B1015" s="5" t="n"/>
      <c r="C1015" s="5" t="n"/>
      <c r="D1015" s="5" t="n"/>
      <c r="E1015" s="5" t="n"/>
      <c r="F1015" s="5" t="n"/>
      <c r="G1015" s="5" t="n"/>
      <c r="H1015" s="5" t="n"/>
      <c r="I1015" s="5" t="n"/>
      <c r="J1015" s="5" t="n"/>
      <c r="K1015" s="5" t="n"/>
      <c r="L1015" s="5" t="n"/>
      <c r="M1015" s="5" t="n"/>
      <c r="N1015" s="5" t="n"/>
      <c r="O1015" s="5" t="n"/>
      <c r="P1015" s="5" t="n"/>
      <c r="Q1015" s="5" t="n"/>
      <c r="R1015" s="5" t="n"/>
      <c r="S1015" s="5" t="n"/>
      <c r="T1015" s="5" t="n"/>
      <c r="U1015" s="5" t="n"/>
      <c r="V1015" s="5" t="n"/>
      <c r="W1015" s="5" t="n"/>
      <c r="X1015" s="5" t="n"/>
      <c r="Y1015" s="5" t="n"/>
      <c r="Z1015" s="5" t="n"/>
      <c r="AA1015" s="5" t="n"/>
      <c r="AB1015" s="5" t="n"/>
    </row>
    <row r="1016" ht="15.75" customHeight="1" s="79">
      <c r="A1016" s="5" t="n"/>
      <c r="B1016" s="5" t="n"/>
      <c r="C1016" s="5" t="n"/>
      <c r="D1016" s="5" t="n"/>
      <c r="E1016" s="5" t="n"/>
      <c r="F1016" s="5" t="n"/>
      <c r="G1016" s="5" t="n"/>
      <c r="H1016" s="5" t="n"/>
      <c r="I1016" s="5" t="n"/>
      <c r="J1016" s="5" t="n"/>
      <c r="K1016" s="5" t="n"/>
      <c r="L1016" s="5" t="n"/>
      <c r="M1016" s="5" t="n"/>
      <c r="N1016" s="5" t="n"/>
      <c r="O1016" s="5" t="n"/>
      <c r="P1016" s="5" t="n"/>
      <c r="Q1016" s="5" t="n"/>
      <c r="R1016" s="5" t="n"/>
      <c r="S1016" s="5" t="n"/>
      <c r="T1016" s="5" t="n"/>
      <c r="U1016" s="5" t="n"/>
      <c r="V1016" s="5" t="n"/>
      <c r="W1016" s="5" t="n"/>
      <c r="X1016" s="5" t="n"/>
      <c r="Y1016" s="5" t="n"/>
      <c r="Z1016" s="5" t="n"/>
      <c r="AA1016" s="5" t="n"/>
      <c r="AB1016" s="5" t="n"/>
    </row>
    <row r="1017" ht="15.75" customHeight="1" s="79">
      <c r="A1017" s="5" t="n"/>
      <c r="B1017" s="5" t="n"/>
      <c r="C1017" s="5" t="n"/>
      <c r="D1017" s="5" t="n"/>
      <c r="E1017" s="5" t="n"/>
      <c r="F1017" s="5" t="n"/>
      <c r="G1017" s="5" t="n"/>
      <c r="H1017" s="5" t="n"/>
      <c r="I1017" s="5" t="n"/>
      <c r="J1017" s="5" t="n"/>
      <c r="K1017" s="5" t="n"/>
      <c r="L1017" s="5" t="n"/>
      <c r="M1017" s="5" t="n"/>
      <c r="N1017" s="5" t="n"/>
      <c r="O1017" s="5" t="n"/>
      <c r="P1017" s="5" t="n"/>
      <c r="Q1017" s="5" t="n"/>
      <c r="R1017" s="5" t="n"/>
      <c r="S1017" s="5" t="n"/>
      <c r="T1017" s="5" t="n"/>
      <c r="U1017" s="5" t="n"/>
      <c r="V1017" s="5" t="n"/>
      <c r="W1017" s="5" t="n"/>
      <c r="X1017" s="5" t="n"/>
      <c r="Y1017" s="5" t="n"/>
      <c r="Z1017" s="5" t="n"/>
      <c r="AA1017" s="5" t="n"/>
      <c r="AB1017" s="5" t="n"/>
    </row>
    <row r="1018" ht="15.75" customHeight="1" s="79">
      <c r="A1018" s="5" t="n"/>
      <c r="B1018" s="5" t="n"/>
      <c r="C1018" s="5" t="n"/>
      <c r="D1018" s="5" t="n"/>
      <c r="E1018" s="5" t="n"/>
      <c r="F1018" s="5" t="n"/>
      <c r="G1018" s="5" t="n"/>
      <c r="H1018" s="5" t="n"/>
      <c r="I1018" s="5" t="n"/>
      <c r="J1018" s="5" t="n"/>
      <c r="K1018" s="5" t="n"/>
      <c r="L1018" s="5" t="n"/>
      <c r="M1018" s="5" t="n"/>
      <c r="N1018" s="5" t="n"/>
      <c r="O1018" s="5" t="n"/>
      <c r="P1018" s="5" t="n"/>
      <c r="Q1018" s="5" t="n"/>
      <c r="R1018" s="5" t="n"/>
      <c r="S1018" s="5" t="n"/>
      <c r="T1018" s="5" t="n"/>
      <c r="U1018" s="5" t="n"/>
      <c r="V1018" s="5" t="n"/>
      <c r="W1018" s="5" t="n"/>
      <c r="X1018" s="5" t="n"/>
      <c r="Y1018" s="5" t="n"/>
      <c r="Z1018" s="5" t="n"/>
      <c r="AA1018" s="5" t="n"/>
      <c r="AB1018" s="5" t="n"/>
    </row>
    <row r="1019" ht="15.75" customHeight="1" s="79">
      <c r="A1019" s="5" t="n"/>
      <c r="B1019" s="5" t="n"/>
      <c r="C1019" s="5" t="n"/>
      <c r="D1019" s="5" t="n"/>
      <c r="E1019" s="5" t="n"/>
      <c r="F1019" s="5" t="n"/>
      <c r="G1019" s="5" t="n"/>
      <c r="H1019" s="5" t="n"/>
      <c r="I1019" s="5" t="n"/>
      <c r="J1019" s="5" t="n"/>
      <c r="K1019" s="5" t="n"/>
      <c r="L1019" s="5" t="n"/>
      <c r="M1019" s="5" t="n"/>
      <c r="N1019" s="5" t="n"/>
      <c r="O1019" s="5" t="n"/>
      <c r="P1019" s="5" t="n"/>
      <c r="Q1019" s="5" t="n"/>
      <c r="R1019" s="5" t="n"/>
      <c r="S1019" s="5" t="n"/>
      <c r="T1019" s="5" t="n"/>
      <c r="U1019" s="5" t="n"/>
      <c r="V1019" s="5" t="n"/>
      <c r="W1019" s="5" t="n"/>
      <c r="X1019" s="5" t="n"/>
      <c r="Y1019" s="5" t="n"/>
      <c r="Z1019" s="5" t="n"/>
      <c r="AA1019" s="5" t="n"/>
      <c r="AB1019" s="5" t="n"/>
    </row>
    <row r="1020" ht="15.75" customHeight="1" s="79">
      <c r="A1020" s="5" t="n"/>
      <c r="B1020" s="5" t="n"/>
      <c r="C1020" s="5" t="n"/>
      <c r="D1020" s="5" t="n"/>
      <c r="E1020" s="5" t="n"/>
      <c r="F1020" s="5" t="n"/>
      <c r="G1020" s="5" t="n"/>
      <c r="H1020" s="5" t="n"/>
      <c r="I1020" s="5" t="n"/>
      <c r="J1020" s="5" t="n"/>
      <c r="K1020" s="5" t="n"/>
      <c r="L1020" s="5" t="n"/>
      <c r="M1020" s="5" t="n"/>
      <c r="N1020" s="5" t="n"/>
      <c r="O1020" s="5" t="n"/>
      <c r="P1020" s="5" t="n"/>
      <c r="Q1020" s="5" t="n"/>
      <c r="R1020" s="5" t="n"/>
      <c r="S1020" s="5" t="n"/>
      <c r="T1020" s="5" t="n"/>
      <c r="U1020" s="5" t="n"/>
      <c r="V1020" s="5" t="n"/>
      <c r="W1020" s="5" t="n"/>
      <c r="X1020" s="5" t="n"/>
      <c r="Y1020" s="5" t="n"/>
      <c r="Z1020" s="5" t="n"/>
      <c r="AA1020" s="5" t="n"/>
      <c r="AB1020" s="5" t="n"/>
    </row>
    <row r="1021" ht="15.75" customHeight="1" s="79">
      <c r="A1021" s="5" t="n"/>
      <c r="B1021" s="5" t="n"/>
      <c r="C1021" s="5" t="n"/>
      <c r="D1021" s="5" t="n"/>
      <c r="E1021" s="5" t="n"/>
      <c r="F1021" s="5" t="n"/>
      <c r="G1021" s="5" t="n"/>
      <c r="H1021" s="5" t="n"/>
      <c r="I1021" s="5" t="n"/>
      <c r="J1021" s="5" t="n"/>
      <c r="K1021" s="5" t="n"/>
      <c r="L1021" s="5" t="n"/>
      <c r="M1021" s="5" t="n"/>
      <c r="N1021" s="5" t="n"/>
      <c r="O1021" s="5" t="n"/>
      <c r="P1021" s="5" t="n"/>
      <c r="Q1021" s="5" t="n"/>
      <c r="R1021" s="5" t="n"/>
      <c r="S1021" s="5" t="n"/>
      <c r="T1021" s="5" t="n"/>
      <c r="U1021" s="5" t="n"/>
      <c r="V1021" s="5" t="n"/>
      <c r="W1021" s="5" t="n"/>
      <c r="X1021" s="5" t="n"/>
      <c r="Y1021" s="5" t="n"/>
      <c r="Z1021" s="5" t="n"/>
      <c r="AA1021" s="5" t="n"/>
      <c r="AB1021" s="5" t="n"/>
    </row>
    <row r="1022" ht="15.75" customHeight="1" s="79">
      <c r="A1022" s="5" t="n"/>
      <c r="B1022" s="5" t="n"/>
      <c r="C1022" s="5" t="n"/>
      <c r="D1022" s="5" t="n"/>
      <c r="E1022" s="5" t="n"/>
      <c r="F1022" s="5" t="n"/>
      <c r="G1022" s="5" t="n"/>
      <c r="H1022" s="5" t="n"/>
      <c r="I1022" s="5" t="n"/>
      <c r="J1022" s="5" t="n"/>
      <c r="K1022" s="5" t="n"/>
      <c r="L1022" s="5" t="n"/>
      <c r="M1022" s="5" t="n"/>
      <c r="N1022" s="5" t="n"/>
      <c r="O1022" s="5" t="n"/>
      <c r="P1022" s="5" t="n"/>
      <c r="Q1022" s="5" t="n"/>
      <c r="R1022" s="5" t="n"/>
      <c r="S1022" s="5" t="n"/>
      <c r="T1022" s="5" t="n"/>
      <c r="U1022" s="5" t="n"/>
      <c r="V1022" s="5" t="n"/>
      <c r="W1022" s="5" t="n"/>
      <c r="X1022" s="5" t="n"/>
      <c r="Y1022" s="5" t="n"/>
      <c r="Z1022" s="5" t="n"/>
      <c r="AA1022" s="5" t="n"/>
      <c r="AB1022" s="5" t="n"/>
    </row>
    <row r="1023" ht="15.75" customHeight="1" s="79">
      <c r="A1023" s="5" t="n"/>
      <c r="B1023" s="5" t="n"/>
      <c r="C1023" s="5" t="n"/>
      <c r="D1023" s="5" t="n"/>
      <c r="E1023" s="5" t="n"/>
      <c r="F1023" s="5" t="n"/>
      <c r="G1023" s="5" t="n"/>
      <c r="H1023" s="5" t="n"/>
      <c r="I1023" s="5" t="n"/>
      <c r="J1023" s="5" t="n"/>
      <c r="K1023" s="5" t="n"/>
      <c r="L1023" s="5" t="n"/>
      <c r="M1023" s="5" t="n"/>
      <c r="N1023" s="5" t="n"/>
      <c r="O1023" s="5" t="n"/>
      <c r="P1023" s="5" t="n"/>
      <c r="Q1023" s="5" t="n"/>
      <c r="R1023" s="5" t="n"/>
      <c r="S1023" s="5" t="n"/>
      <c r="T1023" s="5" t="n"/>
      <c r="U1023" s="5" t="n"/>
      <c r="V1023" s="5" t="n"/>
      <c r="W1023" s="5" t="n"/>
      <c r="X1023" s="5" t="n"/>
      <c r="Y1023" s="5" t="n"/>
      <c r="Z1023" s="5" t="n"/>
      <c r="AA1023" s="5" t="n"/>
      <c r="AB1023" s="5" t="n"/>
    </row>
    <row r="1024" ht="15.75" customHeight="1" s="79">
      <c r="A1024" s="5" t="n"/>
      <c r="B1024" s="5" t="n"/>
      <c r="C1024" s="5" t="n"/>
      <c r="D1024" s="5" t="n"/>
      <c r="E1024" s="5" t="n"/>
      <c r="F1024" s="5" t="n"/>
      <c r="G1024" s="5" t="n"/>
      <c r="H1024" s="5" t="n"/>
      <c r="I1024" s="5" t="n"/>
      <c r="J1024" s="5" t="n"/>
      <c r="K1024" s="5" t="n"/>
      <c r="L1024" s="5" t="n"/>
      <c r="M1024" s="5" t="n"/>
      <c r="N1024" s="5" t="n"/>
      <c r="O1024" s="5" t="n"/>
      <c r="P1024" s="5" t="n"/>
      <c r="Q1024" s="5" t="n"/>
      <c r="R1024" s="5" t="n"/>
      <c r="S1024" s="5" t="n"/>
      <c r="T1024" s="5" t="n"/>
      <c r="U1024" s="5" t="n"/>
      <c r="V1024" s="5" t="n"/>
      <c r="W1024" s="5" t="n"/>
      <c r="X1024" s="5" t="n"/>
      <c r="Y1024" s="5" t="n"/>
      <c r="Z1024" s="5" t="n"/>
      <c r="AA1024" s="5" t="n"/>
      <c r="AB1024" s="5" t="n"/>
    </row>
    <row r="1025" ht="15.75" customHeight="1" s="79">
      <c r="A1025" s="5" t="n"/>
      <c r="B1025" s="5" t="n"/>
      <c r="C1025" s="5" t="n"/>
      <c r="D1025" s="5" t="n"/>
      <c r="E1025" s="5" t="n"/>
      <c r="F1025" s="5" t="n"/>
      <c r="G1025" s="5" t="n"/>
      <c r="H1025" s="5" t="n"/>
      <c r="I1025" s="5" t="n"/>
      <c r="J1025" s="5" t="n"/>
      <c r="K1025" s="5" t="n"/>
      <c r="L1025" s="5" t="n"/>
      <c r="M1025" s="5" t="n"/>
      <c r="N1025" s="5" t="n"/>
      <c r="O1025" s="5" t="n"/>
      <c r="P1025" s="5" t="n"/>
      <c r="Q1025" s="5" t="n"/>
      <c r="R1025" s="5" t="n"/>
      <c r="S1025" s="5" t="n"/>
      <c r="T1025" s="5" t="n"/>
      <c r="U1025" s="5" t="n"/>
      <c r="V1025" s="5" t="n"/>
      <c r="W1025" s="5" t="n"/>
      <c r="X1025" s="5" t="n"/>
      <c r="Y1025" s="5" t="n"/>
      <c r="Z1025" s="5" t="n"/>
      <c r="AA1025" s="5" t="n"/>
      <c r="AB1025" s="5" t="n"/>
    </row>
    <row r="1026" ht="15.75" customHeight="1" s="79">
      <c r="A1026" s="5" t="n"/>
      <c r="B1026" s="5" t="n"/>
      <c r="C1026" s="5" t="n"/>
      <c r="D1026" s="5" t="n"/>
      <c r="E1026" s="5" t="n"/>
      <c r="F1026" s="5" t="n"/>
      <c r="G1026" s="5" t="n"/>
      <c r="H1026" s="5" t="n"/>
      <c r="I1026" s="5" t="n"/>
      <c r="J1026" s="5" t="n"/>
      <c r="K1026" s="5" t="n"/>
      <c r="L1026" s="5" t="n"/>
      <c r="M1026" s="5" t="n"/>
      <c r="N1026" s="5" t="n"/>
      <c r="O1026" s="5" t="n"/>
      <c r="P1026" s="5" t="n"/>
      <c r="Q1026" s="5" t="n"/>
      <c r="R1026" s="5" t="n"/>
      <c r="S1026" s="5" t="n"/>
      <c r="T1026" s="5" t="n"/>
      <c r="U1026" s="5" t="n"/>
      <c r="V1026" s="5" t="n"/>
      <c r="W1026" s="5" t="n"/>
      <c r="X1026" s="5" t="n"/>
      <c r="Y1026" s="5" t="n"/>
      <c r="Z1026" s="5" t="n"/>
      <c r="AA1026" s="5" t="n"/>
      <c r="AB1026" s="5" t="n"/>
    </row>
    <row r="1027" ht="15.75" customHeight="1" s="79">
      <c r="A1027" s="5" t="n"/>
      <c r="B1027" s="5" t="n"/>
      <c r="C1027" s="5" t="n"/>
      <c r="D1027" s="5" t="n"/>
      <c r="E1027" s="5" t="n"/>
      <c r="F1027" s="5" t="n"/>
      <c r="G1027" s="5" t="n"/>
      <c r="H1027" s="5" t="n"/>
      <c r="I1027" s="5" t="n"/>
      <c r="J1027" s="5" t="n"/>
      <c r="K1027" s="5" t="n"/>
      <c r="L1027" s="5" t="n"/>
      <c r="M1027" s="5" t="n"/>
      <c r="N1027" s="5" t="n"/>
      <c r="O1027" s="5" t="n"/>
      <c r="P1027" s="5" t="n"/>
      <c r="Q1027" s="5" t="n"/>
      <c r="R1027" s="5" t="n"/>
      <c r="S1027" s="5" t="n"/>
      <c r="T1027" s="5" t="n"/>
      <c r="U1027" s="5" t="n"/>
      <c r="V1027" s="5" t="n"/>
      <c r="W1027" s="5" t="n"/>
      <c r="X1027" s="5" t="n"/>
      <c r="Y1027" s="5" t="n"/>
      <c r="Z1027" s="5" t="n"/>
      <c r="AA1027" s="5" t="n"/>
      <c r="AB1027" s="5" t="n"/>
    </row>
    <row r="1028" ht="15.75" customHeight="1" s="79">
      <c r="A1028" s="5" t="n"/>
      <c r="B1028" s="5" t="n"/>
      <c r="C1028" s="5" t="n"/>
      <c r="D1028" s="5" t="n"/>
      <c r="E1028" s="5" t="n"/>
      <c r="F1028" s="5" t="n"/>
      <c r="G1028" s="5" t="n"/>
      <c r="H1028" s="5" t="n"/>
      <c r="I1028" s="5" t="n"/>
      <c r="J1028" s="5" t="n"/>
      <c r="K1028" s="5" t="n"/>
      <c r="L1028" s="5" t="n"/>
      <c r="N1028" s="5" t="n"/>
      <c r="O1028" s="5" t="n"/>
      <c r="P1028" s="5" t="n"/>
      <c r="Q1028" s="5" t="n"/>
      <c r="R1028" s="5" t="n"/>
      <c r="S1028" s="5" t="n"/>
      <c r="T1028" s="5" t="n"/>
      <c r="U1028" s="5" t="n"/>
      <c r="V1028" s="5" t="n"/>
      <c r="W1028" s="5" t="n"/>
      <c r="X1028" s="5" t="n"/>
      <c r="Y1028" s="5" t="n"/>
      <c r="Z1028" s="5" t="n"/>
      <c r="AA1028" s="5" t="n"/>
      <c r="AB1028" s="5" t="n"/>
    </row>
    <row r="1029" ht="15.75" customHeight="1" s="79">
      <c r="A1029" s="5" t="n"/>
      <c r="B1029" s="5" t="n"/>
      <c r="C1029" s="5" t="n"/>
      <c r="D1029" s="5" t="n"/>
      <c r="E1029" s="5" t="n"/>
      <c r="F1029" s="5" t="n"/>
      <c r="G1029" s="5" t="n"/>
      <c r="H1029" s="5" t="n"/>
      <c r="I1029" s="5" t="n"/>
      <c r="J1029" s="5" t="n"/>
      <c r="K1029" s="5" t="n"/>
      <c r="L1029" s="5" t="n"/>
      <c r="M1029" s="5" t="n"/>
      <c r="N1029" s="5" t="n"/>
      <c r="O1029" s="5" t="n"/>
      <c r="P1029" s="5" t="n"/>
      <c r="Q1029" s="5" t="n"/>
      <c r="R1029" s="5" t="n"/>
      <c r="S1029" s="5" t="n"/>
      <c r="T1029" s="5" t="n"/>
      <c r="U1029" s="5" t="n"/>
      <c r="V1029" s="5" t="n"/>
      <c r="W1029" s="5" t="n"/>
      <c r="X1029" s="5" t="n"/>
      <c r="Y1029" s="5" t="n"/>
      <c r="Z1029" s="5" t="n"/>
      <c r="AA1029" s="5" t="n"/>
      <c r="AB1029" s="5" t="n"/>
    </row>
    <row r="1030" ht="15.75" customHeight="1" s="79">
      <c r="A1030" s="5" t="n"/>
      <c r="B1030" s="5" t="n"/>
      <c r="C1030" s="5" t="n"/>
      <c r="D1030" s="5" t="n"/>
      <c r="E1030" s="5" t="n"/>
      <c r="F1030" s="5" t="n"/>
      <c r="G1030" s="5" t="n"/>
      <c r="H1030" s="5" t="n"/>
      <c r="I1030" s="5" t="n"/>
      <c r="J1030" s="5" t="n"/>
      <c r="K1030" s="5" t="n"/>
      <c r="L1030" s="5" t="n"/>
      <c r="M1030" s="5" t="n"/>
      <c r="N1030" s="5" t="n"/>
      <c r="O1030" s="5" t="n"/>
      <c r="P1030" s="5" t="n"/>
      <c r="Q1030" s="5" t="n"/>
      <c r="R1030" s="5" t="n"/>
      <c r="S1030" s="5" t="n"/>
      <c r="T1030" s="5" t="n"/>
      <c r="U1030" s="5" t="n"/>
      <c r="V1030" s="5" t="n"/>
      <c r="W1030" s="5" t="n"/>
      <c r="X1030" s="5" t="n"/>
      <c r="Y1030" s="5" t="n"/>
      <c r="Z1030" s="5" t="n"/>
      <c r="AA1030" s="5" t="n"/>
      <c r="AB1030" s="5" t="n"/>
    </row>
    <row r="1031" ht="15.75" customHeight="1" s="79">
      <c r="A1031" s="5" t="n"/>
      <c r="B1031" s="5" t="n"/>
      <c r="C1031" s="5" t="n"/>
      <c r="D1031" s="5" t="n"/>
      <c r="E1031" s="5" t="n"/>
      <c r="F1031" s="5" t="n"/>
      <c r="G1031" s="5" t="n"/>
      <c r="H1031" s="5" t="n"/>
      <c r="I1031" s="5" t="n"/>
      <c r="J1031" s="5" t="n"/>
      <c r="K1031" s="5" t="n"/>
      <c r="L1031" s="5" t="n"/>
      <c r="M1031" s="5" t="n"/>
      <c r="N1031" s="5" t="n"/>
      <c r="O1031" s="5" t="n"/>
      <c r="P1031" s="5" t="n"/>
      <c r="Q1031" s="5" t="n"/>
      <c r="R1031" s="5" t="n"/>
      <c r="S1031" s="5" t="n"/>
      <c r="T1031" s="5" t="n"/>
      <c r="U1031" s="5" t="n"/>
      <c r="V1031" s="5" t="n"/>
      <c r="W1031" s="5" t="n"/>
      <c r="X1031" s="5" t="n"/>
      <c r="Y1031" s="5" t="n"/>
      <c r="Z1031" s="5" t="n"/>
      <c r="AA1031" s="5" t="n"/>
      <c r="AB1031" s="5" t="n"/>
    </row>
    <row r="1032" ht="15.75" customHeight="1" s="79">
      <c r="A1032" s="5" t="n"/>
      <c r="B1032" s="5" t="n"/>
      <c r="C1032" s="5" t="n"/>
      <c r="D1032" s="5" t="n"/>
      <c r="E1032" s="5" t="n"/>
      <c r="F1032" s="5" t="n"/>
      <c r="G1032" s="5" t="n"/>
      <c r="H1032" s="5" t="n"/>
      <c r="I1032" s="5" t="n"/>
      <c r="J1032" s="5" t="n"/>
      <c r="K1032" s="5" t="n"/>
      <c r="L1032" s="5" t="n"/>
      <c r="M1032" s="5" t="n"/>
      <c r="N1032" s="5" t="n"/>
      <c r="O1032" s="5" t="n"/>
      <c r="P1032" s="5" t="n"/>
      <c r="Q1032" s="5" t="n"/>
      <c r="R1032" s="5" t="n"/>
      <c r="S1032" s="5" t="n"/>
      <c r="T1032" s="5" t="n"/>
      <c r="U1032" s="5" t="n"/>
      <c r="V1032" s="5" t="n"/>
      <c r="W1032" s="5" t="n"/>
      <c r="X1032" s="5" t="n"/>
      <c r="Y1032" s="5" t="n"/>
      <c r="Z1032" s="5" t="n"/>
      <c r="AA1032" s="5" t="n"/>
      <c r="AB1032" s="5" t="n"/>
    </row>
    <row r="1033" ht="15.75" customHeight="1" s="79">
      <c r="A1033" s="5" t="n"/>
      <c r="B1033" s="5" t="n"/>
      <c r="C1033" s="5" t="n"/>
      <c r="D1033" s="5" t="n"/>
      <c r="E1033" s="5" t="n"/>
      <c r="F1033" s="5" t="n"/>
      <c r="G1033" s="5" t="n"/>
      <c r="H1033" s="5" t="n"/>
      <c r="I1033" s="5" t="n"/>
      <c r="J1033" s="5" t="n"/>
      <c r="K1033" s="5" t="n"/>
      <c r="L1033" s="5" t="n"/>
      <c r="M1033" s="5" t="n"/>
      <c r="N1033" s="5" t="n"/>
      <c r="O1033" s="5" t="n"/>
      <c r="P1033" s="5" t="n"/>
      <c r="Q1033" s="5" t="n"/>
      <c r="R1033" s="5" t="n"/>
      <c r="S1033" s="5" t="n"/>
      <c r="T1033" s="5" t="n"/>
      <c r="U1033" s="5" t="n"/>
      <c r="V1033" s="5" t="n"/>
      <c r="W1033" s="5" t="n"/>
      <c r="X1033" s="5" t="n"/>
      <c r="Y1033" s="5" t="n"/>
      <c r="Z1033" s="5" t="n"/>
      <c r="AA1033" s="5" t="n"/>
      <c r="AB1033" s="5" t="n"/>
    </row>
    <row r="1034" ht="15.75" customHeight="1" s="79">
      <c r="A1034" s="5" t="n"/>
      <c r="B1034" s="5" t="n"/>
      <c r="C1034" s="5" t="n"/>
      <c r="D1034" s="5" t="n"/>
      <c r="E1034" s="5" t="n"/>
      <c r="F1034" s="5" t="n"/>
      <c r="G1034" s="5" t="n"/>
      <c r="H1034" s="5" t="n"/>
      <c r="I1034" s="5" t="n"/>
      <c r="J1034" s="5" t="n"/>
      <c r="K1034" s="5" t="n"/>
      <c r="L1034" s="5" t="n"/>
      <c r="M1034" s="5" t="n"/>
      <c r="N1034" s="5" t="n"/>
      <c r="O1034" s="5" t="n"/>
      <c r="P1034" s="5" t="n"/>
      <c r="Q1034" s="5" t="n"/>
      <c r="R1034" s="5" t="n"/>
      <c r="S1034" s="5" t="n"/>
      <c r="T1034" s="5" t="n"/>
      <c r="U1034" s="5" t="n"/>
      <c r="V1034" s="5" t="n"/>
      <c r="W1034" s="5" t="n"/>
      <c r="X1034" s="5" t="n"/>
      <c r="Y1034" s="5" t="n"/>
      <c r="Z1034" s="5" t="n"/>
      <c r="AA1034" s="5" t="n"/>
      <c r="AB1034" s="5" t="n"/>
    </row>
    <row r="1035" ht="15.75" customHeight="1" s="79">
      <c r="A1035" s="5" t="n"/>
      <c r="B1035" s="5" t="n"/>
      <c r="C1035" s="5" t="n"/>
      <c r="D1035" s="5" t="n"/>
      <c r="E1035" s="5" t="n"/>
      <c r="F1035" s="5" t="n"/>
      <c r="G1035" s="5" t="n"/>
      <c r="H1035" s="5" t="n"/>
      <c r="I1035" s="5" t="n"/>
      <c r="J1035" s="5" t="n"/>
      <c r="K1035" s="5" t="n"/>
      <c r="L1035" s="5" t="n"/>
      <c r="M1035" s="5" t="n"/>
      <c r="N1035" s="5" t="n"/>
      <c r="O1035" s="5" t="n"/>
      <c r="P1035" s="5" t="n"/>
      <c r="Q1035" s="5" t="n"/>
      <c r="R1035" s="5" t="n"/>
      <c r="S1035" s="5" t="n"/>
      <c r="T1035" s="5" t="n"/>
      <c r="U1035" s="5" t="n"/>
      <c r="V1035" s="5" t="n"/>
      <c r="W1035" s="5" t="n"/>
      <c r="X1035" s="5" t="n"/>
      <c r="Y1035" s="5" t="n"/>
      <c r="Z1035" s="5" t="n"/>
      <c r="AA1035" s="5" t="n"/>
      <c r="AB1035" s="5" t="n"/>
    </row>
    <row r="1036" ht="15.75" customHeight="1" s="79">
      <c r="A1036" s="5" t="n"/>
      <c r="B1036" s="5" t="n"/>
      <c r="C1036" s="5" t="n"/>
      <c r="D1036" s="5" t="n"/>
      <c r="E1036" s="5" t="n"/>
      <c r="F1036" s="5" t="n"/>
      <c r="G1036" s="5" t="n"/>
      <c r="H1036" s="5" t="n"/>
      <c r="I1036" s="5" t="n"/>
      <c r="J1036" s="5" t="n"/>
      <c r="K1036" s="5" t="n"/>
      <c r="L1036" s="5" t="n"/>
      <c r="M1036" s="5" t="n"/>
      <c r="N1036" s="5" t="n"/>
      <c r="O1036" s="5" t="n"/>
      <c r="P1036" s="5" t="n"/>
      <c r="Q1036" s="5" t="n"/>
      <c r="R1036" s="5" t="n"/>
      <c r="S1036" s="5" t="n"/>
      <c r="T1036" s="5" t="n"/>
      <c r="U1036" s="5" t="n"/>
      <c r="V1036" s="5" t="n"/>
      <c r="W1036" s="5" t="n"/>
      <c r="X1036" s="5" t="n"/>
      <c r="Y1036" s="5" t="n"/>
      <c r="Z1036" s="5" t="n"/>
      <c r="AA1036" s="5" t="n"/>
      <c r="AB1036" s="5" t="n"/>
    </row>
    <row r="1037" ht="15.75" customHeight="1" s="79">
      <c r="A1037" s="5" t="n"/>
      <c r="B1037" s="5" t="n"/>
      <c r="C1037" s="5" t="n"/>
      <c r="D1037" s="5" t="n"/>
      <c r="E1037" s="5" t="n"/>
      <c r="F1037" s="5" t="n"/>
      <c r="G1037" s="5" t="n"/>
      <c r="H1037" s="5" t="n"/>
      <c r="I1037" s="5" t="n"/>
      <c r="J1037" s="5" t="n"/>
      <c r="K1037" s="5" t="n"/>
      <c r="L1037" s="5" t="n"/>
      <c r="M1037" s="5" t="n"/>
      <c r="N1037" s="5" t="n"/>
      <c r="O1037" s="5" t="n"/>
      <c r="P1037" s="5" t="n"/>
      <c r="Q1037" s="5" t="n"/>
      <c r="R1037" s="5" t="n"/>
      <c r="S1037" s="5" t="n"/>
      <c r="T1037" s="5" t="n"/>
      <c r="U1037" s="5" t="n"/>
      <c r="V1037" s="5" t="n"/>
      <c r="W1037" s="5" t="n"/>
      <c r="X1037" s="5" t="n"/>
      <c r="Y1037" s="5" t="n"/>
      <c r="Z1037" s="5" t="n"/>
      <c r="AA1037" s="5" t="n"/>
      <c r="AB1037" s="5" t="n"/>
    </row>
    <row r="1038" ht="15.75" customHeight="1" s="79">
      <c r="A1038" s="5" t="n"/>
      <c r="B1038" s="5" t="n"/>
      <c r="C1038" s="5" t="n"/>
      <c r="D1038" s="5" t="n"/>
      <c r="E1038" s="5" t="n"/>
      <c r="F1038" s="5" t="n"/>
      <c r="G1038" s="5" t="n"/>
      <c r="H1038" s="5" t="n"/>
      <c r="I1038" s="5" t="n"/>
      <c r="J1038" s="5" t="n"/>
      <c r="K1038" s="5" t="n"/>
      <c r="L1038" s="5" t="n"/>
      <c r="M1038" s="5" t="n"/>
      <c r="N1038" s="5" t="n"/>
      <c r="O1038" s="5" t="n"/>
      <c r="P1038" s="5" t="n"/>
      <c r="Q1038" s="5" t="n"/>
      <c r="R1038" s="5" t="n"/>
      <c r="S1038" s="5" t="n"/>
      <c r="T1038" s="5" t="n"/>
      <c r="U1038" s="5" t="n"/>
      <c r="V1038" s="5" t="n"/>
      <c r="W1038" s="5" t="n"/>
      <c r="X1038" s="5" t="n"/>
      <c r="Y1038" s="5" t="n"/>
      <c r="Z1038" s="5" t="n"/>
      <c r="AA1038" s="5" t="n"/>
      <c r="AB1038" s="5" t="n"/>
    </row>
    <row r="1039" ht="15.75" customHeight="1" s="79">
      <c r="A1039" s="5" t="n"/>
      <c r="B1039" s="5" t="n"/>
      <c r="C1039" s="5" t="n"/>
      <c r="D1039" s="5" t="n"/>
      <c r="E1039" s="5" t="n"/>
      <c r="F1039" s="5" t="n"/>
      <c r="G1039" s="5" t="n"/>
      <c r="H1039" s="5" t="n"/>
      <c r="I1039" s="5" t="n"/>
      <c r="J1039" s="5" t="n"/>
      <c r="K1039" s="5" t="n"/>
      <c r="L1039" s="5" t="n"/>
      <c r="M1039" s="5" t="n"/>
      <c r="N1039" s="5" t="n"/>
      <c r="O1039" s="5" t="n"/>
      <c r="P1039" s="5" t="n"/>
      <c r="Q1039" s="5" t="n"/>
      <c r="R1039" s="5" t="n"/>
      <c r="S1039" s="5" t="n"/>
      <c r="T1039" s="5" t="n"/>
      <c r="U1039" s="5" t="n"/>
      <c r="V1039" s="5" t="n"/>
      <c r="W1039" s="5" t="n"/>
      <c r="X1039" s="5" t="n"/>
      <c r="Y1039" s="5" t="n"/>
      <c r="Z1039" s="5" t="n"/>
      <c r="AA1039" s="5" t="n"/>
      <c r="AB1039" s="5" t="n"/>
    </row>
    <row r="1040" ht="15.75" customHeight="1" s="79">
      <c r="A1040" s="5" t="n"/>
      <c r="B1040" s="5" t="n"/>
      <c r="C1040" s="5" t="n"/>
      <c r="D1040" s="5" t="n"/>
      <c r="E1040" s="5" t="n"/>
      <c r="F1040" s="5" t="n"/>
      <c r="G1040" s="5" t="n"/>
      <c r="H1040" s="5" t="n"/>
      <c r="I1040" s="5" t="n"/>
      <c r="J1040" s="5" t="n"/>
      <c r="K1040" s="5" t="n"/>
      <c r="L1040" s="5" t="n"/>
      <c r="M1040" s="5" t="n"/>
      <c r="N1040" s="5" t="n"/>
      <c r="O1040" s="5" t="n"/>
      <c r="P1040" s="5" t="n"/>
      <c r="Q1040" s="5" t="n"/>
      <c r="R1040" s="5" t="n"/>
      <c r="S1040" s="5" t="n"/>
      <c r="T1040" s="5" t="n"/>
      <c r="U1040" s="5" t="n"/>
      <c r="V1040" s="5" t="n"/>
      <c r="W1040" s="5" t="n"/>
      <c r="X1040" s="5" t="n"/>
      <c r="Y1040" s="5" t="n"/>
      <c r="Z1040" s="5" t="n"/>
      <c r="AA1040" s="5" t="n"/>
      <c r="AB1040" s="5" t="n"/>
    </row>
    <row r="1041" ht="15.75" customHeight="1" s="79">
      <c r="A1041" s="5" t="n"/>
      <c r="B1041" s="5" t="n"/>
      <c r="C1041" s="5" t="n"/>
      <c r="D1041" s="5" t="n"/>
      <c r="E1041" s="5" t="n"/>
      <c r="F1041" s="5" t="n"/>
      <c r="G1041" s="5" t="n"/>
      <c r="H1041" s="5" t="n"/>
      <c r="I1041" s="5" t="n"/>
      <c r="J1041" s="5" t="n"/>
      <c r="K1041" s="5" t="n"/>
      <c r="L1041" s="5" t="n"/>
      <c r="M1041" s="5" t="n"/>
      <c r="N1041" s="5" t="n"/>
      <c r="O1041" s="5" t="n"/>
      <c r="P1041" s="5" t="n"/>
      <c r="Q1041" s="5" t="n"/>
      <c r="R1041" s="5" t="n"/>
      <c r="S1041" s="5" t="n"/>
      <c r="T1041" s="5" t="n"/>
      <c r="U1041" s="5" t="n"/>
      <c r="V1041" s="5" t="n"/>
      <c r="W1041" s="5" t="n"/>
      <c r="X1041" s="5" t="n"/>
      <c r="Y1041" s="5" t="n"/>
      <c r="Z1041" s="5" t="n"/>
      <c r="AA1041" s="5" t="n"/>
      <c r="AB1041" s="5" t="n"/>
    </row>
    <row r="1042" ht="15.75" customHeight="1" s="79">
      <c r="A1042" s="5" t="n"/>
      <c r="B1042" s="5" t="n"/>
      <c r="C1042" s="5" t="n"/>
      <c r="D1042" s="5" t="n"/>
      <c r="E1042" s="5" t="n"/>
      <c r="F1042" s="5" t="n"/>
      <c r="G1042" s="5" t="n"/>
      <c r="H1042" s="5" t="n"/>
      <c r="I1042" s="5" t="n"/>
      <c r="J1042" s="5" t="n"/>
      <c r="K1042" s="5" t="n"/>
      <c r="L1042" s="5" t="n"/>
      <c r="M1042" s="5" t="n"/>
      <c r="N1042" s="5" t="n"/>
      <c r="O1042" s="5" t="n"/>
      <c r="P1042" s="5" t="n"/>
      <c r="Q1042" s="5" t="n"/>
      <c r="R1042" s="5" t="n"/>
      <c r="S1042" s="5" t="n"/>
      <c r="T1042" s="5" t="n"/>
      <c r="U1042" s="5" t="n"/>
      <c r="V1042" s="5" t="n"/>
      <c r="W1042" s="5" t="n"/>
      <c r="X1042" s="5" t="n"/>
      <c r="Y1042" s="5" t="n"/>
      <c r="Z1042" s="5" t="n"/>
      <c r="AA1042" s="5" t="n"/>
      <c r="AB1042" s="5" t="n"/>
    </row>
    <row r="1043" ht="15.75" customHeight="1" s="79">
      <c r="A1043" s="5" t="n"/>
      <c r="B1043" s="5" t="n"/>
      <c r="C1043" s="5" t="n"/>
      <c r="D1043" s="5" t="n"/>
      <c r="E1043" s="5" t="n"/>
      <c r="F1043" s="5" t="n"/>
      <c r="G1043" s="5" t="n"/>
      <c r="H1043" s="5" t="n"/>
      <c r="I1043" s="5" t="n"/>
      <c r="J1043" s="5" t="n"/>
      <c r="K1043" s="5" t="n"/>
      <c r="L1043" s="5" t="n"/>
      <c r="M1043" s="5" t="n"/>
      <c r="N1043" s="5" t="n"/>
      <c r="O1043" s="5" t="n"/>
      <c r="P1043" s="5" t="n"/>
      <c r="Q1043" s="5" t="n"/>
      <c r="R1043" s="5" t="n"/>
      <c r="S1043" s="5" t="n"/>
      <c r="T1043" s="5" t="n"/>
      <c r="U1043" s="5" t="n"/>
      <c r="V1043" s="5" t="n"/>
      <c r="W1043" s="5" t="n"/>
      <c r="X1043" s="5" t="n"/>
      <c r="Y1043" s="5" t="n"/>
      <c r="Z1043" s="5" t="n"/>
      <c r="AA1043" s="5" t="n"/>
      <c r="AB1043" s="5" t="n"/>
    </row>
    <row r="1044" ht="15.75" customHeight="1" s="79">
      <c r="A1044" s="5" t="n"/>
      <c r="B1044" s="5" t="n"/>
      <c r="C1044" s="5" t="n"/>
      <c r="D1044" s="5" t="n"/>
      <c r="E1044" s="5" t="n"/>
      <c r="F1044" s="5" t="n"/>
      <c r="G1044" s="5" t="n"/>
      <c r="H1044" s="5" t="n"/>
      <c r="I1044" s="5" t="n"/>
      <c r="J1044" s="5" t="n"/>
      <c r="K1044" s="5" t="n"/>
      <c r="L1044" s="5" t="n"/>
      <c r="M1044" s="5" t="n"/>
      <c r="N1044" s="5" t="n"/>
      <c r="O1044" s="5" t="n"/>
      <c r="P1044" s="5" t="n"/>
      <c r="Q1044" s="5" t="n"/>
      <c r="R1044" s="5" t="n"/>
      <c r="S1044" s="5" t="n"/>
      <c r="T1044" s="5" t="n"/>
      <c r="U1044" s="5" t="n"/>
      <c r="V1044" s="5" t="n"/>
      <c r="W1044" s="5" t="n"/>
      <c r="X1044" s="5" t="n"/>
      <c r="Y1044" s="5" t="n"/>
      <c r="Z1044" s="5" t="n"/>
      <c r="AA1044" s="5" t="n"/>
      <c r="AB1044" s="5" t="n"/>
    </row>
    <row r="1045" ht="15.75" customHeight="1" s="79">
      <c r="A1045" s="5" t="n"/>
      <c r="B1045" s="5" t="n"/>
      <c r="C1045" s="5" t="n"/>
      <c r="D1045" s="5" t="n"/>
      <c r="E1045" s="5" t="n"/>
      <c r="F1045" s="5" t="n"/>
      <c r="G1045" s="5" t="n"/>
      <c r="H1045" s="5" t="n"/>
      <c r="I1045" s="5" t="n"/>
      <c r="J1045" s="5" t="n"/>
      <c r="K1045" s="5" t="n"/>
      <c r="L1045" s="5" t="n"/>
      <c r="M1045" s="5" t="n"/>
      <c r="N1045" s="5" t="n"/>
      <c r="O1045" s="5" t="n"/>
      <c r="P1045" s="5" t="n"/>
      <c r="Q1045" s="5" t="n"/>
      <c r="R1045" s="5" t="n"/>
      <c r="S1045" s="5" t="n"/>
      <c r="T1045" s="5" t="n"/>
      <c r="U1045" s="5" t="n"/>
      <c r="V1045" s="5" t="n"/>
      <c r="W1045" s="5" t="n"/>
      <c r="X1045" s="5" t="n"/>
      <c r="Y1045" s="5" t="n"/>
      <c r="Z1045" s="5" t="n"/>
      <c r="AA1045" s="5" t="n"/>
      <c r="AB1045" s="5" t="n"/>
    </row>
    <row r="1046" ht="15.75" customHeight="1" s="79">
      <c r="A1046" s="5" t="n"/>
      <c r="B1046" s="5" t="n"/>
      <c r="C1046" s="5" t="n"/>
      <c r="D1046" s="5" t="n"/>
      <c r="E1046" s="5" t="n"/>
      <c r="F1046" s="5" t="n"/>
      <c r="G1046" s="5" t="n"/>
      <c r="H1046" s="5" t="n"/>
      <c r="I1046" s="5" t="n"/>
      <c r="J1046" s="5" t="n"/>
      <c r="K1046" s="5" t="n"/>
      <c r="L1046" s="5" t="n"/>
      <c r="M1046" s="5" t="n"/>
      <c r="N1046" s="5" t="n"/>
      <c r="O1046" s="5" t="n"/>
      <c r="P1046" s="5" t="n"/>
      <c r="Q1046" s="5" t="n"/>
      <c r="R1046" s="5" t="n"/>
      <c r="S1046" s="5" t="n"/>
      <c r="T1046" s="5" t="n"/>
      <c r="U1046" s="5" t="n"/>
      <c r="V1046" s="5" t="n"/>
      <c r="W1046" s="5" t="n"/>
      <c r="X1046" s="5" t="n"/>
      <c r="Y1046" s="5" t="n"/>
      <c r="Z1046" s="5" t="n"/>
      <c r="AA1046" s="5" t="n"/>
      <c r="AB1046" s="5" t="n"/>
    </row>
    <row r="1047" ht="15.75" customHeight="1" s="79">
      <c r="A1047" s="5" t="n"/>
      <c r="B1047" s="5" t="n"/>
      <c r="C1047" s="5" t="n"/>
      <c r="D1047" s="5" t="n"/>
      <c r="E1047" s="5" t="n"/>
      <c r="F1047" s="5" t="n"/>
      <c r="G1047" s="5" t="n"/>
      <c r="H1047" s="5" t="n"/>
      <c r="I1047" s="5" t="n"/>
      <c r="J1047" s="5" t="n"/>
      <c r="K1047" s="5" t="n"/>
      <c r="L1047" s="5" t="n"/>
      <c r="M1047" s="5" t="n"/>
      <c r="N1047" s="5" t="n"/>
      <c r="O1047" s="5" t="n"/>
      <c r="P1047" s="5" t="n"/>
      <c r="Q1047" s="5" t="n"/>
      <c r="R1047" s="5" t="n"/>
      <c r="S1047" s="5" t="n"/>
      <c r="T1047" s="5" t="n"/>
      <c r="U1047" s="5" t="n"/>
      <c r="V1047" s="5" t="n"/>
      <c r="W1047" s="5" t="n"/>
      <c r="X1047" s="5" t="n"/>
      <c r="Y1047" s="5" t="n"/>
      <c r="Z1047" s="5" t="n"/>
      <c r="AA1047" s="5" t="n"/>
      <c r="AB1047" s="5" t="n"/>
    </row>
    <row r="1048" ht="30" customHeight="1" s="79">
      <c r="A1048" s="34" t="inlineStr">
        <is>
          <t>Segment</t>
        </is>
      </c>
      <c r="B1048" s="34" t="inlineStr">
        <is>
          <t>Funded $</t>
        </is>
      </c>
      <c r="C1048" s="34" t="inlineStr">
        <is>
          <t>Collected $</t>
        </is>
      </c>
      <c r="D1048" s="34" t="inlineStr">
        <is>
          <t>Net profit / loss $</t>
        </is>
      </c>
      <c r="E1048" s="34" t="inlineStr">
        <is>
          <t>Commission $</t>
        </is>
      </c>
      <c r="F1048" s="34" t="inlineStr">
        <is>
          <t>Principal lost $</t>
        </is>
      </c>
      <c r="G1048" s="34" t="inlineStr">
        <is>
          <t>Principal default exposure</t>
        </is>
      </c>
      <c r="H1048" s="34" t="inlineStr">
        <is>
          <t>Recovery rate</t>
        </is>
      </c>
      <c r="I1048" s="34" t="inlineStr">
        <is>
          <t>Return on funded capital (%)</t>
        </is>
      </c>
      <c r="J1048" s="34" t="inlineStr">
        <is>
          <t>Deals</t>
        </is>
      </c>
      <c r="K1048" s="34" t="inlineStr">
        <is>
          <t>Share of funded dollars</t>
        </is>
      </c>
      <c r="L1048" s="34" t="inlineStr">
        <is>
          <t>Avg deal size</t>
        </is>
      </c>
      <c r="M1048" s="34" t="inlineStr">
        <is>
          <t>Avg expected term (business days)</t>
        </is>
      </c>
      <c r="N1048" s="34" t="inlineStr">
        <is>
          <t>Avg expected term (payments)</t>
        </is>
      </c>
      <c r="O1048" s="34" t="inlineStr">
        <is>
          <t>Avg days on book, defaulted</t>
        </is>
      </c>
      <c r="P1048" s="34" t="inlineStr">
        <is>
          <t>Avg days to close</t>
        </is>
      </c>
      <c r="Q1048" s="34" t="inlineStr">
        <is>
          <t>% of deals that were renewals</t>
        </is>
      </c>
      <c r="R1048" s="34" t="inlineStr">
        <is>
          <t>% of funded dollars from renewals</t>
        </is>
      </c>
      <c r="S1048" s="34" t="inlineStr">
        <is>
          <t>Book default exposure</t>
        </is>
      </c>
      <c r="T1048" s="34" t="inlineStr">
        <is>
          <t>Book recovery</t>
        </is>
      </c>
      <c r="U1048" s="34" t="inlineStr">
        <is>
          <t>Book return on funded capital</t>
        </is>
      </c>
      <c r="V1048" s="34" t="inlineStr">
        <is>
          <t>Default rate (#)</t>
        </is>
      </c>
      <c r="W1048" s="5" t="n"/>
      <c r="X1048" s="5" t="n"/>
      <c r="Y1048" s="5" t="n"/>
      <c r="Z1048" s="5" t="n"/>
      <c r="AA1048" s="5" t="n"/>
      <c r="AB1048" s="5" t="n"/>
    </row>
    <row r="1049" ht="15.75" customHeight="1" s="79">
      <c r="A1049" s="5">
        <f>IFERROR(Calc!$A$148,"")</f>
        <v/>
      </c>
      <c r="B1049" s="20">
        <f>IFERROR(Calc!B148,"")</f>
        <v/>
      </c>
      <c r="C1049" s="20">
        <f>IFERROR(Calc!C148,"")</f>
        <v/>
      </c>
      <c r="D1049" s="20">
        <f>IFERROR(Calc!D148,"")</f>
        <v/>
      </c>
      <c r="E1049" s="20">
        <f>IFERROR(Calc!E148,"")</f>
        <v/>
      </c>
      <c r="F1049" s="20">
        <f>IFERROR(Calc!F148,"")</f>
        <v/>
      </c>
      <c r="G1049" s="21">
        <f>IFERROR(Calc!G148,"")</f>
        <v/>
      </c>
      <c r="H1049" s="21">
        <f>IFERROR(Calc!H148,"")</f>
        <v/>
      </c>
      <c r="I1049" s="21">
        <f>IFERROR(Calc!I148,"")</f>
        <v/>
      </c>
      <c r="J1049" s="17">
        <f>IFERROR(Calc!J148,"")</f>
        <v/>
      </c>
      <c r="K1049" s="21">
        <f>IFERROR(Calc!K148,"")</f>
        <v/>
      </c>
      <c r="L1049" s="20">
        <f>IFERROR(Calc!L148,"")</f>
        <v/>
      </c>
      <c r="M1049" s="17">
        <f>IFERROR(Calc!M148,"")</f>
        <v/>
      </c>
      <c r="N1049" s="17">
        <f>IFERROR(Calc!N148,"")</f>
        <v/>
      </c>
      <c r="O1049" s="17">
        <f>IFERROR(Calc!O148,"")</f>
        <v/>
      </c>
      <c r="P1049" s="17">
        <f>IFERROR(Calc!P148,"")</f>
        <v/>
      </c>
      <c r="Q1049" s="21">
        <f>IFERROR(Calc!Q148,"")</f>
        <v/>
      </c>
      <c r="R1049" s="21">
        <f>IFERROR(Calc!R148,"")</f>
        <v/>
      </c>
      <c r="S1049" s="21">
        <f>IFERROR(Calc!S148,"")</f>
        <v/>
      </c>
      <c r="T1049" s="21">
        <f>IFERROR(Calc!T148,"")</f>
        <v/>
      </c>
      <c r="U1049" s="21">
        <f>IFERROR(Calc!U148,"")</f>
        <v/>
      </c>
      <c r="V1049" s="21">
        <f>IFERROR(Calc!V148,"")</f>
        <v/>
      </c>
      <c r="W1049" s="5" t="n"/>
      <c r="X1049" s="5" t="n"/>
      <c r="Y1049" s="5" t="n"/>
      <c r="Z1049" s="5" t="n"/>
      <c r="AA1049" s="5" t="n"/>
      <c r="AB1049" s="5" t="n"/>
    </row>
    <row r="1050" ht="15.75" customHeight="1" s="79">
      <c r="A1050" s="5">
        <f>IFERROR(Calc!$A$149,"")</f>
        <v/>
      </c>
      <c r="B1050" s="20">
        <f>IFERROR(Calc!B149,"")</f>
        <v/>
      </c>
      <c r="C1050" s="20">
        <f>IFERROR(Calc!C149,"")</f>
        <v/>
      </c>
      <c r="D1050" s="20">
        <f>IFERROR(Calc!D149,"")</f>
        <v/>
      </c>
      <c r="E1050" s="20">
        <f>IFERROR(Calc!E149,"")</f>
        <v/>
      </c>
      <c r="F1050" s="20">
        <f>IFERROR(Calc!F149,"")</f>
        <v/>
      </c>
      <c r="G1050" s="21">
        <f>IFERROR(Calc!G149,"")</f>
        <v/>
      </c>
      <c r="H1050" s="21">
        <f>IFERROR(Calc!H149,"")</f>
        <v/>
      </c>
      <c r="I1050" s="21">
        <f>IFERROR(Calc!I149,"")</f>
        <v/>
      </c>
      <c r="J1050" s="17">
        <f>IFERROR(Calc!J149,"")</f>
        <v/>
      </c>
      <c r="K1050" s="21">
        <f>IFERROR(Calc!K149,"")</f>
        <v/>
      </c>
      <c r="L1050" s="20">
        <f>IFERROR(Calc!L149,"")</f>
        <v/>
      </c>
      <c r="M1050" s="17">
        <f>IFERROR(Calc!M149,"")</f>
        <v/>
      </c>
      <c r="N1050" s="17">
        <f>IFERROR(Calc!N149,"")</f>
        <v/>
      </c>
      <c r="O1050" s="17">
        <f>IFERROR(Calc!O149,"")</f>
        <v/>
      </c>
      <c r="P1050" s="17">
        <f>IFERROR(Calc!P149,"")</f>
        <v/>
      </c>
      <c r="Q1050" s="21">
        <f>IFERROR(Calc!Q149,"")</f>
        <v/>
      </c>
      <c r="R1050" s="21">
        <f>IFERROR(Calc!R149,"")</f>
        <v/>
      </c>
      <c r="S1050" s="21">
        <f>IFERROR(Calc!S149,"")</f>
        <v/>
      </c>
      <c r="T1050" s="21">
        <f>IFERROR(Calc!T149,"")</f>
        <v/>
      </c>
      <c r="U1050" s="21">
        <f>IFERROR(Calc!U149,"")</f>
        <v/>
      </c>
      <c r="V1050" s="21">
        <f>IFERROR(Calc!V149,"")</f>
        <v/>
      </c>
      <c r="W1050" s="5" t="n"/>
      <c r="X1050" s="5" t="n"/>
      <c r="Y1050" s="5" t="n"/>
      <c r="Z1050" s="5" t="n"/>
      <c r="AA1050" s="5" t="n"/>
      <c r="AB1050" s="5" t="n"/>
    </row>
    <row r="1051" ht="15.75" customHeight="1" s="79">
      <c r="A1051" s="5">
        <f>IFERROR(Calc!$A$150,"")</f>
        <v/>
      </c>
      <c r="B1051" s="20">
        <f>IFERROR(Calc!B150,"")</f>
        <v/>
      </c>
      <c r="C1051" s="20">
        <f>IFERROR(Calc!C150,"")</f>
        <v/>
      </c>
      <c r="D1051" s="20">
        <f>IFERROR(Calc!D150,"")</f>
        <v/>
      </c>
      <c r="E1051" s="20">
        <f>IFERROR(Calc!E150,"")</f>
        <v/>
      </c>
      <c r="F1051" s="20">
        <f>IFERROR(Calc!F150,"")</f>
        <v/>
      </c>
      <c r="G1051" s="21">
        <f>IFERROR(Calc!G150,"")</f>
        <v/>
      </c>
      <c r="H1051" s="21">
        <f>IFERROR(Calc!H150,"")</f>
        <v/>
      </c>
      <c r="I1051" s="21">
        <f>IFERROR(Calc!I150,"")</f>
        <v/>
      </c>
      <c r="J1051" s="17">
        <f>IFERROR(Calc!J150,"")</f>
        <v/>
      </c>
      <c r="K1051" s="21">
        <f>IFERROR(Calc!K150,"")</f>
        <v/>
      </c>
      <c r="L1051" s="20">
        <f>IFERROR(Calc!L150,"")</f>
        <v/>
      </c>
      <c r="M1051" s="17">
        <f>IFERROR(Calc!M150,"")</f>
        <v/>
      </c>
      <c r="N1051" s="17">
        <f>IFERROR(Calc!N150,"")</f>
        <v/>
      </c>
      <c r="O1051" s="17">
        <f>IFERROR(Calc!O150,"")</f>
        <v/>
      </c>
      <c r="P1051" s="17">
        <f>IFERROR(Calc!P150,"")</f>
        <v/>
      </c>
      <c r="Q1051" s="21">
        <f>IFERROR(Calc!Q150,"")</f>
        <v/>
      </c>
      <c r="R1051" s="21">
        <f>IFERROR(Calc!R150,"")</f>
        <v/>
      </c>
      <c r="S1051" s="21">
        <f>IFERROR(Calc!S150,"")</f>
        <v/>
      </c>
      <c r="T1051" s="21">
        <f>IFERROR(Calc!T150,"")</f>
        <v/>
      </c>
      <c r="U1051" s="21">
        <f>IFERROR(Calc!U150,"")</f>
        <v/>
      </c>
      <c r="V1051" s="21">
        <f>IFERROR(Calc!V150,"")</f>
        <v/>
      </c>
      <c r="W1051" s="5" t="n"/>
      <c r="X1051" s="5" t="n"/>
      <c r="Y1051" s="5" t="n"/>
      <c r="Z1051" s="5" t="n"/>
      <c r="AA1051" s="5" t="n"/>
      <c r="AB1051" s="5" t="n"/>
    </row>
    <row r="1052" ht="15.75" customHeight="1" s="79">
      <c r="A1052" s="5">
        <f>IFERROR(Calc!$A$151,"")</f>
        <v/>
      </c>
      <c r="B1052" s="20">
        <f>IFERROR(Calc!B151,"")</f>
        <v/>
      </c>
      <c r="C1052" s="20">
        <f>IFERROR(Calc!C151,"")</f>
        <v/>
      </c>
      <c r="D1052" s="20">
        <f>IFERROR(Calc!D151,"")</f>
        <v/>
      </c>
      <c r="E1052" s="20">
        <f>IFERROR(Calc!E151,"")</f>
        <v/>
      </c>
      <c r="F1052" s="20">
        <f>IFERROR(Calc!F151,"")</f>
        <v/>
      </c>
      <c r="G1052" s="21">
        <f>IFERROR(Calc!G151,"")</f>
        <v/>
      </c>
      <c r="H1052" s="21">
        <f>IFERROR(Calc!H151,"")</f>
        <v/>
      </c>
      <c r="I1052" s="21">
        <f>IFERROR(Calc!I151,"")</f>
        <v/>
      </c>
      <c r="J1052" s="17">
        <f>IFERROR(Calc!J151,"")</f>
        <v/>
      </c>
      <c r="K1052" s="21">
        <f>IFERROR(Calc!K151,"")</f>
        <v/>
      </c>
      <c r="L1052" s="20">
        <f>IFERROR(Calc!L151,"")</f>
        <v/>
      </c>
      <c r="M1052" s="17">
        <f>IFERROR(Calc!M151,"")</f>
        <v/>
      </c>
      <c r="N1052" s="17">
        <f>IFERROR(Calc!N151,"")</f>
        <v/>
      </c>
      <c r="O1052" s="17">
        <f>IFERROR(Calc!O151,"")</f>
        <v/>
      </c>
      <c r="P1052" s="17">
        <f>IFERROR(Calc!P151,"")</f>
        <v/>
      </c>
      <c r="Q1052" s="21">
        <f>IFERROR(Calc!Q151,"")</f>
        <v/>
      </c>
      <c r="R1052" s="21">
        <f>IFERROR(Calc!R151,"")</f>
        <v/>
      </c>
      <c r="S1052" s="21">
        <f>IFERROR(Calc!S151,"")</f>
        <v/>
      </c>
      <c r="T1052" s="21">
        <f>IFERROR(Calc!T151,"")</f>
        <v/>
      </c>
      <c r="U1052" s="21">
        <f>IFERROR(Calc!U151,"")</f>
        <v/>
      </c>
      <c r="V1052" s="21">
        <f>IFERROR(Calc!V151,"")</f>
        <v/>
      </c>
      <c r="W1052" s="5" t="n"/>
      <c r="X1052" s="5" t="n"/>
      <c r="Y1052" s="5" t="n"/>
      <c r="Z1052" s="5" t="n"/>
      <c r="AA1052" s="5" t="n"/>
      <c r="AB1052" s="5" t="n"/>
    </row>
    <row r="1053" ht="15.75" customHeight="1" s="79">
      <c r="A1053" s="5">
        <f>IFERROR(Calc!$A$152,"")</f>
        <v/>
      </c>
      <c r="B1053" s="20">
        <f>IFERROR(Calc!B152,"")</f>
        <v/>
      </c>
      <c r="C1053" s="20">
        <f>IFERROR(Calc!C152,"")</f>
        <v/>
      </c>
      <c r="D1053" s="20">
        <f>IFERROR(Calc!D152,"")</f>
        <v/>
      </c>
      <c r="E1053" s="20">
        <f>IFERROR(Calc!E152,"")</f>
        <v/>
      </c>
      <c r="F1053" s="20">
        <f>IFERROR(Calc!F152,"")</f>
        <v/>
      </c>
      <c r="G1053" s="21">
        <f>IFERROR(Calc!G152,"")</f>
        <v/>
      </c>
      <c r="H1053" s="21">
        <f>IFERROR(Calc!H152,"")</f>
        <v/>
      </c>
      <c r="I1053" s="21">
        <f>IFERROR(Calc!I152,"")</f>
        <v/>
      </c>
      <c r="J1053" s="17">
        <f>IFERROR(Calc!J152,"")</f>
        <v/>
      </c>
      <c r="K1053" s="21">
        <f>IFERROR(Calc!K152,"")</f>
        <v/>
      </c>
      <c r="L1053" s="20">
        <f>IFERROR(Calc!L152,"")</f>
        <v/>
      </c>
      <c r="M1053" s="17">
        <f>IFERROR(Calc!M152,"")</f>
        <v/>
      </c>
      <c r="N1053" s="17">
        <f>IFERROR(Calc!N152,"")</f>
        <v/>
      </c>
      <c r="O1053" s="17">
        <f>IFERROR(Calc!O152,"")</f>
        <v/>
      </c>
      <c r="P1053" s="17">
        <f>IFERROR(Calc!P152,"")</f>
        <v/>
      </c>
      <c r="Q1053" s="21">
        <f>IFERROR(Calc!Q152,"")</f>
        <v/>
      </c>
      <c r="R1053" s="21">
        <f>IFERROR(Calc!R152,"")</f>
        <v/>
      </c>
      <c r="S1053" s="21">
        <f>IFERROR(Calc!S152,"")</f>
        <v/>
      </c>
      <c r="T1053" s="21">
        <f>IFERROR(Calc!T152,"")</f>
        <v/>
      </c>
      <c r="U1053" s="21">
        <f>IFERROR(Calc!U152,"")</f>
        <v/>
      </c>
      <c r="V1053" s="21">
        <f>IFERROR(Calc!V152,"")</f>
        <v/>
      </c>
      <c r="W1053" s="5" t="n"/>
      <c r="X1053" s="5" t="n"/>
      <c r="Y1053" s="5" t="n"/>
      <c r="Z1053" s="5" t="n"/>
      <c r="AA1053" s="5" t="n"/>
      <c r="AB1053" s="5" t="n"/>
    </row>
    <row r="1054" ht="15.75" customHeight="1" s="79">
      <c r="A1054" s="5">
        <f>IFERROR(Calc!$A$153,"")</f>
        <v/>
      </c>
      <c r="B1054" s="20">
        <f>IFERROR(Calc!B153,"")</f>
        <v/>
      </c>
      <c r="C1054" s="20">
        <f>IFERROR(Calc!C153,"")</f>
        <v/>
      </c>
      <c r="D1054" s="20">
        <f>IFERROR(Calc!D153,"")</f>
        <v/>
      </c>
      <c r="E1054" s="20">
        <f>IFERROR(Calc!E153,"")</f>
        <v/>
      </c>
      <c r="F1054" s="20">
        <f>IFERROR(Calc!F153,"")</f>
        <v/>
      </c>
      <c r="G1054" s="21">
        <f>IFERROR(Calc!G153,"")</f>
        <v/>
      </c>
      <c r="H1054" s="21">
        <f>IFERROR(Calc!H153,"")</f>
        <v/>
      </c>
      <c r="I1054" s="21">
        <f>IFERROR(Calc!I153,"")</f>
        <v/>
      </c>
      <c r="J1054" s="17">
        <f>IFERROR(Calc!J153,"")</f>
        <v/>
      </c>
      <c r="K1054" s="21">
        <f>IFERROR(Calc!K153,"")</f>
        <v/>
      </c>
      <c r="L1054" s="20">
        <f>IFERROR(Calc!L153,"")</f>
        <v/>
      </c>
      <c r="M1054" s="17">
        <f>IFERROR(Calc!M153,"")</f>
        <v/>
      </c>
      <c r="N1054" s="17">
        <f>IFERROR(Calc!N153,"")</f>
        <v/>
      </c>
      <c r="O1054" s="17">
        <f>IFERROR(Calc!O153,"")</f>
        <v/>
      </c>
      <c r="P1054" s="17">
        <f>IFERROR(Calc!P153,"")</f>
        <v/>
      </c>
      <c r="Q1054" s="21">
        <f>IFERROR(Calc!Q153,"")</f>
        <v/>
      </c>
      <c r="R1054" s="21">
        <f>IFERROR(Calc!R153,"")</f>
        <v/>
      </c>
      <c r="S1054" s="21">
        <f>IFERROR(Calc!S153,"")</f>
        <v/>
      </c>
      <c r="T1054" s="21">
        <f>IFERROR(Calc!T153,"")</f>
        <v/>
      </c>
      <c r="U1054" s="21">
        <f>IFERROR(Calc!U153,"")</f>
        <v/>
      </c>
      <c r="V1054" s="21">
        <f>IFERROR(Calc!V153,"")</f>
        <v/>
      </c>
      <c r="W1054" s="5" t="n"/>
      <c r="X1054" s="5" t="n"/>
      <c r="Y1054" s="5" t="n"/>
      <c r="Z1054" s="5" t="n"/>
      <c r="AA1054" s="5" t="n"/>
      <c r="AB1054" s="5" t="n"/>
    </row>
    <row r="1055" ht="15.75" customHeight="1" s="79">
      <c r="A1055" s="5">
        <f>IFERROR(Calc!$A$154,"")</f>
        <v/>
      </c>
      <c r="B1055" s="20">
        <f>IFERROR(Calc!B154,"")</f>
        <v/>
      </c>
      <c r="C1055" s="20">
        <f>IFERROR(Calc!C154,"")</f>
        <v/>
      </c>
      <c r="D1055" s="20">
        <f>IFERROR(Calc!D154,"")</f>
        <v/>
      </c>
      <c r="E1055" s="20">
        <f>IFERROR(Calc!E154,"")</f>
        <v/>
      </c>
      <c r="F1055" s="20">
        <f>IFERROR(Calc!F154,"")</f>
        <v/>
      </c>
      <c r="G1055" s="21">
        <f>IFERROR(Calc!G154,"")</f>
        <v/>
      </c>
      <c r="H1055" s="21">
        <f>IFERROR(Calc!H154,"")</f>
        <v/>
      </c>
      <c r="I1055" s="21">
        <f>IFERROR(Calc!I154,"")</f>
        <v/>
      </c>
      <c r="J1055" s="17">
        <f>IFERROR(Calc!J154,"")</f>
        <v/>
      </c>
      <c r="K1055" s="21">
        <f>IFERROR(Calc!K154,"")</f>
        <v/>
      </c>
      <c r="L1055" s="20">
        <f>IFERROR(Calc!L154,"")</f>
        <v/>
      </c>
      <c r="M1055" s="17">
        <f>IFERROR(Calc!M154,"")</f>
        <v/>
      </c>
      <c r="N1055" s="17">
        <f>IFERROR(Calc!N154,"")</f>
        <v/>
      </c>
      <c r="O1055" s="17">
        <f>IFERROR(Calc!O154,"")</f>
        <v/>
      </c>
      <c r="P1055" s="17">
        <f>IFERROR(Calc!P154,"")</f>
        <v/>
      </c>
      <c r="Q1055" s="21">
        <f>IFERROR(Calc!Q154,"")</f>
        <v/>
      </c>
      <c r="R1055" s="21">
        <f>IFERROR(Calc!R154,"")</f>
        <v/>
      </c>
      <c r="S1055" s="21">
        <f>IFERROR(Calc!S154,"")</f>
        <v/>
      </c>
      <c r="T1055" s="21">
        <f>IFERROR(Calc!T154,"")</f>
        <v/>
      </c>
      <c r="U1055" s="21">
        <f>IFERROR(Calc!U154,"")</f>
        <v/>
      </c>
      <c r="V1055" s="21">
        <f>IFERROR(Calc!V154,"")</f>
        <v/>
      </c>
      <c r="W1055" s="5" t="n"/>
      <c r="X1055" s="5" t="n"/>
      <c r="Y1055" s="5" t="n"/>
      <c r="Z1055" s="5" t="n"/>
      <c r="AA1055" s="5" t="n"/>
      <c r="AB1055" s="5" t="n"/>
    </row>
    <row r="1056" ht="15.75" customHeight="1" s="79">
      <c r="A1056" s="5">
        <f>IFERROR(Calc!$A$155,"")</f>
        <v/>
      </c>
      <c r="B1056" s="20">
        <f>IFERROR(Calc!B155,"")</f>
        <v/>
      </c>
      <c r="C1056" s="20">
        <f>IFERROR(Calc!C155,"")</f>
        <v/>
      </c>
      <c r="D1056" s="20">
        <f>IFERROR(Calc!D155,"")</f>
        <v/>
      </c>
      <c r="E1056" s="20">
        <f>IFERROR(Calc!E155,"")</f>
        <v/>
      </c>
      <c r="F1056" s="20">
        <f>IFERROR(Calc!F155,"")</f>
        <v/>
      </c>
      <c r="G1056" s="21">
        <f>IFERROR(Calc!G155,"")</f>
        <v/>
      </c>
      <c r="H1056" s="21">
        <f>IFERROR(Calc!H155,"")</f>
        <v/>
      </c>
      <c r="I1056" s="21">
        <f>IFERROR(Calc!I155,"")</f>
        <v/>
      </c>
      <c r="J1056" s="17">
        <f>IFERROR(Calc!J155,"")</f>
        <v/>
      </c>
      <c r="K1056" s="21">
        <f>IFERROR(Calc!K155,"")</f>
        <v/>
      </c>
      <c r="L1056" s="20">
        <f>IFERROR(Calc!L155,"")</f>
        <v/>
      </c>
      <c r="M1056" s="17">
        <f>IFERROR(Calc!M155,"")</f>
        <v/>
      </c>
      <c r="N1056" s="17">
        <f>IFERROR(Calc!N155,"")</f>
        <v/>
      </c>
      <c r="O1056" s="17">
        <f>IFERROR(Calc!O155,"")</f>
        <v/>
      </c>
      <c r="P1056" s="17">
        <f>IFERROR(Calc!P155,"")</f>
        <v/>
      </c>
      <c r="Q1056" s="21">
        <f>IFERROR(Calc!Q155,"")</f>
        <v/>
      </c>
      <c r="R1056" s="21">
        <f>IFERROR(Calc!R155,"")</f>
        <v/>
      </c>
      <c r="S1056" s="21">
        <f>IFERROR(Calc!S155,"")</f>
        <v/>
      </c>
      <c r="T1056" s="21">
        <f>IFERROR(Calc!T155,"")</f>
        <v/>
      </c>
      <c r="U1056" s="21">
        <f>IFERROR(Calc!U155,"")</f>
        <v/>
      </c>
      <c r="V1056" s="21">
        <f>IFERROR(Calc!V155,"")</f>
        <v/>
      </c>
      <c r="W1056" s="5" t="n"/>
      <c r="X1056" s="5" t="n"/>
      <c r="Y1056" s="5" t="n"/>
      <c r="Z1056" s="5" t="n"/>
      <c r="AA1056" s="5" t="n"/>
      <c r="AB1056" s="5" t="n"/>
    </row>
    <row r="1057" ht="15.75" customHeight="1" s="79">
      <c r="A1057" s="5">
        <f>IFERROR(Calc!$A$156,"")</f>
        <v/>
      </c>
      <c r="B1057" s="20">
        <f>IFERROR(Calc!B156,"")</f>
        <v/>
      </c>
      <c r="C1057" s="20">
        <f>IFERROR(Calc!C156,"")</f>
        <v/>
      </c>
      <c r="D1057" s="20">
        <f>IFERROR(Calc!D156,"")</f>
        <v/>
      </c>
      <c r="E1057" s="20">
        <f>IFERROR(Calc!E156,"")</f>
        <v/>
      </c>
      <c r="F1057" s="20">
        <f>IFERROR(Calc!F156,"")</f>
        <v/>
      </c>
      <c r="G1057" s="21">
        <f>IFERROR(Calc!G156,"")</f>
        <v/>
      </c>
      <c r="H1057" s="21">
        <f>IFERROR(Calc!H156,"")</f>
        <v/>
      </c>
      <c r="I1057" s="21">
        <f>IFERROR(Calc!I156,"")</f>
        <v/>
      </c>
      <c r="J1057" s="17">
        <f>IFERROR(Calc!J156,"")</f>
        <v/>
      </c>
      <c r="K1057" s="21">
        <f>IFERROR(Calc!K156,"")</f>
        <v/>
      </c>
      <c r="L1057" s="20">
        <f>IFERROR(Calc!L156,"")</f>
        <v/>
      </c>
      <c r="M1057" s="17">
        <f>IFERROR(Calc!M156,"")</f>
        <v/>
      </c>
      <c r="N1057" s="17">
        <f>IFERROR(Calc!N156,"")</f>
        <v/>
      </c>
      <c r="O1057" s="17">
        <f>IFERROR(Calc!O156,"")</f>
        <v/>
      </c>
      <c r="P1057" s="17">
        <f>IFERROR(Calc!P156,"")</f>
        <v/>
      </c>
      <c r="Q1057" s="21">
        <f>IFERROR(Calc!Q156,"")</f>
        <v/>
      </c>
      <c r="R1057" s="21">
        <f>IFERROR(Calc!R156,"")</f>
        <v/>
      </c>
      <c r="S1057" s="21">
        <f>IFERROR(Calc!S156,"")</f>
        <v/>
      </c>
      <c r="T1057" s="21">
        <f>IFERROR(Calc!T156,"")</f>
        <v/>
      </c>
      <c r="U1057" s="21">
        <f>IFERROR(Calc!U156,"")</f>
        <v/>
      </c>
      <c r="V1057" s="21">
        <f>IFERROR(Calc!V156,"")</f>
        <v/>
      </c>
      <c r="W1057" s="5" t="n"/>
      <c r="X1057" s="5" t="n"/>
      <c r="Y1057" s="5" t="n"/>
      <c r="Z1057" s="5" t="n"/>
      <c r="AA1057" s="5" t="n"/>
      <c r="AB1057" s="5" t="n"/>
    </row>
    <row r="1058" ht="15.75" customHeight="1" s="79">
      <c r="A1058" s="5">
        <f>IFERROR(Calc!$A$157,"")</f>
        <v/>
      </c>
      <c r="B1058" s="20">
        <f>IFERROR(Calc!B157,"")</f>
        <v/>
      </c>
      <c r="C1058" s="20">
        <f>IFERROR(Calc!C157,"")</f>
        <v/>
      </c>
      <c r="D1058" s="20">
        <f>IFERROR(Calc!D157,"")</f>
        <v/>
      </c>
      <c r="E1058" s="20">
        <f>IFERROR(Calc!E157,"")</f>
        <v/>
      </c>
      <c r="F1058" s="20">
        <f>IFERROR(Calc!F157,"")</f>
        <v/>
      </c>
      <c r="G1058" s="21">
        <f>IFERROR(Calc!G157,"")</f>
        <v/>
      </c>
      <c r="H1058" s="21">
        <f>IFERROR(Calc!H157,"")</f>
        <v/>
      </c>
      <c r="I1058" s="21">
        <f>IFERROR(Calc!I157,"")</f>
        <v/>
      </c>
      <c r="J1058" s="17">
        <f>IFERROR(Calc!J157,"")</f>
        <v/>
      </c>
      <c r="K1058" s="21">
        <f>IFERROR(Calc!K157,"")</f>
        <v/>
      </c>
      <c r="L1058" s="20">
        <f>IFERROR(Calc!L157,"")</f>
        <v/>
      </c>
      <c r="M1058" s="17">
        <f>IFERROR(Calc!M157,"")</f>
        <v/>
      </c>
      <c r="N1058" s="17">
        <f>IFERROR(Calc!N157,"")</f>
        <v/>
      </c>
      <c r="O1058" s="17">
        <f>IFERROR(Calc!O157,"")</f>
        <v/>
      </c>
      <c r="P1058" s="17">
        <f>IFERROR(Calc!P157,"")</f>
        <v/>
      </c>
      <c r="Q1058" s="21">
        <f>IFERROR(Calc!Q157,"")</f>
        <v/>
      </c>
      <c r="R1058" s="21">
        <f>IFERROR(Calc!R157,"")</f>
        <v/>
      </c>
      <c r="S1058" s="21">
        <f>IFERROR(Calc!S157,"")</f>
        <v/>
      </c>
      <c r="T1058" s="21">
        <f>IFERROR(Calc!T157,"")</f>
        <v/>
      </c>
      <c r="U1058" s="21">
        <f>IFERROR(Calc!U157,"")</f>
        <v/>
      </c>
      <c r="V1058" s="21">
        <f>IFERROR(Calc!V157,"")</f>
        <v/>
      </c>
      <c r="W1058" s="5" t="n"/>
      <c r="X1058" s="5" t="n"/>
      <c r="Y1058" s="5" t="n"/>
      <c r="Z1058" s="5" t="n"/>
      <c r="AA1058" s="5" t="n"/>
      <c r="AB1058" s="5" t="n"/>
    </row>
    <row r="1059" ht="15.75" customHeight="1" s="79">
      <c r="A1059" s="5">
        <f>IFERROR(Calc!$A$158,"")</f>
        <v/>
      </c>
      <c r="B1059" s="20">
        <f>IFERROR(Calc!B158,"")</f>
        <v/>
      </c>
      <c r="C1059" s="20">
        <f>IFERROR(Calc!C158,"")</f>
        <v/>
      </c>
      <c r="D1059" s="20">
        <f>IFERROR(Calc!D158,"")</f>
        <v/>
      </c>
      <c r="E1059" s="20">
        <f>IFERROR(Calc!E158,"")</f>
        <v/>
      </c>
      <c r="F1059" s="20">
        <f>IFERROR(Calc!F158,"")</f>
        <v/>
      </c>
      <c r="G1059" s="21">
        <f>IFERROR(Calc!G158,"")</f>
        <v/>
      </c>
      <c r="H1059" s="21">
        <f>IFERROR(Calc!H158,"")</f>
        <v/>
      </c>
      <c r="I1059" s="21">
        <f>IFERROR(Calc!I158,"")</f>
        <v/>
      </c>
      <c r="J1059" s="17">
        <f>IFERROR(Calc!J158,"")</f>
        <v/>
      </c>
      <c r="K1059" s="21">
        <f>IFERROR(Calc!K158,"")</f>
        <v/>
      </c>
      <c r="L1059" s="20">
        <f>IFERROR(Calc!L158,"")</f>
        <v/>
      </c>
      <c r="M1059" s="17">
        <f>IFERROR(Calc!M158,"")</f>
        <v/>
      </c>
      <c r="N1059" s="17">
        <f>IFERROR(Calc!N158,"")</f>
        <v/>
      </c>
      <c r="O1059" s="17">
        <f>IFERROR(Calc!O158,"")</f>
        <v/>
      </c>
      <c r="P1059" s="17">
        <f>IFERROR(Calc!P158,"")</f>
        <v/>
      </c>
      <c r="Q1059" s="21">
        <f>IFERROR(Calc!Q158,"")</f>
        <v/>
      </c>
      <c r="R1059" s="21">
        <f>IFERROR(Calc!R158,"")</f>
        <v/>
      </c>
      <c r="S1059" s="21">
        <f>IFERROR(Calc!S158,"")</f>
        <v/>
      </c>
      <c r="T1059" s="21">
        <f>IFERROR(Calc!T158,"")</f>
        <v/>
      </c>
      <c r="U1059" s="21">
        <f>IFERROR(Calc!U158,"")</f>
        <v/>
      </c>
      <c r="V1059" s="21">
        <f>IFERROR(Calc!V158,"")</f>
        <v/>
      </c>
      <c r="W1059" s="5" t="n"/>
      <c r="X1059" s="5" t="n"/>
      <c r="Y1059" s="5" t="n"/>
      <c r="Z1059" s="5" t="n"/>
      <c r="AA1059" s="5" t="n"/>
      <c r="AB1059" s="5" t="n"/>
    </row>
    <row r="1060" ht="15.75" customHeight="1" s="79">
      <c r="A1060" s="5">
        <f>IFERROR(Calc!$A$159,"")</f>
        <v/>
      </c>
      <c r="B1060" s="20">
        <f>IFERROR(Calc!B159,"")</f>
        <v/>
      </c>
      <c r="C1060" s="20">
        <f>IFERROR(Calc!C159,"")</f>
        <v/>
      </c>
      <c r="D1060" s="20">
        <f>IFERROR(Calc!D159,"")</f>
        <v/>
      </c>
      <c r="E1060" s="20">
        <f>IFERROR(Calc!E159,"")</f>
        <v/>
      </c>
      <c r="F1060" s="20">
        <f>IFERROR(Calc!F159,"")</f>
        <v/>
      </c>
      <c r="G1060" s="21">
        <f>IFERROR(Calc!G159,"")</f>
        <v/>
      </c>
      <c r="H1060" s="21">
        <f>IFERROR(Calc!H159,"")</f>
        <v/>
      </c>
      <c r="I1060" s="21">
        <f>IFERROR(Calc!I159,"")</f>
        <v/>
      </c>
      <c r="J1060" s="17">
        <f>IFERROR(Calc!J159,"")</f>
        <v/>
      </c>
      <c r="K1060" s="21">
        <f>IFERROR(Calc!K159,"")</f>
        <v/>
      </c>
      <c r="L1060" s="20">
        <f>IFERROR(Calc!L159,"")</f>
        <v/>
      </c>
      <c r="M1060" s="17">
        <f>IFERROR(Calc!M159,"")</f>
        <v/>
      </c>
      <c r="N1060" s="17">
        <f>IFERROR(Calc!N159,"")</f>
        <v/>
      </c>
      <c r="O1060" s="17">
        <f>IFERROR(Calc!O159,"")</f>
        <v/>
      </c>
      <c r="P1060" s="17">
        <f>IFERROR(Calc!P159,"")</f>
        <v/>
      </c>
      <c r="Q1060" s="21">
        <f>IFERROR(Calc!Q159,"")</f>
        <v/>
      </c>
      <c r="R1060" s="21">
        <f>IFERROR(Calc!R159,"")</f>
        <v/>
      </c>
      <c r="S1060" s="21">
        <f>IFERROR(Calc!S159,"")</f>
        <v/>
      </c>
      <c r="T1060" s="21">
        <f>IFERROR(Calc!T159,"")</f>
        <v/>
      </c>
      <c r="U1060" s="21">
        <f>IFERROR(Calc!U159,"")</f>
        <v/>
      </c>
      <c r="V1060" s="21">
        <f>IFERROR(Calc!V159,"")</f>
        <v/>
      </c>
      <c r="W1060" s="5" t="n"/>
      <c r="X1060" s="5" t="n"/>
      <c r="Y1060" s="5" t="n"/>
      <c r="Z1060" s="5" t="n"/>
      <c r="AA1060" s="5" t="n"/>
      <c r="AB1060" s="5" t="n"/>
    </row>
    <row r="1061" ht="15.75" customHeight="1" s="79">
      <c r="A1061" s="5">
        <f>IFERROR(Calc!$A$160,"")</f>
        <v/>
      </c>
      <c r="B1061" s="20">
        <f>IFERROR(Calc!B160,"")</f>
        <v/>
      </c>
      <c r="C1061" s="20">
        <f>IFERROR(Calc!C160,"")</f>
        <v/>
      </c>
      <c r="D1061" s="20">
        <f>IFERROR(Calc!D160,"")</f>
        <v/>
      </c>
      <c r="E1061" s="20">
        <f>IFERROR(Calc!E160,"")</f>
        <v/>
      </c>
      <c r="F1061" s="20">
        <f>IFERROR(Calc!F160,"")</f>
        <v/>
      </c>
      <c r="G1061" s="21">
        <f>IFERROR(Calc!G160,"")</f>
        <v/>
      </c>
      <c r="H1061" s="21">
        <f>IFERROR(Calc!H160,"")</f>
        <v/>
      </c>
      <c r="I1061" s="21">
        <f>IFERROR(Calc!I160,"")</f>
        <v/>
      </c>
      <c r="J1061" s="17">
        <f>IFERROR(Calc!J160,"")</f>
        <v/>
      </c>
      <c r="K1061" s="21">
        <f>IFERROR(Calc!K160,"")</f>
        <v/>
      </c>
      <c r="L1061" s="20">
        <f>IFERROR(Calc!L160,"")</f>
        <v/>
      </c>
      <c r="M1061" s="17">
        <f>IFERROR(Calc!M160,"")</f>
        <v/>
      </c>
      <c r="N1061" s="17">
        <f>IFERROR(Calc!N160,"")</f>
        <v/>
      </c>
      <c r="O1061" s="17">
        <f>IFERROR(Calc!O160,"")</f>
        <v/>
      </c>
      <c r="P1061" s="17">
        <f>IFERROR(Calc!P160,"")</f>
        <v/>
      </c>
      <c r="Q1061" s="21">
        <f>IFERROR(Calc!Q160,"")</f>
        <v/>
      </c>
      <c r="R1061" s="21">
        <f>IFERROR(Calc!R160,"")</f>
        <v/>
      </c>
      <c r="S1061" s="21">
        <f>IFERROR(Calc!S160,"")</f>
        <v/>
      </c>
      <c r="T1061" s="21">
        <f>IFERROR(Calc!T160,"")</f>
        <v/>
      </c>
      <c r="U1061" s="21">
        <f>IFERROR(Calc!U160,"")</f>
        <v/>
      </c>
      <c r="V1061" s="21">
        <f>IFERROR(Calc!V160,"")</f>
        <v/>
      </c>
      <c r="W1061" s="5" t="n"/>
      <c r="X1061" s="5" t="n"/>
      <c r="Y1061" s="5" t="n"/>
      <c r="Z1061" s="5" t="n"/>
      <c r="AA1061" s="5" t="n"/>
      <c r="AB1061" s="5" t="n"/>
    </row>
    <row r="1062" ht="15.75" customHeight="1" s="79">
      <c r="A1062" s="5">
        <f>IFERROR(Calc!$A$161,"")</f>
        <v/>
      </c>
      <c r="B1062" s="20">
        <f>IFERROR(Calc!B161,"")</f>
        <v/>
      </c>
      <c r="C1062" s="20">
        <f>IFERROR(Calc!C161,"")</f>
        <v/>
      </c>
      <c r="D1062" s="20">
        <f>IFERROR(Calc!D161,"")</f>
        <v/>
      </c>
      <c r="E1062" s="20">
        <f>IFERROR(Calc!E161,"")</f>
        <v/>
      </c>
      <c r="F1062" s="20">
        <f>IFERROR(Calc!F161,"")</f>
        <v/>
      </c>
      <c r="G1062" s="21">
        <f>IFERROR(Calc!G161,"")</f>
        <v/>
      </c>
      <c r="H1062" s="21">
        <f>IFERROR(Calc!H161,"")</f>
        <v/>
      </c>
      <c r="I1062" s="21">
        <f>IFERROR(Calc!I161,"")</f>
        <v/>
      </c>
      <c r="J1062" s="17">
        <f>IFERROR(Calc!J161,"")</f>
        <v/>
      </c>
      <c r="K1062" s="21">
        <f>IFERROR(Calc!K161,"")</f>
        <v/>
      </c>
      <c r="L1062" s="20">
        <f>IFERROR(Calc!L161,"")</f>
        <v/>
      </c>
      <c r="M1062" s="17">
        <f>IFERROR(Calc!M161,"")</f>
        <v/>
      </c>
      <c r="N1062" s="17">
        <f>IFERROR(Calc!N161,"")</f>
        <v/>
      </c>
      <c r="O1062" s="17">
        <f>IFERROR(Calc!O161,"")</f>
        <v/>
      </c>
      <c r="P1062" s="17">
        <f>IFERROR(Calc!P161,"")</f>
        <v/>
      </c>
      <c r="Q1062" s="21">
        <f>IFERROR(Calc!Q161,"")</f>
        <v/>
      </c>
      <c r="R1062" s="21">
        <f>IFERROR(Calc!R161,"")</f>
        <v/>
      </c>
      <c r="S1062" s="21">
        <f>IFERROR(Calc!S161,"")</f>
        <v/>
      </c>
      <c r="T1062" s="21">
        <f>IFERROR(Calc!T161,"")</f>
        <v/>
      </c>
      <c r="U1062" s="21">
        <f>IFERROR(Calc!U161,"")</f>
        <v/>
      </c>
      <c r="V1062" s="21">
        <f>IFERROR(Calc!V161,"")</f>
        <v/>
      </c>
      <c r="W1062" s="5" t="n"/>
      <c r="X1062" s="5" t="n"/>
      <c r="Y1062" s="5" t="n"/>
      <c r="Z1062" s="5" t="n"/>
      <c r="AA1062" s="5" t="n"/>
      <c r="AB1062" s="5" t="n"/>
    </row>
    <row r="1063" ht="15.75" customHeight="1" s="79">
      <c r="A1063" s="5">
        <f>IFERROR(Calc!$A$162,"")</f>
        <v/>
      </c>
      <c r="B1063" s="20">
        <f>IFERROR(Calc!B162,"")</f>
        <v/>
      </c>
      <c r="C1063" s="20">
        <f>IFERROR(Calc!C162,"")</f>
        <v/>
      </c>
      <c r="D1063" s="20">
        <f>IFERROR(Calc!D162,"")</f>
        <v/>
      </c>
      <c r="E1063" s="20">
        <f>IFERROR(Calc!E162,"")</f>
        <v/>
      </c>
      <c r="F1063" s="20">
        <f>IFERROR(Calc!F162,"")</f>
        <v/>
      </c>
      <c r="G1063" s="21">
        <f>IFERROR(Calc!G162,"")</f>
        <v/>
      </c>
      <c r="H1063" s="21">
        <f>IFERROR(Calc!H162,"")</f>
        <v/>
      </c>
      <c r="I1063" s="21">
        <f>IFERROR(Calc!I162,"")</f>
        <v/>
      </c>
      <c r="J1063" s="17">
        <f>IFERROR(Calc!J162,"")</f>
        <v/>
      </c>
      <c r="K1063" s="21">
        <f>IFERROR(Calc!K162,"")</f>
        <v/>
      </c>
      <c r="L1063" s="20">
        <f>IFERROR(Calc!L162,"")</f>
        <v/>
      </c>
      <c r="M1063" s="17">
        <f>IFERROR(Calc!M162,"")</f>
        <v/>
      </c>
      <c r="N1063" s="17">
        <f>IFERROR(Calc!N162,"")</f>
        <v/>
      </c>
      <c r="O1063" s="17">
        <f>IFERROR(Calc!O162,"")</f>
        <v/>
      </c>
      <c r="P1063" s="17">
        <f>IFERROR(Calc!P162,"")</f>
        <v/>
      </c>
      <c r="Q1063" s="21">
        <f>IFERROR(Calc!Q162,"")</f>
        <v/>
      </c>
      <c r="R1063" s="21">
        <f>IFERROR(Calc!R162,"")</f>
        <v/>
      </c>
      <c r="S1063" s="21">
        <f>IFERROR(Calc!S162,"")</f>
        <v/>
      </c>
      <c r="T1063" s="21">
        <f>IFERROR(Calc!T162,"")</f>
        <v/>
      </c>
      <c r="U1063" s="21">
        <f>IFERROR(Calc!U162,"")</f>
        <v/>
      </c>
      <c r="V1063" s="21">
        <f>IFERROR(Calc!V162,"")</f>
        <v/>
      </c>
      <c r="W1063" s="5" t="n"/>
      <c r="X1063" s="5" t="n"/>
      <c r="Y1063" s="5" t="n"/>
      <c r="Z1063" s="5" t="n"/>
      <c r="AA1063" s="5" t="n"/>
      <c r="AB1063" s="5" t="n"/>
    </row>
    <row r="1064" ht="15.75" customHeight="1" s="79">
      <c r="A1064" s="5">
        <f>IFERROR(Calc!$A$163,"")</f>
        <v/>
      </c>
      <c r="B1064" s="20">
        <f>IFERROR(Calc!B163,"")</f>
        <v/>
      </c>
      <c r="C1064" s="20">
        <f>IFERROR(Calc!C163,"")</f>
        <v/>
      </c>
      <c r="D1064" s="20">
        <f>IFERROR(Calc!D163,"")</f>
        <v/>
      </c>
      <c r="E1064" s="20">
        <f>IFERROR(Calc!E163,"")</f>
        <v/>
      </c>
      <c r="F1064" s="20">
        <f>IFERROR(Calc!F163,"")</f>
        <v/>
      </c>
      <c r="G1064" s="21">
        <f>IFERROR(Calc!G163,"")</f>
        <v/>
      </c>
      <c r="H1064" s="21">
        <f>IFERROR(Calc!H163,"")</f>
        <v/>
      </c>
      <c r="I1064" s="21">
        <f>IFERROR(Calc!I163,"")</f>
        <v/>
      </c>
      <c r="J1064" s="17">
        <f>IFERROR(Calc!J163,"")</f>
        <v/>
      </c>
      <c r="K1064" s="21">
        <f>IFERROR(Calc!K163,"")</f>
        <v/>
      </c>
      <c r="L1064" s="20">
        <f>IFERROR(Calc!L163,"")</f>
        <v/>
      </c>
      <c r="M1064" s="17">
        <f>IFERROR(Calc!M163,"")</f>
        <v/>
      </c>
      <c r="N1064" s="17">
        <f>IFERROR(Calc!N163,"")</f>
        <v/>
      </c>
      <c r="O1064" s="17">
        <f>IFERROR(Calc!O163,"")</f>
        <v/>
      </c>
      <c r="P1064" s="17">
        <f>IFERROR(Calc!P163,"")</f>
        <v/>
      </c>
      <c r="Q1064" s="21">
        <f>IFERROR(Calc!Q163,"")</f>
        <v/>
      </c>
      <c r="R1064" s="21">
        <f>IFERROR(Calc!R163,"")</f>
        <v/>
      </c>
      <c r="S1064" s="21">
        <f>IFERROR(Calc!S163,"")</f>
        <v/>
      </c>
      <c r="T1064" s="21">
        <f>IFERROR(Calc!T163,"")</f>
        <v/>
      </c>
      <c r="U1064" s="21">
        <f>IFERROR(Calc!U163,"")</f>
        <v/>
      </c>
      <c r="V1064" s="21">
        <f>IFERROR(Calc!V163,"")</f>
        <v/>
      </c>
      <c r="W1064" s="5" t="n"/>
      <c r="X1064" s="5" t="n"/>
      <c r="Y1064" s="5" t="n"/>
      <c r="Z1064" s="5" t="n"/>
      <c r="AA1064" s="5" t="n"/>
      <c r="AB1064" s="5" t="n"/>
    </row>
    <row r="1065" ht="15.75" customHeight="1" s="79">
      <c r="A1065" s="5">
        <f>IFERROR(Calc!$A$164,"")</f>
        <v/>
      </c>
      <c r="B1065" s="20">
        <f>IFERROR(Calc!B164,"")</f>
        <v/>
      </c>
      <c r="C1065" s="20">
        <f>IFERROR(Calc!C164,"")</f>
        <v/>
      </c>
      <c r="D1065" s="20">
        <f>IFERROR(Calc!D164,"")</f>
        <v/>
      </c>
      <c r="E1065" s="20">
        <f>IFERROR(Calc!E164,"")</f>
        <v/>
      </c>
      <c r="F1065" s="20">
        <f>IFERROR(Calc!F164,"")</f>
        <v/>
      </c>
      <c r="G1065" s="21">
        <f>IFERROR(Calc!G164,"")</f>
        <v/>
      </c>
      <c r="H1065" s="21">
        <f>IFERROR(Calc!H164,"")</f>
        <v/>
      </c>
      <c r="I1065" s="21">
        <f>IFERROR(Calc!I164,"")</f>
        <v/>
      </c>
      <c r="J1065" s="17">
        <f>IFERROR(Calc!J164,"")</f>
        <v/>
      </c>
      <c r="K1065" s="21">
        <f>IFERROR(Calc!K164,"")</f>
        <v/>
      </c>
      <c r="L1065" s="20">
        <f>IFERROR(Calc!L164,"")</f>
        <v/>
      </c>
      <c r="M1065" s="17">
        <f>IFERROR(Calc!M164,"")</f>
        <v/>
      </c>
      <c r="N1065" s="17">
        <f>IFERROR(Calc!N164,"")</f>
        <v/>
      </c>
      <c r="O1065" s="17">
        <f>IFERROR(Calc!O164,"")</f>
        <v/>
      </c>
      <c r="P1065" s="17">
        <f>IFERROR(Calc!P164,"")</f>
        <v/>
      </c>
      <c r="Q1065" s="21">
        <f>IFERROR(Calc!Q164,"")</f>
        <v/>
      </c>
      <c r="R1065" s="21">
        <f>IFERROR(Calc!R164,"")</f>
        <v/>
      </c>
      <c r="S1065" s="21">
        <f>IFERROR(Calc!S164,"")</f>
        <v/>
      </c>
      <c r="T1065" s="21">
        <f>IFERROR(Calc!T164,"")</f>
        <v/>
      </c>
      <c r="U1065" s="21">
        <f>IFERROR(Calc!U164,"")</f>
        <v/>
      </c>
      <c r="V1065" s="21">
        <f>IFERROR(Calc!V164,"")</f>
        <v/>
      </c>
      <c r="W1065" s="5" t="n"/>
      <c r="X1065" s="5" t="n"/>
      <c r="Y1065" s="5" t="n"/>
      <c r="Z1065" s="5" t="n"/>
      <c r="AA1065" s="5" t="n"/>
      <c r="AB1065" s="5" t="n"/>
    </row>
    <row r="1066" ht="15.75" customHeight="1" s="79">
      <c r="A1066" s="5">
        <f>IFERROR(Calc!$A$165,"")</f>
        <v/>
      </c>
      <c r="B1066" s="20">
        <f>IFERROR(Calc!B165,"")</f>
        <v/>
      </c>
      <c r="C1066" s="20">
        <f>IFERROR(Calc!C165,"")</f>
        <v/>
      </c>
      <c r="D1066" s="20">
        <f>IFERROR(Calc!D165,"")</f>
        <v/>
      </c>
      <c r="E1066" s="20">
        <f>IFERROR(Calc!E165,"")</f>
        <v/>
      </c>
      <c r="F1066" s="20">
        <f>IFERROR(Calc!F165,"")</f>
        <v/>
      </c>
      <c r="G1066" s="21">
        <f>IFERROR(Calc!G165,"")</f>
        <v/>
      </c>
      <c r="H1066" s="21">
        <f>IFERROR(Calc!H165,"")</f>
        <v/>
      </c>
      <c r="I1066" s="21">
        <f>IFERROR(Calc!I165,"")</f>
        <v/>
      </c>
      <c r="J1066" s="17">
        <f>IFERROR(Calc!J165,"")</f>
        <v/>
      </c>
      <c r="K1066" s="21">
        <f>IFERROR(Calc!K165,"")</f>
        <v/>
      </c>
      <c r="L1066" s="20">
        <f>IFERROR(Calc!L165,"")</f>
        <v/>
      </c>
      <c r="M1066" s="17">
        <f>IFERROR(Calc!M165,"")</f>
        <v/>
      </c>
      <c r="N1066" s="17">
        <f>IFERROR(Calc!N165,"")</f>
        <v/>
      </c>
      <c r="O1066" s="17">
        <f>IFERROR(Calc!O165,"")</f>
        <v/>
      </c>
      <c r="P1066" s="17">
        <f>IFERROR(Calc!P165,"")</f>
        <v/>
      </c>
      <c r="Q1066" s="21">
        <f>IFERROR(Calc!Q165,"")</f>
        <v/>
      </c>
      <c r="R1066" s="21">
        <f>IFERROR(Calc!R165,"")</f>
        <v/>
      </c>
      <c r="S1066" s="21">
        <f>IFERROR(Calc!S165,"")</f>
        <v/>
      </c>
      <c r="T1066" s="21">
        <f>IFERROR(Calc!T165,"")</f>
        <v/>
      </c>
      <c r="U1066" s="21">
        <f>IFERROR(Calc!U165,"")</f>
        <v/>
      </c>
      <c r="V1066" s="21">
        <f>IFERROR(Calc!V165,"")</f>
        <v/>
      </c>
      <c r="W1066" s="5" t="n"/>
      <c r="X1066" s="5" t="n"/>
      <c r="Y1066" s="5" t="n"/>
      <c r="Z1066" s="5" t="n"/>
      <c r="AA1066" s="5" t="n"/>
      <c r="AB1066" s="5" t="n"/>
    </row>
    <row r="1067" ht="15.75" customHeight="1" s="79">
      <c r="A1067" s="5">
        <f>IFERROR(Calc!$A$166,"")</f>
        <v/>
      </c>
      <c r="B1067" s="20">
        <f>IFERROR(Calc!B166,"")</f>
        <v/>
      </c>
      <c r="C1067" s="20">
        <f>IFERROR(Calc!C166,"")</f>
        <v/>
      </c>
      <c r="D1067" s="20">
        <f>IFERROR(Calc!D166,"")</f>
        <v/>
      </c>
      <c r="E1067" s="20">
        <f>IFERROR(Calc!E166,"")</f>
        <v/>
      </c>
      <c r="F1067" s="20">
        <f>IFERROR(Calc!F166,"")</f>
        <v/>
      </c>
      <c r="G1067" s="21">
        <f>IFERROR(Calc!G166,"")</f>
        <v/>
      </c>
      <c r="H1067" s="21">
        <f>IFERROR(Calc!H166,"")</f>
        <v/>
      </c>
      <c r="I1067" s="21">
        <f>IFERROR(Calc!I166,"")</f>
        <v/>
      </c>
      <c r="J1067" s="17">
        <f>IFERROR(Calc!J166,"")</f>
        <v/>
      </c>
      <c r="K1067" s="21">
        <f>IFERROR(Calc!K166,"")</f>
        <v/>
      </c>
      <c r="L1067" s="20">
        <f>IFERROR(Calc!L166,"")</f>
        <v/>
      </c>
      <c r="M1067" s="17">
        <f>IFERROR(Calc!M166,"")</f>
        <v/>
      </c>
      <c r="N1067" s="17">
        <f>IFERROR(Calc!N166,"")</f>
        <v/>
      </c>
      <c r="O1067" s="17">
        <f>IFERROR(Calc!O166,"")</f>
        <v/>
      </c>
      <c r="P1067" s="17">
        <f>IFERROR(Calc!P166,"")</f>
        <v/>
      </c>
      <c r="Q1067" s="21">
        <f>IFERROR(Calc!Q166,"")</f>
        <v/>
      </c>
      <c r="R1067" s="21">
        <f>IFERROR(Calc!R166,"")</f>
        <v/>
      </c>
      <c r="S1067" s="21">
        <f>IFERROR(Calc!S166,"")</f>
        <v/>
      </c>
      <c r="T1067" s="21">
        <f>IFERROR(Calc!T166,"")</f>
        <v/>
      </c>
      <c r="U1067" s="21">
        <f>IFERROR(Calc!U166,"")</f>
        <v/>
      </c>
      <c r="V1067" s="21">
        <f>IFERROR(Calc!V166,"")</f>
        <v/>
      </c>
      <c r="W1067" s="5" t="n"/>
      <c r="X1067" s="5" t="n"/>
      <c r="Y1067" s="5" t="n"/>
      <c r="Z1067" s="5" t="n"/>
      <c r="AA1067" s="5" t="n"/>
      <c r="AB1067" s="5" t="n"/>
    </row>
    <row r="1068" ht="15.75" customHeight="1" s="79">
      <c r="A1068" s="5">
        <f>IFERROR(Calc!$A$167,"")</f>
        <v/>
      </c>
      <c r="B1068" s="20">
        <f>IFERROR(Calc!B167,"")</f>
        <v/>
      </c>
      <c r="C1068" s="20">
        <f>IFERROR(Calc!C167,"")</f>
        <v/>
      </c>
      <c r="D1068" s="20">
        <f>IFERROR(Calc!D167,"")</f>
        <v/>
      </c>
      <c r="E1068" s="20">
        <f>IFERROR(Calc!E167,"")</f>
        <v/>
      </c>
      <c r="F1068" s="20">
        <f>IFERROR(Calc!F167,"")</f>
        <v/>
      </c>
      <c r="G1068" s="21">
        <f>IFERROR(Calc!G167,"")</f>
        <v/>
      </c>
      <c r="H1068" s="21">
        <f>IFERROR(Calc!H167,"")</f>
        <v/>
      </c>
      <c r="I1068" s="21">
        <f>IFERROR(Calc!I167,"")</f>
        <v/>
      </c>
      <c r="J1068" s="17">
        <f>IFERROR(Calc!J167,"")</f>
        <v/>
      </c>
      <c r="K1068" s="21">
        <f>IFERROR(Calc!K167,"")</f>
        <v/>
      </c>
      <c r="L1068" s="20">
        <f>IFERROR(Calc!L167,"")</f>
        <v/>
      </c>
      <c r="M1068" s="17">
        <f>IFERROR(Calc!M167,"")</f>
        <v/>
      </c>
      <c r="N1068" s="17">
        <f>IFERROR(Calc!N167,"")</f>
        <v/>
      </c>
      <c r="O1068" s="17">
        <f>IFERROR(Calc!O167,"")</f>
        <v/>
      </c>
      <c r="P1068" s="17">
        <f>IFERROR(Calc!P167,"")</f>
        <v/>
      </c>
      <c r="Q1068" s="21">
        <f>IFERROR(Calc!Q167,"")</f>
        <v/>
      </c>
      <c r="R1068" s="21">
        <f>IFERROR(Calc!R167,"")</f>
        <v/>
      </c>
      <c r="S1068" s="21">
        <f>IFERROR(Calc!S167,"")</f>
        <v/>
      </c>
      <c r="T1068" s="21">
        <f>IFERROR(Calc!T167,"")</f>
        <v/>
      </c>
      <c r="U1068" s="21">
        <f>IFERROR(Calc!U167,"")</f>
        <v/>
      </c>
      <c r="V1068" s="21">
        <f>IFERROR(Calc!V167,"")</f>
        <v/>
      </c>
      <c r="W1068" s="5" t="n"/>
      <c r="X1068" s="5" t="n"/>
      <c r="Y1068" s="5" t="n"/>
      <c r="Z1068" s="5" t="n"/>
      <c r="AA1068" s="5" t="n"/>
      <c r="AB1068" s="5" t="n"/>
    </row>
    <row r="1069" ht="15.75" customHeight="1" s="79">
      <c r="A1069" s="5">
        <f>IFERROR(Calc!$A$168,"")</f>
        <v/>
      </c>
      <c r="B1069" s="20">
        <f>IFERROR(Calc!B168,"")</f>
        <v/>
      </c>
      <c r="C1069" s="20">
        <f>IFERROR(Calc!C168,"")</f>
        <v/>
      </c>
      <c r="D1069" s="20">
        <f>IFERROR(Calc!D168,"")</f>
        <v/>
      </c>
      <c r="E1069" s="20">
        <f>IFERROR(Calc!E168,"")</f>
        <v/>
      </c>
      <c r="F1069" s="20">
        <f>IFERROR(Calc!F168,"")</f>
        <v/>
      </c>
      <c r="G1069" s="21">
        <f>IFERROR(Calc!G168,"")</f>
        <v/>
      </c>
      <c r="H1069" s="21">
        <f>IFERROR(Calc!H168,"")</f>
        <v/>
      </c>
      <c r="I1069" s="21">
        <f>IFERROR(Calc!I168,"")</f>
        <v/>
      </c>
      <c r="J1069" s="17">
        <f>IFERROR(Calc!J168,"")</f>
        <v/>
      </c>
      <c r="K1069" s="21">
        <f>IFERROR(Calc!K168,"")</f>
        <v/>
      </c>
      <c r="L1069" s="20">
        <f>IFERROR(Calc!L168,"")</f>
        <v/>
      </c>
      <c r="M1069" s="17">
        <f>IFERROR(Calc!M168,"")</f>
        <v/>
      </c>
      <c r="N1069" s="17">
        <f>IFERROR(Calc!N168,"")</f>
        <v/>
      </c>
      <c r="O1069" s="17">
        <f>IFERROR(Calc!O168,"")</f>
        <v/>
      </c>
      <c r="P1069" s="17">
        <f>IFERROR(Calc!P168,"")</f>
        <v/>
      </c>
      <c r="Q1069" s="21">
        <f>IFERROR(Calc!Q168,"")</f>
        <v/>
      </c>
      <c r="R1069" s="21">
        <f>IFERROR(Calc!R168,"")</f>
        <v/>
      </c>
      <c r="S1069" s="21">
        <f>IFERROR(Calc!S168,"")</f>
        <v/>
      </c>
      <c r="T1069" s="21">
        <f>IFERROR(Calc!T168,"")</f>
        <v/>
      </c>
      <c r="U1069" s="21">
        <f>IFERROR(Calc!U168,"")</f>
        <v/>
      </c>
      <c r="V1069" s="21">
        <f>IFERROR(Calc!V168,"")</f>
        <v/>
      </c>
      <c r="W1069" s="5" t="n"/>
      <c r="X1069" s="5" t="n"/>
      <c r="Y1069" s="5" t="n"/>
      <c r="Z1069" s="5" t="n"/>
      <c r="AA1069" s="5" t="n"/>
      <c r="AB1069" s="5" t="n"/>
    </row>
    <row r="1070" ht="15.75" customHeight="1" s="79">
      <c r="A1070" s="5">
        <f>IFERROR(Calc!$A$169,"")</f>
        <v/>
      </c>
      <c r="B1070" s="20">
        <f>IFERROR(Calc!B169,"")</f>
        <v/>
      </c>
      <c r="C1070" s="20">
        <f>IFERROR(Calc!C169,"")</f>
        <v/>
      </c>
      <c r="D1070" s="20">
        <f>IFERROR(Calc!D169,"")</f>
        <v/>
      </c>
      <c r="E1070" s="20">
        <f>IFERROR(Calc!E169,"")</f>
        <v/>
      </c>
      <c r="F1070" s="20">
        <f>IFERROR(Calc!F169,"")</f>
        <v/>
      </c>
      <c r="G1070" s="21">
        <f>IFERROR(Calc!G169,"")</f>
        <v/>
      </c>
      <c r="H1070" s="21">
        <f>IFERROR(Calc!H169,"")</f>
        <v/>
      </c>
      <c r="I1070" s="21">
        <f>IFERROR(Calc!I169,"")</f>
        <v/>
      </c>
      <c r="J1070" s="17">
        <f>IFERROR(Calc!J169,"")</f>
        <v/>
      </c>
      <c r="K1070" s="21">
        <f>IFERROR(Calc!K169,"")</f>
        <v/>
      </c>
      <c r="L1070" s="20">
        <f>IFERROR(Calc!L169,"")</f>
        <v/>
      </c>
      <c r="M1070" s="17">
        <f>IFERROR(Calc!M169,"")</f>
        <v/>
      </c>
      <c r="N1070" s="17">
        <f>IFERROR(Calc!N169,"")</f>
        <v/>
      </c>
      <c r="O1070" s="17">
        <f>IFERROR(Calc!O169,"")</f>
        <v/>
      </c>
      <c r="P1070" s="17">
        <f>IFERROR(Calc!P169,"")</f>
        <v/>
      </c>
      <c r="Q1070" s="21">
        <f>IFERROR(Calc!Q169,"")</f>
        <v/>
      </c>
      <c r="R1070" s="21">
        <f>IFERROR(Calc!R169,"")</f>
        <v/>
      </c>
      <c r="S1070" s="21">
        <f>IFERROR(Calc!S169,"")</f>
        <v/>
      </c>
      <c r="T1070" s="21">
        <f>IFERROR(Calc!T169,"")</f>
        <v/>
      </c>
      <c r="U1070" s="21">
        <f>IFERROR(Calc!U169,"")</f>
        <v/>
      </c>
      <c r="V1070" s="21">
        <f>IFERROR(Calc!V169,"")</f>
        <v/>
      </c>
      <c r="W1070" s="5" t="n"/>
      <c r="X1070" s="5" t="n"/>
      <c r="Y1070" s="5" t="n"/>
      <c r="Z1070" s="5" t="n"/>
      <c r="AA1070" s="5" t="n"/>
      <c r="AB1070" s="5" t="n"/>
    </row>
    <row r="1071" ht="15.75" customHeight="1" s="79">
      <c r="A1071" s="5">
        <f>IFERROR(Calc!$A$170,"")</f>
        <v/>
      </c>
      <c r="B1071" s="20">
        <f>IFERROR(Calc!B170,"")</f>
        <v/>
      </c>
      <c r="C1071" s="20">
        <f>IFERROR(Calc!C170,"")</f>
        <v/>
      </c>
      <c r="D1071" s="20">
        <f>IFERROR(Calc!D170,"")</f>
        <v/>
      </c>
      <c r="E1071" s="20">
        <f>IFERROR(Calc!E170,"")</f>
        <v/>
      </c>
      <c r="F1071" s="20">
        <f>IFERROR(Calc!F170,"")</f>
        <v/>
      </c>
      <c r="G1071" s="21">
        <f>IFERROR(Calc!G170,"")</f>
        <v/>
      </c>
      <c r="H1071" s="21">
        <f>IFERROR(Calc!H170,"")</f>
        <v/>
      </c>
      <c r="I1071" s="21">
        <f>IFERROR(Calc!I170,"")</f>
        <v/>
      </c>
      <c r="J1071" s="17">
        <f>IFERROR(Calc!J170,"")</f>
        <v/>
      </c>
      <c r="K1071" s="21">
        <f>IFERROR(Calc!K170,"")</f>
        <v/>
      </c>
      <c r="L1071" s="20">
        <f>IFERROR(Calc!L170,"")</f>
        <v/>
      </c>
      <c r="M1071" s="17">
        <f>IFERROR(Calc!M170,"")</f>
        <v/>
      </c>
      <c r="N1071" s="17">
        <f>IFERROR(Calc!N170,"")</f>
        <v/>
      </c>
      <c r="O1071" s="17">
        <f>IFERROR(Calc!O170,"")</f>
        <v/>
      </c>
      <c r="P1071" s="17">
        <f>IFERROR(Calc!P170,"")</f>
        <v/>
      </c>
      <c r="Q1071" s="21">
        <f>IFERROR(Calc!Q170,"")</f>
        <v/>
      </c>
      <c r="R1071" s="21">
        <f>IFERROR(Calc!R170,"")</f>
        <v/>
      </c>
      <c r="S1071" s="21">
        <f>IFERROR(Calc!S170,"")</f>
        <v/>
      </c>
      <c r="T1071" s="21">
        <f>IFERROR(Calc!T170,"")</f>
        <v/>
      </c>
      <c r="U1071" s="21">
        <f>IFERROR(Calc!U170,"")</f>
        <v/>
      </c>
      <c r="V1071" s="21">
        <f>IFERROR(Calc!V170,"")</f>
        <v/>
      </c>
      <c r="W1071" s="5" t="n"/>
      <c r="X1071" s="5" t="n"/>
      <c r="Y1071" s="5" t="n"/>
      <c r="Z1071" s="5" t="n"/>
      <c r="AA1071" s="5" t="n"/>
      <c r="AB1071" s="5" t="n"/>
    </row>
    <row r="1072" ht="15.75" customHeight="1" s="79">
      <c r="A1072" s="5">
        <f>IFERROR(Calc!$A$171,"")</f>
        <v/>
      </c>
      <c r="B1072" s="20">
        <f>IFERROR(Calc!B171,"")</f>
        <v/>
      </c>
      <c r="C1072" s="20">
        <f>IFERROR(Calc!C171,"")</f>
        <v/>
      </c>
      <c r="D1072" s="20">
        <f>IFERROR(Calc!D171,"")</f>
        <v/>
      </c>
      <c r="E1072" s="20">
        <f>IFERROR(Calc!E171,"")</f>
        <v/>
      </c>
      <c r="F1072" s="20">
        <f>IFERROR(Calc!F171,"")</f>
        <v/>
      </c>
      <c r="G1072" s="21">
        <f>IFERROR(Calc!G171,"")</f>
        <v/>
      </c>
      <c r="H1072" s="21">
        <f>IFERROR(Calc!H171,"")</f>
        <v/>
      </c>
      <c r="I1072" s="21">
        <f>IFERROR(Calc!I171,"")</f>
        <v/>
      </c>
      <c r="J1072" s="17">
        <f>IFERROR(Calc!J171,"")</f>
        <v/>
      </c>
      <c r="K1072" s="21">
        <f>IFERROR(Calc!K171,"")</f>
        <v/>
      </c>
      <c r="L1072" s="20">
        <f>IFERROR(Calc!L171,"")</f>
        <v/>
      </c>
      <c r="M1072" s="17">
        <f>IFERROR(Calc!M171,"")</f>
        <v/>
      </c>
      <c r="N1072" s="17">
        <f>IFERROR(Calc!N171,"")</f>
        <v/>
      </c>
      <c r="O1072" s="17">
        <f>IFERROR(Calc!O171,"")</f>
        <v/>
      </c>
      <c r="P1072" s="17">
        <f>IFERROR(Calc!P171,"")</f>
        <v/>
      </c>
      <c r="Q1072" s="21">
        <f>IFERROR(Calc!Q171,"")</f>
        <v/>
      </c>
      <c r="R1072" s="21">
        <f>IFERROR(Calc!R171,"")</f>
        <v/>
      </c>
      <c r="S1072" s="21">
        <f>IFERROR(Calc!S171,"")</f>
        <v/>
      </c>
      <c r="T1072" s="21">
        <f>IFERROR(Calc!T171,"")</f>
        <v/>
      </c>
      <c r="U1072" s="21">
        <f>IFERROR(Calc!U171,"")</f>
        <v/>
      </c>
      <c r="V1072" s="21">
        <f>IFERROR(Calc!V171,"")</f>
        <v/>
      </c>
      <c r="W1072" s="5" t="n"/>
      <c r="X1072" s="5" t="n"/>
      <c r="Y1072" s="5" t="n"/>
      <c r="Z1072" s="5" t="n"/>
      <c r="AA1072" s="5" t="n"/>
      <c r="AB1072" s="5" t="n"/>
    </row>
    <row r="1073" ht="15.75" customHeight="1" s="79">
      <c r="A1073" s="5">
        <f>IFERROR(Calc!$A$172,"")</f>
        <v/>
      </c>
      <c r="B1073" s="20">
        <f>IFERROR(Calc!B172,"")</f>
        <v/>
      </c>
      <c r="C1073" s="20">
        <f>IFERROR(Calc!C172,"")</f>
        <v/>
      </c>
      <c r="D1073" s="20">
        <f>IFERROR(Calc!D172,"")</f>
        <v/>
      </c>
      <c r="E1073" s="20">
        <f>IFERROR(Calc!E172,"")</f>
        <v/>
      </c>
      <c r="F1073" s="20">
        <f>IFERROR(Calc!F172,"")</f>
        <v/>
      </c>
      <c r="G1073" s="21">
        <f>IFERROR(Calc!G172,"")</f>
        <v/>
      </c>
      <c r="H1073" s="21">
        <f>IFERROR(Calc!H172,"")</f>
        <v/>
      </c>
      <c r="I1073" s="21">
        <f>IFERROR(Calc!I172,"")</f>
        <v/>
      </c>
      <c r="J1073" s="17">
        <f>IFERROR(Calc!J172,"")</f>
        <v/>
      </c>
      <c r="K1073" s="21">
        <f>IFERROR(Calc!K172,"")</f>
        <v/>
      </c>
      <c r="L1073" s="20">
        <f>IFERROR(Calc!L172,"")</f>
        <v/>
      </c>
      <c r="M1073" s="17">
        <f>IFERROR(Calc!M172,"")</f>
        <v/>
      </c>
      <c r="N1073" s="17">
        <f>IFERROR(Calc!N172,"")</f>
        <v/>
      </c>
      <c r="O1073" s="17">
        <f>IFERROR(Calc!O172,"")</f>
        <v/>
      </c>
      <c r="P1073" s="17">
        <f>IFERROR(Calc!P172,"")</f>
        <v/>
      </c>
      <c r="Q1073" s="21">
        <f>IFERROR(Calc!Q172,"")</f>
        <v/>
      </c>
      <c r="R1073" s="21">
        <f>IFERROR(Calc!R172,"")</f>
        <v/>
      </c>
      <c r="S1073" s="21">
        <f>IFERROR(Calc!S172,"")</f>
        <v/>
      </c>
      <c r="T1073" s="21">
        <f>IFERROR(Calc!T172,"")</f>
        <v/>
      </c>
      <c r="U1073" s="21">
        <f>IFERROR(Calc!U172,"")</f>
        <v/>
      </c>
      <c r="V1073" s="21">
        <f>IFERROR(Calc!V172,"")</f>
        <v/>
      </c>
      <c r="W1073" s="5" t="n"/>
      <c r="X1073" s="5" t="n"/>
      <c r="Y1073" s="5" t="n"/>
      <c r="Z1073" s="5" t="n"/>
      <c r="AA1073" s="5" t="n"/>
      <c r="AB1073" s="5" t="n"/>
    </row>
    <row r="1074" ht="15.75" customHeight="1" s="79">
      <c r="A1074" s="5">
        <f>IFERROR(Calc!$A$173,"")</f>
        <v/>
      </c>
      <c r="B1074" s="20">
        <f>IFERROR(Calc!B173,"")</f>
        <v/>
      </c>
      <c r="C1074" s="20">
        <f>IFERROR(Calc!C173,"")</f>
        <v/>
      </c>
      <c r="D1074" s="20">
        <f>IFERROR(Calc!D173,"")</f>
        <v/>
      </c>
      <c r="E1074" s="20">
        <f>IFERROR(Calc!E173,"")</f>
        <v/>
      </c>
      <c r="F1074" s="20">
        <f>IFERROR(Calc!F173,"")</f>
        <v/>
      </c>
      <c r="G1074" s="21">
        <f>IFERROR(Calc!G173,"")</f>
        <v/>
      </c>
      <c r="H1074" s="21">
        <f>IFERROR(Calc!H173,"")</f>
        <v/>
      </c>
      <c r="I1074" s="21">
        <f>IFERROR(Calc!I173,"")</f>
        <v/>
      </c>
      <c r="J1074" s="17">
        <f>IFERROR(Calc!J173,"")</f>
        <v/>
      </c>
      <c r="K1074" s="21">
        <f>IFERROR(Calc!K173,"")</f>
        <v/>
      </c>
      <c r="L1074" s="20">
        <f>IFERROR(Calc!L173,"")</f>
        <v/>
      </c>
      <c r="M1074" s="17">
        <f>IFERROR(Calc!M173,"")</f>
        <v/>
      </c>
      <c r="N1074" s="17">
        <f>IFERROR(Calc!N173,"")</f>
        <v/>
      </c>
      <c r="O1074" s="17">
        <f>IFERROR(Calc!O173,"")</f>
        <v/>
      </c>
      <c r="P1074" s="17">
        <f>IFERROR(Calc!P173,"")</f>
        <v/>
      </c>
      <c r="Q1074" s="21">
        <f>IFERROR(Calc!Q173,"")</f>
        <v/>
      </c>
      <c r="R1074" s="21">
        <f>IFERROR(Calc!R173,"")</f>
        <v/>
      </c>
      <c r="S1074" s="21">
        <f>IFERROR(Calc!S173,"")</f>
        <v/>
      </c>
      <c r="T1074" s="21">
        <f>IFERROR(Calc!T173,"")</f>
        <v/>
      </c>
      <c r="U1074" s="21">
        <f>IFERROR(Calc!U173,"")</f>
        <v/>
      </c>
      <c r="V1074" s="21">
        <f>IFERROR(Calc!V173,"")</f>
        <v/>
      </c>
      <c r="W1074" s="5" t="n"/>
      <c r="X1074" s="5" t="n"/>
      <c r="Y1074" s="5" t="n"/>
      <c r="Z1074" s="5" t="n"/>
      <c r="AA1074" s="5" t="n"/>
      <c r="AB1074" s="5" t="n"/>
    </row>
    <row r="1075" ht="15.75" customHeight="1" s="79">
      <c r="A1075" s="5">
        <f>IFERROR(Calc!$A$174,"")</f>
        <v/>
      </c>
      <c r="B1075" s="20">
        <f>IFERROR(Calc!B174,"")</f>
        <v/>
      </c>
      <c r="C1075" s="20">
        <f>IFERROR(Calc!C174,"")</f>
        <v/>
      </c>
      <c r="D1075" s="20">
        <f>IFERROR(Calc!D174,"")</f>
        <v/>
      </c>
      <c r="E1075" s="20">
        <f>IFERROR(Calc!E174,"")</f>
        <v/>
      </c>
      <c r="F1075" s="20">
        <f>IFERROR(Calc!F174,"")</f>
        <v/>
      </c>
      <c r="G1075" s="21">
        <f>IFERROR(Calc!G174,"")</f>
        <v/>
      </c>
      <c r="H1075" s="21">
        <f>IFERROR(Calc!H174,"")</f>
        <v/>
      </c>
      <c r="I1075" s="21">
        <f>IFERROR(Calc!I174,"")</f>
        <v/>
      </c>
      <c r="J1075" s="17">
        <f>IFERROR(Calc!J174,"")</f>
        <v/>
      </c>
      <c r="K1075" s="21">
        <f>IFERROR(Calc!K174,"")</f>
        <v/>
      </c>
      <c r="L1075" s="20">
        <f>IFERROR(Calc!L174,"")</f>
        <v/>
      </c>
      <c r="M1075" s="17">
        <f>IFERROR(Calc!M174,"")</f>
        <v/>
      </c>
      <c r="N1075" s="17">
        <f>IFERROR(Calc!N174,"")</f>
        <v/>
      </c>
      <c r="O1075" s="17">
        <f>IFERROR(Calc!O174,"")</f>
        <v/>
      </c>
      <c r="P1075" s="17">
        <f>IFERROR(Calc!P174,"")</f>
        <v/>
      </c>
      <c r="Q1075" s="21">
        <f>IFERROR(Calc!Q174,"")</f>
        <v/>
      </c>
      <c r="R1075" s="21">
        <f>IFERROR(Calc!R174,"")</f>
        <v/>
      </c>
      <c r="S1075" s="21">
        <f>IFERROR(Calc!S174,"")</f>
        <v/>
      </c>
      <c r="T1075" s="21">
        <f>IFERROR(Calc!T174,"")</f>
        <v/>
      </c>
      <c r="U1075" s="21">
        <f>IFERROR(Calc!U174,"")</f>
        <v/>
      </c>
      <c r="V1075" s="21">
        <f>IFERROR(Calc!V174,"")</f>
        <v/>
      </c>
      <c r="W1075" s="5" t="n"/>
      <c r="X1075" s="5" t="n"/>
      <c r="Y1075" s="5" t="n"/>
      <c r="Z1075" s="5" t="n"/>
      <c r="AA1075" s="5" t="n"/>
      <c r="AB1075" s="5" t="n"/>
    </row>
    <row r="1076" ht="15.75" customHeight="1" s="79">
      <c r="A1076" s="5">
        <f>IFERROR(Calc!$A$175,"")</f>
        <v/>
      </c>
      <c r="B1076" s="20">
        <f>IFERROR(Calc!B175,"")</f>
        <v/>
      </c>
      <c r="C1076" s="20">
        <f>IFERROR(Calc!C175,"")</f>
        <v/>
      </c>
      <c r="D1076" s="20">
        <f>IFERROR(Calc!D175,"")</f>
        <v/>
      </c>
      <c r="E1076" s="20">
        <f>IFERROR(Calc!E175,"")</f>
        <v/>
      </c>
      <c r="F1076" s="20">
        <f>IFERROR(Calc!F175,"")</f>
        <v/>
      </c>
      <c r="G1076" s="21">
        <f>IFERROR(Calc!G175,"")</f>
        <v/>
      </c>
      <c r="H1076" s="21">
        <f>IFERROR(Calc!H175,"")</f>
        <v/>
      </c>
      <c r="I1076" s="21">
        <f>IFERROR(Calc!I175,"")</f>
        <v/>
      </c>
      <c r="J1076" s="17">
        <f>IFERROR(Calc!J175,"")</f>
        <v/>
      </c>
      <c r="K1076" s="21">
        <f>IFERROR(Calc!K175,"")</f>
        <v/>
      </c>
      <c r="L1076" s="20">
        <f>IFERROR(Calc!L175,"")</f>
        <v/>
      </c>
      <c r="M1076" s="17">
        <f>IFERROR(Calc!M175,"")</f>
        <v/>
      </c>
      <c r="N1076" s="17">
        <f>IFERROR(Calc!N175,"")</f>
        <v/>
      </c>
      <c r="O1076" s="17">
        <f>IFERROR(Calc!O175,"")</f>
        <v/>
      </c>
      <c r="P1076" s="17">
        <f>IFERROR(Calc!P175,"")</f>
        <v/>
      </c>
      <c r="Q1076" s="21">
        <f>IFERROR(Calc!Q175,"")</f>
        <v/>
      </c>
      <c r="R1076" s="21">
        <f>IFERROR(Calc!R175,"")</f>
        <v/>
      </c>
      <c r="S1076" s="21">
        <f>IFERROR(Calc!S175,"")</f>
        <v/>
      </c>
      <c r="T1076" s="21">
        <f>IFERROR(Calc!T175,"")</f>
        <v/>
      </c>
      <c r="U1076" s="21">
        <f>IFERROR(Calc!U175,"")</f>
        <v/>
      </c>
      <c r="V1076" s="21">
        <f>IFERROR(Calc!V175,"")</f>
        <v/>
      </c>
      <c r="W1076" s="5" t="n"/>
      <c r="X1076" s="5" t="n"/>
      <c r="Y1076" s="5" t="n"/>
      <c r="Z1076" s="5" t="n"/>
      <c r="AA1076" s="5" t="n"/>
      <c r="AB1076" s="5" t="n"/>
    </row>
    <row r="1077" ht="15.75" customHeight="1" s="79">
      <c r="A1077" s="5">
        <f>IFERROR(Calc!$A$176,"")</f>
        <v/>
      </c>
      <c r="B1077" s="20">
        <f>IFERROR(Calc!B176,"")</f>
        <v/>
      </c>
      <c r="C1077" s="20">
        <f>IFERROR(Calc!C176,"")</f>
        <v/>
      </c>
      <c r="D1077" s="20">
        <f>IFERROR(Calc!D176,"")</f>
        <v/>
      </c>
      <c r="E1077" s="20">
        <f>IFERROR(Calc!E176,"")</f>
        <v/>
      </c>
      <c r="F1077" s="20">
        <f>IFERROR(Calc!F176,"")</f>
        <v/>
      </c>
      <c r="G1077" s="21">
        <f>IFERROR(Calc!G176,"")</f>
        <v/>
      </c>
      <c r="H1077" s="21">
        <f>IFERROR(Calc!H176,"")</f>
        <v/>
      </c>
      <c r="I1077" s="21">
        <f>IFERROR(Calc!I176,"")</f>
        <v/>
      </c>
      <c r="J1077" s="17">
        <f>IFERROR(Calc!J176,"")</f>
        <v/>
      </c>
      <c r="K1077" s="21">
        <f>IFERROR(Calc!K176,"")</f>
        <v/>
      </c>
      <c r="L1077" s="20">
        <f>IFERROR(Calc!L176,"")</f>
        <v/>
      </c>
      <c r="M1077" s="17">
        <f>IFERROR(Calc!M176,"")</f>
        <v/>
      </c>
      <c r="N1077" s="17">
        <f>IFERROR(Calc!N176,"")</f>
        <v/>
      </c>
      <c r="O1077" s="17">
        <f>IFERROR(Calc!O176,"")</f>
        <v/>
      </c>
      <c r="P1077" s="17">
        <f>IFERROR(Calc!P176,"")</f>
        <v/>
      </c>
      <c r="Q1077" s="21">
        <f>IFERROR(Calc!Q176,"")</f>
        <v/>
      </c>
      <c r="R1077" s="21">
        <f>IFERROR(Calc!R176,"")</f>
        <v/>
      </c>
      <c r="S1077" s="21">
        <f>IFERROR(Calc!S176,"")</f>
        <v/>
      </c>
      <c r="T1077" s="21">
        <f>IFERROR(Calc!T176,"")</f>
        <v/>
      </c>
      <c r="U1077" s="21">
        <f>IFERROR(Calc!U176,"")</f>
        <v/>
      </c>
      <c r="V1077" s="21">
        <f>IFERROR(Calc!V176,"")</f>
        <v/>
      </c>
      <c r="W1077" s="5" t="n"/>
      <c r="X1077" s="5" t="n"/>
      <c r="Y1077" s="5" t="n"/>
      <c r="Z1077" s="5" t="n"/>
      <c r="AA1077" s="5" t="n"/>
      <c r="AB1077" s="5" t="n"/>
    </row>
    <row r="1078" ht="15.75" customHeight="1" s="79">
      <c r="A1078" s="5">
        <f>IFERROR(Calc!$A$177,"")</f>
        <v/>
      </c>
      <c r="B1078" s="20">
        <f>IFERROR(Calc!B177,"")</f>
        <v/>
      </c>
      <c r="C1078" s="20">
        <f>IFERROR(Calc!C177,"")</f>
        <v/>
      </c>
      <c r="D1078" s="20">
        <f>IFERROR(Calc!D177,"")</f>
        <v/>
      </c>
      <c r="E1078" s="20">
        <f>IFERROR(Calc!E177,"")</f>
        <v/>
      </c>
      <c r="F1078" s="20">
        <f>IFERROR(Calc!F177,"")</f>
        <v/>
      </c>
      <c r="G1078" s="21">
        <f>IFERROR(Calc!G177,"")</f>
        <v/>
      </c>
      <c r="H1078" s="21">
        <f>IFERROR(Calc!H177,"")</f>
        <v/>
      </c>
      <c r="I1078" s="21">
        <f>IFERROR(Calc!I177,"")</f>
        <v/>
      </c>
      <c r="J1078" s="17">
        <f>IFERROR(Calc!J177,"")</f>
        <v/>
      </c>
      <c r="K1078" s="21">
        <f>IFERROR(Calc!K177,"")</f>
        <v/>
      </c>
      <c r="L1078" s="20">
        <f>IFERROR(Calc!L177,"")</f>
        <v/>
      </c>
      <c r="M1078" s="17">
        <f>IFERROR(Calc!M177,"")</f>
        <v/>
      </c>
      <c r="N1078" s="17">
        <f>IFERROR(Calc!N177,"")</f>
        <v/>
      </c>
      <c r="O1078" s="17">
        <f>IFERROR(Calc!O177,"")</f>
        <v/>
      </c>
      <c r="P1078" s="17">
        <f>IFERROR(Calc!P177,"")</f>
        <v/>
      </c>
      <c r="Q1078" s="21">
        <f>IFERROR(Calc!Q177,"")</f>
        <v/>
      </c>
      <c r="R1078" s="21">
        <f>IFERROR(Calc!R177,"")</f>
        <v/>
      </c>
      <c r="S1078" s="21">
        <f>IFERROR(Calc!S177,"")</f>
        <v/>
      </c>
      <c r="T1078" s="21">
        <f>IFERROR(Calc!T177,"")</f>
        <v/>
      </c>
      <c r="U1078" s="21">
        <f>IFERROR(Calc!U177,"")</f>
        <v/>
      </c>
      <c r="V1078" s="21">
        <f>IFERROR(Calc!V177,"")</f>
        <v/>
      </c>
      <c r="W1078" s="5" t="n"/>
      <c r="X1078" s="5" t="n"/>
      <c r="Y1078" s="5" t="n"/>
      <c r="Z1078" s="5" t="n"/>
      <c r="AA1078" s="5" t="n"/>
      <c r="AB1078" s="5" t="n"/>
    </row>
    <row r="1079" ht="15.75" customHeight="1" s="79">
      <c r="A1079" s="5">
        <f>IFERROR(Calc!$A$178,"")</f>
        <v/>
      </c>
      <c r="B1079" s="20">
        <f>IFERROR(Calc!B178,"")</f>
        <v/>
      </c>
      <c r="C1079" s="20">
        <f>IFERROR(Calc!C178,"")</f>
        <v/>
      </c>
      <c r="D1079" s="20">
        <f>IFERROR(Calc!D178,"")</f>
        <v/>
      </c>
      <c r="E1079" s="20">
        <f>IFERROR(Calc!E178,"")</f>
        <v/>
      </c>
      <c r="F1079" s="20">
        <f>IFERROR(Calc!F178,"")</f>
        <v/>
      </c>
      <c r="G1079" s="21">
        <f>IFERROR(Calc!G178,"")</f>
        <v/>
      </c>
      <c r="H1079" s="21">
        <f>IFERROR(Calc!H178,"")</f>
        <v/>
      </c>
      <c r="I1079" s="21">
        <f>IFERROR(Calc!I178,"")</f>
        <v/>
      </c>
      <c r="J1079" s="17">
        <f>IFERROR(Calc!J178,"")</f>
        <v/>
      </c>
      <c r="K1079" s="21">
        <f>IFERROR(Calc!K178,"")</f>
        <v/>
      </c>
      <c r="L1079" s="20">
        <f>IFERROR(Calc!L178,"")</f>
        <v/>
      </c>
      <c r="M1079" s="17">
        <f>IFERROR(Calc!M178,"")</f>
        <v/>
      </c>
      <c r="N1079" s="17">
        <f>IFERROR(Calc!N178,"")</f>
        <v/>
      </c>
      <c r="O1079" s="17">
        <f>IFERROR(Calc!O178,"")</f>
        <v/>
      </c>
      <c r="P1079" s="17">
        <f>IFERROR(Calc!P178,"")</f>
        <v/>
      </c>
      <c r="Q1079" s="21">
        <f>IFERROR(Calc!Q178,"")</f>
        <v/>
      </c>
      <c r="R1079" s="21">
        <f>IFERROR(Calc!R178,"")</f>
        <v/>
      </c>
      <c r="S1079" s="21">
        <f>IFERROR(Calc!S178,"")</f>
        <v/>
      </c>
      <c r="T1079" s="21">
        <f>IFERROR(Calc!T178,"")</f>
        <v/>
      </c>
      <c r="U1079" s="21">
        <f>IFERROR(Calc!U178,"")</f>
        <v/>
      </c>
      <c r="V1079" s="21">
        <f>IFERROR(Calc!V178,"")</f>
        <v/>
      </c>
      <c r="W1079" s="5" t="n"/>
      <c r="X1079" s="5" t="n"/>
      <c r="Y1079" s="5" t="n"/>
      <c r="Z1079" s="5" t="n"/>
      <c r="AA1079" s="5" t="n"/>
      <c r="AB1079" s="5" t="n"/>
    </row>
    <row r="1080" ht="15.75" customHeight="1" s="79">
      <c r="A1080" s="5">
        <f>IFERROR(Calc!$A$179,"")</f>
        <v/>
      </c>
      <c r="B1080" s="20">
        <f>IFERROR(Calc!B179,"")</f>
        <v/>
      </c>
      <c r="C1080" s="20">
        <f>IFERROR(Calc!C179,"")</f>
        <v/>
      </c>
      <c r="D1080" s="20">
        <f>IFERROR(Calc!D179,"")</f>
        <v/>
      </c>
      <c r="E1080" s="20">
        <f>IFERROR(Calc!E179,"")</f>
        <v/>
      </c>
      <c r="F1080" s="20">
        <f>IFERROR(Calc!F179,"")</f>
        <v/>
      </c>
      <c r="G1080" s="21">
        <f>IFERROR(Calc!G179,"")</f>
        <v/>
      </c>
      <c r="H1080" s="21">
        <f>IFERROR(Calc!H179,"")</f>
        <v/>
      </c>
      <c r="I1080" s="21">
        <f>IFERROR(Calc!I179,"")</f>
        <v/>
      </c>
      <c r="J1080" s="17">
        <f>IFERROR(Calc!J179,"")</f>
        <v/>
      </c>
      <c r="K1080" s="21">
        <f>IFERROR(Calc!K179,"")</f>
        <v/>
      </c>
      <c r="L1080" s="20">
        <f>IFERROR(Calc!L179,"")</f>
        <v/>
      </c>
      <c r="M1080" s="17">
        <f>IFERROR(Calc!M179,"")</f>
        <v/>
      </c>
      <c r="N1080" s="17">
        <f>IFERROR(Calc!N179,"")</f>
        <v/>
      </c>
      <c r="O1080" s="17">
        <f>IFERROR(Calc!O179,"")</f>
        <v/>
      </c>
      <c r="P1080" s="17">
        <f>IFERROR(Calc!P179,"")</f>
        <v/>
      </c>
      <c r="Q1080" s="21">
        <f>IFERROR(Calc!Q179,"")</f>
        <v/>
      </c>
      <c r="R1080" s="21">
        <f>IFERROR(Calc!R179,"")</f>
        <v/>
      </c>
      <c r="S1080" s="21">
        <f>IFERROR(Calc!S179,"")</f>
        <v/>
      </c>
      <c r="T1080" s="21">
        <f>IFERROR(Calc!T179,"")</f>
        <v/>
      </c>
      <c r="U1080" s="21">
        <f>IFERROR(Calc!U179,"")</f>
        <v/>
      </c>
      <c r="V1080" s="21">
        <f>IFERROR(Calc!V179,"")</f>
        <v/>
      </c>
      <c r="W1080" s="5" t="n"/>
      <c r="X1080" s="5" t="n"/>
      <c r="Y1080" s="5" t="n"/>
      <c r="Z1080" s="5" t="n"/>
      <c r="AA1080" s="5" t="n"/>
      <c r="AB1080" s="5" t="n"/>
    </row>
    <row r="1081" ht="15.75" customHeight="1" s="79">
      <c r="A1081" s="5">
        <f>IFERROR(Calc!$A$180,"")</f>
        <v/>
      </c>
      <c r="B1081" s="20">
        <f>IFERROR(Calc!B180,"")</f>
        <v/>
      </c>
      <c r="C1081" s="20">
        <f>IFERROR(Calc!C180,"")</f>
        <v/>
      </c>
      <c r="D1081" s="20">
        <f>IFERROR(Calc!D180,"")</f>
        <v/>
      </c>
      <c r="E1081" s="20">
        <f>IFERROR(Calc!E180,"")</f>
        <v/>
      </c>
      <c r="F1081" s="20">
        <f>IFERROR(Calc!F180,"")</f>
        <v/>
      </c>
      <c r="G1081" s="21">
        <f>IFERROR(Calc!G180,"")</f>
        <v/>
      </c>
      <c r="H1081" s="21">
        <f>IFERROR(Calc!H180,"")</f>
        <v/>
      </c>
      <c r="I1081" s="21">
        <f>IFERROR(Calc!I180,"")</f>
        <v/>
      </c>
      <c r="J1081" s="17">
        <f>IFERROR(Calc!J180,"")</f>
        <v/>
      </c>
      <c r="K1081" s="21">
        <f>IFERROR(Calc!K180,"")</f>
        <v/>
      </c>
      <c r="L1081" s="20">
        <f>IFERROR(Calc!L180,"")</f>
        <v/>
      </c>
      <c r="M1081" s="17">
        <f>IFERROR(Calc!M180,"")</f>
        <v/>
      </c>
      <c r="N1081" s="17">
        <f>IFERROR(Calc!N180,"")</f>
        <v/>
      </c>
      <c r="O1081" s="17">
        <f>IFERROR(Calc!O180,"")</f>
        <v/>
      </c>
      <c r="P1081" s="17">
        <f>IFERROR(Calc!P180,"")</f>
        <v/>
      </c>
      <c r="Q1081" s="21">
        <f>IFERROR(Calc!Q180,"")</f>
        <v/>
      </c>
      <c r="R1081" s="21">
        <f>IFERROR(Calc!R180,"")</f>
        <v/>
      </c>
      <c r="S1081" s="21">
        <f>IFERROR(Calc!S180,"")</f>
        <v/>
      </c>
      <c r="T1081" s="21">
        <f>IFERROR(Calc!T180,"")</f>
        <v/>
      </c>
      <c r="U1081" s="21">
        <f>IFERROR(Calc!U180,"")</f>
        <v/>
      </c>
      <c r="V1081" s="21">
        <f>IFERROR(Calc!V180,"")</f>
        <v/>
      </c>
      <c r="W1081" s="5" t="n"/>
      <c r="X1081" s="5" t="n"/>
      <c r="Y1081" s="5" t="n"/>
      <c r="Z1081" s="5" t="n"/>
      <c r="AA1081" s="5" t="n"/>
      <c r="AB1081" s="5" t="n"/>
    </row>
    <row r="1082" ht="15.75" customHeight="1" s="79">
      <c r="A1082" s="5">
        <f>IFERROR(Calc!$A$181,"")</f>
        <v/>
      </c>
      <c r="B1082" s="20">
        <f>IFERROR(Calc!B181,"")</f>
        <v/>
      </c>
      <c r="C1082" s="20">
        <f>IFERROR(Calc!C181,"")</f>
        <v/>
      </c>
      <c r="D1082" s="20">
        <f>IFERROR(Calc!D181,"")</f>
        <v/>
      </c>
      <c r="E1082" s="20">
        <f>IFERROR(Calc!E181,"")</f>
        <v/>
      </c>
      <c r="F1082" s="20">
        <f>IFERROR(Calc!F181,"")</f>
        <v/>
      </c>
      <c r="G1082" s="21">
        <f>IFERROR(Calc!G181,"")</f>
        <v/>
      </c>
      <c r="H1082" s="21">
        <f>IFERROR(Calc!H181,"")</f>
        <v/>
      </c>
      <c r="I1082" s="21">
        <f>IFERROR(Calc!I181,"")</f>
        <v/>
      </c>
      <c r="J1082" s="17">
        <f>IFERROR(Calc!J181,"")</f>
        <v/>
      </c>
      <c r="K1082" s="21">
        <f>IFERROR(Calc!K181,"")</f>
        <v/>
      </c>
      <c r="L1082" s="20">
        <f>IFERROR(Calc!L181,"")</f>
        <v/>
      </c>
      <c r="M1082" s="17">
        <f>IFERROR(Calc!M181,"")</f>
        <v/>
      </c>
      <c r="N1082" s="17">
        <f>IFERROR(Calc!N181,"")</f>
        <v/>
      </c>
      <c r="O1082" s="17">
        <f>IFERROR(Calc!O181,"")</f>
        <v/>
      </c>
      <c r="P1082" s="17">
        <f>IFERROR(Calc!P181,"")</f>
        <v/>
      </c>
      <c r="Q1082" s="21">
        <f>IFERROR(Calc!Q181,"")</f>
        <v/>
      </c>
      <c r="R1082" s="21">
        <f>IFERROR(Calc!R181,"")</f>
        <v/>
      </c>
      <c r="S1082" s="21">
        <f>IFERROR(Calc!S181,"")</f>
        <v/>
      </c>
      <c r="T1082" s="21">
        <f>IFERROR(Calc!T181,"")</f>
        <v/>
      </c>
      <c r="U1082" s="21">
        <f>IFERROR(Calc!U181,"")</f>
        <v/>
      </c>
      <c r="V1082" s="21">
        <f>IFERROR(Calc!V181,"")</f>
        <v/>
      </c>
      <c r="W1082" s="5" t="n"/>
      <c r="X1082" s="5" t="n"/>
      <c r="Y1082" s="5" t="n"/>
      <c r="Z1082" s="5" t="n"/>
      <c r="AA1082" s="5" t="n"/>
      <c r="AB1082" s="5" t="n"/>
    </row>
    <row r="1083" ht="15.75" customHeight="1" s="79">
      <c r="A1083" s="5">
        <f>IFERROR(Calc!$A$182,"")</f>
        <v/>
      </c>
      <c r="B1083" s="20">
        <f>IFERROR(Calc!B182,"")</f>
        <v/>
      </c>
      <c r="C1083" s="20">
        <f>IFERROR(Calc!C182,"")</f>
        <v/>
      </c>
      <c r="D1083" s="20">
        <f>IFERROR(Calc!D182,"")</f>
        <v/>
      </c>
      <c r="E1083" s="20">
        <f>IFERROR(Calc!E182,"")</f>
        <v/>
      </c>
      <c r="F1083" s="20">
        <f>IFERROR(Calc!F182,"")</f>
        <v/>
      </c>
      <c r="G1083" s="21">
        <f>IFERROR(Calc!G182,"")</f>
        <v/>
      </c>
      <c r="H1083" s="21">
        <f>IFERROR(Calc!H182,"")</f>
        <v/>
      </c>
      <c r="I1083" s="21">
        <f>IFERROR(Calc!I182,"")</f>
        <v/>
      </c>
      <c r="J1083" s="17">
        <f>IFERROR(Calc!J182,"")</f>
        <v/>
      </c>
      <c r="K1083" s="21">
        <f>IFERROR(Calc!K182,"")</f>
        <v/>
      </c>
      <c r="L1083" s="20">
        <f>IFERROR(Calc!L182,"")</f>
        <v/>
      </c>
      <c r="M1083" s="17">
        <f>IFERROR(Calc!M182,"")</f>
        <v/>
      </c>
      <c r="N1083" s="17">
        <f>IFERROR(Calc!N182,"")</f>
        <v/>
      </c>
      <c r="O1083" s="17">
        <f>IFERROR(Calc!O182,"")</f>
        <v/>
      </c>
      <c r="P1083" s="17">
        <f>IFERROR(Calc!P182,"")</f>
        <v/>
      </c>
      <c r="Q1083" s="21">
        <f>IFERROR(Calc!Q182,"")</f>
        <v/>
      </c>
      <c r="R1083" s="21">
        <f>IFERROR(Calc!R182,"")</f>
        <v/>
      </c>
      <c r="S1083" s="21">
        <f>IFERROR(Calc!S182,"")</f>
        <v/>
      </c>
      <c r="T1083" s="21">
        <f>IFERROR(Calc!T182,"")</f>
        <v/>
      </c>
      <c r="U1083" s="21">
        <f>IFERROR(Calc!U182,"")</f>
        <v/>
      </c>
      <c r="V1083" s="21">
        <f>IFERROR(Calc!V182,"")</f>
        <v/>
      </c>
      <c r="W1083" s="5" t="n"/>
      <c r="X1083" s="5" t="n"/>
      <c r="Y1083" s="5" t="n"/>
      <c r="Z1083" s="5" t="n"/>
      <c r="AA1083" s="5" t="n"/>
      <c r="AB1083" s="5" t="n"/>
    </row>
    <row r="1084" ht="15.75" customHeight="1" s="79">
      <c r="A1084" s="5">
        <f>IFERROR(Calc!$A$183,"")</f>
        <v/>
      </c>
      <c r="B1084" s="20">
        <f>IFERROR(Calc!B183,"")</f>
        <v/>
      </c>
      <c r="C1084" s="20">
        <f>IFERROR(Calc!C183,"")</f>
        <v/>
      </c>
      <c r="D1084" s="20">
        <f>IFERROR(Calc!D183,"")</f>
        <v/>
      </c>
      <c r="E1084" s="20">
        <f>IFERROR(Calc!E183,"")</f>
        <v/>
      </c>
      <c r="F1084" s="20">
        <f>IFERROR(Calc!F183,"")</f>
        <v/>
      </c>
      <c r="G1084" s="21">
        <f>IFERROR(Calc!G183,"")</f>
        <v/>
      </c>
      <c r="H1084" s="21">
        <f>IFERROR(Calc!H183,"")</f>
        <v/>
      </c>
      <c r="I1084" s="21">
        <f>IFERROR(Calc!I183,"")</f>
        <v/>
      </c>
      <c r="J1084" s="17">
        <f>IFERROR(Calc!J183,"")</f>
        <v/>
      </c>
      <c r="K1084" s="21">
        <f>IFERROR(Calc!K183,"")</f>
        <v/>
      </c>
      <c r="L1084" s="20">
        <f>IFERROR(Calc!L183,"")</f>
        <v/>
      </c>
      <c r="M1084" s="17">
        <f>IFERROR(Calc!M183,"")</f>
        <v/>
      </c>
      <c r="N1084" s="17">
        <f>IFERROR(Calc!N183,"")</f>
        <v/>
      </c>
      <c r="O1084" s="17">
        <f>IFERROR(Calc!O183,"")</f>
        <v/>
      </c>
      <c r="P1084" s="17">
        <f>IFERROR(Calc!P183,"")</f>
        <v/>
      </c>
      <c r="Q1084" s="21">
        <f>IFERROR(Calc!Q183,"")</f>
        <v/>
      </c>
      <c r="R1084" s="21">
        <f>IFERROR(Calc!R183,"")</f>
        <v/>
      </c>
      <c r="S1084" s="21">
        <f>IFERROR(Calc!S183,"")</f>
        <v/>
      </c>
      <c r="T1084" s="21">
        <f>IFERROR(Calc!T183,"")</f>
        <v/>
      </c>
      <c r="U1084" s="21">
        <f>IFERROR(Calc!U183,"")</f>
        <v/>
      </c>
      <c r="V1084" s="21">
        <f>IFERROR(Calc!V183,"")</f>
        <v/>
      </c>
      <c r="W1084" s="5" t="n"/>
      <c r="X1084" s="5" t="n"/>
      <c r="Y1084" s="5" t="n"/>
      <c r="Z1084" s="5" t="n"/>
      <c r="AA1084" s="5" t="n"/>
      <c r="AB1084" s="5" t="n"/>
    </row>
    <row r="1085" ht="15.75" customHeight="1" s="79">
      <c r="A1085" s="5" t="n"/>
      <c r="B1085" s="5" t="n"/>
      <c r="C1085" s="5" t="n"/>
      <c r="D1085" s="5" t="n"/>
      <c r="E1085" s="5" t="n"/>
      <c r="F1085" s="5" t="n"/>
      <c r="G1085" s="5" t="n"/>
      <c r="H1085" s="5" t="n"/>
      <c r="I1085" s="5" t="n"/>
      <c r="J1085" s="5" t="n"/>
      <c r="K1085" s="5" t="n"/>
      <c r="L1085" s="5" t="n"/>
      <c r="M1085" s="5" t="n"/>
      <c r="N1085" s="5" t="n"/>
      <c r="O1085" s="5" t="n"/>
      <c r="P1085" s="5" t="n"/>
      <c r="Q1085" s="5" t="n"/>
      <c r="R1085" s="5" t="n"/>
      <c r="S1085" s="5" t="n"/>
      <c r="T1085" s="5" t="n"/>
      <c r="U1085" s="5" t="n"/>
      <c r="V1085" s="5" t="n"/>
      <c r="W1085" s="5" t="n"/>
      <c r="X1085" s="5" t="n"/>
      <c r="Y1085" s="5" t="n"/>
      <c r="Z1085" s="5" t="n"/>
      <c r="AA1085" s="5" t="n"/>
      <c r="AB1085" s="5" t="n"/>
    </row>
    <row r="1086" ht="15.75" customHeight="1" s="79">
      <c r="A1086" s="5" t="n"/>
      <c r="B1086" s="5" t="n"/>
      <c r="C1086" s="5" t="n"/>
      <c r="D1086" s="5" t="n"/>
      <c r="E1086" s="5" t="n"/>
      <c r="F1086" s="5" t="n"/>
      <c r="G1086" s="5" t="n"/>
      <c r="H1086" s="5" t="n"/>
      <c r="I1086" s="5" t="n"/>
      <c r="J1086" s="5" t="n"/>
      <c r="K1086" s="5" t="n"/>
      <c r="L1086" s="5" t="n"/>
      <c r="M1086" s="5" t="n"/>
      <c r="N1086" s="5" t="n"/>
      <c r="O1086" s="5" t="n"/>
      <c r="P1086" s="5" t="n"/>
      <c r="Q1086" s="5" t="n"/>
      <c r="R1086" s="5" t="n"/>
      <c r="S1086" s="5" t="n"/>
      <c r="T1086" s="5" t="n"/>
      <c r="U1086" s="5" t="n"/>
      <c r="V1086" s="5" t="n"/>
      <c r="W1086" s="5" t="n"/>
      <c r="X1086" s="5" t="n"/>
      <c r="Y1086" s="5" t="n"/>
      <c r="Z1086" s="5" t="n"/>
      <c r="AA1086" s="5" t="n"/>
      <c r="AB1086" s="5" t="n"/>
    </row>
    <row r="1087" ht="15.75" customHeight="1" s="79">
      <c r="A1087" s="5" t="n"/>
      <c r="B1087" s="5" t="n"/>
      <c r="C1087" s="5" t="n"/>
      <c r="D1087" s="5" t="n"/>
      <c r="E1087" s="5" t="n"/>
      <c r="F1087" s="5" t="n"/>
      <c r="G1087" s="5" t="n"/>
      <c r="H1087" s="5" t="n"/>
      <c r="I1087" s="5" t="n"/>
      <c r="J1087" s="5" t="n"/>
      <c r="K1087" s="5" t="n"/>
      <c r="L1087" s="5" t="n"/>
      <c r="M1087" s="5" t="n"/>
      <c r="N1087" s="5" t="n"/>
      <c r="O1087" s="5" t="n"/>
      <c r="P1087" s="5" t="n"/>
      <c r="Q1087" s="5" t="n"/>
      <c r="R1087" s="5" t="n"/>
      <c r="S1087" s="5" t="n"/>
      <c r="T1087" s="5" t="n"/>
      <c r="U1087" s="5" t="n"/>
      <c r="V1087" s="5" t="n"/>
      <c r="W1087" s="5" t="n"/>
      <c r="X1087" s="5" t="n"/>
      <c r="Y1087" s="5" t="n"/>
      <c r="Z1087" s="5" t="n"/>
      <c r="AA1087" s="5" t="n"/>
      <c r="AB1087" s="5" t="n"/>
    </row>
    <row r="1088" ht="15.75" customHeight="1" s="79">
      <c r="A1088" s="43" t="inlineStr">
        <is>
          <t>FUNDING QUARTER</t>
        </is>
      </c>
      <c r="B1088" s="5" t="n"/>
      <c r="C1088" s="5" t="n"/>
      <c r="D1088" s="5" t="n"/>
      <c r="E1088" s="5" t="n"/>
      <c r="F1088" s="5" t="n"/>
      <c r="G1088" s="5" t="n"/>
      <c r="H1088" s="5" t="n"/>
      <c r="I1088" s="5" t="n"/>
      <c r="J1088" s="5" t="n"/>
      <c r="K1088" s="5" t="n"/>
      <c r="L1088" s="5" t="n"/>
      <c r="M1088" s="5" t="n"/>
      <c r="N1088" s="5" t="n"/>
      <c r="O1088" s="5" t="n"/>
      <c r="P1088" s="5" t="n"/>
      <c r="Q1088" s="5" t="n"/>
      <c r="R1088" s="5" t="n"/>
      <c r="S1088" s="5" t="n"/>
      <c r="T1088" s="5" t="n"/>
      <c r="U1088" s="5" t="n"/>
      <c r="V1088" s="5" t="n"/>
      <c r="W1088" s="5" t="n"/>
      <c r="X1088" s="5" t="n"/>
      <c r="Y1088" s="5" t="n"/>
      <c r="Z1088" s="5" t="n"/>
      <c r="AA1088" s="5" t="n"/>
      <c r="AB1088" s="5" t="n"/>
    </row>
    <row r="1089" ht="66" customHeight="1" s="79">
      <c r="A1089" s="72" t="n"/>
      <c r="AB1089" s="5" t="n"/>
    </row>
    <row r="1090" ht="15.75" customHeight="1" s="79">
      <c r="A1090" s="5" t="n"/>
      <c r="B1090" s="5" t="n"/>
      <c r="C1090" s="5" t="n"/>
      <c r="D1090" s="5" t="n"/>
      <c r="E1090" s="5" t="n"/>
      <c r="F1090" s="5" t="n"/>
      <c r="G1090" s="5" t="n"/>
      <c r="H1090" s="5" t="n"/>
      <c r="I1090" s="5" t="n"/>
      <c r="J1090" s="5" t="n"/>
      <c r="K1090" s="5" t="n"/>
      <c r="L1090" s="5" t="n"/>
      <c r="M1090" s="5" t="n"/>
      <c r="N1090" s="5" t="n"/>
      <c r="O1090" s="5" t="n"/>
      <c r="P1090" s="5" t="n"/>
      <c r="Q1090" s="5" t="n"/>
      <c r="R1090" s="5" t="n"/>
      <c r="S1090" s="5" t="n"/>
      <c r="T1090" s="5" t="n"/>
      <c r="U1090" s="5" t="n"/>
      <c r="V1090" s="5" t="n"/>
      <c r="W1090" s="5" t="n"/>
      <c r="X1090" s="5" t="n"/>
      <c r="Y1090" s="5" t="n"/>
      <c r="Z1090" s="5" t="n"/>
      <c r="AA1090" s="5" t="n"/>
      <c r="AB1090" s="5" t="n"/>
    </row>
    <row r="1091" ht="15.75" customHeight="1" s="79">
      <c r="A1091" s="5" t="n"/>
      <c r="B1091" s="5" t="n"/>
      <c r="C1091" s="5" t="n"/>
      <c r="D1091" s="5" t="n"/>
      <c r="E1091" s="5" t="n"/>
      <c r="F1091" s="5" t="n"/>
      <c r="G1091" s="5" t="n"/>
      <c r="H1091" s="5" t="n"/>
      <c r="I1091" s="5" t="n"/>
      <c r="J1091" s="5" t="n"/>
      <c r="K1091" s="5" t="n"/>
      <c r="L1091" s="5" t="n"/>
      <c r="M1091" s="5" t="n"/>
      <c r="N1091" s="5" t="n"/>
      <c r="O1091" s="5" t="n"/>
      <c r="P1091" s="5" t="n"/>
      <c r="Q1091" s="5" t="n"/>
      <c r="R1091" s="5" t="n"/>
      <c r="S1091" s="5" t="n"/>
      <c r="T1091" s="5" t="n"/>
      <c r="U1091" s="5" t="n"/>
      <c r="V1091" s="5" t="n"/>
      <c r="W1091" s="5" t="n"/>
      <c r="X1091" s="5" t="n"/>
      <c r="Y1091" s="5" t="n"/>
      <c r="Z1091" s="5" t="n"/>
      <c r="AA1091" s="5" t="n"/>
      <c r="AB1091" s="5" t="n"/>
    </row>
    <row r="1092" ht="15.75" customHeight="1" s="79">
      <c r="A1092" s="5" t="n"/>
      <c r="B1092" s="5" t="n"/>
      <c r="C1092" s="5" t="n"/>
      <c r="D1092" s="5" t="n"/>
      <c r="E1092" s="5" t="n"/>
      <c r="F1092" s="5" t="n"/>
      <c r="G1092" s="5" t="n"/>
      <c r="H1092" s="5" t="n"/>
      <c r="I1092" s="5" t="n"/>
      <c r="J1092" s="5" t="n"/>
      <c r="K1092" s="5" t="n"/>
      <c r="L1092" s="5" t="n"/>
      <c r="M1092" s="5" t="n"/>
      <c r="N1092" s="5" t="n"/>
      <c r="O1092" s="5" t="n"/>
      <c r="P1092" s="5" t="n"/>
      <c r="Q1092" s="5" t="n"/>
      <c r="R1092" s="5" t="n"/>
      <c r="S1092" s="5" t="n"/>
      <c r="T1092" s="5" t="n"/>
      <c r="U1092" s="5" t="n"/>
      <c r="V1092" s="5" t="n"/>
      <c r="W1092" s="5" t="n"/>
      <c r="X1092" s="5" t="n"/>
      <c r="Y1092" s="5" t="n"/>
      <c r="Z1092" s="5" t="n"/>
      <c r="AA1092" s="5" t="n"/>
      <c r="AB1092" s="5" t="n"/>
    </row>
    <row r="1093" ht="15.75" customHeight="1" s="79">
      <c r="A1093" s="5" t="n"/>
      <c r="B1093" s="5" t="n"/>
      <c r="C1093" s="5" t="n"/>
      <c r="D1093" s="5" t="n"/>
      <c r="E1093" s="5" t="n"/>
      <c r="F1093" s="5" t="n"/>
      <c r="G1093" s="5" t="n"/>
      <c r="H1093" s="5" t="n"/>
      <c r="I1093" s="5" t="n"/>
      <c r="J1093" s="5" t="n"/>
      <c r="K1093" s="5" t="n"/>
      <c r="L1093" s="5" t="n"/>
      <c r="M1093" s="5" t="n"/>
      <c r="N1093" s="5" t="n"/>
      <c r="O1093" s="5" t="n"/>
      <c r="P1093" s="5" t="n"/>
      <c r="Q1093" s="5" t="n"/>
      <c r="R1093" s="5" t="n"/>
      <c r="S1093" s="5" t="n"/>
      <c r="T1093" s="5" t="n"/>
      <c r="U1093" s="5" t="n"/>
      <c r="V1093" s="5" t="n"/>
      <c r="W1093" s="5" t="n"/>
      <c r="X1093" s="5" t="n"/>
      <c r="Y1093" s="5" t="n"/>
      <c r="Z1093" s="5" t="n"/>
      <c r="AA1093" s="5" t="n"/>
      <c r="AB1093" s="5" t="n"/>
    </row>
    <row r="1094" ht="15.75" customHeight="1" s="79">
      <c r="A1094" s="5" t="n"/>
      <c r="B1094" s="5" t="n"/>
      <c r="C1094" s="5" t="n"/>
      <c r="D1094" s="5" t="n"/>
      <c r="E1094" s="5" t="n"/>
      <c r="F1094" s="5" t="n"/>
      <c r="G1094" s="5" t="n"/>
      <c r="H1094" s="5" t="n"/>
      <c r="I1094" s="5" t="n"/>
      <c r="J1094" s="5" t="n"/>
      <c r="K1094" s="5" t="n"/>
      <c r="L1094" s="5" t="n"/>
      <c r="M1094" s="5" t="n"/>
      <c r="N1094" s="5" t="n"/>
      <c r="O1094" s="5" t="n"/>
      <c r="P1094" s="5" t="n"/>
      <c r="Q1094" s="5" t="n"/>
      <c r="R1094" s="5" t="n"/>
      <c r="S1094" s="5" t="n"/>
      <c r="T1094" s="5" t="n"/>
      <c r="U1094" s="5" t="n"/>
      <c r="V1094" s="5" t="n"/>
      <c r="W1094" s="5" t="n"/>
      <c r="X1094" s="5" t="n"/>
      <c r="Y1094" s="5" t="n"/>
      <c r="Z1094" s="5" t="n"/>
      <c r="AA1094" s="5" t="n"/>
      <c r="AB1094" s="5" t="n"/>
    </row>
    <row r="1095" ht="15.75" customHeight="1" s="79">
      <c r="A1095" s="5" t="n"/>
      <c r="B1095" s="5" t="n"/>
      <c r="C1095" s="5" t="n"/>
      <c r="D1095" s="5" t="n"/>
      <c r="E1095" s="5" t="n"/>
      <c r="F1095" s="5" t="n"/>
      <c r="G1095" s="5" t="n"/>
      <c r="H1095" s="5" t="n"/>
      <c r="I1095" s="5" t="n"/>
      <c r="J1095" s="5" t="n"/>
      <c r="K1095" s="5" t="n"/>
      <c r="L1095" s="5" t="n"/>
      <c r="M1095" s="5" t="n"/>
      <c r="N1095" s="5" t="n"/>
      <c r="O1095" s="5" t="n"/>
      <c r="P1095" s="5" t="n"/>
      <c r="Q1095" s="5" t="n"/>
      <c r="R1095" s="5" t="n"/>
      <c r="S1095" s="5" t="n"/>
      <c r="T1095" s="5" t="n"/>
      <c r="U1095" s="5" t="n"/>
      <c r="V1095" s="5" t="n"/>
      <c r="W1095" s="5" t="n"/>
      <c r="X1095" s="5" t="n"/>
      <c r="Y1095" s="5" t="n"/>
      <c r="Z1095" s="5" t="n"/>
      <c r="AA1095" s="5" t="n"/>
      <c r="AB1095" s="5" t="n"/>
    </row>
    <row r="1096" ht="15.75" customHeight="1" s="79">
      <c r="A1096" s="5" t="n"/>
      <c r="B1096" s="5" t="n"/>
      <c r="C1096" s="5" t="n"/>
      <c r="D1096" s="5" t="n"/>
      <c r="E1096" s="5" t="n"/>
      <c r="F1096" s="5" t="n"/>
      <c r="G1096" s="5" t="n"/>
      <c r="H1096" s="5" t="n"/>
      <c r="I1096" s="5" t="n"/>
      <c r="J1096" s="5" t="n"/>
      <c r="K1096" s="5" t="n"/>
      <c r="L1096" s="5" t="n"/>
      <c r="M1096" s="5" t="n"/>
      <c r="N1096" s="5" t="n"/>
      <c r="O1096" s="5" t="n"/>
      <c r="P1096" s="5" t="n"/>
      <c r="Q1096" s="5" t="n"/>
      <c r="R1096" s="5" t="n"/>
      <c r="S1096" s="5" t="n"/>
      <c r="T1096" s="5" t="n"/>
      <c r="U1096" s="5" t="n"/>
      <c r="V1096" s="5" t="n"/>
      <c r="W1096" s="5" t="n"/>
      <c r="X1096" s="5" t="n"/>
      <c r="Y1096" s="5" t="n"/>
      <c r="Z1096" s="5" t="n"/>
      <c r="AA1096" s="5" t="n"/>
      <c r="AB1096" s="5" t="n"/>
    </row>
    <row r="1097" ht="15.75" customHeight="1" s="79">
      <c r="A1097" s="5" t="n"/>
      <c r="B1097" s="5" t="n"/>
      <c r="C1097" s="5" t="n"/>
      <c r="D1097" s="5" t="n"/>
      <c r="E1097" s="5" t="n"/>
      <c r="F1097" s="5" t="n"/>
      <c r="G1097" s="5" t="n"/>
      <c r="H1097" s="5" t="n"/>
      <c r="I1097" s="5" t="n"/>
      <c r="J1097" s="5" t="n"/>
      <c r="K1097" s="5" t="n"/>
      <c r="L1097" s="5" t="n"/>
      <c r="M1097" s="5" t="n"/>
      <c r="N1097" s="5" t="n"/>
      <c r="O1097" s="5" t="n"/>
      <c r="P1097" s="5" t="n"/>
      <c r="Q1097" s="5" t="n"/>
      <c r="R1097" s="5" t="n"/>
      <c r="S1097" s="5" t="n"/>
      <c r="T1097" s="5" t="n"/>
      <c r="U1097" s="5" t="n"/>
      <c r="V1097" s="5" t="n"/>
      <c r="W1097" s="5" t="n"/>
      <c r="X1097" s="5" t="n"/>
      <c r="Y1097" s="5" t="n"/>
      <c r="Z1097" s="5" t="n"/>
      <c r="AA1097" s="5" t="n"/>
      <c r="AB1097" s="5" t="n"/>
    </row>
    <row r="1098" ht="15.75" customHeight="1" s="79">
      <c r="A1098" s="5" t="n"/>
      <c r="B1098" s="5" t="n"/>
      <c r="C1098" s="5" t="n"/>
      <c r="D1098" s="5" t="n"/>
      <c r="E1098" s="5" t="n"/>
      <c r="F1098" s="5" t="n"/>
      <c r="G1098" s="5" t="n"/>
      <c r="H1098" s="5" t="n"/>
      <c r="I1098" s="5" t="n"/>
      <c r="J1098" s="5" t="n"/>
      <c r="K1098" s="5" t="n"/>
      <c r="L1098" s="5" t="n"/>
      <c r="M1098" s="5" t="n"/>
      <c r="N1098" s="5" t="n"/>
      <c r="O1098" s="5" t="n"/>
      <c r="P1098" s="5" t="n"/>
      <c r="Q1098" s="5" t="n"/>
      <c r="R1098" s="5" t="n"/>
      <c r="S1098" s="5" t="n"/>
      <c r="T1098" s="5" t="n"/>
      <c r="U1098" s="5" t="n"/>
      <c r="V1098" s="5" t="n"/>
      <c r="W1098" s="5" t="n"/>
      <c r="X1098" s="5" t="n"/>
      <c r="Y1098" s="5" t="n"/>
      <c r="Z1098" s="5" t="n"/>
      <c r="AA1098" s="5" t="n"/>
      <c r="AB1098" s="5" t="n"/>
    </row>
    <row r="1099" ht="15.75" customHeight="1" s="79">
      <c r="A1099" s="5" t="n"/>
      <c r="B1099" s="5" t="n"/>
      <c r="C1099" s="5" t="n"/>
      <c r="D1099" s="5" t="n"/>
      <c r="E1099" s="5" t="n"/>
      <c r="F1099" s="5" t="n"/>
      <c r="G1099" s="5" t="n"/>
      <c r="H1099" s="5" t="n"/>
      <c r="I1099" s="5" t="n"/>
      <c r="J1099" s="5" t="n"/>
      <c r="K1099" s="5" t="n"/>
      <c r="L1099" s="5" t="n"/>
      <c r="M1099" s="5" t="n"/>
      <c r="N1099" s="5" t="n"/>
      <c r="O1099" s="5" t="n"/>
      <c r="P1099" s="5" t="n"/>
      <c r="Q1099" s="5" t="n"/>
      <c r="R1099" s="5" t="n"/>
      <c r="S1099" s="5" t="n"/>
      <c r="T1099" s="5" t="n"/>
      <c r="U1099" s="5" t="n"/>
      <c r="V1099" s="5" t="n"/>
      <c r="W1099" s="5" t="n"/>
      <c r="X1099" s="5" t="n"/>
      <c r="Y1099" s="5" t="n"/>
      <c r="Z1099" s="5" t="n"/>
      <c r="AA1099" s="5" t="n"/>
      <c r="AB1099" s="5" t="n"/>
    </row>
    <row r="1100" ht="15.75" customHeight="1" s="79">
      <c r="A1100" s="5" t="n"/>
      <c r="B1100" s="5" t="n"/>
      <c r="C1100" s="5" t="n"/>
      <c r="D1100" s="5" t="n"/>
      <c r="E1100" s="5" t="n"/>
      <c r="F1100" s="5" t="n"/>
      <c r="G1100" s="5" t="n"/>
      <c r="H1100" s="5" t="n"/>
      <c r="I1100" s="5" t="n"/>
      <c r="J1100" s="5" t="n"/>
      <c r="K1100" s="5" t="n"/>
      <c r="L1100" s="5" t="n"/>
      <c r="M1100" s="5" t="n"/>
      <c r="N1100" s="5" t="n"/>
      <c r="O1100" s="5" t="n"/>
      <c r="P1100" s="5" t="n"/>
      <c r="Q1100" s="5" t="n"/>
      <c r="R1100" s="5" t="n"/>
      <c r="S1100" s="5" t="n"/>
      <c r="T1100" s="5" t="n"/>
      <c r="U1100" s="5" t="n"/>
      <c r="V1100" s="5" t="n"/>
      <c r="W1100" s="5" t="n"/>
      <c r="X1100" s="5" t="n"/>
      <c r="Y1100" s="5" t="n"/>
      <c r="Z1100" s="5" t="n"/>
      <c r="AA1100" s="5" t="n"/>
      <c r="AB1100" s="5" t="n"/>
    </row>
    <row r="1101" ht="15.75" customHeight="1" s="79">
      <c r="A1101" s="5" t="n"/>
      <c r="B1101" s="5" t="n"/>
      <c r="C1101" s="5" t="n"/>
      <c r="D1101" s="5" t="n"/>
      <c r="E1101" s="5" t="n"/>
      <c r="F1101" s="5" t="n"/>
      <c r="G1101" s="5" t="n"/>
      <c r="H1101" s="5" t="n"/>
      <c r="I1101" s="5" t="n"/>
      <c r="J1101" s="5" t="n"/>
      <c r="K1101" s="5" t="n"/>
      <c r="L1101" s="5" t="n"/>
      <c r="M1101" s="5" t="n"/>
      <c r="N1101" s="5" t="n"/>
      <c r="O1101" s="5" t="n"/>
      <c r="P1101" s="5" t="n"/>
      <c r="Q1101" s="5" t="n"/>
      <c r="R1101" s="5" t="n"/>
      <c r="S1101" s="5" t="n"/>
      <c r="T1101" s="5" t="n"/>
      <c r="U1101" s="5" t="n"/>
      <c r="V1101" s="5" t="n"/>
      <c r="W1101" s="5" t="n"/>
      <c r="X1101" s="5" t="n"/>
      <c r="Y1101" s="5" t="n"/>
      <c r="Z1101" s="5" t="n"/>
      <c r="AA1101" s="5" t="n"/>
      <c r="AB1101" s="5" t="n"/>
    </row>
    <row r="1102" ht="15.75" customHeight="1" s="79">
      <c r="A1102" s="5" t="n"/>
      <c r="B1102" s="5" t="n"/>
      <c r="C1102" s="5" t="n"/>
      <c r="D1102" s="5" t="n"/>
      <c r="E1102" s="5" t="n"/>
      <c r="F1102" s="5" t="n"/>
      <c r="G1102" s="5" t="n"/>
      <c r="H1102" s="5" t="n"/>
      <c r="I1102" s="5" t="n"/>
      <c r="J1102" s="5" t="n"/>
      <c r="K1102" s="5" t="n"/>
      <c r="L1102" s="5" t="n"/>
      <c r="M1102" s="5" t="n"/>
      <c r="N1102" s="5" t="n"/>
      <c r="O1102" s="5" t="n"/>
      <c r="P1102" s="5" t="n"/>
      <c r="Q1102" s="5" t="n"/>
      <c r="R1102" s="5" t="n"/>
      <c r="S1102" s="5" t="n"/>
      <c r="T1102" s="5" t="n"/>
      <c r="U1102" s="5" t="n"/>
      <c r="V1102" s="5" t="n"/>
      <c r="W1102" s="5" t="n"/>
      <c r="X1102" s="5" t="n"/>
      <c r="Y1102" s="5" t="n"/>
      <c r="Z1102" s="5" t="n"/>
      <c r="AA1102" s="5" t="n"/>
      <c r="AB1102" s="5" t="n"/>
    </row>
    <row r="1103" ht="15.75" customHeight="1" s="79">
      <c r="A1103" s="5" t="n"/>
      <c r="B1103" s="5" t="n"/>
      <c r="C1103" s="5" t="n"/>
      <c r="D1103" s="5" t="n"/>
      <c r="E1103" s="5" t="n"/>
      <c r="F1103" s="5" t="n"/>
      <c r="G1103" s="5" t="n"/>
      <c r="H1103" s="5" t="n"/>
      <c r="I1103" s="5" t="n"/>
      <c r="J1103" s="5" t="n"/>
      <c r="K1103" s="5" t="n"/>
      <c r="L1103" s="5" t="n"/>
      <c r="M1103" s="5" t="n"/>
      <c r="N1103" s="5" t="n"/>
      <c r="O1103" s="5" t="n"/>
      <c r="P1103" s="5" t="n"/>
      <c r="Q1103" s="5" t="n"/>
      <c r="R1103" s="5" t="n"/>
      <c r="S1103" s="5" t="n"/>
      <c r="T1103" s="5" t="n"/>
      <c r="U1103" s="5" t="n"/>
      <c r="V1103" s="5" t="n"/>
      <c r="W1103" s="5" t="n"/>
      <c r="X1103" s="5" t="n"/>
      <c r="Y1103" s="5" t="n"/>
      <c r="Z1103" s="5" t="n"/>
      <c r="AA1103" s="5" t="n"/>
      <c r="AB1103" s="5" t="n"/>
    </row>
    <row r="1104" ht="15.75" customHeight="1" s="79">
      <c r="A1104" s="5" t="n"/>
      <c r="B1104" s="5" t="n"/>
      <c r="C1104" s="5" t="n"/>
      <c r="D1104" s="5" t="n"/>
      <c r="E1104" s="5" t="n"/>
      <c r="F1104" s="5" t="n"/>
      <c r="G1104" s="5" t="n"/>
      <c r="H1104" s="5" t="n"/>
      <c r="I1104" s="5" t="n"/>
      <c r="J1104" s="5" t="n"/>
      <c r="K1104" s="5" t="n"/>
      <c r="L1104" s="5" t="n"/>
      <c r="M1104" s="5" t="n"/>
      <c r="N1104" s="5" t="n"/>
      <c r="O1104" s="5" t="n"/>
      <c r="P1104" s="5" t="n"/>
      <c r="Q1104" s="5" t="n"/>
      <c r="R1104" s="5" t="n"/>
      <c r="S1104" s="5" t="n"/>
      <c r="T1104" s="5" t="n"/>
      <c r="U1104" s="5" t="n"/>
      <c r="V1104" s="5" t="n"/>
      <c r="W1104" s="5" t="n"/>
      <c r="X1104" s="5" t="n"/>
      <c r="Y1104" s="5" t="n"/>
      <c r="Z1104" s="5" t="n"/>
      <c r="AA1104" s="5" t="n"/>
      <c r="AB1104" s="5" t="n"/>
    </row>
    <row r="1105" ht="15.75" customHeight="1" s="79">
      <c r="A1105" s="5" t="n"/>
      <c r="B1105" s="5" t="n"/>
      <c r="C1105" s="5" t="n"/>
      <c r="D1105" s="5" t="n"/>
      <c r="E1105" s="5" t="n"/>
      <c r="F1105" s="5" t="n"/>
      <c r="G1105" s="5" t="n"/>
      <c r="H1105" s="5" t="n"/>
      <c r="I1105" s="5" t="n"/>
      <c r="J1105" s="5" t="n"/>
      <c r="K1105" s="5" t="n"/>
      <c r="L1105" s="5" t="n"/>
      <c r="M1105" s="5" t="n"/>
      <c r="N1105" s="5" t="n"/>
      <c r="O1105" s="5" t="n"/>
      <c r="P1105" s="5" t="n"/>
      <c r="Q1105" s="5" t="n"/>
      <c r="R1105" s="5" t="n"/>
      <c r="S1105" s="5" t="n"/>
      <c r="T1105" s="5" t="n"/>
      <c r="U1105" s="5" t="n"/>
      <c r="V1105" s="5" t="n"/>
      <c r="W1105" s="5" t="n"/>
      <c r="X1105" s="5" t="n"/>
      <c r="Y1105" s="5" t="n"/>
      <c r="Z1105" s="5" t="n"/>
      <c r="AA1105" s="5" t="n"/>
      <c r="AB1105" s="5" t="n"/>
    </row>
    <row r="1106" ht="15.75" customHeight="1" s="79">
      <c r="A1106" s="5" t="n"/>
      <c r="B1106" s="5" t="n"/>
      <c r="C1106" s="5" t="n"/>
      <c r="D1106" s="5" t="n"/>
      <c r="E1106" s="5" t="n"/>
      <c r="F1106" s="5" t="n"/>
      <c r="G1106" s="5" t="n"/>
      <c r="H1106" s="5" t="n"/>
      <c r="I1106" s="5" t="n"/>
      <c r="J1106" s="5" t="n"/>
      <c r="K1106" s="5" t="n"/>
      <c r="L1106" s="5" t="n"/>
      <c r="M1106" s="5" t="n"/>
      <c r="N1106" s="5" t="n"/>
      <c r="O1106" s="5" t="n"/>
      <c r="P1106" s="5" t="n"/>
      <c r="Q1106" s="5" t="n"/>
      <c r="R1106" s="5" t="n"/>
      <c r="S1106" s="5" t="n"/>
      <c r="T1106" s="5" t="n"/>
      <c r="U1106" s="5" t="n"/>
      <c r="V1106" s="5" t="n"/>
      <c r="W1106" s="5" t="n"/>
      <c r="X1106" s="5" t="n"/>
      <c r="Y1106" s="5" t="n"/>
      <c r="Z1106" s="5" t="n"/>
      <c r="AA1106" s="5" t="n"/>
      <c r="AB1106" s="5" t="n"/>
    </row>
    <row r="1107" ht="15.75" customHeight="1" s="79">
      <c r="A1107" s="5" t="n"/>
      <c r="B1107" s="5" t="n"/>
      <c r="C1107" s="5" t="n"/>
      <c r="D1107" s="5" t="n"/>
      <c r="E1107" s="5" t="n"/>
      <c r="F1107" s="5" t="n"/>
      <c r="G1107" s="5" t="n"/>
      <c r="H1107" s="5" t="n"/>
      <c r="I1107" s="5" t="n"/>
      <c r="J1107" s="5" t="n"/>
      <c r="K1107" s="5" t="n"/>
      <c r="L1107" s="5" t="n"/>
      <c r="M1107" s="5" t="n"/>
      <c r="N1107" s="5" t="n"/>
      <c r="O1107" s="5" t="n"/>
      <c r="P1107" s="5" t="n"/>
      <c r="Q1107" s="5" t="n"/>
      <c r="R1107" s="5" t="n"/>
      <c r="S1107" s="5" t="n"/>
      <c r="T1107" s="5" t="n"/>
      <c r="U1107" s="5" t="n"/>
      <c r="V1107" s="5" t="n"/>
      <c r="W1107" s="5" t="n"/>
      <c r="X1107" s="5" t="n"/>
      <c r="Y1107" s="5" t="n"/>
      <c r="Z1107" s="5" t="n"/>
      <c r="AA1107" s="5" t="n"/>
      <c r="AB1107" s="5" t="n"/>
    </row>
    <row r="1108" ht="15.75" customHeight="1" s="79">
      <c r="A1108" s="5" t="n"/>
      <c r="B1108" s="5" t="n"/>
      <c r="C1108" s="5" t="n"/>
      <c r="D1108" s="5" t="n"/>
      <c r="E1108" s="5" t="n"/>
      <c r="F1108" s="5" t="n"/>
      <c r="G1108" s="5" t="n"/>
      <c r="H1108" s="5" t="n"/>
      <c r="I1108" s="5" t="n"/>
      <c r="J1108" s="5" t="n"/>
      <c r="K1108" s="5" t="n"/>
      <c r="L1108" s="5" t="n"/>
      <c r="M1108" s="5" t="n"/>
      <c r="N1108" s="5" t="n"/>
      <c r="O1108" s="5" t="n"/>
      <c r="P1108" s="5" t="n"/>
      <c r="Q1108" s="5" t="n"/>
      <c r="R1108" s="5" t="n"/>
      <c r="S1108" s="5" t="n"/>
      <c r="T1108" s="5" t="n"/>
      <c r="U1108" s="5" t="n"/>
      <c r="V1108" s="5" t="n"/>
      <c r="W1108" s="5" t="n"/>
      <c r="X1108" s="5" t="n"/>
      <c r="Y1108" s="5" t="n"/>
      <c r="Z1108" s="5" t="n"/>
      <c r="AA1108" s="5" t="n"/>
      <c r="AB1108" s="5" t="n"/>
    </row>
    <row r="1109" ht="15.75" customHeight="1" s="79">
      <c r="A1109" s="5" t="n"/>
      <c r="B1109" s="5" t="n"/>
      <c r="C1109" s="5" t="n"/>
      <c r="D1109" s="5" t="n"/>
      <c r="E1109" s="5" t="n"/>
      <c r="F1109" s="5" t="n"/>
      <c r="G1109" s="5" t="n"/>
      <c r="H1109" s="5" t="n"/>
      <c r="I1109" s="5" t="n"/>
      <c r="J1109" s="5" t="n"/>
      <c r="K1109" s="5" t="n"/>
      <c r="L1109" s="5" t="n"/>
      <c r="M1109" s="5" t="n"/>
      <c r="N1109" s="5" t="n"/>
      <c r="O1109" s="5" t="n"/>
      <c r="P1109" s="5" t="n"/>
      <c r="Q1109" s="5" t="n"/>
      <c r="R1109" s="5" t="n"/>
      <c r="S1109" s="5" t="n"/>
      <c r="T1109" s="5" t="n"/>
      <c r="U1109" s="5" t="n"/>
      <c r="V1109" s="5" t="n"/>
      <c r="W1109" s="5" t="n"/>
      <c r="X1109" s="5" t="n"/>
      <c r="Y1109" s="5" t="n"/>
      <c r="Z1109" s="5" t="n"/>
      <c r="AA1109" s="5" t="n"/>
      <c r="AB1109" s="5" t="n"/>
    </row>
    <row r="1110" ht="15.75" customHeight="1" s="79">
      <c r="A1110" s="5" t="n"/>
      <c r="B1110" s="5" t="n"/>
      <c r="C1110" s="5" t="n"/>
      <c r="D1110" s="5" t="n"/>
      <c r="E1110" s="5" t="n"/>
      <c r="F1110" s="5" t="n"/>
      <c r="G1110" s="5" t="n"/>
      <c r="H1110" s="5" t="n"/>
      <c r="I1110" s="5" t="n"/>
      <c r="J1110" s="5" t="n"/>
      <c r="K1110" s="5" t="n"/>
      <c r="L1110" s="5" t="n"/>
      <c r="M1110" s="5" t="n"/>
      <c r="N1110" s="5" t="n"/>
      <c r="O1110" s="5" t="n"/>
      <c r="P1110" s="5" t="n"/>
      <c r="Q1110" s="5" t="n"/>
      <c r="R1110" s="5" t="n"/>
      <c r="S1110" s="5" t="n"/>
      <c r="T1110" s="5" t="n"/>
      <c r="U1110" s="5" t="n"/>
      <c r="V1110" s="5" t="n"/>
      <c r="W1110" s="5" t="n"/>
      <c r="X1110" s="5" t="n"/>
      <c r="Y1110" s="5" t="n"/>
      <c r="Z1110" s="5" t="n"/>
      <c r="AA1110" s="5" t="n"/>
      <c r="AB1110" s="5" t="n"/>
    </row>
    <row r="1111" ht="15.75" customHeight="1" s="79">
      <c r="A1111" s="5" t="n"/>
      <c r="B1111" s="5" t="n"/>
      <c r="C1111" s="5" t="n"/>
      <c r="D1111" s="5" t="n"/>
      <c r="E1111" s="5" t="n"/>
      <c r="F1111" s="5" t="n"/>
      <c r="G1111" s="5" t="n"/>
      <c r="H1111" s="5" t="n"/>
      <c r="I1111" s="5" t="n"/>
      <c r="J1111" s="5" t="n"/>
      <c r="K1111" s="5" t="n"/>
      <c r="L1111" s="5" t="n"/>
      <c r="M1111" s="5" t="n"/>
      <c r="N1111" s="5" t="n"/>
      <c r="O1111" s="5" t="n"/>
      <c r="P1111" s="5" t="n"/>
      <c r="Q1111" s="5" t="n"/>
      <c r="R1111" s="5" t="n"/>
      <c r="S1111" s="5" t="n"/>
      <c r="T1111" s="5" t="n"/>
      <c r="U1111" s="5" t="n"/>
      <c r="V1111" s="5" t="n"/>
      <c r="W1111" s="5" t="n"/>
      <c r="X1111" s="5" t="n"/>
      <c r="Y1111" s="5" t="n"/>
      <c r="Z1111" s="5" t="n"/>
      <c r="AA1111" s="5" t="n"/>
      <c r="AB1111" s="5" t="n"/>
    </row>
    <row r="1112" ht="15.75" customHeight="1" s="79">
      <c r="A1112" s="5" t="n"/>
      <c r="B1112" s="5" t="n"/>
      <c r="C1112" s="5" t="n"/>
      <c r="D1112" s="5" t="n"/>
      <c r="E1112" s="5" t="n"/>
      <c r="F1112" s="5" t="n"/>
      <c r="G1112" s="5" t="n"/>
      <c r="H1112" s="5" t="n"/>
      <c r="I1112" s="5" t="n"/>
      <c r="J1112" s="5" t="n"/>
      <c r="K1112" s="5" t="n"/>
      <c r="L1112" s="5" t="n"/>
      <c r="M1112" s="5" t="n"/>
      <c r="N1112" s="5" t="n"/>
      <c r="O1112" s="5" t="n"/>
      <c r="P1112" s="5" t="n"/>
      <c r="Q1112" s="5" t="n"/>
      <c r="R1112" s="5" t="n"/>
      <c r="S1112" s="5" t="n"/>
      <c r="T1112" s="5" t="n"/>
      <c r="U1112" s="5" t="n"/>
      <c r="V1112" s="5" t="n"/>
      <c r="W1112" s="5" t="n"/>
      <c r="X1112" s="5" t="n"/>
      <c r="Y1112" s="5" t="n"/>
      <c r="Z1112" s="5" t="n"/>
      <c r="AA1112" s="5" t="n"/>
      <c r="AB1112" s="5" t="n"/>
    </row>
    <row r="1113" ht="15.75" customHeight="1" s="79">
      <c r="A1113" s="5" t="n"/>
      <c r="B1113" s="5" t="n"/>
      <c r="C1113" s="5" t="n"/>
      <c r="D1113" s="5" t="n"/>
      <c r="E1113" s="5" t="n"/>
      <c r="F1113" s="5" t="n"/>
      <c r="G1113" s="5" t="n"/>
      <c r="H1113" s="5" t="n"/>
      <c r="I1113" s="5" t="n"/>
      <c r="J1113" s="5" t="n"/>
      <c r="K1113" s="5" t="n"/>
      <c r="L1113" s="5" t="n"/>
      <c r="M1113" s="5" t="n"/>
      <c r="N1113" s="5" t="n"/>
      <c r="O1113" s="5" t="n"/>
      <c r="P1113" s="5" t="n"/>
      <c r="Q1113" s="5" t="n"/>
      <c r="R1113" s="5" t="n"/>
      <c r="S1113" s="5" t="n"/>
      <c r="T1113" s="5" t="n"/>
      <c r="U1113" s="5" t="n"/>
      <c r="V1113" s="5" t="n"/>
      <c r="W1113" s="5" t="n"/>
      <c r="X1113" s="5" t="n"/>
      <c r="Y1113" s="5" t="n"/>
      <c r="Z1113" s="5" t="n"/>
      <c r="AA1113" s="5" t="n"/>
      <c r="AB1113" s="5" t="n"/>
    </row>
    <row r="1114" ht="15.75" customHeight="1" s="79">
      <c r="A1114" s="5" t="n"/>
      <c r="B1114" s="5" t="n"/>
      <c r="C1114" s="5" t="n"/>
      <c r="D1114" s="5" t="n"/>
      <c r="E1114" s="5" t="n"/>
      <c r="F1114" s="5" t="n"/>
      <c r="G1114" s="5" t="n"/>
      <c r="H1114" s="5" t="n"/>
      <c r="I1114" s="5" t="n"/>
      <c r="J1114" s="5" t="n"/>
      <c r="K1114" s="5" t="n"/>
      <c r="L1114" s="5" t="n"/>
      <c r="M1114" s="5" t="n"/>
      <c r="N1114" s="5" t="n"/>
      <c r="O1114" s="5" t="n"/>
      <c r="P1114" s="5" t="n"/>
      <c r="Q1114" s="5" t="n"/>
      <c r="R1114" s="5" t="n"/>
      <c r="S1114" s="5" t="n"/>
      <c r="T1114" s="5" t="n"/>
      <c r="U1114" s="5" t="n"/>
      <c r="V1114" s="5" t="n"/>
      <c r="W1114" s="5" t="n"/>
      <c r="X1114" s="5" t="n"/>
      <c r="Y1114" s="5" t="n"/>
      <c r="Z1114" s="5" t="n"/>
      <c r="AA1114" s="5" t="n"/>
      <c r="AB1114" s="5" t="n"/>
    </row>
    <row r="1115" ht="15.75" customHeight="1" s="79">
      <c r="A1115" s="5" t="n"/>
      <c r="B1115" s="5" t="n"/>
      <c r="C1115" s="5" t="n"/>
      <c r="D1115" s="5" t="n"/>
      <c r="E1115" s="5" t="n"/>
      <c r="F1115" s="5" t="n"/>
      <c r="G1115" s="5" t="n"/>
      <c r="H1115" s="5" t="n"/>
      <c r="I1115" s="5" t="n"/>
      <c r="J1115" s="5" t="n"/>
      <c r="K1115" s="5" t="n"/>
      <c r="L1115" s="5" t="n"/>
      <c r="M1115" s="5" t="n"/>
      <c r="N1115" s="5" t="n"/>
      <c r="O1115" s="5" t="n"/>
      <c r="P1115" s="5" t="n"/>
      <c r="Q1115" s="5" t="n"/>
      <c r="R1115" s="5" t="n"/>
      <c r="S1115" s="5" t="n"/>
      <c r="T1115" s="5" t="n"/>
      <c r="U1115" s="5" t="n"/>
      <c r="V1115" s="5" t="n"/>
      <c r="W1115" s="5" t="n"/>
      <c r="X1115" s="5" t="n"/>
      <c r="Y1115" s="5" t="n"/>
      <c r="Z1115" s="5" t="n"/>
      <c r="AA1115" s="5" t="n"/>
      <c r="AB1115" s="5" t="n"/>
    </row>
    <row r="1116" ht="15.75" customHeight="1" s="79">
      <c r="A1116" s="5" t="n"/>
      <c r="B1116" s="5" t="n"/>
      <c r="C1116" s="5" t="n"/>
      <c r="D1116" s="5" t="n"/>
      <c r="E1116" s="5" t="n"/>
      <c r="F1116" s="5" t="n"/>
      <c r="G1116" s="5" t="n"/>
      <c r="H1116" s="5" t="n"/>
      <c r="I1116" s="5" t="n"/>
      <c r="J1116" s="5" t="n"/>
      <c r="K1116" s="5" t="n"/>
      <c r="L1116" s="5" t="n"/>
      <c r="M1116" s="5" t="n"/>
      <c r="N1116" s="5" t="n"/>
      <c r="O1116" s="5" t="n"/>
      <c r="P1116" s="5" t="n"/>
      <c r="Q1116" s="5" t="n"/>
      <c r="R1116" s="5" t="n"/>
      <c r="S1116" s="5" t="n"/>
      <c r="T1116" s="5" t="n"/>
      <c r="U1116" s="5" t="n"/>
      <c r="V1116" s="5" t="n"/>
      <c r="W1116" s="5" t="n"/>
      <c r="X1116" s="5" t="n"/>
      <c r="Y1116" s="5" t="n"/>
      <c r="Z1116" s="5" t="n"/>
      <c r="AA1116" s="5" t="n"/>
      <c r="AB1116" s="5" t="n"/>
    </row>
    <row r="1117" ht="15.75" customHeight="1" s="79">
      <c r="A1117" s="5" t="n"/>
      <c r="B1117" s="5" t="n"/>
      <c r="C1117" s="5" t="n"/>
      <c r="D1117" s="5" t="n"/>
      <c r="E1117" s="5" t="n"/>
      <c r="F1117" s="5" t="n"/>
      <c r="G1117" s="5" t="n"/>
      <c r="H1117" s="5" t="n"/>
      <c r="I1117" s="5" t="n"/>
      <c r="J1117" s="5" t="n"/>
      <c r="K1117" s="5" t="n"/>
      <c r="L1117" s="5" t="n"/>
      <c r="M1117" s="5" t="n"/>
      <c r="N1117" s="5" t="n"/>
      <c r="O1117" s="5" t="n"/>
      <c r="P1117" s="5" t="n"/>
      <c r="Q1117" s="5" t="n"/>
      <c r="R1117" s="5" t="n"/>
      <c r="S1117" s="5" t="n"/>
      <c r="T1117" s="5" t="n"/>
      <c r="U1117" s="5" t="n"/>
      <c r="V1117" s="5" t="n"/>
      <c r="W1117" s="5" t="n"/>
      <c r="X1117" s="5" t="n"/>
      <c r="Y1117" s="5" t="n"/>
      <c r="Z1117" s="5" t="n"/>
      <c r="AA1117" s="5" t="n"/>
      <c r="AB1117" s="5" t="n"/>
    </row>
    <row r="1118" ht="15.75" customHeight="1" s="79">
      <c r="A1118" s="5" t="n"/>
      <c r="B1118" s="5" t="n"/>
      <c r="C1118" s="5" t="n"/>
      <c r="D1118" s="5" t="n"/>
      <c r="E1118" s="5" t="n"/>
      <c r="F1118" s="5" t="n"/>
      <c r="G1118" s="5" t="n"/>
      <c r="H1118" s="5" t="n"/>
      <c r="I1118" s="5" t="n"/>
      <c r="J1118" s="5" t="n"/>
      <c r="K1118" s="5" t="n"/>
      <c r="L1118" s="5" t="n"/>
      <c r="M1118" s="5" t="n"/>
      <c r="N1118" s="5" t="n"/>
      <c r="O1118" s="5" t="n"/>
      <c r="P1118" s="5" t="n"/>
      <c r="Q1118" s="5" t="n"/>
      <c r="R1118" s="5" t="n"/>
      <c r="S1118" s="5" t="n"/>
      <c r="T1118" s="5" t="n"/>
      <c r="U1118" s="5" t="n"/>
      <c r="V1118" s="5" t="n"/>
      <c r="W1118" s="5" t="n"/>
      <c r="X1118" s="5" t="n"/>
      <c r="Y1118" s="5" t="n"/>
      <c r="Z1118" s="5" t="n"/>
      <c r="AA1118" s="5" t="n"/>
      <c r="AB1118" s="5" t="n"/>
    </row>
    <row r="1119" ht="15.75" customHeight="1" s="79">
      <c r="A1119" s="5" t="n"/>
      <c r="B1119" s="5" t="n"/>
      <c r="C1119" s="5" t="n"/>
      <c r="D1119" s="5" t="n"/>
      <c r="E1119" s="5" t="n"/>
      <c r="F1119" s="5" t="n"/>
      <c r="G1119" s="5" t="n"/>
      <c r="H1119" s="5" t="n"/>
      <c r="I1119" s="5" t="n"/>
      <c r="J1119" s="5" t="n"/>
      <c r="K1119" s="5" t="n"/>
      <c r="L1119" s="5" t="n"/>
      <c r="M1119" s="5" t="n"/>
      <c r="N1119" s="5" t="n"/>
      <c r="O1119" s="5" t="n"/>
      <c r="P1119" s="5" t="n"/>
      <c r="Q1119" s="5" t="n"/>
      <c r="R1119" s="5" t="n"/>
      <c r="S1119" s="5" t="n"/>
      <c r="T1119" s="5" t="n"/>
      <c r="U1119" s="5" t="n"/>
      <c r="V1119" s="5" t="n"/>
      <c r="W1119" s="5" t="n"/>
      <c r="X1119" s="5" t="n"/>
      <c r="Y1119" s="5" t="n"/>
      <c r="Z1119" s="5" t="n"/>
      <c r="AA1119" s="5" t="n"/>
      <c r="AB1119" s="5" t="n"/>
    </row>
    <row r="1120" ht="15.75" customHeight="1" s="79">
      <c r="A1120" s="5" t="n"/>
      <c r="B1120" s="5" t="n"/>
      <c r="C1120" s="5" t="n"/>
      <c r="D1120" s="5" t="n"/>
      <c r="E1120" s="5" t="n"/>
      <c r="F1120" s="5" t="n"/>
      <c r="G1120" s="5" t="n"/>
      <c r="H1120" s="5" t="n"/>
      <c r="I1120" s="5" t="n"/>
      <c r="J1120" s="5" t="n"/>
      <c r="K1120" s="5" t="n"/>
      <c r="L1120" s="5" t="n"/>
      <c r="M1120" s="5" t="n"/>
      <c r="N1120" s="5" t="n"/>
      <c r="O1120" s="5" t="n"/>
      <c r="P1120" s="5" t="n"/>
      <c r="Q1120" s="5" t="n"/>
      <c r="R1120" s="5" t="n"/>
      <c r="S1120" s="5" t="n"/>
      <c r="T1120" s="5" t="n"/>
      <c r="U1120" s="5" t="n"/>
      <c r="V1120" s="5" t="n"/>
      <c r="W1120" s="5" t="n"/>
      <c r="X1120" s="5" t="n"/>
      <c r="Y1120" s="5" t="n"/>
      <c r="Z1120" s="5" t="n"/>
      <c r="AA1120" s="5" t="n"/>
      <c r="AB1120" s="5" t="n"/>
    </row>
    <row r="1121" ht="15.75" customHeight="1" s="79">
      <c r="A1121" s="5" t="n"/>
      <c r="B1121" s="5" t="n"/>
      <c r="C1121" s="5" t="n"/>
      <c r="D1121" s="5" t="n"/>
      <c r="E1121" s="5" t="n"/>
      <c r="F1121" s="5" t="n"/>
      <c r="G1121" s="5" t="n"/>
      <c r="H1121" s="5" t="n"/>
      <c r="I1121" s="5" t="n"/>
      <c r="J1121" s="5" t="n"/>
      <c r="K1121" s="5" t="n"/>
      <c r="L1121" s="5" t="n"/>
      <c r="M1121" s="5" t="n"/>
      <c r="N1121" s="5" t="n"/>
      <c r="O1121" s="5" t="n"/>
      <c r="P1121" s="5" t="n"/>
      <c r="Q1121" s="5" t="n"/>
      <c r="R1121" s="5" t="n"/>
      <c r="S1121" s="5" t="n"/>
      <c r="T1121" s="5" t="n"/>
      <c r="U1121" s="5" t="n"/>
      <c r="V1121" s="5" t="n"/>
      <c r="W1121" s="5" t="n"/>
      <c r="X1121" s="5" t="n"/>
      <c r="Y1121" s="5" t="n"/>
      <c r="Z1121" s="5" t="n"/>
      <c r="AA1121" s="5" t="n"/>
      <c r="AB1121" s="5" t="n"/>
    </row>
    <row r="1122" ht="15.75" customHeight="1" s="79">
      <c r="A1122" s="5" t="n"/>
      <c r="B1122" s="5" t="n"/>
      <c r="C1122" s="5" t="n"/>
      <c r="D1122" s="5" t="n"/>
      <c r="E1122" s="5" t="n"/>
      <c r="F1122" s="5" t="n"/>
      <c r="G1122" s="5" t="n"/>
      <c r="H1122" s="5" t="n"/>
      <c r="I1122" s="5" t="n"/>
      <c r="J1122" s="5" t="n"/>
      <c r="K1122" s="5" t="n"/>
      <c r="L1122" s="5" t="n"/>
      <c r="M1122" s="5" t="n"/>
      <c r="N1122" s="5" t="n"/>
      <c r="O1122" s="5" t="n"/>
      <c r="P1122" s="5" t="n"/>
      <c r="Q1122" s="5" t="n"/>
      <c r="R1122" s="5" t="n"/>
      <c r="S1122" s="5" t="n"/>
      <c r="T1122" s="5" t="n"/>
      <c r="U1122" s="5" t="n"/>
      <c r="V1122" s="5" t="n"/>
      <c r="W1122" s="5" t="n"/>
      <c r="X1122" s="5" t="n"/>
      <c r="Y1122" s="5" t="n"/>
      <c r="Z1122" s="5" t="n"/>
      <c r="AA1122" s="5" t="n"/>
      <c r="AB1122" s="5" t="n"/>
    </row>
    <row r="1123" ht="15.75" customHeight="1" s="79">
      <c r="A1123" s="5" t="n"/>
      <c r="B1123" s="5" t="n"/>
      <c r="C1123" s="5" t="n"/>
      <c r="D1123" s="5" t="n"/>
      <c r="E1123" s="5" t="n"/>
      <c r="F1123" s="5" t="n"/>
      <c r="G1123" s="5" t="n"/>
      <c r="H1123" s="5" t="n"/>
      <c r="I1123" s="5" t="n"/>
      <c r="J1123" s="5" t="n"/>
      <c r="K1123" s="5" t="n"/>
      <c r="L1123" s="5" t="n"/>
      <c r="M1123" s="5" t="n"/>
      <c r="N1123" s="5" t="n"/>
      <c r="O1123" s="5" t="n"/>
      <c r="P1123" s="5" t="n"/>
      <c r="Q1123" s="5" t="n"/>
      <c r="R1123" s="5" t="n"/>
      <c r="S1123" s="5" t="n"/>
      <c r="T1123" s="5" t="n"/>
      <c r="U1123" s="5" t="n"/>
      <c r="V1123" s="5" t="n"/>
      <c r="W1123" s="5" t="n"/>
      <c r="X1123" s="5" t="n"/>
      <c r="Y1123" s="5" t="n"/>
      <c r="Z1123" s="5" t="n"/>
      <c r="AA1123" s="5" t="n"/>
      <c r="AB1123" s="5" t="n"/>
    </row>
    <row r="1124" ht="15.75" customHeight="1" s="79">
      <c r="A1124" s="5" t="n"/>
      <c r="B1124" s="5" t="n"/>
      <c r="C1124" s="5" t="n"/>
      <c r="D1124" s="5" t="n"/>
      <c r="E1124" s="5" t="n"/>
      <c r="F1124" s="5" t="n"/>
      <c r="G1124" s="5" t="n"/>
      <c r="H1124" s="5" t="n"/>
      <c r="I1124" s="5" t="n"/>
      <c r="J1124" s="5" t="n"/>
      <c r="K1124" s="5" t="n"/>
      <c r="L1124" s="5" t="n"/>
      <c r="M1124" s="5" t="n"/>
      <c r="N1124" s="5" t="n"/>
      <c r="O1124" s="5" t="n"/>
      <c r="P1124" s="5" t="n"/>
      <c r="Q1124" s="5" t="n"/>
      <c r="R1124" s="5" t="n"/>
      <c r="S1124" s="5" t="n"/>
      <c r="T1124" s="5" t="n"/>
      <c r="U1124" s="5" t="n"/>
      <c r="V1124" s="5" t="n"/>
      <c r="W1124" s="5" t="n"/>
      <c r="X1124" s="5" t="n"/>
      <c r="Y1124" s="5" t="n"/>
      <c r="Z1124" s="5" t="n"/>
      <c r="AA1124" s="5" t="n"/>
      <c r="AB1124" s="5" t="n"/>
    </row>
    <row r="1125" ht="15.75" customHeight="1" s="79">
      <c r="A1125" s="5" t="n"/>
      <c r="B1125" s="5" t="n"/>
      <c r="C1125" s="5" t="n"/>
      <c r="D1125" s="5" t="n"/>
      <c r="E1125" s="5" t="n"/>
      <c r="F1125" s="5" t="n"/>
      <c r="G1125" s="5" t="n"/>
      <c r="H1125" s="5" t="n"/>
      <c r="I1125" s="5" t="n"/>
      <c r="J1125" s="5" t="n"/>
      <c r="K1125" s="5" t="n"/>
      <c r="L1125" s="5" t="n"/>
      <c r="M1125" s="5" t="n"/>
      <c r="N1125" s="5" t="n"/>
      <c r="O1125" s="5" t="n"/>
      <c r="P1125" s="5" t="n"/>
      <c r="Q1125" s="5" t="n"/>
      <c r="R1125" s="5" t="n"/>
      <c r="S1125" s="5" t="n"/>
      <c r="T1125" s="5" t="n"/>
      <c r="U1125" s="5" t="n"/>
      <c r="V1125" s="5" t="n"/>
      <c r="W1125" s="5" t="n"/>
      <c r="X1125" s="5" t="n"/>
      <c r="Y1125" s="5" t="n"/>
      <c r="Z1125" s="5" t="n"/>
      <c r="AA1125" s="5" t="n"/>
      <c r="AB1125" s="5" t="n"/>
    </row>
    <row r="1126" ht="15.75" customHeight="1" s="79">
      <c r="A1126" s="5" t="n"/>
      <c r="B1126" s="5" t="n"/>
      <c r="C1126" s="5" t="n"/>
      <c r="D1126" s="5" t="n"/>
      <c r="E1126" s="5" t="n"/>
      <c r="F1126" s="5" t="n"/>
      <c r="G1126" s="5" t="n"/>
      <c r="H1126" s="5" t="n"/>
      <c r="I1126" s="5" t="n"/>
      <c r="J1126" s="5" t="n"/>
      <c r="K1126" s="5" t="n"/>
      <c r="L1126" s="5" t="n"/>
      <c r="M1126" s="5" t="n"/>
      <c r="N1126" s="5" t="n"/>
      <c r="O1126" s="5" t="n"/>
      <c r="P1126" s="5" t="n"/>
      <c r="Q1126" s="5" t="n"/>
      <c r="R1126" s="5" t="n"/>
      <c r="S1126" s="5" t="n"/>
      <c r="T1126" s="5" t="n"/>
      <c r="U1126" s="5" t="n"/>
      <c r="V1126" s="5" t="n"/>
      <c r="W1126" s="5" t="n"/>
      <c r="X1126" s="5" t="n"/>
      <c r="Y1126" s="5" t="n"/>
      <c r="Z1126" s="5" t="n"/>
      <c r="AA1126" s="5" t="n"/>
      <c r="AB1126" s="5" t="n"/>
    </row>
    <row r="1127" ht="15.75" customHeight="1" s="79">
      <c r="A1127" s="5" t="n"/>
      <c r="B1127" s="5" t="n"/>
      <c r="C1127" s="5" t="n"/>
      <c r="D1127" s="5" t="n"/>
      <c r="E1127" s="5" t="n"/>
      <c r="F1127" s="5" t="n"/>
      <c r="G1127" s="5" t="n"/>
      <c r="H1127" s="5" t="n"/>
      <c r="I1127" s="5" t="n"/>
      <c r="J1127" s="5" t="n"/>
      <c r="K1127" s="5" t="n"/>
      <c r="L1127" s="5" t="n"/>
      <c r="M1127" s="5" t="n"/>
      <c r="N1127" s="5" t="n"/>
      <c r="O1127" s="5" t="n"/>
      <c r="P1127" s="5" t="n"/>
      <c r="Q1127" s="5" t="n"/>
      <c r="R1127" s="5" t="n"/>
      <c r="S1127" s="5" t="n"/>
      <c r="T1127" s="5" t="n"/>
      <c r="U1127" s="5" t="n"/>
      <c r="V1127" s="5" t="n"/>
      <c r="W1127" s="5" t="n"/>
      <c r="X1127" s="5" t="n"/>
      <c r="Y1127" s="5" t="n"/>
      <c r="Z1127" s="5" t="n"/>
      <c r="AA1127" s="5" t="n"/>
      <c r="AB1127" s="5" t="n"/>
    </row>
    <row r="1128" ht="15.75" customHeight="1" s="79">
      <c r="A1128" s="5" t="n"/>
      <c r="B1128" s="5" t="n"/>
      <c r="C1128" s="5" t="n"/>
      <c r="D1128" s="5" t="n"/>
      <c r="E1128" s="5" t="n"/>
      <c r="F1128" s="5" t="n"/>
      <c r="G1128" s="5" t="n"/>
      <c r="H1128" s="5" t="n"/>
      <c r="I1128" s="5" t="n"/>
      <c r="J1128" s="5" t="n"/>
      <c r="K1128" s="5" t="n"/>
      <c r="L1128" s="5" t="n"/>
      <c r="M1128" s="5" t="n"/>
      <c r="N1128" s="5" t="n"/>
      <c r="O1128" s="5" t="n"/>
      <c r="P1128" s="5" t="n"/>
      <c r="Q1128" s="5" t="n"/>
      <c r="R1128" s="5" t="n"/>
      <c r="S1128" s="5" t="n"/>
      <c r="T1128" s="5" t="n"/>
      <c r="U1128" s="5" t="n"/>
      <c r="V1128" s="5" t="n"/>
      <c r="W1128" s="5" t="n"/>
      <c r="X1128" s="5" t="n"/>
      <c r="Y1128" s="5" t="n"/>
      <c r="Z1128" s="5" t="n"/>
      <c r="AA1128" s="5" t="n"/>
      <c r="AB1128" s="5" t="n"/>
    </row>
    <row r="1129" ht="15.75" customHeight="1" s="79">
      <c r="A1129" s="5" t="n"/>
      <c r="B1129" s="5" t="n"/>
      <c r="C1129" s="5" t="n"/>
      <c r="D1129" s="5" t="n"/>
      <c r="E1129" s="5" t="n"/>
      <c r="F1129" s="5" t="n"/>
      <c r="G1129" s="5" t="n"/>
      <c r="H1129" s="5" t="n"/>
      <c r="I1129" s="5" t="n"/>
      <c r="J1129" s="5" t="n"/>
      <c r="K1129" s="5" t="n"/>
      <c r="L1129" s="5" t="n"/>
      <c r="M1129" s="5" t="n"/>
      <c r="N1129" s="5" t="n"/>
      <c r="O1129" s="5" t="n"/>
      <c r="P1129" s="5" t="n"/>
      <c r="Q1129" s="5" t="n"/>
      <c r="R1129" s="5" t="n"/>
      <c r="S1129" s="5" t="n"/>
      <c r="T1129" s="5" t="n"/>
      <c r="U1129" s="5" t="n"/>
      <c r="V1129" s="5" t="n"/>
      <c r="W1129" s="5" t="n"/>
      <c r="X1129" s="5" t="n"/>
      <c r="Y1129" s="5" t="n"/>
      <c r="Z1129" s="5" t="n"/>
      <c r="AA1129" s="5" t="n"/>
      <c r="AB1129" s="5" t="n"/>
    </row>
    <row r="1130" ht="15.75" customHeight="1" s="79">
      <c r="A1130" s="5" t="n"/>
      <c r="B1130" s="5" t="n"/>
      <c r="C1130" s="5" t="n"/>
      <c r="D1130" s="5" t="n"/>
      <c r="E1130" s="5" t="n"/>
      <c r="F1130" s="5" t="n"/>
      <c r="G1130" s="5" t="n"/>
      <c r="H1130" s="5" t="n"/>
      <c r="I1130" s="5" t="n"/>
      <c r="J1130" s="5" t="n"/>
      <c r="K1130" s="5" t="n"/>
      <c r="L1130" s="5" t="n"/>
      <c r="M1130" s="5" t="n"/>
      <c r="N1130" s="5" t="n"/>
      <c r="O1130" s="5" t="n"/>
      <c r="P1130" s="5" t="n"/>
      <c r="Q1130" s="5" t="n"/>
      <c r="R1130" s="5" t="n"/>
      <c r="S1130" s="5" t="n"/>
      <c r="T1130" s="5" t="n"/>
      <c r="U1130" s="5" t="n"/>
      <c r="V1130" s="5" t="n"/>
      <c r="W1130" s="5" t="n"/>
      <c r="X1130" s="5" t="n"/>
      <c r="Y1130" s="5" t="n"/>
      <c r="Z1130" s="5" t="n"/>
      <c r="AA1130" s="5" t="n"/>
      <c r="AB1130" s="5" t="n"/>
    </row>
    <row r="1131" ht="15.75" customHeight="1" s="79">
      <c r="A1131" s="5" t="n"/>
      <c r="B1131" s="5" t="n"/>
      <c r="C1131" s="5" t="n"/>
      <c r="D1131" s="5" t="n"/>
      <c r="E1131" s="5" t="n"/>
      <c r="F1131" s="5" t="n"/>
      <c r="G1131" s="5" t="n"/>
      <c r="H1131" s="5" t="n"/>
      <c r="I1131" s="5" t="n"/>
      <c r="J1131" s="5" t="n"/>
      <c r="K1131" s="5" t="n"/>
      <c r="L1131" s="5" t="n"/>
      <c r="M1131" s="5" t="n"/>
      <c r="N1131" s="5" t="n"/>
      <c r="O1131" s="5" t="n"/>
      <c r="P1131" s="5" t="n"/>
      <c r="Q1131" s="5" t="n"/>
      <c r="R1131" s="5" t="n"/>
      <c r="S1131" s="5" t="n"/>
      <c r="T1131" s="5" t="n"/>
      <c r="U1131" s="5" t="n"/>
      <c r="V1131" s="5" t="n"/>
      <c r="W1131" s="5" t="n"/>
      <c r="X1131" s="5" t="n"/>
      <c r="Y1131" s="5" t="n"/>
      <c r="Z1131" s="5" t="n"/>
      <c r="AA1131" s="5" t="n"/>
      <c r="AB1131" s="5" t="n"/>
    </row>
    <row r="1132" ht="15.75" customHeight="1" s="79">
      <c r="A1132" s="5" t="n"/>
      <c r="B1132" s="5" t="n"/>
      <c r="C1132" s="5" t="n"/>
      <c r="D1132" s="5" t="n"/>
      <c r="E1132" s="5" t="n"/>
      <c r="F1132" s="5" t="n"/>
      <c r="G1132" s="5" t="n"/>
      <c r="H1132" s="5" t="n"/>
      <c r="I1132" s="5" t="n"/>
      <c r="J1132" s="5" t="n"/>
      <c r="K1132" s="5" t="n"/>
      <c r="L1132" s="5" t="n"/>
      <c r="M1132" s="5" t="n"/>
      <c r="N1132" s="5" t="n"/>
      <c r="O1132" s="5" t="n"/>
      <c r="P1132" s="5" t="n"/>
      <c r="Q1132" s="5" t="n"/>
      <c r="R1132" s="5" t="n"/>
      <c r="S1132" s="5" t="n"/>
      <c r="T1132" s="5" t="n"/>
      <c r="U1132" s="5" t="n"/>
      <c r="V1132" s="5" t="n"/>
      <c r="W1132" s="5" t="n"/>
      <c r="X1132" s="5" t="n"/>
      <c r="Y1132" s="5" t="n"/>
      <c r="Z1132" s="5" t="n"/>
      <c r="AA1132" s="5" t="n"/>
      <c r="AB1132" s="5" t="n"/>
    </row>
    <row r="1133" ht="15.75" customHeight="1" s="79">
      <c r="A1133" s="5" t="n"/>
      <c r="B1133" s="5" t="n"/>
      <c r="C1133" s="5" t="n"/>
      <c r="D1133" s="5" t="n"/>
      <c r="E1133" s="5" t="n"/>
      <c r="F1133" s="5" t="n"/>
      <c r="G1133" s="5" t="n"/>
      <c r="H1133" s="5" t="n"/>
      <c r="I1133" s="5" t="n"/>
      <c r="J1133" s="5" t="n"/>
      <c r="K1133" s="5" t="n"/>
      <c r="L1133" s="5" t="n"/>
      <c r="M1133" s="5" t="n"/>
      <c r="N1133" s="5" t="n"/>
      <c r="O1133" s="5" t="n"/>
      <c r="P1133" s="5" t="n"/>
      <c r="Q1133" s="5" t="n"/>
      <c r="R1133" s="5" t="n"/>
      <c r="S1133" s="5" t="n"/>
      <c r="T1133" s="5" t="n"/>
      <c r="U1133" s="5" t="n"/>
      <c r="V1133" s="5" t="n"/>
      <c r="W1133" s="5" t="n"/>
      <c r="X1133" s="5" t="n"/>
      <c r="Y1133" s="5" t="n"/>
      <c r="Z1133" s="5" t="n"/>
      <c r="AA1133" s="5" t="n"/>
      <c r="AB1133" s="5" t="n"/>
    </row>
    <row r="1134" ht="15.75" customHeight="1" s="79">
      <c r="A1134" s="5" t="n"/>
      <c r="B1134" s="5" t="n"/>
      <c r="C1134" s="5" t="n"/>
      <c r="D1134" s="5" t="n"/>
      <c r="E1134" s="5" t="n"/>
      <c r="F1134" s="5" t="n"/>
      <c r="G1134" s="5" t="n"/>
      <c r="H1134" s="5" t="n"/>
      <c r="I1134" s="5" t="n"/>
      <c r="J1134" s="5" t="n"/>
      <c r="K1134" s="5" t="n"/>
      <c r="L1134" s="5" t="n"/>
      <c r="M1134" s="5" t="n"/>
      <c r="N1134" s="5" t="n"/>
      <c r="O1134" s="5" t="n"/>
      <c r="P1134" s="5" t="n"/>
      <c r="Q1134" s="5" t="n"/>
      <c r="R1134" s="5" t="n"/>
      <c r="S1134" s="5" t="n"/>
      <c r="T1134" s="5" t="n"/>
      <c r="U1134" s="5" t="n"/>
      <c r="V1134" s="5" t="n"/>
      <c r="W1134" s="5" t="n"/>
      <c r="X1134" s="5" t="n"/>
      <c r="Y1134" s="5" t="n"/>
      <c r="Z1134" s="5" t="n"/>
      <c r="AA1134" s="5" t="n"/>
      <c r="AB1134" s="5" t="n"/>
    </row>
    <row r="1135" ht="15.75" customHeight="1" s="79">
      <c r="A1135" s="5" t="n"/>
      <c r="B1135" s="5" t="n"/>
      <c r="C1135" s="5" t="n"/>
      <c r="D1135" s="5" t="n"/>
      <c r="E1135" s="5" t="n"/>
      <c r="F1135" s="5" t="n"/>
      <c r="G1135" s="5" t="n"/>
      <c r="H1135" s="5" t="n"/>
      <c r="I1135" s="5" t="n"/>
      <c r="J1135" s="5" t="n"/>
      <c r="K1135" s="5" t="n"/>
      <c r="L1135" s="5" t="n"/>
      <c r="M1135" s="5" t="n"/>
      <c r="N1135" s="5" t="n"/>
      <c r="O1135" s="5" t="n"/>
      <c r="P1135" s="5" t="n"/>
      <c r="Q1135" s="5" t="n"/>
      <c r="R1135" s="5" t="n"/>
      <c r="S1135" s="5" t="n"/>
      <c r="T1135" s="5" t="n"/>
      <c r="U1135" s="5" t="n"/>
      <c r="V1135" s="5" t="n"/>
      <c r="W1135" s="5" t="n"/>
      <c r="X1135" s="5" t="n"/>
      <c r="Y1135" s="5" t="n"/>
      <c r="Z1135" s="5" t="n"/>
      <c r="AA1135" s="5" t="n"/>
      <c r="AB1135" s="5" t="n"/>
    </row>
    <row r="1136" ht="15.75" customHeight="1" s="79">
      <c r="A1136" s="5" t="n"/>
      <c r="B1136" s="5" t="n"/>
      <c r="C1136" s="5" t="n"/>
      <c r="D1136" s="5" t="n"/>
      <c r="E1136" s="5" t="n"/>
      <c r="F1136" s="5" t="n"/>
      <c r="G1136" s="5" t="n"/>
      <c r="H1136" s="5" t="n"/>
      <c r="I1136" s="5" t="n"/>
      <c r="J1136" s="5" t="n"/>
      <c r="K1136" s="5" t="n"/>
      <c r="L1136" s="5" t="n"/>
      <c r="M1136" s="5" t="n"/>
      <c r="N1136" s="5" t="n"/>
      <c r="O1136" s="5" t="n"/>
      <c r="P1136" s="5" t="n"/>
      <c r="Q1136" s="5" t="n"/>
      <c r="R1136" s="5" t="n"/>
      <c r="S1136" s="5" t="n"/>
      <c r="T1136" s="5" t="n"/>
      <c r="U1136" s="5" t="n"/>
      <c r="V1136" s="5" t="n"/>
      <c r="W1136" s="5" t="n"/>
      <c r="X1136" s="5" t="n"/>
      <c r="Y1136" s="5" t="n"/>
      <c r="Z1136" s="5" t="n"/>
      <c r="AA1136" s="5" t="n"/>
      <c r="AB1136" s="5" t="n"/>
    </row>
    <row r="1137" ht="15.75" customHeight="1" s="79">
      <c r="A1137" s="5" t="n"/>
      <c r="B1137" s="5" t="n"/>
      <c r="C1137" s="5" t="n"/>
      <c r="D1137" s="5" t="n"/>
      <c r="E1137" s="5" t="n"/>
      <c r="F1137" s="5" t="n"/>
      <c r="G1137" s="5" t="n"/>
      <c r="H1137" s="5" t="n"/>
      <c r="I1137" s="5" t="n"/>
      <c r="J1137" s="5" t="n"/>
      <c r="K1137" s="5" t="n"/>
      <c r="L1137" s="5" t="n"/>
      <c r="M1137" s="5" t="n"/>
      <c r="N1137" s="5" t="n"/>
      <c r="O1137" s="5" t="n"/>
      <c r="P1137" s="5" t="n"/>
      <c r="Q1137" s="5" t="n"/>
      <c r="R1137" s="5" t="n"/>
      <c r="S1137" s="5" t="n"/>
      <c r="T1137" s="5" t="n"/>
      <c r="U1137" s="5" t="n"/>
      <c r="V1137" s="5" t="n"/>
      <c r="W1137" s="5" t="n"/>
      <c r="X1137" s="5" t="n"/>
      <c r="Y1137" s="5" t="n"/>
      <c r="Z1137" s="5" t="n"/>
      <c r="AA1137" s="5" t="n"/>
      <c r="AB1137" s="5" t="n"/>
    </row>
    <row r="1138" ht="15.75" customHeight="1" s="79">
      <c r="A1138" s="5" t="n"/>
      <c r="B1138" s="5" t="n"/>
      <c r="C1138" s="5" t="n"/>
      <c r="D1138" s="5" t="n"/>
      <c r="E1138" s="5" t="n"/>
      <c r="F1138" s="5" t="n"/>
      <c r="G1138" s="5" t="n"/>
      <c r="H1138" s="5" t="n"/>
      <c r="I1138" s="5" t="n"/>
      <c r="J1138" s="5" t="n"/>
      <c r="K1138" s="5" t="n"/>
      <c r="L1138" s="5" t="n"/>
      <c r="M1138" s="5" t="n"/>
      <c r="N1138" s="5" t="n"/>
      <c r="O1138" s="5" t="n"/>
      <c r="P1138" s="5" t="n"/>
      <c r="Q1138" s="5" t="n"/>
      <c r="R1138" s="5" t="n"/>
      <c r="S1138" s="5" t="n"/>
      <c r="T1138" s="5" t="n"/>
      <c r="U1138" s="5" t="n"/>
      <c r="V1138" s="5" t="n"/>
      <c r="W1138" s="5" t="n"/>
      <c r="X1138" s="5" t="n"/>
      <c r="Y1138" s="5" t="n"/>
      <c r="Z1138" s="5" t="n"/>
      <c r="AA1138" s="5" t="n"/>
      <c r="AB1138" s="5" t="n"/>
    </row>
    <row r="1139" ht="15.75" customHeight="1" s="79">
      <c r="A1139" s="5" t="n"/>
      <c r="B1139" s="5" t="n"/>
      <c r="C1139" s="5" t="n"/>
      <c r="D1139" s="5" t="n"/>
      <c r="E1139" s="5" t="n"/>
      <c r="F1139" s="5" t="n"/>
      <c r="G1139" s="5" t="n"/>
      <c r="H1139" s="5" t="n"/>
      <c r="I1139" s="5" t="n"/>
      <c r="J1139" s="5" t="n"/>
      <c r="K1139" s="5" t="n"/>
      <c r="L1139" s="5" t="n"/>
      <c r="M1139" s="5" t="n"/>
      <c r="N1139" s="5" t="n"/>
      <c r="O1139" s="5" t="n"/>
      <c r="P1139" s="5" t="n"/>
      <c r="Q1139" s="5" t="n"/>
      <c r="R1139" s="5" t="n"/>
      <c r="S1139" s="5" t="n"/>
      <c r="T1139" s="5" t="n"/>
      <c r="U1139" s="5" t="n"/>
      <c r="V1139" s="5" t="n"/>
      <c r="W1139" s="5" t="n"/>
      <c r="X1139" s="5" t="n"/>
      <c r="Y1139" s="5" t="n"/>
      <c r="Z1139" s="5" t="n"/>
      <c r="AA1139" s="5" t="n"/>
      <c r="AB1139" s="5" t="n"/>
    </row>
    <row r="1140" ht="15.75" customHeight="1" s="79">
      <c r="A1140" s="5" t="n"/>
      <c r="B1140" s="5" t="n"/>
      <c r="C1140" s="5" t="n"/>
      <c r="D1140" s="5" t="n"/>
      <c r="E1140" s="5" t="n"/>
      <c r="F1140" s="5" t="n"/>
      <c r="G1140" s="5" t="n"/>
      <c r="H1140" s="5" t="n"/>
      <c r="I1140" s="5" t="n"/>
      <c r="J1140" s="5" t="n"/>
      <c r="K1140" s="5" t="n"/>
      <c r="L1140" s="5" t="n"/>
      <c r="M1140" s="5" t="n"/>
      <c r="N1140" s="5" t="n"/>
      <c r="O1140" s="5" t="n"/>
      <c r="P1140" s="5" t="n"/>
      <c r="Q1140" s="5" t="n"/>
      <c r="R1140" s="5" t="n"/>
      <c r="S1140" s="5" t="n"/>
      <c r="T1140" s="5" t="n"/>
      <c r="U1140" s="5" t="n"/>
      <c r="V1140" s="5" t="n"/>
      <c r="W1140" s="5" t="n"/>
      <c r="X1140" s="5" t="n"/>
      <c r="Y1140" s="5" t="n"/>
      <c r="Z1140" s="5" t="n"/>
      <c r="AA1140" s="5" t="n"/>
      <c r="AB1140" s="5" t="n"/>
    </row>
    <row r="1141" ht="15.75" customHeight="1" s="79">
      <c r="A1141" s="5" t="n"/>
      <c r="B1141" s="5" t="n"/>
      <c r="C1141" s="5" t="n"/>
      <c r="D1141" s="5" t="n"/>
      <c r="E1141" s="5" t="n"/>
      <c r="F1141" s="5" t="n"/>
      <c r="G1141" s="5" t="n"/>
      <c r="H1141" s="5" t="n"/>
      <c r="I1141" s="5" t="n"/>
      <c r="J1141" s="5" t="n"/>
      <c r="K1141" s="5" t="n"/>
      <c r="L1141" s="5" t="n"/>
      <c r="M1141" s="5" t="n"/>
      <c r="N1141" s="5" t="n"/>
      <c r="O1141" s="5" t="n"/>
      <c r="P1141" s="5" t="n"/>
      <c r="Q1141" s="5" t="n"/>
      <c r="R1141" s="5" t="n"/>
      <c r="S1141" s="5" t="n"/>
      <c r="T1141" s="5" t="n"/>
      <c r="U1141" s="5" t="n"/>
      <c r="V1141" s="5" t="n"/>
      <c r="W1141" s="5" t="n"/>
      <c r="X1141" s="5" t="n"/>
      <c r="Y1141" s="5" t="n"/>
      <c r="Z1141" s="5" t="n"/>
      <c r="AA1141" s="5" t="n"/>
      <c r="AB1141" s="5" t="n"/>
    </row>
    <row r="1142" ht="15.75" customHeight="1" s="79">
      <c r="A1142" s="5" t="n"/>
      <c r="B1142" s="5" t="n"/>
      <c r="C1142" s="5" t="n"/>
      <c r="D1142" s="5" t="n"/>
      <c r="E1142" s="5" t="n"/>
      <c r="F1142" s="5" t="n"/>
      <c r="G1142" s="5" t="n"/>
      <c r="H1142" s="5" t="n"/>
      <c r="I1142" s="5" t="n"/>
      <c r="J1142" s="5" t="n"/>
      <c r="K1142" s="5" t="n"/>
      <c r="L1142" s="5" t="n"/>
      <c r="M1142" s="5" t="n"/>
      <c r="N1142" s="5" t="n"/>
      <c r="O1142" s="5" t="n"/>
      <c r="P1142" s="5" t="n"/>
      <c r="Q1142" s="5" t="n"/>
      <c r="R1142" s="5" t="n"/>
      <c r="S1142" s="5" t="n"/>
      <c r="T1142" s="5" t="n"/>
      <c r="U1142" s="5" t="n"/>
      <c r="V1142" s="5" t="n"/>
      <c r="W1142" s="5" t="n"/>
      <c r="X1142" s="5" t="n"/>
      <c r="Y1142" s="5" t="n"/>
      <c r="Z1142" s="5" t="n"/>
      <c r="AA1142" s="5" t="n"/>
      <c r="AB1142" s="5" t="n"/>
    </row>
    <row r="1143" ht="15.75" customHeight="1" s="79">
      <c r="A1143" s="5" t="n"/>
      <c r="B1143" s="5" t="n"/>
      <c r="C1143" s="5" t="n"/>
      <c r="D1143" s="5" t="n"/>
      <c r="E1143" s="5" t="n"/>
      <c r="F1143" s="5" t="n"/>
      <c r="G1143" s="5" t="n"/>
      <c r="H1143" s="5" t="n"/>
      <c r="I1143" s="5" t="n"/>
      <c r="J1143" s="5" t="n"/>
      <c r="K1143" s="5" t="n"/>
      <c r="L1143" s="5" t="n"/>
      <c r="M1143" s="5" t="n"/>
      <c r="N1143" s="5" t="n"/>
      <c r="O1143" s="5" t="n"/>
      <c r="P1143" s="5" t="n"/>
      <c r="Q1143" s="5" t="n"/>
      <c r="R1143" s="5" t="n"/>
      <c r="S1143" s="5" t="n"/>
      <c r="T1143" s="5" t="n"/>
      <c r="U1143" s="5" t="n"/>
      <c r="V1143" s="5" t="n"/>
      <c r="W1143" s="5" t="n"/>
      <c r="X1143" s="5" t="n"/>
      <c r="Y1143" s="5" t="n"/>
      <c r="Z1143" s="5" t="n"/>
      <c r="AA1143" s="5" t="n"/>
      <c r="AB1143" s="5" t="n"/>
    </row>
    <row r="1144" ht="15.75" customHeight="1" s="79">
      <c r="A1144" s="5" t="n"/>
      <c r="B1144" s="5" t="n"/>
      <c r="C1144" s="5" t="n"/>
      <c r="D1144" s="5" t="n"/>
      <c r="E1144" s="5" t="n"/>
      <c r="F1144" s="5" t="n"/>
      <c r="G1144" s="5" t="n"/>
      <c r="H1144" s="5" t="n"/>
      <c r="I1144" s="5" t="n"/>
      <c r="J1144" s="5" t="n"/>
      <c r="K1144" s="5" t="n"/>
      <c r="L1144" s="5" t="n"/>
      <c r="M1144" s="5" t="n"/>
      <c r="N1144" s="5" t="n"/>
      <c r="O1144" s="5" t="n"/>
      <c r="P1144" s="5" t="n"/>
      <c r="Q1144" s="5" t="n"/>
      <c r="R1144" s="5" t="n"/>
      <c r="S1144" s="5" t="n"/>
      <c r="T1144" s="5" t="n"/>
      <c r="U1144" s="5" t="n"/>
      <c r="V1144" s="5" t="n"/>
      <c r="W1144" s="5" t="n"/>
      <c r="X1144" s="5" t="n"/>
      <c r="Y1144" s="5" t="n"/>
      <c r="Z1144" s="5" t="n"/>
      <c r="AA1144" s="5" t="n"/>
      <c r="AB1144" s="5" t="n"/>
    </row>
    <row r="1145" ht="15.75" customHeight="1" s="79">
      <c r="A1145" s="5" t="n"/>
      <c r="B1145" s="5" t="n"/>
      <c r="C1145" s="5" t="n"/>
      <c r="D1145" s="5" t="n"/>
      <c r="E1145" s="5" t="n"/>
      <c r="F1145" s="5" t="n"/>
      <c r="G1145" s="5" t="n"/>
      <c r="H1145" s="5" t="n"/>
      <c r="I1145" s="5" t="n"/>
      <c r="J1145" s="5" t="n"/>
      <c r="K1145" s="5" t="n"/>
      <c r="L1145" s="5" t="n"/>
      <c r="M1145" s="5" t="n"/>
      <c r="N1145" s="5" t="n"/>
      <c r="O1145" s="5" t="n"/>
      <c r="P1145" s="5" t="n"/>
      <c r="Q1145" s="5" t="n"/>
      <c r="R1145" s="5" t="n"/>
      <c r="S1145" s="5" t="n"/>
      <c r="T1145" s="5" t="n"/>
      <c r="U1145" s="5" t="n"/>
      <c r="V1145" s="5" t="n"/>
      <c r="W1145" s="5" t="n"/>
      <c r="X1145" s="5" t="n"/>
      <c r="Y1145" s="5" t="n"/>
      <c r="Z1145" s="5" t="n"/>
      <c r="AA1145" s="5" t="n"/>
      <c r="AB1145" s="5" t="n"/>
    </row>
    <row r="1146" ht="15.75" customHeight="1" s="79">
      <c r="A1146" s="5" t="n"/>
      <c r="B1146" s="5" t="n"/>
      <c r="C1146" s="5" t="n"/>
      <c r="D1146" s="5" t="n"/>
      <c r="E1146" s="5" t="n"/>
      <c r="F1146" s="5" t="n"/>
      <c r="G1146" s="5" t="n"/>
      <c r="H1146" s="5" t="n"/>
      <c r="I1146" s="5" t="n"/>
      <c r="J1146" s="5" t="n"/>
      <c r="K1146" s="5" t="n"/>
      <c r="L1146" s="5" t="n"/>
      <c r="M1146" s="5" t="n"/>
      <c r="N1146" s="5" t="n"/>
      <c r="O1146" s="5" t="n"/>
      <c r="P1146" s="5" t="n"/>
      <c r="Q1146" s="5" t="n"/>
      <c r="R1146" s="5" t="n"/>
      <c r="S1146" s="5" t="n"/>
      <c r="T1146" s="5" t="n"/>
      <c r="U1146" s="5" t="n"/>
      <c r="V1146" s="5" t="n"/>
      <c r="W1146" s="5" t="n"/>
      <c r="X1146" s="5" t="n"/>
      <c r="Y1146" s="5" t="n"/>
      <c r="Z1146" s="5" t="n"/>
      <c r="AA1146" s="5" t="n"/>
      <c r="AB1146" s="5" t="n"/>
    </row>
    <row r="1147" ht="15.75" customHeight="1" s="79">
      <c r="A1147" s="5" t="n"/>
      <c r="B1147" s="5" t="n"/>
      <c r="C1147" s="5" t="n"/>
      <c r="D1147" s="5" t="n"/>
      <c r="E1147" s="5" t="n"/>
      <c r="F1147" s="5" t="n"/>
      <c r="G1147" s="5" t="n"/>
      <c r="H1147" s="5" t="n"/>
      <c r="I1147" s="5" t="n"/>
      <c r="J1147" s="5" t="n"/>
      <c r="K1147" s="5" t="n"/>
      <c r="L1147" s="5" t="n"/>
      <c r="M1147" s="5" t="n"/>
      <c r="N1147" s="5" t="n"/>
      <c r="O1147" s="5" t="n"/>
      <c r="P1147" s="5" t="n"/>
      <c r="Q1147" s="5" t="n"/>
      <c r="R1147" s="5" t="n"/>
      <c r="S1147" s="5" t="n"/>
      <c r="T1147" s="5" t="n"/>
      <c r="U1147" s="5" t="n"/>
      <c r="V1147" s="5" t="n"/>
      <c r="W1147" s="5" t="n"/>
      <c r="X1147" s="5" t="n"/>
      <c r="Y1147" s="5" t="n"/>
      <c r="Z1147" s="5" t="n"/>
      <c r="AA1147" s="5" t="n"/>
      <c r="AB1147" s="5" t="n"/>
    </row>
    <row r="1148" ht="15.75" customHeight="1" s="79">
      <c r="A1148" s="5" t="n"/>
      <c r="B1148" s="5" t="n"/>
      <c r="C1148" s="5" t="n"/>
      <c r="D1148" s="5" t="n"/>
      <c r="E1148" s="5" t="n"/>
      <c r="F1148" s="5" t="n"/>
      <c r="G1148" s="5" t="n"/>
      <c r="H1148" s="5" t="n"/>
      <c r="I1148" s="5" t="n"/>
      <c r="J1148" s="5" t="n"/>
      <c r="K1148" s="5" t="n"/>
      <c r="L1148" s="5" t="n"/>
      <c r="M1148" s="5" t="n"/>
      <c r="N1148" s="5" t="n"/>
      <c r="O1148" s="5" t="n"/>
      <c r="P1148" s="5" t="n"/>
      <c r="Q1148" s="5" t="n"/>
      <c r="R1148" s="5" t="n"/>
      <c r="S1148" s="5" t="n"/>
      <c r="T1148" s="5" t="n"/>
      <c r="U1148" s="5" t="n"/>
      <c r="V1148" s="5" t="n"/>
      <c r="W1148" s="5" t="n"/>
      <c r="X1148" s="5" t="n"/>
      <c r="Y1148" s="5" t="n"/>
      <c r="Z1148" s="5" t="n"/>
      <c r="AA1148" s="5" t="n"/>
      <c r="AB1148" s="5" t="n"/>
    </row>
    <row r="1149" ht="15.75" customHeight="1" s="79">
      <c r="A1149" s="5" t="n"/>
      <c r="B1149" s="5" t="n"/>
      <c r="C1149" s="5" t="n"/>
      <c r="D1149" s="5" t="n"/>
      <c r="E1149" s="5" t="n"/>
      <c r="F1149" s="5" t="n"/>
      <c r="G1149" s="5" t="n"/>
      <c r="H1149" s="5" t="n"/>
      <c r="I1149" s="5" t="n"/>
      <c r="J1149" s="5" t="n"/>
      <c r="K1149" s="5" t="n"/>
      <c r="L1149" s="5" t="n"/>
      <c r="M1149" s="5" t="n"/>
      <c r="N1149" s="5" t="n"/>
      <c r="O1149" s="5" t="n"/>
      <c r="P1149" s="5" t="n"/>
      <c r="Q1149" s="5" t="n"/>
      <c r="R1149" s="5" t="n"/>
      <c r="S1149" s="5" t="n"/>
      <c r="T1149" s="5" t="n"/>
      <c r="U1149" s="5" t="n"/>
      <c r="V1149" s="5" t="n"/>
      <c r="W1149" s="5" t="n"/>
      <c r="X1149" s="5" t="n"/>
      <c r="Y1149" s="5" t="n"/>
      <c r="Z1149" s="5" t="n"/>
      <c r="AA1149" s="5" t="n"/>
      <c r="AB1149" s="5" t="n"/>
    </row>
    <row r="1150" ht="15.75" customHeight="1" s="79">
      <c r="A1150" s="5" t="n"/>
      <c r="B1150" s="5" t="n"/>
      <c r="C1150" s="5" t="n"/>
      <c r="D1150" s="5" t="n"/>
      <c r="E1150" s="5" t="n"/>
      <c r="F1150" s="5" t="n"/>
      <c r="G1150" s="5" t="n"/>
      <c r="H1150" s="5" t="n"/>
      <c r="I1150" s="5" t="n"/>
      <c r="J1150" s="5" t="n"/>
      <c r="K1150" s="5" t="n"/>
      <c r="L1150" s="5" t="n"/>
      <c r="M1150" s="5" t="n"/>
      <c r="N1150" s="5" t="n"/>
      <c r="O1150" s="5" t="n"/>
      <c r="P1150" s="5" t="n"/>
      <c r="Q1150" s="5" t="n"/>
      <c r="R1150" s="5" t="n"/>
      <c r="S1150" s="5" t="n"/>
      <c r="T1150" s="5" t="n"/>
      <c r="U1150" s="5" t="n"/>
      <c r="V1150" s="5" t="n"/>
      <c r="W1150" s="5" t="n"/>
      <c r="X1150" s="5" t="n"/>
      <c r="Y1150" s="5" t="n"/>
      <c r="Z1150" s="5" t="n"/>
      <c r="AA1150" s="5" t="n"/>
      <c r="AB1150" s="5" t="n"/>
    </row>
    <row r="1151" ht="15.75" customHeight="1" s="79">
      <c r="A1151" s="5" t="n"/>
      <c r="B1151" s="5" t="n"/>
      <c r="C1151" s="5" t="n"/>
      <c r="D1151" s="5" t="n"/>
      <c r="E1151" s="5" t="n"/>
      <c r="F1151" s="5" t="n"/>
      <c r="G1151" s="5" t="n"/>
      <c r="H1151" s="5" t="n"/>
      <c r="I1151" s="5" t="n"/>
      <c r="J1151" s="5" t="n"/>
      <c r="K1151" s="5" t="n"/>
      <c r="L1151" s="5" t="n"/>
      <c r="M1151" s="5" t="n"/>
      <c r="N1151" s="5" t="n"/>
      <c r="O1151" s="5" t="n"/>
      <c r="P1151" s="5" t="n"/>
      <c r="Q1151" s="5" t="n"/>
      <c r="R1151" s="5" t="n"/>
      <c r="S1151" s="5" t="n"/>
      <c r="T1151" s="5" t="n"/>
      <c r="U1151" s="5" t="n"/>
      <c r="V1151" s="5" t="n"/>
      <c r="W1151" s="5" t="n"/>
      <c r="X1151" s="5" t="n"/>
      <c r="Y1151" s="5" t="n"/>
      <c r="Z1151" s="5" t="n"/>
      <c r="AA1151" s="5" t="n"/>
      <c r="AB1151" s="5" t="n"/>
    </row>
    <row r="1152" ht="15.75" customHeight="1" s="79">
      <c r="A1152" s="5" t="n"/>
      <c r="B1152" s="5" t="n"/>
      <c r="C1152" s="5" t="n"/>
      <c r="D1152" s="5" t="n"/>
      <c r="E1152" s="5" t="n"/>
      <c r="F1152" s="5" t="n"/>
      <c r="G1152" s="5" t="n"/>
      <c r="H1152" s="5" t="n"/>
      <c r="I1152" s="5" t="n"/>
      <c r="J1152" s="5" t="n"/>
      <c r="K1152" s="5" t="n"/>
      <c r="L1152" s="5" t="n"/>
      <c r="M1152" s="5" t="n"/>
      <c r="N1152" s="5" t="n"/>
      <c r="O1152" s="5" t="n"/>
      <c r="P1152" s="5" t="n"/>
      <c r="Q1152" s="5" t="n"/>
      <c r="R1152" s="5" t="n"/>
      <c r="S1152" s="5" t="n"/>
      <c r="T1152" s="5" t="n"/>
      <c r="U1152" s="5" t="n"/>
      <c r="V1152" s="5" t="n"/>
      <c r="W1152" s="5" t="n"/>
      <c r="X1152" s="5" t="n"/>
      <c r="Y1152" s="5" t="n"/>
      <c r="Z1152" s="5" t="n"/>
      <c r="AA1152" s="5" t="n"/>
      <c r="AB1152" s="5" t="n"/>
    </row>
    <row r="1153" ht="15.75" customHeight="1" s="79">
      <c r="A1153" s="5" t="n"/>
      <c r="B1153" s="5" t="n"/>
      <c r="C1153" s="5" t="n"/>
      <c r="D1153" s="5" t="n"/>
      <c r="E1153" s="5" t="n"/>
      <c r="F1153" s="5" t="n"/>
      <c r="G1153" s="5" t="n"/>
      <c r="H1153" s="5" t="n"/>
      <c r="I1153" s="5" t="n"/>
      <c r="J1153" s="5" t="n"/>
      <c r="K1153" s="5" t="n"/>
      <c r="L1153" s="5" t="n"/>
      <c r="M1153" s="5" t="n"/>
      <c r="N1153" s="5" t="n"/>
      <c r="O1153" s="5" t="n"/>
      <c r="P1153" s="5" t="n"/>
      <c r="Q1153" s="5" t="n"/>
      <c r="R1153" s="5" t="n"/>
      <c r="S1153" s="5" t="n"/>
      <c r="T1153" s="5" t="n"/>
      <c r="U1153" s="5" t="n"/>
      <c r="V1153" s="5" t="n"/>
      <c r="W1153" s="5" t="n"/>
      <c r="X1153" s="5" t="n"/>
      <c r="Y1153" s="5" t="n"/>
      <c r="Z1153" s="5" t="n"/>
      <c r="AA1153" s="5" t="n"/>
      <c r="AB1153" s="5" t="n"/>
    </row>
    <row r="1154" ht="15.75" customHeight="1" s="79">
      <c r="A1154" s="5" t="n"/>
      <c r="B1154" s="5" t="n"/>
      <c r="C1154" s="5" t="n"/>
      <c r="D1154" s="5" t="n"/>
      <c r="E1154" s="5" t="n"/>
      <c r="F1154" s="5" t="n"/>
      <c r="G1154" s="5" t="n"/>
      <c r="H1154" s="5" t="n"/>
      <c r="I1154" s="5" t="n"/>
      <c r="J1154" s="5" t="n"/>
      <c r="K1154" s="5" t="n"/>
      <c r="L1154" s="5" t="n"/>
      <c r="M1154" s="5" t="n"/>
      <c r="N1154" s="5" t="n"/>
      <c r="O1154" s="5" t="n"/>
      <c r="P1154" s="5" t="n"/>
      <c r="Q1154" s="5" t="n"/>
      <c r="R1154" s="5" t="n"/>
      <c r="S1154" s="5" t="n"/>
      <c r="T1154" s="5" t="n"/>
      <c r="U1154" s="5" t="n"/>
      <c r="V1154" s="5" t="n"/>
      <c r="W1154" s="5" t="n"/>
      <c r="X1154" s="5" t="n"/>
      <c r="Y1154" s="5" t="n"/>
      <c r="Z1154" s="5" t="n"/>
      <c r="AA1154" s="5" t="n"/>
      <c r="AB1154" s="5" t="n"/>
    </row>
    <row r="1155" ht="15.75" customHeight="1" s="79">
      <c r="A1155" s="5" t="n"/>
      <c r="B1155" s="5" t="n"/>
      <c r="C1155" s="5" t="n"/>
      <c r="D1155" s="5" t="n"/>
      <c r="E1155" s="5" t="n"/>
      <c r="F1155" s="5" t="n"/>
      <c r="G1155" s="5" t="n"/>
      <c r="H1155" s="5" t="n"/>
      <c r="I1155" s="5" t="n"/>
      <c r="J1155" s="5" t="n"/>
      <c r="K1155" s="5" t="n"/>
      <c r="L1155" s="5" t="n"/>
      <c r="M1155" s="5" t="n"/>
      <c r="N1155" s="5" t="n"/>
      <c r="O1155" s="5" t="n"/>
      <c r="P1155" s="5" t="n"/>
      <c r="Q1155" s="5" t="n"/>
      <c r="R1155" s="5" t="n"/>
      <c r="S1155" s="5" t="n"/>
      <c r="T1155" s="5" t="n"/>
      <c r="U1155" s="5" t="n"/>
      <c r="V1155" s="5" t="n"/>
      <c r="W1155" s="5" t="n"/>
      <c r="X1155" s="5" t="n"/>
      <c r="Y1155" s="5" t="n"/>
      <c r="Z1155" s="5" t="n"/>
      <c r="AA1155" s="5" t="n"/>
      <c r="AB1155" s="5" t="n"/>
    </row>
    <row r="1156" ht="15.75" customHeight="1" s="79">
      <c r="A1156" s="5" t="n"/>
      <c r="B1156" s="5" t="n"/>
      <c r="C1156" s="5" t="n"/>
      <c r="D1156" s="5" t="n"/>
      <c r="E1156" s="5" t="n"/>
      <c r="F1156" s="5" t="n"/>
      <c r="G1156" s="5" t="n"/>
      <c r="H1156" s="5" t="n"/>
      <c r="I1156" s="5" t="n"/>
      <c r="J1156" s="5" t="n"/>
      <c r="K1156" s="5" t="n"/>
      <c r="L1156" s="5" t="n"/>
      <c r="M1156" s="5" t="n"/>
      <c r="N1156" s="5" t="n"/>
      <c r="O1156" s="5" t="n"/>
      <c r="P1156" s="5" t="n"/>
      <c r="Q1156" s="5" t="n"/>
      <c r="R1156" s="5" t="n"/>
      <c r="S1156" s="5" t="n"/>
      <c r="T1156" s="5" t="n"/>
      <c r="U1156" s="5" t="n"/>
      <c r="V1156" s="5" t="n"/>
      <c r="W1156" s="5" t="n"/>
      <c r="X1156" s="5" t="n"/>
      <c r="Y1156" s="5" t="n"/>
      <c r="Z1156" s="5" t="n"/>
      <c r="AA1156" s="5" t="n"/>
      <c r="AB1156" s="5" t="n"/>
    </row>
    <row r="1157" ht="15.75" customHeight="1" s="79">
      <c r="A1157" s="5" t="n"/>
      <c r="B1157" s="5" t="n"/>
      <c r="C1157" s="5" t="n"/>
      <c r="D1157" s="5" t="n"/>
      <c r="E1157" s="5" t="n"/>
      <c r="F1157" s="5" t="n"/>
      <c r="G1157" s="5" t="n"/>
      <c r="H1157" s="5" t="n"/>
      <c r="I1157" s="5" t="n"/>
      <c r="J1157" s="5" t="n"/>
      <c r="K1157" s="5" t="n"/>
      <c r="L1157" s="5" t="n"/>
      <c r="M1157" s="5" t="n"/>
      <c r="N1157" s="5" t="n"/>
      <c r="O1157" s="5" t="n"/>
      <c r="P1157" s="5" t="n"/>
      <c r="Q1157" s="5" t="n"/>
      <c r="R1157" s="5" t="n"/>
      <c r="S1157" s="5" t="n"/>
      <c r="T1157" s="5" t="n"/>
      <c r="U1157" s="5" t="n"/>
      <c r="V1157" s="5" t="n"/>
      <c r="W1157" s="5" t="n"/>
      <c r="X1157" s="5" t="n"/>
      <c r="Y1157" s="5" t="n"/>
      <c r="Z1157" s="5" t="n"/>
      <c r="AA1157" s="5" t="n"/>
      <c r="AB1157" s="5" t="n"/>
    </row>
    <row r="1158" ht="15.75" customHeight="1" s="79">
      <c r="A1158" s="5" t="n"/>
      <c r="B1158" s="5" t="n"/>
      <c r="C1158" s="5" t="n"/>
      <c r="D1158" s="5" t="n"/>
      <c r="E1158" s="5" t="n"/>
      <c r="F1158" s="5" t="n"/>
      <c r="G1158" s="5" t="n"/>
      <c r="H1158" s="5" t="n"/>
      <c r="I1158" s="5" t="n"/>
      <c r="J1158" s="5" t="n"/>
      <c r="K1158" s="5" t="n"/>
      <c r="L1158" s="5" t="n"/>
      <c r="M1158" s="5" t="n"/>
      <c r="N1158" s="5" t="n"/>
      <c r="O1158" s="5" t="n"/>
      <c r="P1158" s="5" t="n"/>
      <c r="Q1158" s="5" t="n"/>
      <c r="R1158" s="5" t="n"/>
      <c r="S1158" s="5" t="n"/>
      <c r="T1158" s="5" t="n"/>
      <c r="U1158" s="5" t="n"/>
      <c r="V1158" s="5" t="n"/>
      <c r="W1158" s="5" t="n"/>
      <c r="X1158" s="5" t="n"/>
      <c r="Y1158" s="5" t="n"/>
      <c r="Z1158" s="5" t="n"/>
      <c r="AA1158" s="5" t="n"/>
      <c r="AB1158" s="5" t="n"/>
    </row>
    <row r="1159" ht="15.75" customHeight="1" s="79">
      <c r="A1159" s="5" t="n"/>
      <c r="B1159" s="5" t="n"/>
      <c r="C1159" s="5" t="n"/>
      <c r="D1159" s="5" t="n"/>
      <c r="E1159" s="5" t="n"/>
      <c r="F1159" s="5" t="n"/>
      <c r="G1159" s="5" t="n"/>
      <c r="H1159" s="5" t="n"/>
      <c r="I1159" s="5" t="n"/>
      <c r="J1159" s="5" t="n"/>
      <c r="K1159" s="5" t="n"/>
      <c r="L1159" s="5" t="n"/>
      <c r="M1159" s="5" t="n"/>
      <c r="N1159" s="5" t="n"/>
      <c r="O1159" s="5" t="n"/>
      <c r="P1159" s="5" t="n"/>
      <c r="Q1159" s="5" t="n"/>
      <c r="R1159" s="5" t="n"/>
      <c r="S1159" s="5" t="n"/>
      <c r="T1159" s="5" t="n"/>
      <c r="U1159" s="5" t="n"/>
      <c r="V1159" s="5" t="n"/>
      <c r="W1159" s="5" t="n"/>
      <c r="X1159" s="5" t="n"/>
      <c r="Y1159" s="5" t="n"/>
      <c r="Z1159" s="5" t="n"/>
      <c r="AA1159" s="5" t="n"/>
      <c r="AB1159" s="5" t="n"/>
    </row>
    <row r="1160" ht="15.75" customHeight="1" s="79">
      <c r="A1160" s="5" t="n"/>
      <c r="B1160" s="5" t="n"/>
      <c r="C1160" s="5" t="n"/>
      <c r="D1160" s="5" t="n"/>
      <c r="E1160" s="5" t="n"/>
      <c r="F1160" s="5" t="n"/>
      <c r="G1160" s="5" t="n"/>
      <c r="H1160" s="5" t="n"/>
      <c r="I1160" s="5" t="n"/>
      <c r="J1160" s="5" t="n"/>
      <c r="K1160" s="5" t="n"/>
      <c r="L1160" s="5" t="n"/>
      <c r="M1160" s="5" t="n"/>
      <c r="N1160" s="5" t="n"/>
      <c r="O1160" s="5" t="n"/>
      <c r="P1160" s="5" t="n"/>
      <c r="Q1160" s="5" t="n"/>
      <c r="R1160" s="5" t="n"/>
      <c r="S1160" s="5" t="n"/>
      <c r="T1160" s="5" t="n"/>
      <c r="U1160" s="5" t="n"/>
      <c r="V1160" s="5" t="n"/>
      <c r="W1160" s="5" t="n"/>
      <c r="X1160" s="5" t="n"/>
      <c r="Y1160" s="5" t="n"/>
      <c r="Z1160" s="5" t="n"/>
      <c r="AA1160" s="5" t="n"/>
      <c r="AB1160" s="5" t="n"/>
    </row>
    <row r="1161" ht="15.75" customHeight="1" s="79">
      <c r="A1161" s="5" t="n"/>
      <c r="B1161" s="5" t="n"/>
      <c r="C1161" s="5" t="n"/>
      <c r="D1161" s="5" t="n"/>
      <c r="E1161" s="5" t="n"/>
      <c r="F1161" s="5" t="n"/>
      <c r="G1161" s="5" t="n"/>
      <c r="H1161" s="5" t="n"/>
      <c r="I1161" s="5" t="n"/>
      <c r="J1161" s="5" t="n"/>
      <c r="K1161" s="5" t="n"/>
      <c r="L1161" s="5" t="n"/>
      <c r="M1161" s="5" t="n"/>
      <c r="N1161" s="5" t="n"/>
      <c r="O1161" s="5" t="n"/>
      <c r="P1161" s="5" t="n"/>
      <c r="Q1161" s="5" t="n"/>
      <c r="R1161" s="5" t="n"/>
      <c r="S1161" s="5" t="n"/>
      <c r="T1161" s="5" t="n"/>
      <c r="U1161" s="5" t="n"/>
      <c r="V1161" s="5" t="n"/>
      <c r="W1161" s="5" t="n"/>
      <c r="X1161" s="5" t="n"/>
      <c r="Y1161" s="5" t="n"/>
      <c r="Z1161" s="5" t="n"/>
      <c r="AA1161" s="5" t="n"/>
      <c r="AB1161" s="5" t="n"/>
    </row>
    <row r="1162" ht="15.75" customHeight="1" s="79">
      <c r="A1162" s="5" t="n"/>
      <c r="B1162" s="5" t="n"/>
      <c r="C1162" s="5" t="n"/>
      <c r="D1162" s="5" t="n"/>
      <c r="E1162" s="5" t="n"/>
      <c r="F1162" s="5" t="n"/>
      <c r="G1162" s="5" t="n"/>
      <c r="H1162" s="5" t="n"/>
      <c r="I1162" s="5" t="n"/>
      <c r="J1162" s="5" t="n"/>
      <c r="K1162" s="5" t="n"/>
      <c r="L1162" s="5" t="n"/>
      <c r="M1162" s="5" t="n"/>
      <c r="N1162" s="5" t="n"/>
      <c r="O1162" s="5" t="n"/>
      <c r="P1162" s="5" t="n"/>
      <c r="Q1162" s="5" t="n"/>
      <c r="R1162" s="5" t="n"/>
      <c r="S1162" s="5" t="n"/>
      <c r="T1162" s="5" t="n"/>
      <c r="U1162" s="5" t="n"/>
      <c r="V1162" s="5" t="n"/>
      <c r="W1162" s="5" t="n"/>
      <c r="X1162" s="5" t="n"/>
      <c r="Y1162" s="5" t="n"/>
      <c r="Z1162" s="5" t="n"/>
      <c r="AA1162" s="5" t="n"/>
      <c r="AB1162" s="5" t="n"/>
    </row>
    <row r="1163" ht="15.75" customHeight="1" s="79">
      <c r="A1163" s="5" t="n"/>
      <c r="B1163" s="5" t="n"/>
      <c r="C1163" s="5" t="n"/>
      <c r="D1163" s="5" t="n"/>
      <c r="E1163" s="5" t="n"/>
      <c r="F1163" s="5" t="n"/>
      <c r="G1163" s="5" t="n"/>
      <c r="H1163" s="5" t="n"/>
      <c r="I1163" s="5" t="n"/>
      <c r="J1163" s="5" t="n"/>
      <c r="K1163" s="5" t="n"/>
      <c r="L1163" s="5" t="n"/>
      <c r="M1163" s="5" t="n"/>
      <c r="N1163" s="5" t="n"/>
      <c r="O1163" s="5" t="n"/>
      <c r="P1163" s="5" t="n"/>
      <c r="Q1163" s="5" t="n"/>
      <c r="R1163" s="5" t="n"/>
      <c r="S1163" s="5" t="n"/>
      <c r="T1163" s="5" t="n"/>
      <c r="U1163" s="5" t="n"/>
      <c r="V1163" s="5" t="n"/>
      <c r="W1163" s="5" t="n"/>
      <c r="X1163" s="5" t="n"/>
      <c r="Y1163" s="5" t="n"/>
      <c r="Z1163" s="5" t="n"/>
      <c r="AA1163" s="5" t="n"/>
      <c r="AB1163" s="5" t="n"/>
    </row>
    <row r="1164" ht="15.75" customHeight="1" s="79">
      <c r="A1164" s="5" t="n"/>
      <c r="B1164" s="5" t="n"/>
      <c r="C1164" s="5" t="n"/>
      <c r="D1164" s="5" t="n"/>
      <c r="E1164" s="5" t="n"/>
      <c r="F1164" s="5" t="n"/>
      <c r="G1164" s="5" t="n"/>
      <c r="H1164" s="5" t="n"/>
      <c r="I1164" s="5" t="n"/>
      <c r="J1164" s="5" t="n"/>
      <c r="K1164" s="5" t="n"/>
      <c r="L1164" s="5" t="n"/>
      <c r="M1164" s="5" t="n"/>
      <c r="N1164" s="5" t="n"/>
      <c r="O1164" s="5" t="n"/>
      <c r="P1164" s="5" t="n"/>
      <c r="Q1164" s="5" t="n"/>
      <c r="R1164" s="5" t="n"/>
      <c r="S1164" s="5" t="n"/>
      <c r="T1164" s="5" t="n"/>
      <c r="U1164" s="5" t="n"/>
      <c r="V1164" s="5" t="n"/>
      <c r="W1164" s="5" t="n"/>
      <c r="X1164" s="5" t="n"/>
      <c r="Y1164" s="5" t="n"/>
      <c r="Z1164" s="5" t="n"/>
      <c r="AA1164" s="5" t="n"/>
      <c r="AB1164" s="5" t="n"/>
    </row>
    <row r="1165" ht="15.75" customHeight="1" s="79">
      <c r="A1165" s="5" t="n"/>
      <c r="B1165" s="5" t="n"/>
      <c r="C1165" s="5" t="n"/>
      <c r="D1165" s="5" t="n"/>
      <c r="E1165" s="5" t="n"/>
      <c r="F1165" s="5" t="n"/>
      <c r="G1165" s="5" t="n"/>
      <c r="H1165" s="5" t="n"/>
      <c r="I1165" s="5" t="n"/>
      <c r="J1165" s="5" t="n"/>
      <c r="K1165" s="5" t="n"/>
      <c r="L1165" s="5" t="n"/>
      <c r="M1165" s="5" t="n"/>
      <c r="N1165" s="5" t="n"/>
      <c r="O1165" s="5" t="n"/>
      <c r="P1165" s="5" t="n"/>
      <c r="Q1165" s="5" t="n"/>
      <c r="R1165" s="5" t="n"/>
      <c r="S1165" s="5" t="n"/>
      <c r="T1165" s="5" t="n"/>
      <c r="U1165" s="5" t="n"/>
      <c r="V1165" s="5" t="n"/>
      <c r="W1165" s="5" t="n"/>
      <c r="X1165" s="5" t="n"/>
      <c r="Y1165" s="5" t="n"/>
      <c r="Z1165" s="5" t="n"/>
      <c r="AA1165" s="5" t="n"/>
      <c r="AB1165" s="5" t="n"/>
    </row>
    <row r="1166" ht="15.75" customHeight="1" s="79">
      <c r="A1166" s="5" t="n"/>
      <c r="B1166" s="5" t="n"/>
      <c r="C1166" s="5" t="n"/>
      <c r="D1166" s="5" t="n"/>
      <c r="E1166" s="5" t="n"/>
      <c r="F1166" s="5" t="n"/>
      <c r="G1166" s="5" t="n"/>
      <c r="H1166" s="5" t="n"/>
      <c r="I1166" s="5" t="n"/>
      <c r="J1166" s="5" t="n"/>
      <c r="K1166" s="5" t="n"/>
      <c r="L1166" s="5" t="n"/>
      <c r="M1166" s="5" t="n"/>
      <c r="N1166" s="5" t="n"/>
      <c r="O1166" s="5" t="n"/>
      <c r="P1166" s="5" t="n"/>
      <c r="Q1166" s="5" t="n"/>
      <c r="R1166" s="5" t="n"/>
      <c r="S1166" s="5" t="n"/>
      <c r="T1166" s="5" t="n"/>
      <c r="U1166" s="5" t="n"/>
      <c r="V1166" s="5" t="n"/>
      <c r="W1166" s="5" t="n"/>
      <c r="X1166" s="5" t="n"/>
      <c r="Y1166" s="5" t="n"/>
      <c r="Z1166" s="5" t="n"/>
      <c r="AA1166" s="5" t="n"/>
      <c r="AB1166" s="5" t="n"/>
    </row>
    <row r="1167" ht="15.75" customHeight="1" s="79">
      <c r="A1167" s="5" t="n"/>
      <c r="B1167" s="5" t="n"/>
      <c r="C1167" s="5" t="n"/>
      <c r="D1167" s="5" t="n"/>
      <c r="E1167" s="5" t="n"/>
      <c r="F1167" s="5" t="n"/>
      <c r="G1167" s="5" t="n"/>
      <c r="H1167" s="5" t="n"/>
      <c r="I1167" s="5" t="n"/>
      <c r="J1167" s="5" t="n"/>
      <c r="K1167" s="5" t="n"/>
      <c r="L1167" s="5" t="n"/>
      <c r="M1167" s="5" t="n"/>
      <c r="N1167" s="5" t="n"/>
      <c r="O1167" s="5" t="n"/>
      <c r="P1167" s="5" t="n"/>
      <c r="Q1167" s="5" t="n"/>
      <c r="R1167" s="5" t="n"/>
      <c r="S1167" s="5" t="n"/>
      <c r="T1167" s="5" t="n"/>
      <c r="U1167" s="5" t="n"/>
      <c r="V1167" s="5" t="n"/>
      <c r="W1167" s="5" t="n"/>
      <c r="X1167" s="5" t="n"/>
      <c r="Y1167" s="5" t="n"/>
      <c r="Z1167" s="5" t="n"/>
      <c r="AA1167" s="5" t="n"/>
      <c r="AB1167" s="5" t="n"/>
    </row>
    <row r="1168" ht="15.75" customHeight="1" s="79">
      <c r="A1168" s="5" t="n"/>
      <c r="B1168" s="5" t="n"/>
      <c r="C1168" s="5" t="n"/>
      <c r="D1168" s="5" t="n"/>
      <c r="E1168" s="5" t="n"/>
      <c r="F1168" s="5" t="n"/>
      <c r="G1168" s="5" t="n"/>
      <c r="H1168" s="5" t="n"/>
      <c r="I1168" s="5" t="n"/>
      <c r="J1168" s="5" t="n"/>
      <c r="K1168" s="5" t="n"/>
      <c r="L1168" s="5" t="n"/>
      <c r="M1168" s="5" t="n"/>
      <c r="N1168" s="5" t="n"/>
      <c r="O1168" s="5" t="n"/>
      <c r="P1168" s="5" t="n"/>
      <c r="Q1168" s="5" t="n"/>
      <c r="R1168" s="5" t="n"/>
      <c r="S1168" s="5" t="n"/>
      <c r="T1168" s="5" t="n"/>
      <c r="U1168" s="5" t="n"/>
      <c r="V1168" s="5" t="n"/>
      <c r="W1168" s="5" t="n"/>
      <c r="X1168" s="5" t="n"/>
      <c r="Y1168" s="5" t="n"/>
      <c r="Z1168" s="5" t="n"/>
      <c r="AA1168" s="5" t="n"/>
      <c r="AB1168" s="5" t="n"/>
    </row>
    <row r="1169" ht="15.75" customHeight="1" s="79">
      <c r="A1169" s="5" t="n"/>
      <c r="B1169" s="5" t="n"/>
      <c r="C1169" s="5" t="n"/>
      <c r="D1169" s="5" t="n"/>
      <c r="E1169" s="5" t="n"/>
      <c r="F1169" s="5" t="n"/>
      <c r="G1169" s="5" t="n"/>
      <c r="H1169" s="5" t="n"/>
      <c r="I1169" s="5" t="n"/>
      <c r="J1169" s="5" t="n"/>
      <c r="K1169" s="5" t="n"/>
      <c r="L1169" s="5" t="n"/>
      <c r="M1169" s="5" t="n"/>
      <c r="N1169" s="5" t="n"/>
      <c r="O1169" s="5" t="n"/>
      <c r="P1169" s="5" t="n"/>
      <c r="Q1169" s="5" t="n"/>
      <c r="R1169" s="5" t="n"/>
      <c r="S1169" s="5" t="n"/>
      <c r="T1169" s="5" t="n"/>
      <c r="U1169" s="5" t="n"/>
      <c r="V1169" s="5" t="n"/>
      <c r="W1169" s="5" t="n"/>
      <c r="X1169" s="5" t="n"/>
      <c r="Y1169" s="5" t="n"/>
      <c r="Z1169" s="5" t="n"/>
      <c r="AA1169" s="5" t="n"/>
      <c r="AB1169" s="5" t="n"/>
    </row>
    <row r="1170" ht="15.75" customHeight="1" s="79">
      <c r="A1170" s="5" t="n"/>
      <c r="B1170" s="5" t="n"/>
      <c r="C1170" s="5" t="n"/>
      <c r="D1170" s="5" t="n"/>
      <c r="E1170" s="5" t="n"/>
      <c r="F1170" s="5" t="n"/>
      <c r="G1170" s="5" t="n"/>
      <c r="H1170" s="5" t="n"/>
      <c r="I1170" s="5" t="n"/>
      <c r="J1170" s="5" t="n"/>
      <c r="K1170" s="5" t="n"/>
      <c r="L1170" s="5" t="n"/>
      <c r="M1170" s="5" t="n"/>
      <c r="N1170" s="5" t="n"/>
      <c r="O1170" s="5" t="n"/>
      <c r="P1170" s="5" t="n"/>
      <c r="Q1170" s="5" t="n"/>
      <c r="R1170" s="5" t="n"/>
      <c r="S1170" s="5" t="n"/>
      <c r="T1170" s="5" t="n"/>
      <c r="U1170" s="5" t="n"/>
      <c r="V1170" s="5" t="n"/>
      <c r="W1170" s="5" t="n"/>
      <c r="X1170" s="5" t="n"/>
      <c r="Y1170" s="5" t="n"/>
      <c r="Z1170" s="5" t="n"/>
      <c r="AA1170" s="5" t="n"/>
      <c r="AB1170" s="5" t="n"/>
    </row>
    <row r="1171" ht="15.75" customHeight="1" s="79">
      <c r="A1171" s="5" t="n"/>
      <c r="B1171" s="5" t="n"/>
      <c r="C1171" s="5" t="n"/>
      <c r="D1171" s="5" t="n"/>
      <c r="E1171" s="5" t="n"/>
      <c r="F1171" s="5" t="n"/>
      <c r="G1171" s="5" t="n"/>
      <c r="H1171" s="5" t="n"/>
      <c r="I1171" s="5" t="n"/>
      <c r="J1171" s="5" t="n"/>
      <c r="K1171" s="5" t="n"/>
      <c r="L1171" s="5" t="n"/>
      <c r="M1171" s="5" t="n"/>
      <c r="N1171" s="5" t="n"/>
      <c r="O1171" s="5" t="n"/>
      <c r="P1171" s="5" t="n"/>
      <c r="Q1171" s="5" t="n"/>
      <c r="R1171" s="5" t="n"/>
      <c r="S1171" s="5" t="n"/>
      <c r="T1171" s="5" t="n"/>
      <c r="U1171" s="5" t="n"/>
      <c r="V1171" s="5" t="n"/>
      <c r="W1171" s="5" t="n"/>
      <c r="X1171" s="5" t="n"/>
      <c r="Y1171" s="5" t="n"/>
      <c r="Z1171" s="5" t="n"/>
      <c r="AA1171" s="5" t="n"/>
      <c r="AB1171" s="5" t="n"/>
    </row>
    <row r="1172" ht="15.75" customHeight="1" s="79">
      <c r="A1172" s="5" t="n"/>
      <c r="B1172" s="5" t="n"/>
      <c r="C1172" s="5" t="n"/>
      <c r="D1172" s="5" t="n"/>
      <c r="E1172" s="5" t="n"/>
      <c r="F1172" s="5" t="n"/>
      <c r="G1172" s="5" t="n"/>
      <c r="H1172" s="5" t="n"/>
      <c r="I1172" s="5" t="n"/>
      <c r="J1172" s="5" t="n"/>
      <c r="K1172" s="5" t="n"/>
      <c r="L1172" s="5" t="n"/>
      <c r="M1172" s="5" t="n"/>
      <c r="N1172" s="5" t="n"/>
      <c r="O1172" s="5" t="n"/>
      <c r="P1172" s="5" t="n"/>
      <c r="Q1172" s="5" t="n"/>
      <c r="R1172" s="5" t="n"/>
      <c r="S1172" s="5" t="n"/>
      <c r="T1172" s="5" t="n"/>
      <c r="U1172" s="5" t="n"/>
      <c r="V1172" s="5" t="n"/>
      <c r="W1172" s="5" t="n"/>
      <c r="X1172" s="5" t="n"/>
      <c r="Y1172" s="5" t="n"/>
      <c r="Z1172" s="5" t="n"/>
      <c r="AA1172" s="5" t="n"/>
      <c r="AB1172" s="5" t="n"/>
    </row>
    <row r="1173" ht="15.75" customHeight="1" s="79">
      <c r="A1173" s="5" t="n"/>
      <c r="B1173" s="5" t="n"/>
      <c r="C1173" s="5" t="n"/>
      <c r="D1173" s="5" t="n"/>
      <c r="E1173" s="5" t="n"/>
      <c r="F1173" s="5" t="n"/>
      <c r="G1173" s="5" t="n"/>
      <c r="H1173" s="5" t="n"/>
      <c r="I1173" s="5" t="n"/>
      <c r="J1173" s="5" t="n"/>
      <c r="K1173" s="5" t="n"/>
      <c r="L1173" s="5" t="n"/>
      <c r="M1173" s="5" t="n"/>
      <c r="N1173" s="5" t="n"/>
      <c r="O1173" s="5" t="n"/>
      <c r="P1173" s="5" t="n"/>
      <c r="Q1173" s="5" t="n"/>
      <c r="R1173" s="5" t="n"/>
      <c r="S1173" s="5" t="n"/>
      <c r="T1173" s="5" t="n"/>
      <c r="U1173" s="5" t="n"/>
      <c r="V1173" s="5" t="n"/>
      <c r="W1173" s="5" t="n"/>
      <c r="X1173" s="5" t="n"/>
      <c r="Y1173" s="5" t="n"/>
      <c r="Z1173" s="5" t="n"/>
      <c r="AA1173" s="5" t="n"/>
      <c r="AB1173" s="5" t="n"/>
    </row>
    <row r="1174" ht="15.75" customHeight="1" s="79">
      <c r="A1174" s="5" t="n"/>
      <c r="B1174" s="5" t="n"/>
      <c r="C1174" s="5" t="n"/>
      <c r="D1174" s="5" t="n"/>
      <c r="E1174" s="5" t="n"/>
      <c r="F1174" s="5" t="n"/>
      <c r="G1174" s="5" t="n"/>
      <c r="H1174" s="5" t="n"/>
      <c r="I1174" s="5" t="n"/>
      <c r="J1174" s="5" t="n"/>
      <c r="K1174" s="5" t="n"/>
      <c r="L1174" s="5" t="n"/>
      <c r="M1174" s="5" t="n"/>
      <c r="N1174" s="5" t="n"/>
      <c r="O1174" s="5" t="n"/>
      <c r="P1174" s="5" t="n"/>
      <c r="Q1174" s="5" t="n"/>
      <c r="R1174" s="5" t="n"/>
      <c r="S1174" s="5" t="n"/>
      <c r="T1174" s="5" t="n"/>
      <c r="U1174" s="5" t="n"/>
      <c r="V1174" s="5" t="n"/>
      <c r="W1174" s="5" t="n"/>
      <c r="X1174" s="5" t="n"/>
      <c r="Y1174" s="5" t="n"/>
      <c r="Z1174" s="5" t="n"/>
      <c r="AA1174" s="5" t="n"/>
      <c r="AB1174" s="5" t="n"/>
    </row>
    <row r="1175" ht="15.75" customHeight="1" s="79">
      <c r="A1175" s="5" t="n"/>
      <c r="B1175" s="5" t="n"/>
      <c r="C1175" s="5" t="n"/>
      <c r="D1175" s="5" t="n"/>
      <c r="E1175" s="5" t="n"/>
      <c r="F1175" s="5" t="n"/>
      <c r="G1175" s="5" t="n"/>
      <c r="H1175" s="5" t="n"/>
      <c r="I1175" s="5" t="n"/>
      <c r="J1175" s="5" t="n"/>
      <c r="K1175" s="5" t="n"/>
      <c r="L1175" s="5" t="n"/>
      <c r="M1175" s="5" t="n"/>
      <c r="N1175" s="5" t="n"/>
      <c r="O1175" s="5" t="n"/>
      <c r="P1175" s="5" t="n"/>
      <c r="Q1175" s="5" t="n"/>
      <c r="R1175" s="5" t="n"/>
      <c r="S1175" s="5" t="n"/>
      <c r="T1175" s="5" t="n"/>
      <c r="U1175" s="5" t="n"/>
      <c r="V1175" s="5" t="n"/>
      <c r="W1175" s="5" t="n"/>
      <c r="X1175" s="5" t="n"/>
      <c r="Y1175" s="5" t="n"/>
      <c r="Z1175" s="5" t="n"/>
      <c r="AA1175" s="5" t="n"/>
      <c r="AB1175" s="5" t="n"/>
    </row>
    <row r="1176" ht="15.75" customHeight="1" s="79">
      <c r="A1176" s="5" t="n"/>
      <c r="B1176" s="5" t="n"/>
      <c r="C1176" s="5" t="n"/>
      <c r="D1176" s="5" t="n"/>
      <c r="E1176" s="5" t="n"/>
      <c r="F1176" s="5" t="n"/>
      <c r="G1176" s="5" t="n"/>
      <c r="H1176" s="5" t="n"/>
      <c r="I1176" s="5" t="n"/>
      <c r="J1176" s="5" t="n"/>
      <c r="K1176" s="5" t="n"/>
      <c r="L1176" s="5" t="n"/>
      <c r="M1176" s="5" t="n"/>
      <c r="N1176" s="5" t="n"/>
      <c r="O1176" s="5" t="n"/>
      <c r="P1176" s="5" t="n"/>
      <c r="Q1176" s="5" t="n"/>
      <c r="R1176" s="5" t="n"/>
      <c r="S1176" s="5" t="n"/>
      <c r="T1176" s="5" t="n"/>
      <c r="U1176" s="5" t="n"/>
      <c r="V1176" s="5" t="n"/>
      <c r="W1176" s="5" t="n"/>
      <c r="X1176" s="5" t="n"/>
      <c r="Y1176" s="5" t="n"/>
      <c r="Z1176" s="5" t="n"/>
      <c r="AA1176" s="5" t="n"/>
      <c r="AB1176" s="5" t="n"/>
    </row>
    <row r="1177" ht="15.75" customHeight="1" s="79">
      <c r="A1177" s="5" t="n"/>
      <c r="B1177" s="5" t="n"/>
      <c r="C1177" s="5" t="n"/>
      <c r="D1177" s="5" t="n"/>
      <c r="E1177" s="5" t="n"/>
      <c r="F1177" s="5" t="n"/>
      <c r="G1177" s="5" t="n"/>
      <c r="H1177" s="5" t="n"/>
      <c r="I1177" s="5" t="n"/>
      <c r="J1177" s="5" t="n"/>
      <c r="K1177" s="5" t="n"/>
      <c r="L1177" s="5" t="n"/>
      <c r="M1177" s="5" t="n"/>
      <c r="N1177" s="5" t="n"/>
      <c r="O1177" s="5" t="n"/>
      <c r="P1177" s="5" t="n"/>
      <c r="Q1177" s="5" t="n"/>
      <c r="R1177" s="5" t="n"/>
      <c r="S1177" s="5" t="n"/>
      <c r="T1177" s="5" t="n"/>
      <c r="U1177" s="5" t="n"/>
      <c r="V1177" s="5" t="n"/>
      <c r="W1177" s="5" t="n"/>
      <c r="X1177" s="5" t="n"/>
      <c r="Y1177" s="5" t="n"/>
      <c r="Z1177" s="5" t="n"/>
      <c r="AA1177" s="5" t="n"/>
      <c r="AB1177" s="5" t="n"/>
    </row>
    <row r="1178" ht="15.75" customHeight="1" s="79">
      <c r="A1178" s="5" t="n"/>
      <c r="B1178" s="5" t="n"/>
      <c r="C1178" s="5" t="n"/>
      <c r="D1178" s="5" t="n"/>
      <c r="E1178" s="5" t="n"/>
      <c r="F1178" s="5" t="n"/>
      <c r="G1178" s="5" t="n"/>
      <c r="H1178" s="5" t="n"/>
      <c r="I1178" s="5" t="n"/>
      <c r="J1178" s="5" t="n"/>
      <c r="K1178" s="5" t="n"/>
      <c r="L1178" s="5" t="n"/>
      <c r="M1178" s="5" t="n"/>
      <c r="N1178" s="5" t="n"/>
      <c r="O1178" s="5" t="n"/>
      <c r="P1178" s="5" t="n"/>
      <c r="Q1178" s="5" t="n"/>
      <c r="R1178" s="5" t="n"/>
      <c r="S1178" s="5" t="n"/>
      <c r="T1178" s="5" t="n"/>
      <c r="U1178" s="5" t="n"/>
      <c r="V1178" s="5" t="n"/>
      <c r="W1178" s="5" t="n"/>
      <c r="X1178" s="5" t="n"/>
      <c r="Y1178" s="5" t="n"/>
      <c r="Z1178" s="5" t="n"/>
      <c r="AA1178" s="5" t="n"/>
      <c r="AB1178" s="5" t="n"/>
    </row>
    <row r="1179" ht="15.75" customHeight="1" s="79">
      <c r="A1179" s="5" t="n"/>
      <c r="B1179" s="5" t="n"/>
      <c r="C1179" s="5" t="n"/>
      <c r="D1179" s="5" t="n"/>
      <c r="E1179" s="5" t="n"/>
      <c r="F1179" s="5" t="n"/>
      <c r="G1179" s="5" t="n"/>
      <c r="H1179" s="5" t="n"/>
      <c r="I1179" s="5" t="n"/>
      <c r="J1179" s="5" t="n"/>
      <c r="K1179" s="5" t="n"/>
      <c r="L1179" s="5" t="n"/>
      <c r="M1179" s="5" t="n"/>
      <c r="N1179" s="5" t="n"/>
      <c r="O1179" s="5" t="n"/>
      <c r="P1179" s="5" t="n"/>
      <c r="Q1179" s="5" t="n"/>
      <c r="R1179" s="5" t="n"/>
      <c r="S1179" s="5" t="n"/>
      <c r="T1179" s="5" t="n"/>
      <c r="U1179" s="5" t="n"/>
      <c r="V1179" s="5" t="n"/>
      <c r="W1179" s="5" t="n"/>
      <c r="X1179" s="5" t="n"/>
      <c r="Y1179" s="5" t="n"/>
      <c r="Z1179" s="5" t="n"/>
      <c r="AA1179" s="5" t="n"/>
      <c r="AB1179" s="5" t="n"/>
    </row>
    <row r="1180" ht="15.75" customHeight="1" s="79">
      <c r="A1180" s="5" t="n"/>
      <c r="B1180" s="5" t="n"/>
      <c r="C1180" s="5" t="n"/>
      <c r="D1180" s="5" t="n"/>
      <c r="E1180" s="5" t="n"/>
      <c r="F1180" s="5" t="n"/>
      <c r="G1180" s="5" t="n"/>
      <c r="H1180" s="5" t="n"/>
      <c r="I1180" s="5" t="n"/>
      <c r="J1180" s="5" t="n"/>
      <c r="K1180" s="5" t="n"/>
      <c r="L1180" s="5" t="n"/>
      <c r="M1180" s="5" t="n"/>
      <c r="N1180" s="5" t="n"/>
      <c r="O1180" s="5" t="n"/>
      <c r="P1180" s="5" t="n"/>
      <c r="Q1180" s="5" t="n"/>
      <c r="R1180" s="5" t="n"/>
      <c r="S1180" s="5" t="n"/>
      <c r="T1180" s="5" t="n"/>
      <c r="U1180" s="5" t="n"/>
      <c r="V1180" s="5" t="n"/>
      <c r="W1180" s="5" t="n"/>
      <c r="X1180" s="5" t="n"/>
      <c r="Y1180" s="5" t="n"/>
      <c r="Z1180" s="5" t="n"/>
      <c r="AA1180" s="5" t="n"/>
      <c r="AB1180" s="5" t="n"/>
    </row>
    <row r="1181" ht="15.75" customHeight="1" s="79">
      <c r="A1181" s="5" t="n"/>
      <c r="B1181" s="5" t="n"/>
      <c r="C1181" s="5" t="n"/>
      <c r="D1181" s="5" t="n"/>
      <c r="E1181" s="5" t="n"/>
      <c r="F1181" s="5" t="n"/>
      <c r="G1181" s="5" t="n"/>
      <c r="H1181" s="5" t="n"/>
      <c r="I1181" s="5" t="n"/>
      <c r="J1181" s="5" t="n"/>
      <c r="K1181" s="5" t="n"/>
      <c r="L1181" s="5" t="n"/>
      <c r="M1181" s="5" t="n"/>
      <c r="N1181" s="5" t="n"/>
      <c r="O1181" s="5" t="n"/>
      <c r="P1181" s="5" t="n"/>
      <c r="Q1181" s="5" t="n"/>
      <c r="R1181" s="5" t="n"/>
      <c r="S1181" s="5" t="n"/>
      <c r="T1181" s="5" t="n"/>
      <c r="U1181" s="5" t="n"/>
      <c r="V1181" s="5" t="n"/>
      <c r="W1181" s="5" t="n"/>
      <c r="X1181" s="5" t="n"/>
      <c r="Y1181" s="5" t="n"/>
      <c r="Z1181" s="5" t="n"/>
      <c r="AA1181" s="5" t="n"/>
      <c r="AB1181" s="5" t="n"/>
    </row>
    <row r="1182" ht="15.75" customHeight="1" s="79">
      <c r="A1182" s="5" t="n"/>
      <c r="B1182" s="5" t="n"/>
      <c r="C1182" s="5" t="n"/>
      <c r="D1182" s="5" t="n"/>
      <c r="E1182" s="5" t="n"/>
      <c r="F1182" s="5" t="n"/>
      <c r="G1182" s="5" t="n"/>
      <c r="H1182" s="5" t="n"/>
      <c r="I1182" s="5" t="n"/>
      <c r="J1182" s="5" t="n"/>
      <c r="K1182" s="5" t="n"/>
      <c r="L1182" s="5" t="n"/>
      <c r="M1182" s="5" t="n"/>
      <c r="N1182" s="5" t="n"/>
      <c r="O1182" s="5" t="n"/>
      <c r="P1182" s="5" t="n"/>
      <c r="Q1182" s="5" t="n"/>
      <c r="R1182" s="5" t="n"/>
      <c r="S1182" s="5" t="n"/>
      <c r="T1182" s="5" t="n"/>
      <c r="U1182" s="5" t="n"/>
      <c r="V1182" s="5" t="n"/>
      <c r="W1182" s="5" t="n"/>
      <c r="X1182" s="5" t="n"/>
      <c r="Y1182" s="5" t="n"/>
      <c r="Z1182" s="5" t="n"/>
      <c r="AA1182" s="5" t="n"/>
      <c r="AB1182" s="5" t="n"/>
    </row>
    <row r="1183" ht="15.75" customHeight="1" s="79">
      <c r="A1183" s="5" t="n"/>
      <c r="B1183" s="5" t="n"/>
      <c r="C1183" s="5" t="n"/>
      <c r="D1183" s="5" t="n"/>
      <c r="E1183" s="5" t="n"/>
      <c r="F1183" s="5" t="n"/>
      <c r="G1183" s="5" t="n"/>
      <c r="H1183" s="5" t="n"/>
      <c r="I1183" s="5" t="n"/>
      <c r="J1183" s="5" t="n"/>
      <c r="K1183" s="5" t="n"/>
      <c r="L1183" s="5" t="n"/>
      <c r="M1183" s="5" t="n"/>
      <c r="N1183" s="5" t="n"/>
      <c r="O1183" s="5" t="n"/>
      <c r="P1183" s="5" t="n"/>
      <c r="Q1183" s="5" t="n"/>
      <c r="R1183" s="5" t="n"/>
      <c r="S1183" s="5" t="n"/>
      <c r="T1183" s="5" t="n"/>
      <c r="U1183" s="5" t="n"/>
      <c r="V1183" s="5" t="n"/>
      <c r="W1183" s="5" t="n"/>
      <c r="X1183" s="5" t="n"/>
      <c r="Y1183" s="5" t="n"/>
      <c r="Z1183" s="5" t="n"/>
      <c r="AA1183" s="5" t="n"/>
      <c r="AB1183" s="5" t="n"/>
    </row>
    <row r="1184" ht="15.75" customHeight="1" s="79">
      <c r="A1184" s="5" t="n"/>
      <c r="B1184" s="5" t="n"/>
      <c r="C1184" s="5" t="n"/>
      <c r="D1184" s="5" t="n"/>
      <c r="E1184" s="5" t="n"/>
      <c r="F1184" s="5" t="n"/>
      <c r="G1184" s="5" t="n"/>
      <c r="H1184" s="5" t="n"/>
      <c r="I1184" s="5" t="n"/>
      <c r="J1184" s="5" t="n"/>
      <c r="K1184" s="5" t="n"/>
      <c r="L1184" s="5" t="n"/>
      <c r="M1184" s="5" t="n"/>
      <c r="N1184" s="5" t="n"/>
      <c r="O1184" s="5" t="n"/>
      <c r="P1184" s="5" t="n"/>
      <c r="Q1184" s="5" t="n"/>
      <c r="R1184" s="5" t="n"/>
      <c r="S1184" s="5" t="n"/>
      <c r="T1184" s="5" t="n"/>
      <c r="U1184" s="5" t="n"/>
      <c r="V1184" s="5" t="n"/>
      <c r="W1184" s="5" t="n"/>
      <c r="X1184" s="5" t="n"/>
      <c r="Y1184" s="5" t="n"/>
      <c r="Z1184" s="5" t="n"/>
      <c r="AA1184" s="5" t="n"/>
      <c r="AB1184" s="5" t="n"/>
    </row>
    <row r="1185" ht="15.75" customHeight="1" s="79">
      <c r="A1185" s="5" t="n"/>
      <c r="B1185" s="5" t="n"/>
      <c r="C1185" s="5" t="n"/>
      <c r="D1185" s="5" t="n"/>
      <c r="E1185" s="5" t="n"/>
      <c r="F1185" s="5" t="n"/>
      <c r="G1185" s="5" t="n"/>
      <c r="H1185" s="5" t="n"/>
      <c r="I1185" s="5" t="n"/>
      <c r="J1185" s="5" t="n"/>
      <c r="K1185" s="5" t="n"/>
      <c r="L1185" s="5" t="n"/>
      <c r="M1185" s="5" t="n"/>
      <c r="N1185" s="5" t="n"/>
      <c r="O1185" s="5" t="n"/>
      <c r="P1185" s="5" t="n"/>
      <c r="Q1185" s="5" t="n"/>
      <c r="R1185" s="5" t="n"/>
      <c r="S1185" s="5" t="n"/>
      <c r="T1185" s="5" t="n"/>
      <c r="U1185" s="5" t="n"/>
      <c r="V1185" s="5" t="n"/>
      <c r="W1185" s="5" t="n"/>
      <c r="X1185" s="5" t="n"/>
      <c r="Y1185" s="5" t="n"/>
      <c r="Z1185" s="5" t="n"/>
      <c r="AA1185" s="5" t="n"/>
      <c r="AB1185" s="5" t="n"/>
    </row>
    <row r="1186" ht="15.75" customHeight="1" s="79">
      <c r="A1186" s="5" t="n"/>
      <c r="B1186" s="5" t="n"/>
      <c r="C1186" s="5" t="n"/>
      <c r="D1186" s="5" t="n"/>
      <c r="E1186" s="5" t="n"/>
      <c r="F1186" s="5" t="n"/>
      <c r="G1186" s="5" t="n"/>
      <c r="H1186" s="5" t="n"/>
      <c r="I1186" s="5" t="n"/>
      <c r="J1186" s="5" t="n"/>
      <c r="K1186" s="5" t="n"/>
      <c r="L1186" s="5" t="n"/>
      <c r="M1186" s="5" t="n"/>
      <c r="N1186" s="5" t="n"/>
      <c r="O1186" s="5" t="n"/>
      <c r="P1186" s="5" t="n"/>
      <c r="Q1186" s="5" t="n"/>
      <c r="R1186" s="5" t="n"/>
      <c r="S1186" s="5" t="n"/>
      <c r="T1186" s="5" t="n"/>
      <c r="U1186" s="5" t="n"/>
      <c r="V1186" s="5" t="n"/>
      <c r="W1186" s="5" t="n"/>
      <c r="X1186" s="5" t="n"/>
      <c r="Y1186" s="5" t="n"/>
      <c r="Z1186" s="5" t="n"/>
      <c r="AA1186" s="5" t="n"/>
      <c r="AB1186" s="5" t="n"/>
    </row>
    <row r="1187" ht="15.75" customHeight="1" s="79">
      <c r="A1187" s="5" t="n"/>
      <c r="B1187" s="5" t="n"/>
      <c r="C1187" s="5" t="n"/>
      <c r="D1187" s="5" t="n"/>
      <c r="E1187" s="5" t="n"/>
      <c r="F1187" s="5" t="n"/>
      <c r="G1187" s="5" t="n"/>
      <c r="H1187" s="5" t="n"/>
      <c r="I1187" s="5" t="n"/>
      <c r="J1187" s="5" t="n"/>
      <c r="K1187" s="5" t="n"/>
      <c r="L1187" s="5" t="n"/>
      <c r="M1187" s="5" t="n"/>
      <c r="N1187" s="5" t="n"/>
      <c r="O1187" s="5" t="n"/>
      <c r="P1187" s="5" t="n"/>
      <c r="Q1187" s="5" t="n"/>
      <c r="R1187" s="5" t="n"/>
      <c r="S1187" s="5" t="n"/>
      <c r="T1187" s="5" t="n"/>
      <c r="U1187" s="5" t="n"/>
      <c r="V1187" s="5" t="n"/>
      <c r="W1187" s="5" t="n"/>
      <c r="X1187" s="5" t="n"/>
      <c r="Y1187" s="5" t="n"/>
      <c r="Z1187" s="5" t="n"/>
      <c r="AA1187" s="5" t="n"/>
      <c r="AB1187" s="5" t="n"/>
    </row>
    <row r="1188" ht="15.75" customHeight="1" s="79">
      <c r="A1188" s="5" t="n"/>
      <c r="B1188" s="5" t="n"/>
      <c r="C1188" s="5" t="n"/>
      <c r="D1188" s="5" t="n"/>
      <c r="E1188" s="5" t="n"/>
      <c r="F1188" s="5" t="n"/>
      <c r="G1188" s="5" t="n"/>
      <c r="H1188" s="5" t="n"/>
      <c r="I1188" s="5" t="n"/>
      <c r="J1188" s="5" t="n"/>
      <c r="K1188" s="5" t="n"/>
      <c r="L1188" s="5" t="n"/>
      <c r="M1188" s="5" t="n"/>
      <c r="N1188" s="5" t="n"/>
      <c r="O1188" s="5" t="n"/>
      <c r="P1188" s="5" t="n"/>
      <c r="Q1188" s="5" t="n"/>
      <c r="R1188" s="5" t="n"/>
      <c r="S1188" s="5" t="n"/>
      <c r="T1188" s="5" t="n"/>
      <c r="U1188" s="5" t="n"/>
      <c r="V1188" s="5" t="n"/>
      <c r="W1188" s="5" t="n"/>
      <c r="X1188" s="5" t="n"/>
      <c r="Y1188" s="5" t="n"/>
      <c r="Z1188" s="5" t="n"/>
      <c r="AA1188" s="5" t="n"/>
      <c r="AB1188" s="5" t="n"/>
    </row>
    <row r="1189" ht="15.75" customHeight="1" s="79">
      <c r="A1189" s="5" t="n"/>
      <c r="B1189" s="5" t="n"/>
      <c r="C1189" s="5" t="n"/>
      <c r="D1189" s="5" t="n"/>
      <c r="E1189" s="5" t="n"/>
      <c r="F1189" s="5" t="n"/>
      <c r="G1189" s="5" t="n"/>
      <c r="H1189" s="5" t="n"/>
      <c r="I1189" s="5" t="n"/>
      <c r="J1189" s="5" t="n"/>
      <c r="K1189" s="5" t="n"/>
      <c r="L1189" s="5" t="n"/>
      <c r="M1189" s="5" t="n"/>
      <c r="N1189" s="5" t="n"/>
      <c r="O1189" s="5" t="n"/>
      <c r="P1189" s="5" t="n"/>
      <c r="Q1189" s="5" t="n"/>
      <c r="R1189" s="5" t="n"/>
      <c r="S1189" s="5" t="n"/>
      <c r="T1189" s="5" t="n"/>
      <c r="U1189" s="5" t="n"/>
      <c r="V1189" s="5" t="n"/>
      <c r="W1189" s="5" t="n"/>
      <c r="X1189" s="5" t="n"/>
      <c r="Y1189" s="5" t="n"/>
      <c r="Z1189" s="5" t="n"/>
      <c r="AA1189" s="5" t="n"/>
      <c r="AB1189" s="5" t="n"/>
    </row>
    <row r="1190" ht="15.75" customHeight="1" s="79">
      <c r="A1190" s="5" t="n"/>
      <c r="B1190" s="5" t="n"/>
      <c r="C1190" s="5" t="n"/>
      <c r="D1190" s="5" t="n"/>
      <c r="E1190" s="5" t="n"/>
      <c r="F1190" s="5" t="n"/>
      <c r="G1190" s="5" t="n"/>
      <c r="H1190" s="5" t="n"/>
      <c r="I1190" s="5" t="n"/>
      <c r="J1190" s="5" t="n"/>
      <c r="K1190" s="5" t="n"/>
      <c r="L1190" s="5" t="n"/>
      <c r="M1190" s="5" t="n"/>
      <c r="N1190" s="5" t="n"/>
      <c r="O1190" s="5" t="n"/>
      <c r="P1190" s="5" t="n"/>
      <c r="Q1190" s="5" t="n"/>
      <c r="R1190" s="5" t="n"/>
      <c r="S1190" s="5" t="n"/>
      <c r="T1190" s="5" t="n"/>
      <c r="U1190" s="5" t="n"/>
      <c r="V1190" s="5" t="n"/>
      <c r="W1190" s="5" t="n"/>
      <c r="X1190" s="5" t="n"/>
      <c r="Y1190" s="5" t="n"/>
      <c r="Z1190" s="5" t="n"/>
      <c r="AA1190" s="5" t="n"/>
      <c r="AB1190" s="5" t="n"/>
    </row>
    <row r="1191" ht="30" customHeight="1" s="79">
      <c r="A1191" s="34" t="inlineStr">
        <is>
          <t>Segment</t>
        </is>
      </c>
      <c r="B1191" s="34" t="inlineStr">
        <is>
          <t>Funded $</t>
        </is>
      </c>
      <c r="C1191" s="34" t="inlineStr">
        <is>
          <t>Collected $</t>
        </is>
      </c>
      <c r="D1191" s="34" t="inlineStr">
        <is>
          <t>Net profit / loss $</t>
        </is>
      </c>
      <c r="E1191" s="34" t="inlineStr">
        <is>
          <t>Commission $</t>
        </is>
      </c>
      <c r="F1191" s="34" t="inlineStr">
        <is>
          <t>Principal lost $</t>
        </is>
      </c>
      <c r="G1191" s="34" t="inlineStr">
        <is>
          <t>Principal default exposure</t>
        </is>
      </c>
      <c r="H1191" s="34" t="inlineStr">
        <is>
          <t>Recovery rate</t>
        </is>
      </c>
      <c r="I1191" s="34" t="inlineStr">
        <is>
          <t>Return on funded capital (%)</t>
        </is>
      </c>
      <c r="J1191" s="34" t="inlineStr">
        <is>
          <t>Deals</t>
        </is>
      </c>
      <c r="K1191" s="34" t="inlineStr">
        <is>
          <t>Share of funded dollars</t>
        </is>
      </c>
      <c r="L1191" s="34" t="inlineStr">
        <is>
          <t>Avg deal size</t>
        </is>
      </c>
      <c r="M1191" s="34" t="inlineStr">
        <is>
          <t>Avg expected term (business days)</t>
        </is>
      </c>
      <c r="N1191" s="34" t="inlineStr">
        <is>
          <t>Avg expected term (payments)</t>
        </is>
      </c>
      <c r="O1191" s="34" t="inlineStr">
        <is>
          <t>Avg days on book, defaulted</t>
        </is>
      </c>
      <c r="P1191" s="34" t="inlineStr">
        <is>
          <t>Avg days to close</t>
        </is>
      </c>
      <c r="Q1191" s="34" t="inlineStr">
        <is>
          <t>% of deals that were renewals</t>
        </is>
      </c>
      <c r="R1191" s="34" t="inlineStr">
        <is>
          <t>% of funded dollars from renewals</t>
        </is>
      </c>
      <c r="S1191" s="34" t="inlineStr">
        <is>
          <t>Book default exposure</t>
        </is>
      </c>
      <c r="T1191" s="34" t="inlineStr">
        <is>
          <t>Book recovery</t>
        </is>
      </c>
      <c r="U1191" s="34" t="inlineStr">
        <is>
          <t>Book return on funded capital</t>
        </is>
      </c>
      <c r="V1191" s="34" t="inlineStr">
        <is>
          <t>Default rate (#)</t>
        </is>
      </c>
      <c r="W1191" s="5" t="n"/>
      <c r="X1191" s="5" t="n"/>
      <c r="Y1191" s="5" t="n"/>
      <c r="Z1191" s="5" t="n"/>
      <c r="AA1191" s="5" t="n"/>
      <c r="AB1191" s="5" t="n"/>
    </row>
    <row r="1192" ht="15.75" customHeight="1" s="79">
      <c r="A1192" s="5">
        <f>IFERROR(Calc!$A$188,"")</f>
        <v/>
      </c>
      <c r="B1192" s="20">
        <f>IFERROR(Calc!B188,"")</f>
        <v/>
      </c>
      <c r="C1192" s="20">
        <f>IFERROR(Calc!C188,"")</f>
        <v/>
      </c>
      <c r="D1192" s="20">
        <f>IFERROR(Calc!D188,"")</f>
        <v/>
      </c>
      <c r="E1192" s="20">
        <f>IFERROR(Calc!E188,"")</f>
        <v/>
      </c>
      <c r="F1192" s="20">
        <f>IFERROR(Calc!F188,"")</f>
        <v/>
      </c>
      <c r="G1192" s="21">
        <f>IFERROR(Calc!G188,"")</f>
        <v/>
      </c>
      <c r="H1192" s="21">
        <f>IFERROR(Calc!H188,"")</f>
        <v/>
      </c>
      <c r="I1192" s="21">
        <f>IFERROR(Calc!I188,"")</f>
        <v/>
      </c>
      <c r="J1192" s="17">
        <f>IFERROR(Calc!J188,"")</f>
        <v/>
      </c>
      <c r="K1192" s="21">
        <f>IFERROR(Calc!K188,"")</f>
        <v/>
      </c>
      <c r="L1192" s="20">
        <f>IFERROR(Calc!L188,"")</f>
        <v/>
      </c>
      <c r="M1192" s="17">
        <f>IFERROR(Calc!M188,"")</f>
        <v/>
      </c>
      <c r="N1192" s="17">
        <f>IFERROR(Calc!N188,"")</f>
        <v/>
      </c>
      <c r="O1192" s="17">
        <f>IFERROR(Calc!O188,"")</f>
        <v/>
      </c>
      <c r="P1192" s="17">
        <f>IFERROR(Calc!P188,"")</f>
        <v/>
      </c>
      <c r="Q1192" s="21">
        <f>IFERROR(Calc!Q188,"")</f>
        <v/>
      </c>
      <c r="R1192" s="21">
        <f>IFERROR(Calc!R188,"")</f>
        <v/>
      </c>
      <c r="S1192" s="21">
        <f>IFERROR(Calc!S188,"")</f>
        <v/>
      </c>
      <c r="T1192" s="21">
        <f>IFERROR(Calc!T188,"")</f>
        <v/>
      </c>
      <c r="U1192" s="21">
        <f>IFERROR(Calc!U188,"")</f>
        <v/>
      </c>
      <c r="V1192" s="21">
        <f>IFERROR(Calc!V188,"")</f>
        <v/>
      </c>
      <c r="W1192" s="5" t="n"/>
      <c r="X1192" s="5" t="n"/>
      <c r="Y1192" s="5" t="n"/>
      <c r="Z1192" s="5" t="n"/>
      <c r="AA1192" s="5" t="n"/>
      <c r="AB1192" s="5" t="n"/>
    </row>
    <row r="1193" ht="15.75" customHeight="1" s="79">
      <c r="A1193" s="5">
        <f>IFERROR(Calc!$A$189,"")</f>
        <v/>
      </c>
      <c r="B1193" s="20">
        <f>IFERROR(Calc!B189,"")</f>
        <v/>
      </c>
      <c r="C1193" s="20">
        <f>IFERROR(Calc!C189,"")</f>
        <v/>
      </c>
      <c r="D1193" s="20">
        <f>IFERROR(Calc!D189,"")</f>
        <v/>
      </c>
      <c r="E1193" s="20">
        <f>IFERROR(Calc!E189,"")</f>
        <v/>
      </c>
      <c r="F1193" s="20">
        <f>IFERROR(Calc!F189,"")</f>
        <v/>
      </c>
      <c r="G1193" s="21">
        <f>IFERROR(Calc!G189,"")</f>
        <v/>
      </c>
      <c r="H1193" s="21">
        <f>IFERROR(Calc!H189,"")</f>
        <v/>
      </c>
      <c r="I1193" s="21">
        <f>IFERROR(Calc!I189,"")</f>
        <v/>
      </c>
      <c r="J1193" s="17">
        <f>IFERROR(Calc!J189,"")</f>
        <v/>
      </c>
      <c r="K1193" s="21">
        <f>IFERROR(Calc!K189,"")</f>
        <v/>
      </c>
      <c r="L1193" s="20">
        <f>IFERROR(Calc!L189,"")</f>
        <v/>
      </c>
      <c r="M1193" s="17">
        <f>IFERROR(Calc!M189,"")</f>
        <v/>
      </c>
      <c r="N1193" s="17">
        <f>IFERROR(Calc!N189,"")</f>
        <v/>
      </c>
      <c r="O1193" s="17">
        <f>IFERROR(Calc!O189,"")</f>
        <v/>
      </c>
      <c r="P1193" s="17">
        <f>IFERROR(Calc!P189,"")</f>
        <v/>
      </c>
      <c r="Q1193" s="21">
        <f>IFERROR(Calc!Q189,"")</f>
        <v/>
      </c>
      <c r="R1193" s="21">
        <f>IFERROR(Calc!R189,"")</f>
        <v/>
      </c>
      <c r="S1193" s="21">
        <f>IFERROR(Calc!S189,"")</f>
        <v/>
      </c>
      <c r="T1193" s="21">
        <f>IFERROR(Calc!T189,"")</f>
        <v/>
      </c>
      <c r="U1193" s="21">
        <f>IFERROR(Calc!U189,"")</f>
        <v/>
      </c>
      <c r="V1193" s="21">
        <f>IFERROR(Calc!V189,"")</f>
        <v/>
      </c>
      <c r="W1193" s="5" t="n"/>
      <c r="X1193" s="5" t="n"/>
      <c r="Y1193" s="5" t="n"/>
      <c r="Z1193" s="5" t="n"/>
      <c r="AA1193" s="5" t="n"/>
      <c r="AB1193" s="5" t="n"/>
    </row>
    <row r="1194" ht="15.75" customHeight="1" s="79">
      <c r="A1194" s="5">
        <f>IFERROR(Calc!$A$190,"")</f>
        <v/>
      </c>
      <c r="B1194" s="20">
        <f>IFERROR(Calc!B190,"")</f>
        <v/>
      </c>
      <c r="C1194" s="20">
        <f>IFERROR(Calc!C190,"")</f>
        <v/>
      </c>
      <c r="D1194" s="20">
        <f>IFERROR(Calc!D190,"")</f>
        <v/>
      </c>
      <c r="E1194" s="20">
        <f>IFERROR(Calc!E190,"")</f>
        <v/>
      </c>
      <c r="F1194" s="20">
        <f>IFERROR(Calc!F190,"")</f>
        <v/>
      </c>
      <c r="G1194" s="21">
        <f>IFERROR(Calc!G190,"")</f>
        <v/>
      </c>
      <c r="H1194" s="21">
        <f>IFERROR(Calc!H190,"")</f>
        <v/>
      </c>
      <c r="I1194" s="21">
        <f>IFERROR(Calc!I190,"")</f>
        <v/>
      </c>
      <c r="J1194" s="17">
        <f>IFERROR(Calc!J190,"")</f>
        <v/>
      </c>
      <c r="K1194" s="21">
        <f>IFERROR(Calc!K190,"")</f>
        <v/>
      </c>
      <c r="L1194" s="20">
        <f>IFERROR(Calc!L190,"")</f>
        <v/>
      </c>
      <c r="M1194" s="17">
        <f>IFERROR(Calc!M190,"")</f>
        <v/>
      </c>
      <c r="N1194" s="17">
        <f>IFERROR(Calc!N190,"")</f>
        <v/>
      </c>
      <c r="O1194" s="17">
        <f>IFERROR(Calc!O190,"")</f>
        <v/>
      </c>
      <c r="P1194" s="17">
        <f>IFERROR(Calc!P190,"")</f>
        <v/>
      </c>
      <c r="Q1194" s="21">
        <f>IFERROR(Calc!Q190,"")</f>
        <v/>
      </c>
      <c r="R1194" s="21">
        <f>IFERROR(Calc!R190,"")</f>
        <v/>
      </c>
      <c r="S1194" s="21">
        <f>IFERROR(Calc!S190,"")</f>
        <v/>
      </c>
      <c r="T1194" s="21">
        <f>IFERROR(Calc!T190,"")</f>
        <v/>
      </c>
      <c r="U1194" s="21">
        <f>IFERROR(Calc!U190,"")</f>
        <v/>
      </c>
      <c r="V1194" s="21">
        <f>IFERROR(Calc!V190,"")</f>
        <v/>
      </c>
      <c r="W1194" s="5" t="n"/>
      <c r="X1194" s="5" t="n"/>
      <c r="Y1194" s="5" t="n"/>
      <c r="Z1194" s="5" t="n"/>
      <c r="AA1194" s="5" t="n"/>
      <c r="AB1194" s="5" t="n"/>
    </row>
    <row r="1195" ht="15.75" customHeight="1" s="79">
      <c r="A1195" s="5">
        <f>IFERROR(Calc!$A$191,"")</f>
        <v/>
      </c>
      <c r="B1195" s="20">
        <f>IFERROR(Calc!B191,"")</f>
        <v/>
      </c>
      <c r="C1195" s="20">
        <f>IFERROR(Calc!C191,"")</f>
        <v/>
      </c>
      <c r="D1195" s="20">
        <f>IFERROR(Calc!D191,"")</f>
        <v/>
      </c>
      <c r="E1195" s="20">
        <f>IFERROR(Calc!E191,"")</f>
        <v/>
      </c>
      <c r="F1195" s="20">
        <f>IFERROR(Calc!F191,"")</f>
        <v/>
      </c>
      <c r="G1195" s="21">
        <f>IFERROR(Calc!G191,"")</f>
        <v/>
      </c>
      <c r="H1195" s="21">
        <f>IFERROR(Calc!H191,"")</f>
        <v/>
      </c>
      <c r="I1195" s="21">
        <f>IFERROR(Calc!I191,"")</f>
        <v/>
      </c>
      <c r="J1195" s="17">
        <f>IFERROR(Calc!J191,"")</f>
        <v/>
      </c>
      <c r="K1195" s="21">
        <f>IFERROR(Calc!K191,"")</f>
        <v/>
      </c>
      <c r="L1195" s="20">
        <f>IFERROR(Calc!L191,"")</f>
        <v/>
      </c>
      <c r="M1195" s="17">
        <f>IFERROR(Calc!M191,"")</f>
        <v/>
      </c>
      <c r="N1195" s="17">
        <f>IFERROR(Calc!N191,"")</f>
        <v/>
      </c>
      <c r="O1195" s="17">
        <f>IFERROR(Calc!O191,"")</f>
        <v/>
      </c>
      <c r="P1195" s="17">
        <f>IFERROR(Calc!P191,"")</f>
        <v/>
      </c>
      <c r="Q1195" s="21">
        <f>IFERROR(Calc!Q191,"")</f>
        <v/>
      </c>
      <c r="R1195" s="21">
        <f>IFERROR(Calc!R191,"")</f>
        <v/>
      </c>
      <c r="S1195" s="21">
        <f>IFERROR(Calc!S191,"")</f>
        <v/>
      </c>
      <c r="T1195" s="21">
        <f>IFERROR(Calc!T191,"")</f>
        <v/>
      </c>
      <c r="U1195" s="21">
        <f>IFERROR(Calc!U191,"")</f>
        <v/>
      </c>
      <c r="V1195" s="21">
        <f>IFERROR(Calc!V191,"")</f>
        <v/>
      </c>
      <c r="W1195" s="5" t="n"/>
      <c r="X1195" s="5" t="n"/>
      <c r="Y1195" s="5" t="n"/>
      <c r="Z1195" s="5" t="n"/>
      <c r="AA1195" s="5" t="n"/>
      <c r="AB1195" s="5" t="n"/>
    </row>
    <row r="1196" ht="15.75" customHeight="1" s="79">
      <c r="A1196" s="5">
        <f>IFERROR(Calc!$A$192,"")</f>
        <v/>
      </c>
      <c r="B1196" s="20">
        <f>IFERROR(Calc!B192,"")</f>
        <v/>
      </c>
      <c r="C1196" s="20">
        <f>IFERROR(Calc!C192,"")</f>
        <v/>
      </c>
      <c r="D1196" s="20">
        <f>IFERROR(Calc!D192,"")</f>
        <v/>
      </c>
      <c r="E1196" s="20">
        <f>IFERROR(Calc!E192,"")</f>
        <v/>
      </c>
      <c r="F1196" s="20">
        <f>IFERROR(Calc!F192,"")</f>
        <v/>
      </c>
      <c r="G1196" s="21">
        <f>IFERROR(Calc!G192,"")</f>
        <v/>
      </c>
      <c r="H1196" s="21">
        <f>IFERROR(Calc!H192,"")</f>
        <v/>
      </c>
      <c r="I1196" s="21">
        <f>IFERROR(Calc!I192,"")</f>
        <v/>
      </c>
      <c r="J1196" s="17">
        <f>IFERROR(Calc!J192,"")</f>
        <v/>
      </c>
      <c r="K1196" s="21">
        <f>IFERROR(Calc!K192,"")</f>
        <v/>
      </c>
      <c r="L1196" s="20">
        <f>IFERROR(Calc!L192,"")</f>
        <v/>
      </c>
      <c r="M1196" s="17">
        <f>IFERROR(Calc!M192,"")</f>
        <v/>
      </c>
      <c r="N1196" s="17">
        <f>IFERROR(Calc!N192,"")</f>
        <v/>
      </c>
      <c r="O1196" s="17">
        <f>IFERROR(Calc!O192,"")</f>
        <v/>
      </c>
      <c r="P1196" s="17">
        <f>IFERROR(Calc!P192,"")</f>
        <v/>
      </c>
      <c r="Q1196" s="21">
        <f>IFERROR(Calc!Q192,"")</f>
        <v/>
      </c>
      <c r="R1196" s="21">
        <f>IFERROR(Calc!R192,"")</f>
        <v/>
      </c>
      <c r="S1196" s="21">
        <f>IFERROR(Calc!S192,"")</f>
        <v/>
      </c>
      <c r="T1196" s="21">
        <f>IFERROR(Calc!T192,"")</f>
        <v/>
      </c>
      <c r="U1196" s="21">
        <f>IFERROR(Calc!U192,"")</f>
        <v/>
      </c>
      <c r="V1196" s="21">
        <f>IFERROR(Calc!V192,"")</f>
        <v/>
      </c>
      <c r="W1196" s="5" t="n"/>
      <c r="X1196" s="5" t="n"/>
      <c r="Y1196" s="5" t="n"/>
      <c r="Z1196" s="5" t="n"/>
      <c r="AA1196" s="5" t="n"/>
      <c r="AB1196" s="5" t="n"/>
    </row>
    <row r="1197" ht="15.75" customHeight="1" s="79">
      <c r="A1197" s="5">
        <f>IFERROR(Calc!$A$193,"")</f>
        <v/>
      </c>
      <c r="B1197" s="20">
        <f>IFERROR(Calc!B193,"")</f>
        <v/>
      </c>
      <c r="C1197" s="20">
        <f>IFERROR(Calc!C193,"")</f>
        <v/>
      </c>
      <c r="D1197" s="20">
        <f>IFERROR(Calc!D193,"")</f>
        <v/>
      </c>
      <c r="E1197" s="20">
        <f>IFERROR(Calc!E193,"")</f>
        <v/>
      </c>
      <c r="F1197" s="20">
        <f>IFERROR(Calc!F193,"")</f>
        <v/>
      </c>
      <c r="G1197" s="21">
        <f>IFERROR(Calc!G193,"")</f>
        <v/>
      </c>
      <c r="H1197" s="21">
        <f>IFERROR(Calc!H193,"")</f>
        <v/>
      </c>
      <c r="I1197" s="21">
        <f>IFERROR(Calc!I193,"")</f>
        <v/>
      </c>
      <c r="J1197" s="17">
        <f>IFERROR(Calc!J193,"")</f>
        <v/>
      </c>
      <c r="K1197" s="21">
        <f>IFERROR(Calc!K193,"")</f>
        <v/>
      </c>
      <c r="L1197" s="20">
        <f>IFERROR(Calc!L193,"")</f>
        <v/>
      </c>
      <c r="M1197" s="17">
        <f>IFERROR(Calc!M193,"")</f>
        <v/>
      </c>
      <c r="N1197" s="17">
        <f>IFERROR(Calc!N193,"")</f>
        <v/>
      </c>
      <c r="O1197" s="17">
        <f>IFERROR(Calc!O193,"")</f>
        <v/>
      </c>
      <c r="P1197" s="17">
        <f>IFERROR(Calc!P193,"")</f>
        <v/>
      </c>
      <c r="Q1197" s="21">
        <f>IFERROR(Calc!Q193,"")</f>
        <v/>
      </c>
      <c r="R1197" s="21">
        <f>IFERROR(Calc!R193,"")</f>
        <v/>
      </c>
      <c r="S1197" s="21">
        <f>IFERROR(Calc!S193,"")</f>
        <v/>
      </c>
      <c r="T1197" s="21">
        <f>IFERROR(Calc!T193,"")</f>
        <v/>
      </c>
      <c r="U1197" s="21">
        <f>IFERROR(Calc!U193,"")</f>
        <v/>
      </c>
      <c r="V1197" s="21">
        <f>IFERROR(Calc!V193,"")</f>
        <v/>
      </c>
      <c r="W1197" s="5" t="n"/>
      <c r="X1197" s="5" t="n"/>
      <c r="Y1197" s="5" t="n"/>
      <c r="Z1197" s="5" t="n"/>
      <c r="AA1197" s="5" t="n"/>
      <c r="AB1197" s="5" t="n"/>
    </row>
    <row r="1198" ht="15.75" customHeight="1" s="79">
      <c r="A1198" s="5">
        <f>IFERROR(Calc!$A$194,"")</f>
        <v/>
      </c>
      <c r="B1198" s="20">
        <f>IFERROR(Calc!B194,"")</f>
        <v/>
      </c>
      <c r="C1198" s="20">
        <f>IFERROR(Calc!C194,"")</f>
        <v/>
      </c>
      <c r="D1198" s="20">
        <f>IFERROR(Calc!D194,"")</f>
        <v/>
      </c>
      <c r="E1198" s="20">
        <f>IFERROR(Calc!E194,"")</f>
        <v/>
      </c>
      <c r="F1198" s="20">
        <f>IFERROR(Calc!F194,"")</f>
        <v/>
      </c>
      <c r="G1198" s="21">
        <f>IFERROR(Calc!G194,"")</f>
        <v/>
      </c>
      <c r="H1198" s="21">
        <f>IFERROR(Calc!H194,"")</f>
        <v/>
      </c>
      <c r="I1198" s="21">
        <f>IFERROR(Calc!I194,"")</f>
        <v/>
      </c>
      <c r="J1198" s="17">
        <f>IFERROR(Calc!J194,"")</f>
        <v/>
      </c>
      <c r="K1198" s="21">
        <f>IFERROR(Calc!K194,"")</f>
        <v/>
      </c>
      <c r="L1198" s="20">
        <f>IFERROR(Calc!L194,"")</f>
        <v/>
      </c>
      <c r="M1198" s="17">
        <f>IFERROR(Calc!M194,"")</f>
        <v/>
      </c>
      <c r="N1198" s="17">
        <f>IFERROR(Calc!N194,"")</f>
        <v/>
      </c>
      <c r="O1198" s="17">
        <f>IFERROR(Calc!O194,"")</f>
        <v/>
      </c>
      <c r="P1198" s="17">
        <f>IFERROR(Calc!P194,"")</f>
        <v/>
      </c>
      <c r="Q1198" s="21">
        <f>IFERROR(Calc!Q194,"")</f>
        <v/>
      </c>
      <c r="R1198" s="21">
        <f>IFERROR(Calc!R194,"")</f>
        <v/>
      </c>
      <c r="S1198" s="21">
        <f>IFERROR(Calc!S194,"")</f>
        <v/>
      </c>
      <c r="T1198" s="21">
        <f>IFERROR(Calc!T194,"")</f>
        <v/>
      </c>
      <c r="U1198" s="21">
        <f>IFERROR(Calc!U194,"")</f>
        <v/>
      </c>
      <c r="V1198" s="21">
        <f>IFERROR(Calc!V194,"")</f>
        <v/>
      </c>
      <c r="W1198" s="5" t="n"/>
      <c r="X1198" s="5" t="n"/>
      <c r="Y1198" s="5" t="n"/>
      <c r="Z1198" s="5" t="n"/>
      <c r="AA1198" s="5" t="n"/>
      <c r="AB1198" s="5" t="n"/>
    </row>
    <row r="1199" ht="15.75" customHeight="1" s="79">
      <c r="A1199" s="5">
        <f>IFERROR(Calc!$A$195,"")</f>
        <v/>
      </c>
      <c r="B1199" s="20">
        <f>IFERROR(Calc!B195,"")</f>
        <v/>
      </c>
      <c r="C1199" s="20">
        <f>IFERROR(Calc!C195,"")</f>
        <v/>
      </c>
      <c r="D1199" s="20">
        <f>IFERROR(Calc!D195,"")</f>
        <v/>
      </c>
      <c r="E1199" s="20">
        <f>IFERROR(Calc!E195,"")</f>
        <v/>
      </c>
      <c r="F1199" s="20">
        <f>IFERROR(Calc!F195,"")</f>
        <v/>
      </c>
      <c r="G1199" s="21">
        <f>IFERROR(Calc!G195,"")</f>
        <v/>
      </c>
      <c r="H1199" s="21">
        <f>IFERROR(Calc!H195,"")</f>
        <v/>
      </c>
      <c r="I1199" s="21">
        <f>IFERROR(Calc!I195,"")</f>
        <v/>
      </c>
      <c r="J1199" s="17">
        <f>IFERROR(Calc!J195,"")</f>
        <v/>
      </c>
      <c r="K1199" s="21">
        <f>IFERROR(Calc!K195,"")</f>
        <v/>
      </c>
      <c r="L1199" s="20">
        <f>IFERROR(Calc!L195,"")</f>
        <v/>
      </c>
      <c r="M1199" s="17">
        <f>IFERROR(Calc!M195,"")</f>
        <v/>
      </c>
      <c r="N1199" s="17">
        <f>IFERROR(Calc!N195,"")</f>
        <v/>
      </c>
      <c r="O1199" s="17">
        <f>IFERROR(Calc!O195,"")</f>
        <v/>
      </c>
      <c r="P1199" s="17">
        <f>IFERROR(Calc!P195,"")</f>
        <v/>
      </c>
      <c r="Q1199" s="21">
        <f>IFERROR(Calc!Q195,"")</f>
        <v/>
      </c>
      <c r="R1199" s="21">
        <f>IFERROR(Calc!R195,"")</f>
        <v/>
      </c>
      <c r="S1199" s="21">
        <f>IFERROR(Calc!S195,"")</f>
        <v/>
      </c>
      <c r="T1199" s="21">
        <f>IFERROR(Calc!T195,"")</f>
        <v/>
      </c>
      <c r="U1199" s="21">
        <f>IFERROR(Calc!U195,"")</f>
        <v/>
      </c>
      <c r="V1199" s="21">
        <f>IFERROR(Calc!V195,"")</f>
        <v/>
      </c>
      <c r="W1199" s="5" t="n"/>
      <c r="X1199" s="5" t="n"/>
      <c r="Y1199" s="5" t="n"/>
      <c r="Z1199" s="5" t="n"/>
      <c r="AA1199" s="5" t="n"/>
      <c r="AB1199" s="5" t="n"/>
    </row>
    <row r="1200" ht="15.75" customHeight="1" s="79">
      <c r="A1200" s="5">
        <f>IFERROR(Calc!$A$196,"")</f>
        <v/>
      </c>
      <c r="B1200" s="20">
        <f>IFERROR(Calc!B196,"")</f>
        <v/>
      </c>
      <c r="C1200" s="20">
        <f>IFERROR(Calc!C196,"")</f>
        <v/>
      </c>
      <c r="D1200" s="20">
        <f>IFERROR(Calc!D196,"")</f>
        <v/>
      </c>
      <c r="E1200" s="20">
        <f>IFERROR(Calc!E196,"")</f>
        <v/>
      </c>
      <c r="F1200" s="20">
        <f>IFERROR(Calc!F196,"")</f>
        <v/>
      </c>
      <c r="G1200" s="21">
        <f>IFERROR(Calc!G196,"")</f>
        <v/>
      </c>
      <c r="H1200" s="21">
        <f>IFERROR(Calc!H196,"")</f>
        <v/>
      </c>
      <c r="I1200" s="21">
        <f>IFERROR(Calc!I196,"")</f>
        <v/>
      </c>
      <c r="J1200" s="17">
        <f>IFERROR(Calc!J196,"")</f>
        <v/>
      </c>
      <c r="K1200" s="21">
        <f>IFERROR(Calc!K196,"")</f>
        <v/>
      </c>
      <c r="L1200" s="20">
        <f>IFERROR(Calc!L196,"")</f>
        <v/>
      </c>
      <c r="M1200" s="17">
        <f>IFERROR(Calc!M196,"")</f>
        <v/>
      </c>
      <c r="N1200" s="17">
        <f>IFERROR(Calc!N196,"")</f>
        <v/>
      </c>
      <c r="O1200" s="17">
        <f>IFERROR(Calc!O196,"")</f>
        <v/>
      </c>
      <c r="P1200" s="17">
        <f>IFERROR(Calc!P196,"")</f>
        <v/>
      </c>
      <c r="Q1200" s="21">
        <f>IFERROR(Calc!Q196,"")</f>
        <v/>
      </c>
      <c r="R1200" s="21">
        <f>IFERROR(Calc!R196,"")</f>
        <v/>
      </c>
      <c r="S1200" s="21">
        <f>IFERROR(Calc!S196,"")</f>
        <v/>
      </c>
      <c r="T1200" s="21">
        <f>IFERROR(Calc!T196,"")</f>
        <v/>
      </c>
      <c r="U1200" s="21">
        <f>IFERROR(Calc!U196,"")</f>
        <v/>
      </c>
      <c r="V1200" s="21">
        <f>IFERROR(Calc!V196,"")</f>
        <v/>
      </c>
      <c r="W1200" s="5" t="n"/>
      <c r="X1200" s="5" t="n"/>
      <c r="Y1200" s="5" t="n"/>
      <c r="Z1200" s="5" t="n"/>
      <c r="AA1200" s="5" t="n"/>
      <c r="AB1200" s="5" t="n"/>
    </row>
    <row r="1201" ht="15.75" customHeight="1" s="79">
      <c r="A1201" s="5">
        <f>IFERROR(Calc!$A$197,"")</f>
        <v/>
      </c>
      <c r="B1201" s="20">
        <f>IFERROR(Calc!B197,"")</f>
        <v/>
      </c>
      <c r="C1201" s="20">
        <f>IFERROR(Calc!C197,"")</f>
        <v/>
      </c>
      <c r="D1201" s="20">
        <f>IFERROR(Calc!D197,"")</f>
        <v/>
      </c>
      <c r="E1201" s="20">
        <f>IFERROR(Calc!E197,"")</f>
        <v/>
      </c>
      <c r="F1201" s="20">
        <f>IFERROR(Calc!F197,"")</f>
        <v/>
      </c>
      <c r="G1201" s="21">
        <f>IFERROR(Calc!G197,"")</f>
        <v/>
      </c>
      <c r="H1201" s="21">
        <f>IFERROR(Calc!H197,"")</f>
        <v/>
      </c>
      <c r="I1201" s="21">
        <f>IFERROR(Calc!I197,"")</f>
        <v/>
      </c>
      <c r="J1201" s="17">
        <f>IFERROR(Calc!J197,"")</f>
        <v/>
      </c>
      <c r="K1201" s="21">
        <f>IFERROR(Calc!K197,"")</f>
        <v/>
      </c>
      <c r="L1201" s="20">
        <f>IFERROR(Calc!L197,"")</f>
        <v/>
      </c>
      <c r="M1201" s="17">
        <f>IFERROR(Calc!M197,"")</f>
        <v/>
      </c>
      <c r="N1201" s="17">
        <f>IFERROR(Calc!N197,"")</f>
        <v/>
      </c>
      <c r="O1201" s="17">
        <f>IFERROR(Calc!O197,"")</f>
        <v/>
      </c>
      <c r="P1201" s="17">
        <f>IFERROR(Calc!P197,"")</f>
        <v/>
      </c>
      <c r="Q1201" s="21">
        <f>IFERROR(Calc!Q197,"")</f>
        <v/>
      </c>
      <c r="R1201" s="21">
        <f>IFERROR(Calc!R197,"")</f>
        <v/>
      </c>
      <c r="S1201" s="21">
        <f>IFERROR(Calc!S197,"")</f>
        <v/>
      </c>
      <c r="T1201" s="21">
        <f>IFERROR(Calc!T197,"")</f>
        <v/>
      </c>
      <c r="U1201" s="21">
        <f>IFERROR(Calc!U197,"")</f>
        <v/>
      </c>
      <c r="V1201" s="21">
        <f>IFERROR(Calc!V197,"")</f>
        <v/>
      </c>
      <c r="W1201" s="5" t="n"/>
      <c r="X1201" s="5" t="n"/>
      <c r="Y1201" s="5" t="n"/>
      <c r="Z1201" s="5" t="n"/>
      <c r="AA1201" s="5" t="n"/>
      <c r="AB1201" s="5" t="n"/>
    </row>
    <row r="1202" ht="15.75" customHeight="1" s="79">
      <c r="A1202" s="5">
        <f>IFERROR(Calc!$A$198,"")</f>
        <v/>
      </c>
      <c r="B1202" s="20">
        <f>IFERROR(Calc!B198,"")</f>
        <v/>
      </c>
      <c r="C1202" s="20">
        <f>IFERROR(Calc!C198,"")</f>
        <v/>
      </c>
      <c r="D1202" s="20">
        <f>IFERROR(Calc!D198,"")</f>
        <v/>
      </c>
      <c r="E1202" s="20">
        <f>IFERROR(Calc!E198,"")</f>
        <v/>
      </c>
      <c r="F1202" s="20">
        <f>IFERROR(Calc!F198,"")</f>
        <v/>
      </c>
      <c r="G1202" s="21">
        <f>IFERROR(Calc!G198,"")</f>
        <v/>
      </c>
      <c r="H1202" s="21">
        <f>IFERROR(Calc!H198,"")</f>
        <v/>
      </c>
      <c r="I1202" s="21">
        <f>IFERROR(Calc!I198,"")</f>
        <v/>
      </c>
      <c r="J1202" s="17">
        <f>IFERROR(Calc!J198,"")</f>
        <v/>
      </c>
      <c r="K1202" s="21">
        <f>IFERROR(Calc!K198,"")</f>
        <v/>
      </c>
      <c r="L1202" s="20">
        <f>IFERROR(Calc!L198,"")</f>
        <v/>
      </c>
      <c r="M1202" s="17">
        <f>IFERROR(Calc!M198,"")</f>
        <v/>
      </c>
      <c r="N1202" s="17">
        <f>IFERROR(Calc!N198,"")</f>
        <v/>
      </c>
      <c r="O1202" s="17">
        <f>IFERROR(Calc!O198,"")</f>
        <v/>
      </c>
      <c r="P1202" s="17">
        <f>IFERROR(Calc!P198,"")</f>
        <v/>
      </c>
      <c r="Q1202" s="21">
        <f>IFERROR(Calc!Q198,"")</f>
        <v/>
      </c>
      <c r="R1202" s="21">
        <f>IFERROR(Calc!R198,"")</f>
        <v/>
      </c>
      <c r="S1202" s="21">
        <f>IFERROR(Calc!S198,"")</f>
        <v/>
      </c>
      <c r="T1202" s="21">
        <f>IFERROR(Calc!T198,"")</f>
        <v/>
      </c>
      <c r="U1202" s="21">
        <f>IFERROR(Calc!U198,"")</f>
        <v/>
      </c>
      <c r="V1202" s="21">
        <f>IFERROR(Calc!V198,"")</f>
        <v/>
      </c>
      <c r="W1202" s="5" t="n"/>
      <c r="X1202" s="5" t="n"/>
      <c r="Y1202" s="5" t="n"/>
      <c r="Z1202" s="5" t="n"/>
      <c r="AA1202" s="5" t="n"/>
      <c r="AB1202" s="5" t="n"/>
    </row>
    <row r="1203" ht="15.75" customHeight="1" s="79">
      <c r="A1203" s="5">
        <f>IFERROR(Calc!$A$199,"")</f>
        <v/>
      </c>
      <c r="B1203" s="20">
        <f>IFERROR(Calc!B199,"")</f>
        <v/>
      </c>
      <c r="C1203" s="20">
        <f>IFERROR(Calc!C199,"")</f>
        <v/>
      </c>
      <c r="D1203" s="20">
        <f>IFERROR(Calc!D199,"")</f>
        <v/>
      </c>
      <c r="E1203" s="20">
        <f>IFERROR(Calc!E199,"")</f>
        <v/>
      </c>
      <c r="F1203" s="20">
        <f>IFERROR(Calc!F199,"")</f>
        <v/>
      </c>
      <c r="G1203" s="21">
        <f>IFERROR(Calc!G199,"")</f>
        <v/>
      </c>
      <c r="H1203" s="21">
        <f>IFERROR(Calc!H199,"")</f>
        <v/>
      </c>
      <c r="I1203" s="21">
        <f>IFERROR(Calc!I199,"")</f>
        <v/>
      </c>
      <c r="J1203" s="17">
        <f>IFERROR(Calc!J199,"")</f>
        <v/>
      </c>
      <c r="K1203" s="21">
        <f>IFERROR(Calc!K199,"")</f>
        <v/>
      </c>
      <c r="L1203" s="20">
        <f>IFERROR(Calc!L199,"")</f>
        <v/>
      </c>
      <c r="M1203" s="17">
        <f>IFERROR(Calc!M199,"")</f>
        <v/>
      </c>
      <c r="N1203" s="17">
        <f>IFERROR(Calc!N199,"")</f>
        <v/>
      </c>
      <c r="O1203" s="17">
        <f>IFERROR(Calc!O199,"")</f>
        <v/>
      </c>
      <c r="P1203" s="17">
        <f>IFERROR(Calc!P199,"")</f>
        <v/>
      </c>
      <c r="Q1203" s="21">
        <f>IFERROR(Calc!Q199,"")</f>
        <v/>
      </c>
      <c r="R1203" s="21">
        <f>IFERROR(Calc!R199,"")</f>
        <v/>
      </c>
      <c r="S1203" s="21">
        <f>IFERROR(Calc!S199,"")</f>
        <v/>
      </c>
      <c r="T1203" s="21">
        <f>IFERROR(Calc!T199,"")</f>
        <v/>
      </c>
      <c r="U1203" s="21">
        <f>IFERROR(Calc!U199,"")</f>
        <v/>
      </c>
      <c r="V1203" s="21">
        <f>IFERROR(Calc!V199,"")</f>
        <v/>
      </c>
      <c r="W1203" s="5" t="n"/>
      <c r="X1203" s="5" t="n"/>
      <c r="Y1203" s="5" t="n"/>
      <c r="Z1203" s="5" t="n"/>
      <c r="AA1203" s="5" t="n"/>
      <c r="AB1203" s="5" t="n"/>
    </row>
    <row r="1204" ht="15.75" customHeight="1" s="79">
      <c r="A1204" s="5">
        <f>IFERROR(Calc!$A$200,"")</f>
        <v/>
      </c>
      <c r="B1204" s="20">
        <f>IFERROR(Calc!B200,"")</f>
        <v/>
      </c>
      <c r="C1204" s="20">
        <f>IFERROR(Calc!C200,"")</f>
        <v/>
      </c>
      <c r="D1204" s="20">
        <f>IFERROR(Calc!D200,"")</f>
        <v/>
      </c>
      <c r="E1204" s="20">
        <f>IFERROR(Calc!E200,"")</f>
        <v/>
      </c>
      <c r="F1204" s="20">
        <f>IFERROR(Calc!F200,"")</f>
        <v/>
      </c>
      <c r="G1204" s="21">
        <f>IFERROR(Calc!G200,"")</f>
        <v/>
      </c>
      <c r="H1204" s="21">
        <f>IFERROR(Calc!H200,"")</f>
        <v/>
      </c>
      <c r="I1204" s="21">
        <f>IFERROR(Calc!I200,"")</f>
        <v/>
      </c>
      <c r="J1204" s="17">
        <f>IFERROR(Calc!J200,"")</f>
        <v/>
      </c>
      <c r="K1204" s="21">
        <f>IFERROR(Calc!K200,"")</f>
        <v/>
      </c>
      <c r="L1204" s="20">
        <f>IFERROR(Calc!L200,"")</f>
        <v/>
      </c>
      <c r="M1204" s="17">
        <f>IFERROR(Calc!M200,"")</f>
        <v/>
      </c>
      <c r="N1204" s="17">
        <f>IFERROR(Calc!N200,"")</f>
        <v/>
      </c>
      <c r="O1204" s="17">
        <f>IFERROR(Calc!O200,"")</f>
        <v/>
      </c>
      <c r="P1204" s="17">
        <f>IFERROR(Calc!P200,"")</f>
        <v/>
      </c>
      <c r="Q1204" s="21">
        <f>IFERROR(Calc!Q200,"")</f>
        <v/>
      </c>
      <c r="R1204" s="21">
        <f>IFERROR(Calc!R200,"")</f>
        <v/>
      </c>
      <c r="S1204" s="21">
        <f>IFERROR(Calc!S200,"")</f>
        <v/>
      </c>
      <c r="T1204" s="21">
        <f>IFERROR(Calc!T200,"")</f>
        <v/>
      </c>
      <c r="U1204" s="21">
        <f>IFERROR(Calc!U200,"")</f>
        <v/>
      </c>
      <c r="V1204" s="21">
        <f>IFERROR(Calc!V200,"")</f>
        <v/>
      </c>
      <c r="W1204" s="5" t="n"/>
      <c r="X1204" s="5" t="n"/>
      <c r="Y1204" s="5" t="n"/>
      <c r="Z1204" s="5" t="n"/>
      <c r="AA1204" s="5" t="n"/>
      <c r="AB1204" s="5" t="n"/>
    </row>
    <row r="1205" ht="15.75" customHeight="1" s="79">
      <c r="A1205" s="5">
        <f>IFERROR(Calc!$A$201,"")</f>
        <v/>
      </c>
      <c r="B1205" s="20">
        <f>IFERROR(Calc!B201,"")</f>
        <v/>
      </c>
      <c r="C1205" s="20">
        <f>IFERROR(Calc!C201,"")</f>
        <v/>
      </c>
      <c r="D1205" s="20">
        <f>IFERROR(Calc!D201,"")</f>
        <v/>
      </c>
      <c r="E1205" s="20">
        <f>IFERROR(Calc!E201,"")</f>
        <v/>
      </c>
      <c r="F1205" s="20">
        <f>IFERROR(Calc!F201,"")</f>
        <v/>
      </c>
      <c r="G1205" s="21">
        <f>IFERROR(Calc!G201,"")</f>
        <v/>
      </c>
      <c r="H1205" s="21">
        <f>IFERROR(Calc!H201,"")</f>
        <v/>
      </c>
      <c r="I1205" s="21">
        <f>IFERROR(Calc!I201,"")</f>
        <v/>
      </c>
      <c r="J1205" s="17">
        <f>IFERROR(Calc!J201,"")</f>
        <v/>
      </c>
      <c r="K1205" s="21">
        <f>IFERROR(Calc!K201,"")</f>
        <v/>
      </c>
      <c r="L1205" s="20">
        <f>IFERROR(Calc!L201,"")</f>
        <v/>
      </c>
      <c r="M1205" s="17">
        <f>IFERROR(Calc!M201,"")</f>
        <v/>
      </c>
      <c r="N1205" s="17">
        <f>IFERROR(Calc!N201,"")</f>
        <v/>
      </c>
      <c r="O1205" s="17">
        <f>IFERROR(Calc!O201,"")</f>
        <v/>
      </c>
      <c r="P1205" s="17">
        <f>IFERROR(Calc!P201,"")</f>
        <v/>
      </c>
      <c r="Q1205" s="21">
        <f>IFERROR(Calc!Q201,"")</f>
        <v/>
      </c>
      <c r="R1205" s="21">
        <f>IFERROR(Calc!R201,"")</f>
        <v/>
      </c>
      <c r="S1205" s="21">
        <f>IFERROR(Calc!S201,"")</f>
        <v/>
      </c>
      <c r="T1205" s="21">
        <f>IFERROR(Calc!T201,"")</f>
        <v/>
      </c>
      <c r="U1205" s="21">
        <f>IFERROR(Calc!U201,"")</f>
        <v/>
      </c>
      <c r="V1205" s="21">
        <f>IFERROR(Calc!V201,"")</f>
        <v/>
      </c>
      <c r="W1205" s="5" t="n"/>
      <c r="X1205" s="5" t="n"/>
      <c r="Y1205" s="5" t="n"/>
      <c r="Z1205" s="5" t="n"/>
      <c r="AA1205" s="5" t="n"/>
      <c r="AB1205" s="5" t="n"/>
    </row>
    <row r="1206" ht="15.75" customHeight="1" s="79">
      <c r="A1206" s="5">
        <f>IFERROR(Calc!$A$202,"")</f>
        <v/>
      </c>
      <c r="B1206" s="20">
        <f>IFERROR(Calc!B202,"")</f>
        <v/>
      </c>
      <c r="C1206" s="20">
        <f>IFERROR(Calc!C202,"")</f>
        <v/>
      </c>
      <c r="D1206" s="20">
        <f>IFERROR(Calc!D202,"")</f>
        <v/>
      </c>
      <c r="E1206" s="20">
        <f>IFERROR(Calc!E202,"")</f>
        <v/>
      </c>
      <c r="F1206" s="20">
        <f>IFERROR(Calc!F202,"")</f>
        <v/>
      </c>
      <c r="G1206" s="21">
        <f>IFERROR(Calc!G202,"")</f>
        <v/>
      </c>
      <c r="H1206" s="21">
        <f>IFERROR(Calc!H202,"")</f>
        <v/>
      </c>
      <c r="I1206" s="21">
        <f>IFERROR(Calc!I202,"")</f>
        <v/>
      </c>
      <c r="J1206" s="17">
        <f>IFERROR(Calc!J202,"")</f>
        <v/>
      </c>
      <c r="K1206" s="21">
        <f>IFERROR(Calc!K202,"")</f>
        <v/>
      </c>
      <c r="L1206" s="20">
        <f>IFERROR(Calc!L202,"")</f>
        <v/>
      </c>
      <c r="M1206" s="17">
        <f>IFERROR(Calc!M202,"")</f>
        <v/>
      </c>
      <c r="N1206" s="17">
        <f>IFERROR(Calc!N202,"")</f>
        <v/>
      </c>
      <c r="O1206" s="17">
        <f>IFERROR(Calc!O202,"")</f>
        <v/>
      </c>
      <c r="P1206" s="17">
        <f>IFERROR(Calc!P202,"")</f>
        <v/>
      </c>
      <c r="Q1206" s="21">
        <f>IFERROR(Calc!Q202,"")</f>
        <v/>
      </c>
      <c r="R1206" s="21">
        <f>IFERROR(Calc!R202,"")</f>
        <v/>
      </c>
      <c r="S1206" s="21">
        <f>IFERROR(Calc!S202,"")</f>
        <v/>
      </c>
      <c r="T1206" s="21">
        <f>IFERROR(Calc!T202,"")</f>
        <v/>
      </c>
      <c r="U1206" s="21">
        <f>IFERROR(Calc!U202,"")</f>
        <v/>
      </c>
      <c r="V1206" s="21">
        <f>IFERROR(Calc!V202,"")</f>
        <v/>
      </c>
      <c r="W1206" s="5" t="n"/>
      <c r="X1206" s="5" t="n"/>
      <c r="Y1206" s="5" t="n"/>
      <c r="Z1206" s="5" t="n"/>
      <c r="AA1206" s="5" t="n"/>
      <c r="AB1206" s="5" t="n"/>
    </row>
    <row r="1207" ht="15.75" customHeight="1" s="79">
      <c r="A1207" s="5">
        <f>IFERROR(Calc!$A$203,"")</f>
        <v/>
      </c>
      <c r="B1207" s="20">
        <f>IFERROR(Calc!B203,"")</f>
        <v/>
      </c>
      <c r="C1207" s="20">
        <f>IFERROR(Calc!C203,"")</f>
        <v/>
      </c>
      <c r="D1207" s="20">
        <f>IFERROR(Calc!D203,"")</f>
        <v/>
      </c>
      <c r="E1207" s="20">
        <f>IFERROR(Calc!E203,"")</f>
        <v/>
      </c>
      <c r="F1207" s="20">
        <f>IFERROR(Calc!F203,"")</f>
        <v/>
      </c>
      <c r="G1207" s="21">
        <f>IFERROR(Calc!G203,"")</f>
        <v/>
      </c>
      <c r="H1207" s="21">
        <f>IFERROR(Calc!H203,"")</f>
        <v/>
      </c>
      <c r="I1207" s="21">
        <f>IFERROR(Calc!I203,"")</f>
        <v/>
      </c>
      <c r="J1207" s="17">
        <f>IFERROR(Calc!J203,"")</f>
        <v/>
      </c>
      <c r="K1207" s="21">
        <f>IFERROR(Calc!K203,"")</f>
        <v/>
      </c>
      <c r="L1207" s="20">
        <f>IFERROR(Calc!L203,"")</f>
        <v/>
      </c>
      <c r="M1207" s="17">
        <f>IFERROR(Calc!M203,"")</f>
        <v/>
      </c>
      <c r="N1207" s="17">
        <f>IFERROR(Calc!N203,"")</f>
        <v/>
      </c>
      <c r="O1207" s="17">
        <f>IFERROR(Calc!O203,"")</f>
        <v/>
      </c>
      <c r="P1207" s="17">
        <f>IFERROR(Calc!P203,"")</f>
        <v/>
      </c>
      <c r="Q1207" s="21">
        <f>IFERROR(Calc!Q203,"")</f>
        <v/>
      </c>
      <c r="R1207" s="21">
        <f>IFERROR(Calc!R203,"")</f>
        <v/>
      </c>
      <c r="S1207" s="21">
        <f>IFERROR(Calc!S203,"")</f>
        <v/>
      </c>
      <c r="T1207" s="21">
        <f>IFERROR(Calc!T203,"")</f>
        <v/>
      </c>
      <c r="U1207" s="21">
        <f>IFERROR(Calc!U203,"")</f>
        <v/>
      </c>
      <c r="V1207" s="21">
        <f>IFERROR(Calc!V203,"")</f>
        <v/>
      </c>
      <c r="W1207" s="5" t="n"/>
      <c r="X1207" s="5" t="n"/>
      <c r="Y1207" s="5" t="n"/>
      <c r="Z1207" s="5" t="n"/>
      <c r="AA1207" s="5" t="n"/>
      <c r="AB1207" s="5" t="n"/>
    </row>
    <row r="1208" ht="15.75" customHeight="1" s="79">
      <c r="A1208" s="5" t="n"/>
      <c r="B1208" s="5" t="n"/>
      <c r="C1208" s="5" t="n"/>
      <c r="D1208" s="5" t="n"/>
      <c r="E1208" s="5" t="n"/>
      <c r="F1208" s="5" t="n"/>
      <c r="G1208" s="5" t="n"/>
      <c r="H1208" s="5" t="n"/>
      <c r="I1208" s="5" t="n"/>
      <c r="J1208" s="5" t="n"/>
      <c r="K1208" s="5" t="n"/>
      <c r="L1208" s="5" t="n"/>
      <c r="M1208" s="5" t="n"/>
      <c r="N1208" s="5" t="n"/>
      <c r="O1208" s="5" t="n"/>
      <c r="P1208" s="5" t="n"/>
      <c r="Q1208" s="5" t="n"/>
      <c r="R1208" s="5" t="n"/>
      <c r="S1208" s="5" t="n"/>
      <c r="T1208" s="5" t="n"/>
      <c r="U1208" s="5" t="n"/>
      <c r="V1208" s="5" t="n"/>
      <c r="W1208" s="5" t="n"/>
      <c r="X1208" s="5" t="n"/>
      <c r="Y1208" s="5" t="n"/>
      <c r="Z1208" s="5" t="n"/>
      <c r="AA1208" s="5" t="n"/>
      <c r="AB1208" s="5" t="n"/>
    </row>
    <row r="1209" ht="15.75" customHeight="1" s="79">
      <c r="A1209" s="5" t="n"/>
      <c r="B1209" s="5" t="n"/>
      <c r="C1209" s="5" t="n"/>
      <c r="D1209" s="5" t="n"/>
      <c r="E1209" s="5" t="n"/>
      <c r="F1209" s="5" t="n"/>
      <c r="G1209" s="5" t="n"/>
      <c r="H1209" s="5" t="n"/>
      <c r="I1209" s="5" t="n"/>
      <c r="J1209" s="5" t="n"/>
      <c r="K1209" s="5" t="n"/>
      <c r="L1209" s="5" t="n"/>
      <c r="M1209" s="5" t="n"/>
      <c r="N1209" s="5" t="n"/>
      <c r="O1209" s="5" t="n"/>
      <c r="P1209" s="5" t="n"/>
      <c r="Q1209" s="5" t="n"/>
      <c r="R1209" s="5" t="n"/>
      <c r="S1209" s="5" t="n"/>
      <c r="T1209" s="5" t="n"/>
      <c r="U1209" s="5" t="n"/>
      <c r="V1209" s="5" t="n"/>
      <c r="W1209" s="5" t="n"/>
      <c r="X1209" s="5" t="n"/>
      <c r="Y1209" s="5" t="n"/>
      <c r="Z1209" s="5" t="n"/>
      <c r="AA1209" s="5" t="n"/>
      <c r="AB1209" s="5" t="n"/>
    </row>
    <row r="1210" ht="15.75" customHeight="1" s="79">
      <c r="A1210" s="5" t="n"/>
      <c r="B1210" s="5" t="n"/>
      <c r="C1210" s="5" t="n"/>
      <c r="D1210" s="5" t="n"/>
      <c r="E1210" s="5" t="n"/>
      <c r="F1210" s="5" t="n"/>
      <c r="G1210" s="5" t="n"/>
      <c r="H1210" s="5" t="n"/>
      <c r="I1210" s="5" t="n"/>
      <c r="J1210" s="5" t="n"/>
      <c r="K1210" s="5" t="n"/>
      <c r="L1210" s="5" t="n"/>
      <c r="M1210" s="5" t="n"/>
      <c r="N1210" s="5" t="n"/>
      <c r="O1210" s="5" t="n"/>
      <c r="P1210" s="5" t="n"/>
      <c r="Q1210" s="5" t="n"/>
      <c r="R1210" s="5" t="n"/>
      <c r="S1210" s="5" t="n"/>
      <c r="T1210" s="5" t="n"/>
      <c r="U1210" s="5" t="n"/>
      <c r="V1210" s="5" t="n"/>
      <c r="W1210" s="5" t="n"/>
      <c r="X1210" s="5" t="n"/>
      <c r="Y1210" s="5" t="n"/>
      <c r="Z1210" s="5" t="n"/>
      <c r="AA1210" s="5" t="n"/>
      <c r="AB1210" s="5" t="n"/>
    </row>
    <row r="1211" ht="15.75" customHeight="1" s="79">
      <c r="A1211" s="43" t="inlineStr">
        <is>
          <t>FUNDING YEAR</t>
        </is>
      </c>
      <c r="B1211" s="5" t="n"/>
      <c r="C1211" s="5" t="n"/>
      <c r="D1211" s="5" t="n"/>
      <c r="E1211" s="5" t="n"/>
      <c r="F1211" s="5" t="n"/>
      <c r="G1211" s="5" t="n"/>
      <c r="H1211" s="5" t="n"/>
      <c r="I1211" s="5" t="n"/>
      <c r="J1211" s="5" t="n"/>
      <c r="K1211" s="5" t="n"/>
      <c r="L1211" s="5" t="n"/>
      <c r="M1211" s="5" t="n"/>
      <c r="N1211" s="5" t="n"/>
      <c r="O1211" s="5" t="n"/>
      <c r="P1211" s="5" t="n"/>
      <c r="Q1211" s="5" t="n"/>
      <c r="R1211" s="5" t="n"/>
      <c r="S1211" s="5" t="n"/>
      <c r="T1211" s="5" t="n"/>
      <c r="U1211" s="5" t="n"/>
      <c r="V1211" s="5" t="n"/>
      <c r="W1211" s="5" t="n"/>
      <c r="X1211" s="5" t="n"/>
      <c r="Y1211" s="5" t="n"/>
      <c r="Z1211" s="5" t="n"/>
      <c r="AA1211" s="5" t="n"/>
      <c r="AB1211" s="5" t="n"/>
    </row>
    <row r="1212" ht="66" customHeight="1" s="79">
      <c r="A1212" s="72" t="inlineStr">
        <is>
          <t>2026 is incomplete and there are 289 open deals.</t>
        </is>
      </c>
      <c r="AB1212" s="5" t="n"/>
    </row>
    <row r="1213" ht="15.75" customHeight="1" s="79">
      <c r="A1213" s="5" t="n"/>
      <c r="B1213" s="5" t="n"/>
      <c r="C1213" s="5" t="n"/>
      <c r="D1213" s="5" t="n"/>
      <c r="E1213" s="5" t="n"/>
      <c r="F1213" s="5" t="n"/>
      <c r="G1213" s="5" t="n"/>
      <c r="H1213" s="5" t="n"/>
      <c r="I1213" s="5" t="n"/>
      <c r="J1213" s="5" t="n"/>
      <c r="K1213" s="5" t="n"/>
      <c r="L1213" s="5" t="n"/>
      <c r="M1213" s="5" t="n"/>
      <c r="N1213" s="5" t="n"/>
      <c r="O1213" s="5" t="n"/>
      <c r="P1213" s="5" t="n"/>
      <c r="Q1213" s="5" t="n"/>
      <c r="R1213" s="5" t="n"/>
      <c r="S1213" s="5" t="n"/>
      <c r="T1213" s="5" t="n"/>
      <c r="U1213" s="5" t="n"/>
      <c r="V1213" s="5" t="n"/>
      <c r="W1213" s="5" t="n"/>
      <c r="X1213" s="5" t="n"/>
      <c r="Y1213" s="5" t="n"/>
      <c r="Z1213" s="5" t="n"/>
      <c r="AA1213" s="5" t="n"/>
      <c r="AB1213" s="5" t="n"/>
    </row>
    <row r="1214" ht="15.75" customHeight="1" s="79">
      <c r="A1214" s="5" t="n"/>
      <c r="B1214" s="5" t="n"/>
      <c r="C1214" s="5" t="n"/>
      <c r="D1214" s="5" t="n"/>
      <c r="E1214" s="5" t="n"/>
      <c r="F1214" s="5" t="n"/>
      <c r="G1214" s="5" t="n"/>
      <c r="H1214" s="5" t="n"/>
      <c r="I1214" s="5" t="n"/>
      <c r="J1214" s="5" t="n"/>
      <c r="K1214" s="5" t="n"/>
      <c r="L1214" s="5" t="n"/>
      <c r="M1214" s="5" t="n"/>
      <c r="N1214" s="5" t="n"/>
      <c r="O1214" s="5" t="n"/>
      <c r="P1214" s="5" t="n"/>
      <c r="Q1214" s="5" t="n"/>
      <c r="R1214" s="5" t="n"/>
      <c r="S1214" s="5" t="n"/>
      <c r="T1214" s="5" t="n"/>
      <c r="U1214" s="5" t="n"/>
      <c r="V1214" s="5" t="n"/>
      <c r="W1214" s="5" t="n"/>
      <c r="X1214" s="5" t="n"/>
      <c r="Y1214" s="5" t="n"/>
      <c r="Z1214" s="5" t="n"/>
      <c r="AA1214" s="5" t="n"/>
      <c r="AB1214" s="5" t="n"/>
    </row>
    <row r="1215" ht="15.75" customHeight="1" s="79">
      <c r="A1215" s="5" t="n"/>
      <c r="B1215" s="5" t="n"/>
      <c r="C1215" s="5" t="n"/>
      <c r="D1215" s="5" t="n"/>
      <c r="E1215" s="5" t="n"/>
      <c r="F1215" s="5" t="n"/>
      <c r="G1215" s="5" t="n"/>
      <c r="H1215" s="5" t="n"/>
      <c r="I1215" s="5" t="n"/>
      <c r="J1215" s="5" t="n"/>
      <c r="K1215" s="5" t="n"/>
      <c r="L1215" s="5" t="n"/>
      <c r="M1215" s="5" t="n"/>
      <c r="N1215" s="5" t="n"/>
      <c r="O1215" s="5" t="n"/>
      <c r="P1215" s="5" t="n"/>
      <c r="Q1215" s="5" t="n"/>
      <c r="R1215" s="5" t="n"/>
      <c r="S1215" s="5" t="n"/>
      <c r="T1215" s="5" t="n"/>
      <c r="U1215" s="5" t="n"/>
      <c r="V1215" s="5" t="n"/>
      <c r="W1215" s="5" t="n"/>
      <c r="X1215" s="5" t="n"/>
      <c r="Y1215" s="5" t="n"/>
      <c r="Z1215" s="5" t="n"/>
      <c r="AA1215" s="5" t="n"/>
      <c r="AB1215" s="5" t="n"/>
    </row>
    <row r="1216" ht="15.75" customHeight="1" s="79">
      <c r="A1216" s="5" t="n"/>
      <c r="B1216" s="5" t="n"/>
      <c r="C1216" s="5" t="n"/>
      <c r="D1216" s="5" t="n"/>
      <c r="E1216" s="5" t="n"/>
      <c r="F1216" s="5" t="n"/>
      <c r="G1216" s="5" t="n"/>
      <c r="H1216" s="5" t="n"/>
      <c r="I1216" s="5" t="n"/>
      <c r="J1216" s="5" t="n"/>
      <c r="K1216" s="5" t="n"/>
      <c r="L1216" s="5" t="n"/>
      <c r="M1216" s="5" t="n"/>
      <c r="N1216" s="5" t="n"/>
      <c r="O1216" s="5" t="n"/>
      <c r="P1216" s="5" t="n"/>
      <c r="Q1216" s="5" t="n"/>
      <c r="R1216" s="5" t="n"/>
      <c r="S1216" s="5" t="n"/>
      <c r="T1216" s="5" t="n"/>
      <c r="U1216" s="5" t="n"/>
      <c r="V1216" s="5" t="n"/>
      <c r="W1216" s="5" t="n"/>
      <c r="X1216" s="5" t="n"/>
      <c r="Y1216" s="5" t="n"/>
      <c r="Z1216" s="5" t="n"/>
      <c r="AA1216" s="5" t="n"/>
      <c r="AB1216" s="5" t="n"/>
    </row>
    <row r="1217" ht="15.75" customHeight="1" s="79">
      <c r="A1217" s="5" t="n"/>
      <c r="B1217" s="5" t="n"/>
      <c r="C1217" s="5" t="n"/>
      <c r="D1217" s="5" t="n"/>
      <c r="E1217" s="5" t="n"/>
      <c r="F1217" s="5" t="n"/>
      <c r="G1217" s="5" t="n"/>
      <c r="H1217" s="5" t="n"/>
      <c r="I1217" s="5" t="n"/>
      <c r="J1217" s="5" t="n"/>
      <c r="K1217" s="5" t="n"/>
      <c r="L1217" s="5" t="n"/>
      <c r="M1217" s="5" t="n"/>
      <c r="N1217" s="5" t="n"/>
      <c r="O1217" s="5" t="n"/>
      <c r="P1217" s="5" t="n"/>
      <c r="Q1217" s="5" t="n"/>
      <c r="R1217" s="5" t="n"/>
      <c r="S1217" s="5" t="n"/>
      <c r="T1217" s="5" t="n"/>
      <c r="U1217" s="5" t="n"/>
      <c r="V1217" s="5" t="n"/>
      <c r="W1217" s="5" t="n"/>
      <c r="X1217" s="5" t="n"/>
      <c r="Y1217" s="5" t="n"/>
      <c r="Z1217" s="5" t="n"/>
      <c r="AA1217" s="5" t="n"/>
      <c r="AB1217" s="5" t="n"/>
    </row>
    <row r="1218" ht="15.75" customHeight="1" s="79">
      <c r="A1218" s="5" t="n"/>
      <c r="B1218" s="5" t="n"/>
      <c r="C1218" s="5" t="n"/>
      <c r="D1218" s="5" t="n"/>
      <c r="E1218" s="5" t="n"/>
      <c r="F1218" s="5" t="n"/>
      <c r="G1218" s="5" t="n"/>
      <c r="H1218" s="5" t="n"/>
      <c r="I1218" s="5" t="n"/>
      <c r="J1218" s="5" t="n"/>
      <c r="K1218" s="5" t="n"/>
      <c r="L1218" s="5" t="n"/>
      <c r="M1218" s="5" t="n"/>
      <c r="N1218" s="5" t="n"/>
      <c r="O1218" s="5" t="n"/>
      <c r="P1218" s="5" t="n"/>
      <c r="Q1218" s="5" t="n"/>
      <c r="R1218" s="5" t="n"/>
      <c r="S1218" s="5" t="n"/>
      <c r="T1218" s="5" t="n"/>
      <c r="U1218" s="5" t="n"/>
      <c r="V1218" s="5" t="n"/>
      <c r="W1218" s="5" t="n"/>
      <c r="X1218" s="5" t="n"/>
      <c r="Y1218" s="5" t="n"/>
      <c r="Z1218" s="5" t="n"/>
      <c r="AA1218" s="5" t="n"/>
      <c r="AB1218" s="5" t="n"/>
    </row>
    <row r="1219" ht="15.75" customHeight="1" s="79">
      <c r="A1219" s="5" t="n"/>
      <c r="B1219" s="5" t="n"/>
      <c r="C1219" s="5" t="n"/>
      <c r="D1219" s="5" t="n"/>
      <c r="E1219" s="5" t="n"/>
      <c r="F1219" s="5" t="n"/>
      <c r="G1219" s="5" t="n"/>
      <c r="H1219" s="5" t="n"/>
      <c r="I1219" s="5" t="n"/>
      <c r="J1219" s="5" t="n"/>
      <c r="K1219" s="5" t="n"/>
      <c r="L1219" s="5" t="n"/>
      <c r="M1219" s="5" t="n"/>
      <c r="N1219" s="5" t="n"/>
      <c r="O1219" s="5" t="n"/>
      <c r="P1219" s="5" t="n"/>
      <c r="Q1219" s="5" t="n"/>
      <c r="R1219" s="5" t="n"/>
      <c r="S1219" s="5" t="n"/>
      <c r="T1219" s="5" t="n"/>
      <c r="U1219" s="5" t="n"/>
      <c r="V1219" s="5" t="n"/>
      <c r="W1219" s="5" t="n"/>
      <c r="X1219" s="5" t="n"/>
      <c r="Y1219" s="5" t="n"/>
      <c r="Z1219" s="5" t="n"/>
      <c r="AA1219" s="5" t="n"/>
      <c r="AB1219" s="5" t="n"/>
    </row>
    <row r="1220" ht="15.75" customHeight="1" s="79">
      <c r="A1220" s="5" t="n"/>
      <c r="B1220" s="5" t="n"/>
      <c r="C1220" s="5" t="n"/>
      <c r="D1220" s="5" t="n"/>
      <c r="E1220" s="5" t="n"/>
      <c r="F1220" s="5" t="n"/>
      <c r="G1220" s="5" t="n"/>
      <c r="H1220" s="5" t="n"/>
      <c r="I1220" s="5" t="n"/>
      <c r="J1220" s="5" t="n"/>
      <c r="K1220" s="5" t="n"/>
      <c r="L1220" s="5" t="n"/>
      <c r="M1220" s="5" t="n"/>
      <c r="N1220" s="5" t="n"/>
      <c r="O1220" s="5" t="n"/>
      <c r="P1220" s="5" t="n"/>
      <c r="Q1220" s="5" t="n"/>
      <c r="R1220" s="5" t="n"/>
      <c r="S1220" s="5" t="n"/>
      <c r="T1220" s="5" t="n"/>
      <c r="U1220" s="5" t="n"/>
      <c r="V1220" s="5" t="n"/>
      <c r="W1220" s="5" t="n"/>
      <c r="X1220" s="5" t="n"/>
      <c r="Y1220" s="5" t="n"/>
      <c r="Z1220" s="5" t="n"/>
      <c r="AA1220" s="5" t="n"/>
      <c r="AB1220" s="5" t="n"/>
    </row>
    <row r="1221" ht="15.75" customHeight="1" s="79">
      <c r="A1221" s="5" t="n"/>
      <c r="B1221" s="5" t="n"/>
      <c r="C1221" s="5" t="n"/>
      <c r="D1221" s="5" t="n"/>
      <c r="E1221" s="5" t="n"/>
      <c r="F1221" s="5" t="n"/>
      <c r="G1221" s="5" t="n"/>
      <c r="H1221" s="5" t="n"/>
      <c r="I1221" s="5" t="n"/>
      <c r="J1221" s="5" t="n"/>
      <c r="K1221" s="5" t="n"/>
      <c r="L1221" s="5" t="n"/>
      <c r="M1221" s="5" t="n"/>
      <c r="N1221" s="5" t="n"/>
      <c r="O1221" s="5" t="n"/>
      <c r="P1221" s="5" t="n"/>
      <c r="Q1221" s="5" t="n"/>
      <c r="R1221" s="5" t="n"/>
      <c r="S1221" s="5" t="n"/>
      <c r="T1221" s="5" t="n"/>
      <c r="U1221" s="5" t="n"/>
      <c r="V1221" s="5" t="n"/>
      <c r="W1221" s="5" t="n"/>
      <c r="X1221" s="5" t="n"/>
      <c r="Y1221" s="5" t="n"/>
      <c r="Z1221" s="5" t="n"/>
      <c r="AA1221" s="5" t="n"/>
      <c r="AB1221" s="5" t="n"/>
    </row>
    <row r="1222" ht="15.75" customHeight="1" s="79">
      <c r="A1222" s="5" t="n"/>
      <c r="B1222" s="5" t="n"/>
      <c r="C1222" s="5" t="n"/>
      <c r="D1222" s="5" t="n"/>
      <c r="E1222" s="5" t="n"/>
      <c r="F1222" s="5" t="n"/>
      <c r="G1222" s="5" t="n"/>
      <c r="H1222" s="5" t="n"/>
      <c r="I1222" s="5" t="n"/>
      <c r="J1222" s="5" t="n"/>
      <c r="K1222" s="5" t="n"/>
      <c r="L1222" s="5" t="n"/>
      <c r="M1222" s="5" t="n"/>
      <c r="N1222" s="5" t="n"/>
      <c r="O1222" s="5" t="n"/>
      <c r="P1222" s="5" t="n"/>
      <c r="Q1222" s="5" t="n"/>
      <c r="R1222" s="5" t="n"/>
      <c r="S1222" s="5" t="n"/>
      <c r="T1222" s="5" t="n"/>
      <c r="U1222" s="5" t="n"/>
      <c r="V1222" s="5" t="n"/>
      <c r="W1222" s="5" t="n"/>
      <c r="X1222" s="5" t="n"/>
      <c r="Y1222" s="5" t="n"/>
      <c r="Z1222" s="5" t="n"/>
      <c r="AA1222" s="5" t="n"/>
      <c r="AB1222" s="5" t="n"/>
    </row>
    <row r="1223" ht="15.75" customHeight="1" s="79">
      <c r="A1223" s="5" t="n"/>
      <c r="B1223" s="5" t="n"/>
      <c r="C1223" s="5" t="n"/>
      <c r="D1223" s="5" t="n"/>
      <c r="E1223" s="5" t="n"/>
      <c r="F1223" s="5" t="n"/>
      <c r="G1223" s="5" t="n"/>
      <c r="H1223" s="5" t="n"/>
      <c r="I1223" s="5" t="n"/>
      <c r="J1223" s="5" t="n"/>
      <c r="K1223" s="5" t="n"/>
      <c r="L1223" s="5" t="n"/>
      <c r="M1223" s="5" t="n"/>
      <c r="N1223" s="5" t="n"/>
      <c r="O1223" s="5" t="n"/>
      <c r="P1223" s="5" t="n"/>
      <c r="Q1223" s="5" t="n"/>
      <c r="R1223" s="5" t="n"/>
      <c r="S1223" s="5" t="n"/>
      <c r="T1223" s="5" t="n"/>
      <c r="U1223" s="5" t="n"/>
      <c r="V1223" s="5" t="n"/>
      <c r="W1223" s="5" t="n"/>
      <c r="X1223" s="5" t="n"/>
      <c r="Y1223" s="5" t="n"/>
      <c r="Z1223" s="5" t="n"/>
      <c r="AA1223" s="5" t="n"/>
      <c r="AB1223" s="5" t="n"/>
    </row>
    <row r="1224" ht="15.75" customHeight="1" s="79">
      <c r="A1224" s="5" t="n"/>
      <c r="B1224" s="5" t="n"/>
      <c r="C1224" s="5" t="n"/>
      <c r="D1224" s="5" t="n"/>
      <c r="E1224" s="5" t="n"/>
      <c r="F1224" s="5" t="n"/>
      <c r="G1224" s="5" t="n"/>
      <c r="H1224" s="5" t="n"/>
      <c r="I1224" s="5" t="n"/>
      <c r="J1224" s="5" t="n"/>
      <c r="K1224" s="5" t="n"/>
      <c r="L1224" s="5" t="n"/>
      <c r="M1224" s="5" t="n"/>
      <c r="N1224" s="5" t="n"/>
      <c r="O1224" s="5" t="n"/>
      <c r="P1224" s="5" t="n"/>
      <c r="Q1224" s="5" t="n"/>
      <c r="R1224" s="5" t="n"/>
      <c r="S1224" s="5" t="n"/>
      <c r="T1224" s="5" t="n"/>
      <c r="U1224" s="5" t="n"/>
      <c r="V1224" s="5" t="n"/>
      <c r="W1224" s="5" t="n"/>
      <c r="X1224" s="5" t="n"/>
      <c r="Y1224" s="5" t="n"/>
      <c r="Z1224" s="5" t="n"/>
      <c r="AA1224" s="5" t="n"/>
      <c r="AB1224" s="5" t="n"/>
    </row>
    <row r="1225" ht="15.75" customHeight="1" s="79">
      <c r="A1225" s="5" t="n"/>
      <c r="B1225" s="5" t="n"/>
      <c r="C1225" s="5" t="n"/>
      <c r="D1225" s="5" t="n"/>
      <c r="E1225" s="5" t="n"/>
      <c r="F1225" s="5" t="n"/>
      <c r="G1225" s="5" t="n"/>
      <c r="H1225" s="5" t="n"/>
      <c r="I1225" s="5" t="n"/>
      <c r="J1225" s="5" t="n"/>
      <c r="K1225" s="5" t="n"/>
      <c r="L1225" s="5" t="n"/>
      <c r="M1225" s="5" t="n"/>
      <c r="N1225" s="5" t="n"/>
      <c r="O1225" s="5" t="n"/>
      <c r="P1225" s="5" t="n"/>
      <c r="Q1225" s="5" t="n"/>
      <c r="R1225" s="5" t="n"/>
      <c r="S1225" s="5" t="n"/>
      <c r="T1225" s="5" t="n"/>
      <c r="U1225" s="5" t="n"/>
      <c r="V1225" s="5" t="n"/>
      <c r="W1225" s="5" t="n"/>
      <c r="X1225" s="5" t="n"/>
      <c r="Y1225" s="5" t="n"/>
      <c r="Z1225" s="5" t="n"/>
      <c r="AA1225" s="5" t="n"/>
      <c r="AB1225" s="5" t="n"/>
    </row>
    <row r="1226" ht="15.75" customHeight="1" s="79">
      <c r="A1226" s="5" t="n"/>
      <c r="B1226" s="5" t="n"/>
      <c r="C1226" s="5" t="n"/>
      <c r="D1226" s="5" t="n"/>
      <c r="E1226" s="5" t="n"/>
      <c r="F1226" s="5" t="n"/>
      <c r="G1226" s="5" t="n"/>
      <c r="H1226" s="5" t="n"/>
      <c r="I1226" s="5" t="n"/>
      <c r="J1226" s="5" t="n"/>
      <c r="K1226" s="5" t="n"/>
      <c r="L1226" s="5" t="n"/>
      <c r="M1226" s="5" t="n"/>
      <c r="N1226" s="5" t="n"/>
      <c r="O1226" s="5" t="n"/>
      <c r="P1226" s="5" t="n"/>
      <c r="Q1226" s="5" t="n"/>
      <c r="R1226" s="5" t="n"/>
      <c r="S1226" s="5" t="n"/>
      <c r="T1226" s="5" t="n"/>
      <c r="U1226" s="5" t="n"/>
      <c r="V1226" s="5" t="n"/>
      <c r="W1226" s="5" t="n"/>
      <c r="X1226" s="5" t="n"/>
      <c r="Y1226" s="5" t="n"/>
      <c r="Z1226" s="5" t="n"/>
      <c r="AA1226" s="5" t="n"/>
      <c r="AB1226" s="5" t="n"/>
    </row>
    <row r="1227" ht="15.75" customHeight="1" s="79">
      <c r="A1227" s="5" t="n"/>
      <c r="B1227" s="5" t="n"/>
      <c r="C1227" s="5" t="n"/>
      <c r="D1227" s="5" t="n"/>
      <c r="E1227" s="5" t="n"/>
      <c r="F1227" s="5" t="n"/>
      <c r="G1227" s="5" t="n"/>
      <c r="H1227" s="5" t="n"/>
      <c r="I1227" s="5" t="n"/>
      <c r="J1227" s="5" t="n"/>
      <c r="K1227" s="5" t="n"/>
      <c r="L1227" s="5" t="n"/>
      <c r="M1227" s="5" t="n"/>
      <c r="N1227" s="5" t="n"/>
      <c r="O1227" s="5" t="n"/>
      <c r="P1227" s="5" t="n"/>
      <c r="Q1227" s="5" t="n"/>
      <c r="R1227" s="5" t="n"/>
      <c r="S1227" s="5" t="n"/>
      <c r="T1227" s="5" t="n"/>
      <c r="U1227" s="5" t="n"/>
      <c r="V1227" s="5" t="n"/>
      <c r="W1227" s="5" t="n"/>
      <c r="X1227" s="5" t="n"/>
      <c r="Y1227" s="5" t="n"/>
      <c r="Z1227" s="5" t="n"/>
      <c r="AA1227" s="5" t="n"/>
      <c r="AB1227" s="5" t="n"/>
    </row>
    <row r="1228" ht="15.75" customHeight="1" s="79">
      <c r="A1228" s="5" t="n"/>
      <c r="B1228" s="5" t="n"/>
      <c r="C1228" s="5" t="n"/>
      <c r="D1228" s="5" t="n"/>
      <c r="E1228" s="5" t="n"/>
      <c r="F1228" s="5" t="n"/>
      <c r="G1228" s="5" t="n"/>
      <c r="H1228" s="5" t="n"/>
      <c r="I1228" s="5" t="n"/>
      <c r="J1228" s="5" t="n"/>
      <c r="K1228" s="5" t="n"/>
      <c r="L1228" s="5" t="n"/>
      <c r="M1228" s="5" t="n"/>
      <c r="N1228" s="5" t="n"/>
      <c r="O1228" s="5" t="n"/>
      <c r="P1228" s="5" t="n"/>
      <c r="Q1228" s="5" t="n"/>
      <c r="R1228" s="5" t="n"/>
      <c r="S1228" s="5" t="n"/>
      <c r="T1228" s="5" t="n"/>
      <c r="U1228" s="5" t="n"/>
      <c r="V1228" s="5" t="n"/>
      <c r="W1228" s="5" t="n"/>
      <c r="X1228" s="5" t="n"/>
      <c r="Y1228" s="5" t="n"/>
      <c r="Z1228" s="5" t="n"/>
      <c r="AA1228" s="5" t="n"/>
      <c r="AB1228" s="5" t="n"/>
    </row>
    <row r="1229" ht="15.75" customHeight="1" s="79">
      <c r="A1229" s="5" t="n"/>
      <c r="B1229" s="5" t="n"/>
      <c r="C1229" s="5" t="n"/>
      <c r="D1229" s="5" t="n"/>
      <c r="E1229" s="5" t="n"/>
      <c r="F1229" s="5" t="n"/>
      <c r="G1229" s="5" t="n"/>
      <c r="H1229" s="5" t="n"/>
      <c r="I1229" s="5" t="n"/>
      <c r="J1229" s="5" t="n"/>
      <c r="K1229" s="5" t="n"/>
      <c r="L1229" s="5" t="n"/>
      <c r="M1229" s="5" t="n"/>
      <c r="N1229" s="5" t="n"/>
      <c r="O1229" s="5" t="n"/>
      <c r="P1229" s="5" t="n"/>
      <c r="Q1229" s="5" t="n"/>
      <c r="R1229" s="5" t="n"/>
      <c r="S1229" s="5" t="n"/>
      <c r="T1229" s="5" t="n"/>
      <c r="U1229" s="5" t="n"/>
      <c r="V1229" s="5" t="n"/>
      <c r="W1229" s="5" t="n"/>
      <c r="X1229" s="5" t="n"/>
      <c r="Y1229" s="5" t="n"/>
      <c r="Z1229" s="5" t="n"/>
      <c r="AA1229" s="5" t="n"/>
      <c r="AB1229" s="5" t="n"/>
    </row>
    <row r="1230" ht="15.75" customHeight="1" s="79">
      <c r="A1230" s="5" t="n"/>
      <c r="B1230" s="5" t="n"/>
      <c r="C1230" s="5" t="n"/>
      <c r="D1230" s="5" t="n"/>
      <c r="E1230" s="5" t="n"/>
      <c r="F1230" s="5" t="n"/>
      <c r="G1230" s="5" t="n"/>
      <c r="H1230" s="5" t="n"/>
      <c r="I1230" s="5" t="n"/>
      <c r="J1230" s="5" t="n"/>
      <c r="K1230" s="5" t="n"/>
      <c r="L1230" s="5" t="n"/>
      <c r="M1230" s="5" t="n"/>
      <c r="N1230" s="5" t="n"/>
      <c r="O1230" s="5" t="n"/>
      <c r="P1230" s="5" t="n"/>
      <c r="Q1230" s="5" t="n"/>
      <c r="R1230" s="5" t="n"/>
      <c r="S1230" s="5" t="n"/>
      <c r="T1230" s="5" t="n"/>
      <c r="U1230" s="5" t="n"/>
      <c r="V1230" s="5" t="n"/>
      <c r="W1230" s="5" t="n"/>
      <c r="X1230" s="5" t="n"/>
      <c r="Y1230" s="5" t="n"/>
      <c r="Z1230" s="5" t="n"/>
      <c r="AA1230" s="5" t="n"/>
      <c r="AB1230" s="5" t="n"/>
    </row>
    <row r="1231" ht="15.75" customHeight="1" s="79">
      <c r="A1231" s="5" t="n"/>
      <c r="B1231" s="5" t="n"/>
      <c r="C1231" s="5" t="n"/>
      <c r="D1231" s="5" t="n"/>
      <c r="E1231" s="5" t="n"/>
      <c r="F1231" s="5" t="n"/>
      <c r="G1231" s="5" t="n"/>
      <c r="H1231" s="5" t="n"/>
      <c r="I1231" s="5" t="n"/>
      <c r="J1231" s="5" t="n"/>
      <c r="K1231" s="5" t="n"/>
      <c r="L1231" s="5" t="n"/>
      <c r="M1231" s="5" t="n"/>
      <c r="N1231" s="5" t="n"/>
      <c r="O1231" s="5" t="n"/>
      <c r="P1231" s="5" t="n"/>
      <c r="Q1231" s="5" t="n"/>
      <c r="R1231" s="5" t="n"/>
      <c r="S1231" s="5" t="n"/>
      <c r="T1231" s="5" t="n"/>
      <c r="U1231" s="5" t="n"/>
      <c r="V1231" s="5" t="n"/>
      <c r="W1231" s="5" t="n"/>
      <c r="X1231" s="5" t="n"/>
      <c r="Y1231" s="5" t="n"/>
      <c r="Z1231" s="5" t="n"/>
      <c r="AA1231" s="5" t="n"/>
      <c r="AB1231" s="5" t="n"/>
    </row>
    <row r="1232" ht="15.75" customHeight="1" s="79">
      <c r="A1232" s="5" t="n"/>
      <c r="B1232" s="5" t="n"/>
      <c r="C1232" s="5" t="n"/>
      <c r="D1232" s="5" t="n"/>
      <c r="E1232" s="5" t="n"/>
      <c r="F1232" s="5" t="n"/>
      <c r="G1232" s="5" t="n"/>
      <c r="H1232" s="5" t="n"/>
      <c r="I1232" s="5" t="n"/>
      <c r="J1232" s="5" t="n"/>
      <c r="K1232" s="5" t="n"/>
      <c r="L1232" s="5" t="n"/>
      <c r="M1232" s="5" t="n"/>
      <c r="N1232" s="5" t="n"/>
      <c r="O1232" s="5" t="n"/>
      <c r="P1232" s="5" t="n"/>
      <c r="Q1232" s="5" t="n"/>
      <c r="R1232" s="5" t="n"/>
      <c r="S1232" s="5" t="n"/>
      <c r="T1232" s="5" t="n"/>
      <c r="U1232" s="5" t="n"/>
      <c r="V1232" s="5" t="n"/>
      <c r="W1232" s="5" t="n"/>
      <c r="X1232" s="5" t="n"/>
      <c r="Y1232" s="5" t="n"/>
      <c r="Z1232" s="5" t="n"/>
      <c r="AA1232" s="5" t="n"/>
      <c r="AB1232" s="5" t="n"/>
    </row>
    <row r="1233" ht="15.75" customHeight="1" s="79">
      <c r="A1233" s="5" t="n"/>
      <c r="B1233" s="5" t="n"/>
      <c r="C1233" s="5" t="n"/>
      <c r="D1233" s="5" t="n"/>
      <c r="E1233" s="5" t="n"/>
      <c r="F1233" s="5" t="n"/>
      <c r="G1233" s="5" t="n"/>
      <c r="H1233" s="5" t="n"/>
      <c r="I1233" s="5" t="n"/>
      <c r="J1233" s="5" t="n"/>
      <c r="K1233" s="5" t="n"/>
      <c r="L1233" s="5" t="n"/>
      <c r="M1233" s="5" t="n"/>
      <c r="N1233" s="5" t="n"/>
      <c r="O1233" s="5" t="n"/>
      <c r="P1233" s="5" t="n"/>
      <c r="Q1233" s="5" t="n"/>
      <c r="R1233" s="5" t="n"/>
      <c r="S1233" s="5" t="n"/>
      <c r="T1233" s="5" t="n"/>
      <c r="U1233" s="5" t="n"/>
      <c r="V1233" s="5" t="n"/>
      <c r="W1233" s="5" t="n"/>
      <c r="X1233" s="5" t="n"/>
      <c r="Y1233" s="5" t="n"/>
      <c r="Z1233" s="5" t="n"/>
      <c r="AA1233" s="5" t="n"/>
      <c r="AB1233" s="5" t="n"/>
    </row>
    <row r="1234" ht="15.75" customHeight="1" s="79">
      <c r="A1234" s="5" t="n"/>
      <c r="B1234" s="5" t="n"/>
      <c r="C1234" s="5" t="n"/>
      <c r="D1234" s="5" t="n"/>
      <c r="E1234" s="5" t="n"/>
      <c r="F1234" s="5" t="n"/>
      <c r="G1234" s="5" t="n"/>
      <c r="H1234" s="5" t="n"/>
      <c r="I1234" s="5" t="n"/>
      <c r="J1234" s="5" t="n"/>
      <c r="K1234" s="5" t="n"/>
      <c r="L1234" s="5" t="n"/>
      <c r="M1234" s="5" t="n"/>
      <c r="N1234" s="5" t="n"/>
      <c r="O1234" s="5" t="n"/>
      <c r="P1234" s="5" t="n"/>
      <c r="Q1234" s="5" t="n"/>
      <c r="R1234" s="5" t="n"/>
      <c r="S1234" s="5" t="n"/>
      <c r="T1234" s="5" t="n"/>
      <c r="U1234" s="5" t="n"/>
      <c r="V1234" s="5" t="n"/>
      <c r="W1234" s="5" t="n"/>
      <c r="X1234" s="5" t="n"/>
      <c r="Y1234" s="5" t="n"/>
      <c r="Z1234" s="5" t="n"/>
      <c r="AA1234" s="5" t="n"/>
      <c r="AB1234" s="5" t="n"/>
    </row>
    <row r="1235" ht="15.75" customHeight="1" s="79">
      <c r="A1235" s="5" t="n"/>
      <c r="B1235" s="5" t="n"/>
      <c r="C1235" s="5" t="n"/>
      <c r="D1235" s="5" t="n"/>
      <c r="E1235" s="5" t="n"/>
      <c r="F1235" s="5" t="n"/>
      <c r="G1235" s="5" t="n"/>
      <c r="H1235" s="5" t="n"/>
      <c r="I1235" s="5" t="n"/>
      <c r="J1235" s="5" t="n"/>
      <c r="K1235" s="5" t="n"/>
      <c r="L1235" s="5" t="n"/>
      <c r="M1235" s="5" t="n"/>
      <c r="N1235" s="5" t="n"/>
      <c r="O1235" s="5" t="n"/>
      <c r="P1235" s="5" t="n"/>
      <c r="Q1235" s="5" t="n"/>
      <c r="R1235" s="5" t="n"/>
      <c r="S1235" s="5" t="n"/>
      <c r="T1235" s="5" t="n"/>
      <c r="U1235" s="5" t="n"/>
      <c r="V1235" s="5" t="n"/>
      <c r="W1235" s="5" t="n"/>
      <c r="X1235" s="5" t="n"/>
      <c r="Y1235" s="5" t="n"/>
      <c r="Z1235" s="5" t="n"/>
      <c r="AA1235" s="5" t="n"/>
      <c r="AB1235" s="5" t="n"/>
    </row>
    <row r="1236" ht="15.75" customHeight="1" s="79">
      <c r="A1236" s="5" t="n"/>
      <c r="B1236" s="5" t="n"/>
      <c r="C1236" s="5" t="n"/>
      <c r="D1236" s="5" t="n"/>
      <c r="E1236" s="5" t="n"/>
      <c r="F1236" s="5" t="n"/>
      <c r="G1236" s="5" t="n"/>
      <c r="H1236" s="5" t="n"/>
      <c r="I1236" s="5" t="n"/>
      <c r="J1236" s="5" t="n"/>
      <c r="K1236" s="5" t="n"/>
      <c r="L1236" s="5" t="n"/>
      <c r="M1236" s="5" t="n"/>
      <c r="N1236" s="5" t="n"/>
      <c r="O1236" s="5" t="n"/>
      <c r="P1236" s="5" t="n"/>
      <c r="Q1236" s="5" t="n"/>
      <c r="R1236" s="5" t="n"/>
      <c r="S1236" s="5" t="n"/>
      <c r="T1236" s="5" t="n"/>
      <c r="U1236" s="5" t="n"/>
      <c r="V1236" s="5" t="n"/>
      <c r="W1236" s="5" t="n"/>
      <c r="X1236" s="5" t="n"/>
      <c r="Y1236" s="5" t="n"/>
      <c r="Z1236" s="5" t="n"/>
      <c r="AA1236" s="5" t="n"/>
      <c r="AB1236" s="5" t="n"/>
    </row>
    <row r="1237" ht="15.75" customHeight="1" s="79">
      <c r="A1237" s="5" t="n"/>
      <c r="B1237" s="5" t="n"/>
      <c r="C1237" s="5" t="n"/>
      <c r="D1237" s="5" t="n"/>
      <c r="E1237" s="5" t="n"/>
      <c r="F1237" s="5" t="n"/>
      <c r="G1237" s="5" t="n"/>
      <c r="H1237" s="5" t="n"/>
      <c r="I1237" s="5" t="n"/>
      <c r="J1237" s="5" t="n"/>
      <c r="K1237" s="5" t="n"/>
      <c r="L1237" s="5" t="n"/>
      <c r="M1237" s="5" t="n"/>
      <c r="N1237" s="5" t="n"/>
      <c r="O1237" s="5" t="n"/>
      <c r="P1237" s="5" t="n"/>
      <c r="Q1237" s="5" t="n"/>
      <c r="R1237" s="5" t="n"/>
      <c r="S1237" s="5" t="n"/>
      <c r="T1237" s="5" t="n"/>
      <c r="U1237" s="5" t="n"/>
      <c r="V1237" s="5" t="n"/>
      <c r="W1237" s="5" t="n"/>
      <c r="X1237" s="5" t="n"/>
      <c r="Y1237" s="5" t="n"/>
      <c r="Z1237" s="5" t="n"/>
      <c r="AA1237" s="5" t="n"/>
      <c r="AB1237" s="5" t="n"/>
    </row>
    <row r="1238" ht="15.75" customHeight="1" s="79">
      <c r="A1238" s="5" t="n"/>
      <c r="B1238" s="5" t="n"/>
      <c r="C1238" s="5" t="n"/>
      <c r="D1238" s="5" t="n"/>
      <c r="E1238" s="5" t="n"/>
      <c r="F1238" s="5" t="n"/>
      <c r="G1238" s="5" t="n"/>
      <c r="H1238" s="5" t="n"/>
      <c r="I1238" s="5" t="n"/>
      <c r="J1238" s="5" t="n"/>
      <c r="K1238" s="5" t="n"/>
      <c r="L1238" s="5" t="n"/>
      <c r="M1238" s="5" t="n"/>
      <c r="N1238" s="5" t="n"/>
      <c r="O1238" s="5" t="n"/>
      <c r="P1238" s="5" t="n"/>
      <c r="Q1238" s="5" t="n"/>
      <c r="R1238" s="5" t="n"/>
      <c r="S1238" s="5" t="n"/>
      <c r="T1238" s="5" t="n"/>
      <c r="U1238" s="5" t="n"/>
      <c r="V1238" s="5" t="n"/>
      <c r="W1238" s="5" t="n"/>
      <c r="X1238" s="5" t="n"/>
      <c r="Y1238" s="5" t="n"/>
      <c r="Z1238" s="5" t="n"/>
      <c r="AA1238" s="5" t="n"/>
      <c r="AB1238" s="5" t="n"/>
    </row>
    <row r="1239" ht="15.75" customHeight="1" s="79">
      <c r="A1239" s="5" t="n"/>
      <c r="B1239" s="5" t="n"/>
      <c r="C1239" s="5" t="n"/>
      <c r="D1239" s="5" t="n"/>
      <c r="E1239" s="5" t="n"/>
      <c r="F1239" s="5" t="n"/>
      <c r="G1239" s="5" t="n"/>
      <c r="H1239" s="5" t="n"/>
      <c r="I1239" s="5" t="n"/>
      <c r="J1239" s="5" t="n"/>
      <c r="K1239" s="5" t="n"/>
      <c r="L1239" s="5" t="n"/>
      <c r="M1239" s="5" t="n"/>
      <c r="N1239" s="5" t="n"/>
      <c r="O1239" s="5" t="n"/>
      <c r="P1239" s="5" t="n"/>
      <c r="Q1239" s="5" t="n"/>
      <c r="R1239" s="5" t="n"/>
      <c r="S1239" s="5" t="n"/>
      <c r="T1239" s="5" t="n"/>
      <c r="U1239" s="5" t="n"/>
      <c r="V1239" s="5" t="n"/>
      <c r="W1239" s="5" t="n"/>
      <c r="X1239" s="5" t="n"/>
      <c r="Y1239" s="5" t="n"/>
      <c r="Z1239" s="5" t="n"/>
      <c r="AA1239" s="5" t="n"/>
      <c r="AB1239" s="5" t="n"/>
    </row>
    <row r="1240" ht="15.75" customHeight="1" s="79">
      <c r="A1240" s="5" t="n"/>
      <c r="B1240" s="5" t="n"/>
      <c r="C1240" s="5" t="n"/>
      <c r="D1240" s="5" t="n"/>
      <c r="E1240" s="5" t="n"/>
      <c r="F1240" s="5" t="n"/>
      <c r="G1240" s="5" t="n"/>
      <c r="H1240" s="5" t="n"/>
      <c r="I1240" s="5" t="n"/>
      <c r="J1240" s="5" t="n"/>
      <c r="K1240" s="5" t="n"/>
      <c r="L1240" s="5" t="n"/>
      <c r="M1240" s="5" t="n"/>
      <c r="N1240" s="5" t="n"/>
      <c r="O1240" s="5" t="n"/>
      <c r="P1240" s="5" t="n"/>
      <c r="Q1240" s="5" t="n"/>
      <c r="R1240" s="5" t="n"/>
      <c r="S1240" s="5" t="n"/>
      <c r="T1240" s="5" t="n"/>
      <c r="U1240" s="5" t="n"/>
      <c r="V1240" s="5" t="n"/>
      <c r="W1240" s="5" t="n"/>
      <c r="X1240" s="5" t="n"/>
      <c r="Y1240" s="5" t="n"/>
      <c r="Z1240" s="5" t="n"/>
      <c r="AA1240" s="5" t="n"/>
      <c r="AB1240" s="5" t="n"/>
    </row>
    <row r="1241" ht="15.75" customHeight="1" s="79">
      <c r="A1241" s="5" t="n"/>
      <c r="B1241" s="5" t="n"/>
      <c r="C1241" s="5" t="n"/>
      <c r="D1241" s="5" t="n"/>
      <c r="E1241" s="5" t="n"/>
      <c r="F1241" s="5" t="n"/>
      <c r="G1241" s="5" t="n"/>
      <c r="H1241" s="5" t="n"/>
      <c r="I1241" s="5" t="n"/>
      <c r="J1241" s="5" t="n"/>
      <c r="K1241" s="5" t="n"/>
      <c r="L1241" s="5" t="n"/>
      <c r="M1241" s="5" t="n"/>
      <c r="N1241" s="5" t="n"/>
      <c r="O1241" s="5" t="n"/>
      <c r="P1241" s="5" t="n"/>
      <c r="Q1241" s="5" t="n"/>
      <c r="R1241" s="5" t="n"/>
      <c r="S1241" s="5" t="n"/>
      <c r="T1241" s="5" t="n"/>
      <c r="U1241" s="5" t="n"/>
      <c r="V1241" s="5" t="n"/>
      <c r="W1241" s="5" t="n"/>
      <c r="X1241" s="5" t="n"/>
      <c r="Y1241" s="5" t="n"/>
      <c r="Z1241" s="5" t="n"/>
      <c r="AA1241" s="5" t="n"/>
      <c r="AB1241" s="5" t="n"/>
    </row>
    <row r="1242" ht="15.75" customHeight="1" s="79">
      <c r="A1242" s="5" t="n"/>
      <c r="B1242" s="5" t="n"/>
      <c r="C1242" s="5" t="n"/>
      <c r="D1242" s="5" t="n"/>
      <c r="E1242" s="5" t="n"/>
      <c r="F1242" s="5" t="n"/>
      <c r="G1242" s="5" t="n"/>
      <c r="H1242" s="5" t="n"/>
      <c r="I1242" s="5" t="n"/>
      <c r="J1242" s="5" t="n"/>
      <c r="K1242" s="5" t="n"/>
      <c r="L1242" s="5" t="n"/>
      <c r="M1242" s="5" t="n"/>
      <c r="N1242" s="5" t="n"/>
      <c r="O1242" s="5" t="n"/>
      <c r="P1242" s="5" t="n"/>
      <c r="Q1242" s="5" t="n"/>
      <c r="R1242" s="5" t="n"/>
      <c r="S1242" s="5" t="n"/>
      <c r="T1242" s="5" t="n"/>
      <c r="U1242" s="5" t="n"/>
      <c r="V1242" s="5" t="n"/>
      <c r="W1242" s="5" t="n"/>
      <c r="X1242" s="5" t="n"/>
      <c r="Y1242" s="5" t="n"/>
      <c r="Z1242" s="5" t="n"/>
      <c r="AA1242" s="5" t="n"/>
      <c r="AB1242" s="5" t="n"/>
    </row>
    <row r="1243" ht="15.75" customHeight="1" s="79">
      <c r="A1243" s="5" t="n"/>
      <c r="B1243" s="5" t="n"/>
      <c r="C1243" s="5" t="n"/>
      <c r="D1243" s="5" t="n"/>
      <c r="E1243" s="5" t="n"/>
      <c r="F1243" s="5" t="n"/>
      <c r="G1243" s="5" t="n"/>
      <c r="H1243" s="5" t="n"/>
      <c r="I1243" s="5" t="n"/>
      <c r="J1243" s="5" t="n"/>
      <c r="K1243" s="5" t="n"/>
      <c r="L1243" s="5" t="n"/>
      <c r="M1243" s="5" t="n"/>
      <c r="N1243" s="5" t="n"/>
      <c r="O1243" s="5" t="n"/>
      <c r="P1243" s="5" t="n"/>
      <c r="Q1243" s="5" t="n"/>
      <c r="R1243" s="5" t="n"/>
      <c r="S1243" s="5" t="n"/>
      <c r="T1243" s="5" t="n"/>
      <c r="U1243" s="5" t="n"/>
      <c r="V1243" s="5" t="n"/>
      <c r="W1243" s="5" t="n"/>
      <c r="X1243" s="5" t="n"/>
      <c r="Y1243" s="5" t="n"/>
      <c r="Z1243" s="5" t="n"/>
      <c r="AA1243" s="5" t="n"/>
      <c r="AB1243" s="5" t="n"/>
    </row>
    <row r="1244" ht="15.75" customHeight="1" s="79">
      <c r="A1244" s="5" t="n"/>
      <c r="B1244" s="5" t="n"/>
      <c r="C1244" s="5" t="n"/>
      <c r="D1244" s="5" t="n"/>
      <c r="E1244" s="5" t="n"/>
      <c r="F1244" s="5" t="n"/>
      <c r="G1244" s="5" t="n"/>
      <c r="H1244" s="5" t="n"/>
      <c r="I1244" s="5" t="n"/>
      <c r="J1244" s="5" t="n"/>
      <c r="K1244" s="5" t="n"/>
      <c r="L1244" s="5" t="n"/>
      <c r="M1244" s="5" t="n"/>
      <c r="N1244" s="5" t="n"/>
      <c r="O1244" s="5" t="n"/>
      <c r="P1244" s="5" t="n"/>
      <c r="Q1244" s="5" t="n"/>
      <c r="R1244" s="5" t="n"/>
      <c r="S1244" s="5" t="n"/>
      <c r="T1244" s="5" t="n"/>
      <c r="U1244" s="5" t="n"/>
      <c r="V1244" s="5" t="n"/>
      <c r="W1244" s="5" t="n"/>
      <c r="X1244" s="5" t="n"/>
      <c r="Y1244" s="5" t="n"/>
      <c r="Z1244" s="5" t="n"/>
      <c r="AA1244" s="5" t="n"/>
      <c r="AB1244" s="5" t="n"/>
    </row>
    <row r="1245" ht="15.75" customHeight="1" s="79">
      <c r="A1245" s="5" t="n"/>
      <c r="B1245" s="5" t="n"/>
      <c r="C1245" s="5" t="n"/>
      <c r="D1245" s="5" t="n"/>
      <c r="E1245" s="5" t="n"/>
      <c r="F1245" s="5" t="n"/>
      <c r="G1245" s="5" t="n"/>
      <c r="H1245" s="5" t="n"/>
      <c r="I1245" s="5" t="n"/>
      <c r="J1245" s="5" t="n"/>
      <c r="K1245" s="5" t="n"/>
      <c r="L1245" s="5" t="n"/>
      <c r="M1245" s="5" t="n"/>
      <c r="N1245" s="5" t="n"/>
      <c r="O1245" s="5" t="n"/>
      <c r="P1245" s="5" t="n"/>
      <c r="Q1245" s="5" t="n"/>
      <c r="R1245" s="5" t="n"/>
      <c r="S1245" s="5" t="n"/>
      <c r="T1245" s="5" t="n"/>
      <c r="U1245" s="5" t="n"/>
      <c r="V1245" s="5" t="n"/>
      <c r="W1245" s="5" t="n"/>
      <c r="X1245" s="5" t="n"/>
      <c r="Y1245" s="5" t="n"/>
      <c r="Z1245" s="5" t="n"/>
      <c r="AA1245" s="5" t="n"/>
      <c r="AB1245" s="5" t="n"/>
    </row>
    <row r="1246" ht="15.75" customHeight="1" s="79">
      <c r="A1246" s="5" t="n"/>
      <c r="B1246" s="5" t="n"/>
      <c r="C1246" s="5" t="n"/>
      <c r="D1246" s="5" t="n"/>
      <c r="E1246" s="5" t="n"/>
      <c r="F1246" s="5" t="n"/>
      <c r="G1246" s="5" t="n"/>
      <c r="H1246" s="5" t="n"/>
      <c r="I1246" s="5" t="n"/>
      <c r="J1246" s="5" t="n"/>
      <c r="K1246" s="5" t="n"/>
      <c r="L1246" s="5" t="n"/>
      <c r="M1246" s="5" t="n"/>
      <c r="N1246" s="5" t="n"/>
      <c r="O1246" s="5" t="n"/>
      <c r="P1246" s="5" t="n"/>
      <c r="Q1246" s="5" t="n"/>
      <c r="R1246" s="5" t="n"/>
      <c r="S1246" s="5" t="n"/>
      <c r="T1246" s="5" t="n"/>
      <c r="U1246" s="5" t="n"/>
      <c r="V1246" s="5" t="n"/>
      <c r="W1246" s="5" t="n"/>
      <c r="X1246" s="5" t="n"/>
      <c r="Y1246" s="5" t="n"/>
      <c r="Z1246" s="5" t="n"/>
      <c r="AA1246" s="5" t="n"/>
      <c r="AB1246" s="5" t="n"/>
    </row>
    <row r="1247" ht="15.75" customHeight="1" s="79">
      <c r="A1247" s="5" t="n"/>
      <c r="B1247" s="5" t="n"/>
      <c r="C1247" s="5" t="n"/>
      <c r="D1247" s="5" t="n"/>
      <c r="E1247" s="5" t="n"/>
      <c r="F1247" s="5" t="n"/>
      <c r="G1247" s="5" t="n"/>
      <c r="H1247" s="5" t="n"/>
      <c r="I1247" s="5" t="n"/>
      <c r="J1247" s="5" t="n"/>
      <c r="K1247" s="5" t="n"/>
      <c r="L1247" s="5" t="n"/>
      <c r="M1247" s="5" t="n"/>
      <c r="N1247" s="5" t="n"/>
      <c r="O1247" s="5" t="n"/>
      <c r="P1247" s="5" t="n"/>
      <c r="Q1247" s="5" t="n"/>
      <c r="R1247" s="5" t="n"/>
      <c r="S1247" s="5" t="n"/>
      <c r="T1247" s="5" t="n"/>
      <c r="U1247" s="5" t="n"/>
      <c r="V1247" s="5" t="n"/>
      <c r="W1247" s="5" t="n"/>
      <c r="X1247" s="5" t="n"/>
      <c r="Y1247" s="5" t="n"/>
      <c r="Z1247" s="5" t="n"/>
      <c r="AA1247" s="5" t="n"/>
      <c r="AB1247" s="5" t="n"/>
    </row>
    <row r="1248" ht="15.75" customHeight="1" s="79">
      <c r="A1248" s="5" t="n"/>
      <c r="B1248" s="5" t="n"/>
      <c r="C1248" s="5" t="n"/>
      <c r="D1248" s="5" t="n"/>
      <c r="E1248" s="5" t="n"/>
      <c r="F1248" s="5" t="n"/>
      <c r="G1248" s="5" t="n"/>
      <c r="H1248" s="5" t="n"/>
      <c r="I1248" s="5" t="n"/>
      <c r="J1248" s="5" t="n"/>
      <c r="K1248" s="5" t="n"/>
      <c r="L1248" s="5" t="n"/>
      <c r="M1248" s="5" t="n"/>
      <c r="N1248" s="5" t="n"/>
      <c r="O1248" s="5" t="n"/>
      <c r="P1248" s="5" t="n"/>
      <c r="Q1248" s="5" t="n"/>
      <c r="R1248" s="5" t="n"/>
      <c r="S1248" s="5" t="n"/>
      <c r="T1248" s="5" t="n"/>
      <c r="U1248" s="5" t="n"/>
      <c r="V1248" s="5" t="n"/>
      <c r="W1248" s="5" t="n"/>
      <c r="X1248" s="5" t="n"/>
      <c r="Y1248" s="5" t="n"/>
      <c r="Z1248" s="5" t="n"/>
      <c r="AA1248" s="5" t="n"/>
      <c r="AB1248" s="5" t="n"/>
    </row>
    <row r="1249" ht="15.75" customHeight="1" s="79">
      <c r="A1249" s="5" t="n"/>
      <c r="B1249" s="5" t="n"/>
      <c r="C1249" s="5" t="n"/>
      <c r="D1249" s="5" t="n"/>
      <c r="E1249" s="5" t="n"/>
      <c r="F1249" s="5" t="n"/>
      <c r="G1249" s="5" t="n"/>
      <c r="H1249" s="5" t="n"/>
      <c r="I1249" s="5" t="n"/>
      <c r="J1249" s="5" t="n"/>
      <c r="K1249" s="5" t="n"/>
      <c r="L1249" s="5" t="n"/>
      <c r="M1249" s="5" t="n"/>
      <c r="N1249" s="5" t="n"/>
      <c r="O1249" s="5" t="n"/>
      <c r="P1249" s="5" t="n"/>
      <c r="Q1249" s="5" t="n"/>
      <c r="R1249" s="5" t="n"/>
      <c r="S1249" s="5" t="n"/>
      <c r="T1249" s="5" t="n"/>
      <c r="U1249" s="5" t="n"/>
      <c r="V1249" s="5" t="n"/>
      <c r="W1249" s="5" t="n"/>
      <c r="X1249" s="5" t="n"/>
      <c r="Y1249" s="5" t="n"/>
      <c r="Z1249" s="5" t="n"/>
      <c r="AA1249" s="5" t="n"/>
      <c r="AB1249" s="5" t="n"/>
    </row>
    <row r="1250" ht="15.75" customHeight="1" s="79">
      <c r="A1250" s="5" t="n"/>
      <c r="B1250" s="5" t="n"/>
      <c r="C1250" s="5" t="n"/>
      <c r="D1250" s="5" t="n"/>
      <c r="E1250" s="5" t="n"/>
      <c r="F1250" s="5" t="n"/>
      <c r="G1250" s="5" t="n"/>
      <c r="H1250" s="5" t="n"/>
      <c r="I1250" s="5" t="n"/>
      <c r="J1250" s="5" t="n"/>
      <c r="K1250" s="5" t="n"/>
      <c r="L1250" s="5" t="n"/>
      <c r="M1250" s="5" t="n"/>
      <c r="N1250" s="5" t="n"/>
      <c r="O1250" s="5" t="n"/>
      <c r="P1250" s="5" t="n"/>
      <c r="Q1250" s="5" t="n"/>
      <c r="R1250" s="5" t="n"/>
      <c r="S1250" s="5" t="n"/>
      <c r="T1250" s="5" t="n"/>
      <c r="U1250" s="5" t="n"/>
      <c r="V1250" s="5" t="n"/>
      <c r="W1250" s="5" t="n"/>
      <c r="X1250" s="5" t="n"/>
      <c r="Y1250" s="5" t="n"/>
      <c r="Z1250" s="5" t="n"/>
      <c r="AA1250" s="5" t="n"/>
      <c r="AB1250" s="5" t="n"/>
    </row>
    <row r="1251" ht="15.75" customHeight="1" s="79">
      <c r="A1251" s="5" t="n"/>
      <c r="B1251" s="5" t="n"/>
      <c r="C1251" s="5" t="n"/>
      <c r="D1251" s="5" t="n"/>
      <c r="E1251" s="5" t="n"/>
      <c r="F1251" s="5" t="n"/>
      <c r="G1251" s="5" t="n"/>
      <c r="H1251" s="5" t="n"/>
      <c r="I1251" s="5" t="n"/>
      <c r="J1251" s="5" t="n"/>
      <c r="K1251" s="5" t="n"/>
      <c r="L1251" s="5" t="n"/>
      <c r="M1251" s="5" t="n"/>
      <c r="N1251" s="5" t="n"/>
      <c r="O1251" s="5" t="n"/>
      <c r="P1251" s="5" t="n"/>
      <c r="Q1251" s="5" t="n"/>
      <c r="R1251" s="5" t="n"/>
      <c r="S1251" s="5" t="n"/>
      <c r="T1251" s="5" t="n"/>
      <c r="U1251" s="5" t="n"/>
      <c r="V1251" s="5" t="n"/>
      <c r="W1251" s="5" t="n"/>
      <c r="X1251" s="5" t="n"/>
      <c r="Y1251" s="5" t="n"/>
      <c r="Z1251" s="5" t="n"/>
      <c r="AA1251" s="5" t="n"/>
      <c r="AB1251" s="5" t="n"/>
    </row>
    <row r="1252" ht="15.75" customHeight="1" s="79">
      <c r="A1252" s="5" t="n"/>
      <c r="B1252" s="5" t="n"/>
      <c r="C1252" s="5" t="n"/>
      <c r="D1252" s="5" t="n"/>
      <c r="E1252" s="5" t="n"/>
      <c r="F1252" s="5" t="n"/>
      <c r="G1252" s="5" t="n"/>
      <c r="H1252" s="5" t="n"/>
      <c r="I1252" s="5" t="n"/>
      <c r="J1252" s="5" t="n"/>
      <c r="K1252" s="5" t="n"/>
      <c r="L1252" s="5" t="n"/>
      <c r="M1252" s="5" t="n"/>
      <c r="N1252" s="5" t="n"/>
      <c r="O1252" s="5" t="n"/>
      <c r="P1252" s="5" t="n"/>
      <c r="Q1252" s="5" t="n"/>
      <c r="R1252" s="5" t="n"/>
      <c r="S1252" s="5" t="n"/>
      <c r="T1252" s="5" t="n"/>
      <c r="U1252" s="5" t="n"/>
      <c r="V1252" s="5" t="n"/>
      <c r="W1252" s="5" t="n"/>
      <c r="X1252" s="5" t="n"/>
      <c r="Y1252" s="5" t="n"/>
      <c r="Z1252" s="5" t="n"/>
      <c r="AA1252" s="5" t="n"/>
      <c r="AB1252" s="5" t="n"/>
    </row>
    <row r="1253" ht="15.75" customHeight="1" s="79">
      <c r="A1253" s="5" t="n"/>
      <c r="B1253" s="5" t="n"/>
      <c r="C1253" s="5" t="n"/>
      <c r="D1253" s="5" t="n"/>
      <c r="E1253" s="5" t="n"/>
      <c r="F1253" s="5" t="n"/>
      <c r="G1253" s="5" t="n"/>
      <c r="H1253" s="5" t="n"/>
      <c r="I1253" s="5" t="n"/>
      <c r="J1253" s="5" t="n"/>
      <c r="K1253" s="5" t="n"/>
      <c r="L1253" s="5" t="n"/>
      <c r="M1253" s="5" t="n"/>
      <c r="N1253" s="5" t="n"/>
      <c r="O1253" s="5" t="n"/>
      <c r="P1253" s="5" t="n"/>
      <c r="Q1253" s="5" t="n"/>
      <c r="R1253" s="5" t="n"/>
      <c r="S1253" s="5" t="n"/>
      <c r="T1253" s="5" t="n"/>
      <c r="U1253" s="5" t="n"/>
      <c r="V1253" s="5" t="n"/>
      <c r="W1253" s="5" t="n"/>
      <c r="X1253" s="5" t="n"/>
      <c r="Y1253" s="5" t="n"/>
      <c r="Z1253" s="5" t="n"/>
      <c r="AA1253" s="5" t="n"/>
      <c r="AB1253" s="5" t="n"/>
    </row>
    <row r="1254" ht="15.75" customHeight="1" s="79">
      <c r="A1254" s="5" t="n"/>
      <c r="B1254" s="5" t="n"/>
      <c r="C1254" s="5" t="n"/>
      <c r="D1254" s="5" t="n"/>
      <c r="E1254" s="5" t="n"/>
      <c r="F1254" s="5" t="n"/>
      <c r="G1254" s="5" t="n"/>
      <c r="H1254" s="5" t="n"/>
      <c r="I1254" s="5" t="n"/>
      <c r="J1254" s="5" t="n"/>
      <c r="K1254" s="5" t="n"/>
      <c r="L1254" s="5" t="n"/>
      <c r="M1254" s="5" t="n"/>
      <c r="N1254" s="5" t="n"/>
      <c r="O1254" s="5" t="n"/>
      <c r="P1254" s="5" t="n"/>
      <c r="Q1254" s="5" t="n"/>
      <c r="R1254" s="5" t="n"/>
      <c r="S1254" s="5" t="n"/>
      <c r="T1254" s="5" t="n"/>
      <c r="U1254" s="5" t="n"/>
      <c r="V1254" s="5" t="n"/>
      <c r="W1254" s="5" t="n"/>
      <c r="X1254" s="5" t="n"/>
      <c r="Y1254" s="5" t="n"/>
      <c r="Z1254" s="5" t="n"/>
      <c r="AA1254" s="5" t="n"/>
      <c r="AB1254" s="5" t="n"/>
    </row>
    <row r="1255" ht="15.75" customHeight="1" s="79">
      <c r="A1255" s="5" t="n"/>
      <c r="B1255" s="5" t="n"/>
      <c r="C1255" s="5" t="n"/>
      <c r="D1255" s="5" t="n"/>
      <c r="E1255" s="5" t="n"/>
      <c r="F1255" s="5" t="n"/>
      <c r="G1255" s="5" t="n"/>
      <c r="H1255" s="5" t="n"/>
      <c r="I1255" s="5" t="n"/>
      <c r="J1255" s="5" t="n"/>
      <c r="K1255" s="5" t="n"/>
      <c r="L1255" s="5" t="n"/>
      <c r="M1255" s="5" t="n"/>
      <c r="N1255" s="5" t="n"/>
      <c r="O1255" s="5" t="n"/>
      <c r="P1255" s="5" t="n"/>
      <c r="Q1255" s="5" t="n"/>
      <c r="R1255" s="5" t="n"/>
      <c r="S1255" s="5" t="n"/>
      <c r="T1255" s="5" t="n"/>
      <c r="U1255" s="5" t="n"/>
      <c r="V1255" s="5" t="n"/>
      <c r="W1255" s="5" t="n"/>
      <c r="X1255" s="5" t="n"/>
      <c r="Y1255" s="5" t="n"/>
      <c r="Z1255" s="5" t="n"/>
      <c r="AA1255" s="5" t="n"/>
      <c r="AB1255" s="5" t="n"/>
    </row>
    <row r="1256" ht="15.75" customHeight="1" s="79">
      <c r="A1256" s="5" t="n"/>
      <c r="B1256" s="5" t="n"/>
      <c r="C1256" s="5" t="n"/>
      <c r="D1256" s="5" t="n"/>
      <c r="E1256" s="5" t="n"/>
      <c r="F1256" s="5" t="n"/>
      <c r="G1256" s="5" t="n"/>
      <c r="H1256" s="5" t="n"/>
      <c r="I1256" s="5" t="n"/>
      <c r="J1256" s="5" t="n"/>
      <c r="K1256" s="5" t="n"/>
      <c r="L1256" s="5" t="n"/>
      <c r="M1256" s="5" t="n"/>
      <c r="N1256" s="5" t="n"/>
      <c r="O1256" s="5" t="n"/>
      <c r="P1256" s="5" t="n"/>
      <c r="Q1256" s="5" t="n"/>
      <c r="R1256" s="5" t="n"/>
      <c r="S1256" s="5" t="n"/>
      <c r="T1256" s="5" t="n"/>
      <c r="U1256" s="5" t="n"/>
      <c r="V1256" s="5" t="n"/>
      <c r="W1256" s="5" t="n"/>
      <c r="X1256" s="5" t="n"/>
      <c r="Y1256" s="5" t="n"/>
      <c r="Z1256" s="5" t="n"/>
      <c r="AA1256" s="5" t="n"/>
      <c r="AB1256" s="5" t="n"/>
    </row>
    <row r="1257" ht="15.75" customHeight="1" s="79">
      <c r="A1257" s="5" t="n"/>
      <c r="B1257" s="5" t="n"/>
      <c r="C1257" s="5" t="n"/>
      <c r="D1257" s="5" t="n"/>
      <c r="E1257" s="5" t="n"/>
      <c r="F1257" s="5" t="n"/>
      <c r="G1257" s="5" t="n"/>
      <c r="H1257" s="5" t="n"/>
      <c r="I1257" s="5" t="n"/>
      <c r="J1257" s="5" t="n"/>
      <c r="K1257" s="5" t="n"/>
      <c r="L1257" s="5" t="n"/>
      <c r="M1257" s="5" t="n"/>
      <c r="N1257" s="5" t="n"/>
      <c r="O1257" s="5" t="n"/>
      <c r="P1257" s="5" t="n"/>
      <c r="Q1257" s="5" t="n"/>
      <c r="R1257" s="5" t="n"/>
      <c r="S1257" s="5" t="n"/>
      <c r="T1257" s="5" t="n"/>
      <c r="U1257" s="5" t="n"/>
      <c r="V1257" s="5" t="n"/>
      <c r="W1257" s="5" t="n"/>
      <c r="X1257" s="5" t="n"/>
      <c r="Y1257" s="5" t="n"/>
      <c r="Z1257" s="5" t="n"/>
      <c r="AA1257" s="5" t="n"/>
      <c r="AB1257" s="5" t="n"/>
    </row>
    <row r="1258" ht="15.75" customHeight="1" s="79">
      <c r="A1258" s="5" t="n"/>
      <c r="B1258" s="5" t="n"/>
      <c r="C1258" s="5" t="n"/>
      <c r="D1258" s="5" t="n"/>
      <c r="E1258" s="5" t="n"/>
      <c r="F1258" s="5" t="n"/>
      <c r="G1258" s="5" t="n"/>
      <c r="H1258" s="5" t="n"/>
      <c r="I1258" s="5" t="n"/>
      <c r="J1258" s="5" t="n"/>
      <c r="K1258" s="5" t="n"/>
      <c r="L1258" s="5" t="n"/>
      <c r="M1258" s="5" t="n"/>
      <c r="N1258" s="5" t="n"/>
      <c r="O1258" s="5" t="n"/>
      <c r="P1258" s="5" t="n"/>
      <c r="Q1258" s="5" t="n"/>
      <c r="R1258" s="5" t="n"/>
      <c r="S1258" s="5" t="n"/>
      <c r="T1258" s="5" t="n"/>
      <c r="U1258" s="5" t="n"/>
      <c r="V1258" s="5" t="n"/>
      <c r="W1258" s="5" t="n"/>
      <c r="X1258" s="5" t="n"/>
      <c r="Y1258" s="5" t="n"/>
      <c r="Z1258" s="5" t="n"/>
      <c r="AA1258" s="5" t="n"/>
      <c r="AB1258" s="5" t="n"/>
    </row>
    <row r="1259" ht="15.75" customHeight="1" s="79">
      <c r="A1259" s="5" t="n"/>
      <c r="B1259" s="5" t="n"/>
      <c r="C1259" s="5" t="n"/>
      <c r="D1259" s="5" t="n"/>
      <c r="E1259" s="5" t="n"/>
      <c r="F1259" s="5" t="n"/>
      <c r="G1259" s="5" t="n"/>
      <c r="H1259" s="5" t="n"/>
      <c r="I1259" s="5" t="n"/>
      <c r="J1259" s="5" t="n"/>
      <c r="K1259" s="5" t="n"/>
      <c r="L1259" s="5" t="n"/>
      <c r="M1259" s="5" t="n"/>
      <c r="N1259" s="5" t="n"/>
      <c r="O1259" s="5" t="n"/>
      <c r="P1259" s="5" t="n"/>
      <c r="Q1259" s="5" t="n"/>
      <c r="R1259" s="5" t="n"/>
      <c r="S1259" s="5" t="n"/>
      <c r="T1259" s="5" t="n"/>
      <c r="U1259" s="5" t="n"/>
      <c r="V1259" s="5" t="n"/>
      <c r="W1259" s="5" t="n"/>
      <c r="X1259" s="5" t="n"/>
      <c r="Y1259" s="5" t="n"/>
      <c r="Z1259" s="5" t="n"/>
      <c r="AA1259" s="5" t="n"/>
      <c r="AB1259" s="5" t="n"/>
    </row>
    <row r="1260" ht="15.75" customHeight="1" s="79">
      <c r="A1260" s="5" t="n"/>
      <c r="B1260" s="5" t="n"/>
      <c r="C1260" s="5" t="n"/>
      <c r="D1260" s="5" t="n"/>
      <c r="E1260" s="5" t="n"/>
      <c r="F1260" s="5" t="n"/>
      <c r="G1260" s="5" t="n"/>
      <c r="H1260" s="5" t="n"/>
      <c r="I1260" s="5" t="n"/>
      <c r="J1260" s="5" t="n"/>
      <c r="K1260" s="5" t="n"/>
      <c r="L1260" s="5" t="n"/>
      <c r="M1260" s="5" t="n"/>
      <c r="N1260" s="5" t="n"/>
      <c r="O1260" s="5" t="n"/>
      <c r="P1260" s="5" t="n"/>
      <c r="Q1260" s="5" t="n"/>
      <c r="R1260" s="5" t="n"/>
      <c r="S1260" s="5" t="n"/>
      <c r="T1260" s="5" t="n"/>
      <c r="U1260" s="5" t="n"/>
      <c r="V1260" s="5" t="n"/>
      <c r="W1260" s="5" t="n"/>
      <c r="X1260" s="5" t="n"/>
      <c r="Y1260" s="5" t="n"/>
      <c r="Z1260" s="5" t="n"/>
      <c r="AA1260" s="5" t="n"/>
      <c r="AB1260" s="5" t="n"/>
    </row>
    <row r="1261" ht="15.75" customHeight="1" s="79">
      <c r="A1261" s="5" t="n"/>
      <c r="B1261" s="5" t="n"/>
      <c r="C1261" s="5" t="n"/>
      <c r="D1261" s="5" t="n"/>
      <c r="E1261" s="5" t="n"/>
      <c r="F1261" s="5" t="n"/>
      <c r="G1261" s="5" t="n"/>
      <c r="H1261" s="5" t="n"/>
      <c r="I1261" s="5" t="n"/>
      <c r="J1261" s="5" t="n"/>
      <c r="K1261" s="5" t="n"/>
      <c r="L1261" s="5" t="n"/>
      <c r="M1261" s="5" t="n"/>
      <c r="N1261" s="5" t="n"/>
      <c r="O1261" s="5" t="n"/>
      <c r="P1261" s="5" t="n"/>
      <c r="Q1261" s="5" t="n"/>
      <c r="R1261" s="5" t="n"/>
      <c r="S1261" s="5" t="n"/>
      <c r="T1261" s="5" t="n"/>
      <c r="U1261" s="5" t="n"/>
      <c r="V1261" s="5" t="n"/>
      <c r="W1261" s="5" t="n"/>
      <c r="X1261" s="5" t="n"/>
      <c r="Y1261" s="5" t="n"/>
      <c r="Z1261" s="5" t="n"/>
      <c r="AA1261" s="5" t="n"/>
      <c r="AB1261" s="5" t="n"/>
    </row>
    <row r="1262" ht="15.75" customHeight="1" s="79">
      <c r="A1262" s="5" t="n"/>
      <c r="B1262" s="5" t="n"/>
      <c r="C1262" s="5" t="n"/>
      <c r="D1262" s="5" t="n"/>
      <c r="E1262" s="5" t="n"/>
      <c r="F1262" s="5" t="n"/>
      <c r="G1262" s="5" t="n"/>
      <c r="H1262" s="5" t="n"/>
      <c r="I1262" s="5" t="n"/>
      <c r="J1262" s="5" t="n"/>
      <c r="K1262" s="5" t="n"/>
      <c r="L1262" s="5" t="n"/>
      <c r="M1262" s="5" t="n"/>
      <c r="N1262" s="5" t="n"/>
      <c r="O1262" s="5" t="n"/>
      <c r="P1262" s="5" t="n"/>
      <c r="Q1262" s="5" t="n"/>
      <c r="R1262" s="5" t="n"/>
      <c r="S1262" s="5" t="n"/>
      <c r="T1262" s="5" t="n"/>
      <c r="U1262" s="5" t="n"/>
      <c r="V1262" s="5" t="n"/>
      <c r="W1262" s="5" t="n"/>
      <c r="X1262" s="5" t="n"/>
      <c r="Y1262" s="5" t="n"/>
      <c r="Z1262" s="5" t="n"/>
      <c r="AA1262" s="5" t="n"/>
      <c r="AB1262" s="5" t="n"/>
    </row>
    <row r="1263" ht="15.75" customHeight="1" s="79">
      <c r="A1263" s="5" t="n"/>
      <c r="B1263" s="5" t="n"/>
      <c r="C1263" s="5" t="n"/>
      <c r="D1263" s="5" t="n"/>
      <c r="E1263" s="5" t="n"/>
      <c r="F1263" s="5" t="n"/>
      <c r="G1263" s="5" t="n"/>
      <c r="H1263" s="5" t="n"/>
      <c r="I1263" s="5" t="n"/>
      <c r="J1263" s="5" t="n"/>
      <c r="K1263" s="5" t="n"/>
      <c r="L1263" s="5" t="n"/>
      <c r="M1263" s="5" t="n"/>
      <c r="N1263" s="5" t="n"/>
      <c r="O1263" s="5" t="n"/>
      <c r="P1263" s="5" t="n"/>
      <c r="Q1263" s="5" t="n"/>
      <c r="R1263" s="5" t="n"/>
      <c r="S1263" s="5" t="n"/>
      <c r="T1263" s="5" t="n"/>
      <c r="U1263" s="5" t="n"/>
      <c r="V1263" s="5" t="n"/>
      <c r="W1263" s="5" t="n"/>
      <c r="X1263" s="5" t="n"/>
      <c r="Y1263" s="5" t="n"/>
      <c r="Z1263" s="5" t="n"/>
      <c r="AA1263" s="5" t="n"/>
      <c r="AB1263" s="5" t="n"/>
    </row>
    <row r="1264" ht="15.75" customHeight="1" s="79">
      <c r="A1264" s="5" t="n"/>
      <c r="B1264" s="5" t="n"/>
      <c r="C1264" s="5" t="n"/>
      <c r="D1264" s="5" t="n"/>
      <c r="E1264" s="5" t="n"/>
      <c r="F1264" s="5" t="n"/>
      <c r="G1264" s="5" t="n"/>
      <c r="H1264" s="5" t="n"/>
      <c r="I1264" s="5" t="n"/>
      <c r="J1264" s="5" t="n"/>
      <c r="K1264" s="5" t="n"/>
      <c r="L1264" s="5" t="n"/>
      <c r="M1264" s="5" t="n"/>
      <c r="N1264" s="5" t="n"/>
      <c r="O1264" s="5" t="n"/>
      <c r="P1264" s="5" t="n"/>
      <c r="Q1264" s="5" t="n"/>
      <c r="R1264" s="5" t="n"/>
      <c r="S1264" s="5" t="n"/>
      <c r="T1264" s="5" t="n"/>
      <c r="U1264" s="5" t="n"/>
      <c r="V1264" s="5" t="n"/>
      <c r="W1264" s="5" t="n"/>
      <c r="X1264" s="5" t="n"/>
      <c r="Y1264" s="5" t="n"/>
      <c r="Z1264" s="5" t="n"/>
      <c r="AA1264" s="5" t="n"/>
      <c r="AB1264" s="5" t="n"/>
    </row>
    <row r="1265" ht="15.75" customHeight="1" s="79">
      <c r="A1265" s="5" t="n"/>
      <c r="B1265" s="5" t="n"/>
      <c r="C1265" s="5" t="n"/>
      <c r="D1265" s="5" t="n"/>
      <c r="E1265" s="5" t="n"/>
      <c r="F1265" s="5" t="n"/>
      <c r="G1265" s="5" t="n"/>
      <c r="H1265" s="5" t="n"/>
      <c r="I1265" s="5" t="n"/>
      <c r="J1265" s="5" t="n"/>
      <c r="K1265" s="5" t="n"/>
      <c r="L1265" s="5" t="n"/>
      <c r="M1265" s="5" t="n"/>
      <c r="N1265" s="5" t="n"/>
      <c r="O1265" s="5" t="n"/>
      <c r="P1265" s="5" t="n"/>
      <c r="Q1265" s="5" t="n"/>
      <c r="R1265" s="5" t="n"/>
      <c r="S1265" s="5" t="n"/>
      <c r="T1265" s="5" t="n"/>
      <c r="U1265" s="5" t="n"/>
      <c r="V1265" s="5" t="n"/>
      <c r="W1265" s="5" t="n"/>
      <c r="X1265" s="5" t="n"/>
      <c r="Y1265" s="5" t="n"/>
      <c r="Z1265" s="5" t="n"/>
      <c r="AA1265" s="5" t="n"/>
      <c r="AB1265" s="5" t="n"/>
    </row>
    <row r="1266" ht="15.75" customHeight="1" s="79">
      <c r="A1266" s="5" t="n"/>
      <c r="B1266" s="5" t="n"/>
      <c r="C1266" s="5" t="n"/>
      <c r="D1266" s="5" t="n"/>
      <c r="E1266" s="5" t="n"/>
      <c r="F1266" s="5" t="n"/>
      <c r="G1266" s="5" t="n"/>
      <c r="H1266" s="5" t="n"/>
      <c r="I1266" s="5" t="n"/>
      <c r="J1266" s="5" t="n"/>
      <c r="K1266" s="5" t="n"/>
      <c r="L1266" s="5" t="n"/>
      <c r="M1266" s="5" t="n"/>
      <c r="N1266" s="5" t="n"/>
      <c r="O1266" s="5" t="n"/>
      <c r="P1266" s="5" t="n"/>
      <c r="Q1266" s="5" t="n"/>
      <c r="R1266" s="5" t="n"/>
      <c r="S1266" s="5" t="n"/>
      <c r="T1266" s="5" t="n"/>
      <c r="U1266" s="5" t="n"/>
      <c r="V1266" s="5" t="n"/>
      <c r="W1266" s="5" t="n"/>
      <c r="X1266" s="5" t="n"/>
      <c r="Y1266" s="5" t="n"/>
      <c r="Z1266" s="5" t="n"/>
      <c r="AA1266" s="5" t="n"/>
      <c r="AB1266" s="5" t="n"/>
    </row>
    <row r="1267" ht="15.75" customHeight="1" s="79">
      <c r="A1267" s="5" t="n"/>
      <c r="B1267" s="5" t="n"/>
      <c r="C1267" s="5" t="n"/>
      <c r="D1267" s="5" t="n"/>
      <c r="E1267" s="5" t="n"/>
      <c r="F1267" s="5" t="n"/>
      <c r="G1267" s="5" t="n"/>
      <c r="H1267" s="5" t="n"/>
      <c r="I1267" s="5" t="n"/>
      <c r="J1267" s="5" t="n"/>
      <c r="K1267" s="5" t="n"/>
      <c r="L1267" s="5" t="n"/>
      <c r="M1267" s="5" t="n"/>
      <c r="N1267" s="5" t="n"/>
      <c r="O1267" s="5" t="n"/>
      <c r="P1267" s="5" t="n"/>
      <c r="Q1267" s="5" t="n"/>
      <c r="R1267" s="5" t="n"/>
      <c r="S1267" s="5" t="n"/>
      <c r="T1267" s="5" t="n"/>
      <c r="U1267" s="5" t="n"/>
      <c r="V1267" s="5" t="n"/>
      <c r="W1267" s="5" t="n"/>
      <c r="X1267" s="5" t="n"/>
      <c r="Y1267" s="5" t="n"/>
      <c r="Z1267" s="5" t="n"/>
      <c r="AA1267" s="5" t="n"/>
      <c r="AB1267" s="5" t="n"/>
    </row>
    <row r="1268" ht="15.75" customHeight="1" s="79">
      <c r="A1268" s="5" t="n"/>
      <c r="B1268" s="5" t="n"/>
      <c r="C1268" s="5" t="n"/>
      <c r="D1268" s="5" t="n"/>
      <c r="E1268" s="5" t="n"/>
      <c r="F1268" s="5" t="n"/>
      <c r="G1268" s="5" t="n"/>
      <c r="H1268" s="5" t="n"/>
      <c r="I1268" s="5" t="n"/>
      <c r="J1268" s="5" t="n"/>
      <c r="K1268" s="5" t="n"/>
      <c r="L1268" s="5" t="n"/>
      <c r="M1268" s="5" t="n"/>
      <c r="N1268" s="5" t="n"/>
      <c r="O1268" s="5" t="n"/>
      <c r="P1268" s="5" t="n"/>
      <c r="Q1268" s="5" t="n"/>
      <c r="R1268" s="5" t="n"/>
      <c r="S1268" s="5" t="n"/>
      <c r="T1268" s="5" t="n"/>
      <c r="U1268" s="5" t="n"/>
      <c r="V1268" s="5" t="n"/>
      <c r="W1268" s="5" t="n"/>
      <c r="X1268" s="5" t="n"/>
      <c r="Y1268" s="5" t="n"/>
      <c r="Z1268" s="5" t="n"/>
      <c r="AA1268" s="5" t="n"/>
      <c r="AB1268" s="5" t="n"/>
    </row>
    <row r="1269" ht="15.75" customHeight="1" s="79">
      <c r="A1269" s="5" t="n"/>
      <c r="B1269" s="5" t="n"/>
      <c r="C1269" s="5" t="n"/>
      <c r="D1269" s="5" t="n"/>
      <c r="E1269" s="5" t="n"/>
      <c r="F1269" s="5" t="n"/>
      <c r="G1269" s="5" t="n"/>
      <c r="H1269" s="5" t="n"/>
      <c r="I1269" s="5" t="n"/>
      <c r="J1269" s="5" t="n"/>
      <c r="K1269" s="5" t="n"/>
      <c r="L1269" s="5" t="n"/>
      <c r="M1269" s="5" t="n"/>
      <c r="N1269" s="5" t="n"/>
      <c r="O1269" s="5" t="n"/>
      <c r="P1269" s="5" t="n"/>
      <c r="Q1269" s="5" t="n"/>
      <c r="R1269" s="5" t="n"/>
      <c r="S1269" s="5" t="n"/>
      <c r="T1269" s="5" t="n"/>
      <c r="U1269" s="5" t="n"/>
      <c r="V1269" s="5" t="n"/>
      <c r="W1269" s="5" t="n"/>
      <c r="X1269" s="5" t="n"/>
      <c r="Y1269" s="5" t="n"/>
      <c r="Z1269" s="5" t="n"/>
      <c r="AA1269" s="5" t="n"/>
      <c r="AB1269" s="5" t="n"/>
    </row>
    <row r="1270" ht="15.75" customHeight="1" s="79">
      <c r="A1270" s="5" t="n"/>
      <c r="B1270" s="5" t="n"/>
      <c r="C1270" s="5" t="n"/>
      <c r="D1270" s="5" t="n"/>
      <c r="E1270" s="5" t="n"/>
      <c r="F1270" s="5" t="n"/>
      <c r="G1270" s="5" t="n"/>
      <c r="H1270" s="5" t="n"/>
      <c r="I1270" s="5" t="n"/>
      <c r="J1270" s="5" t="n"/>
      <c r="K1270" s="5" t="n"/>
      <c r="L1270" s="5" t="n"/>
      <c r="M1270" s="5" t="n"/>
      <c r="N1270" s="5" t="n"/>
      <c r="O1270" s="5" t="n"/>
      <c r="P1270" s="5" t="n"/>
      <c r="Q1270" s="5" t="n"/>
      <c r="R1270" s="5" t="n"/>
      <c r="S1270" s="5" t="n"/>
      <c r="T1270" s="5" t="n"/>
      <c r="U1270" s="5" t="n"/>
      <c r="V1270" s="5" t="n"/>
      <c r="W1270" s="5" t="n"/>
      <c r="X1270" s="5" t="n"/>
      <c r="Y1270" s="5" t="n"/>
      <c r="Z1270" s="5" t="n"/>
      <c r="AA1270" s="5" t="n"/>
      <c r="AB1270" s="5" t="n"/>
    </row>
    <row r="1271" ht="15.75" customHeight="1" s="79">
      <c r="A1271" s="5" t="n"/>
      <c r="B1271" s="5" t="n"/>
      <c r="C1271" s="5" t="n"/>
      <c r="D1271" s="5" t="n"/>
      <c r="E1271" s="5" t="n"/>
      <c r="F1271" s="5" t="n"/>
      <c r="G1271" s="5" t="n"/>
      <c r="H1271" s="5" t="n"/>
      <c r="I1271" s="5" t="n"/>
      <c r="J1271" s="5" t="n"/>
      <c r="K1271" s="5" t="n"/>
      <c r="L1271" s="5" t="n"/>
      <c r="M1271" s="5" t="n"/>
      <c r="N1271" s="5" t="n"/>
      <c r="O1271" s="5" t="n"/>
      <c r="P1271" s="5" t="n"/>
      <c r="Q1271" s="5" t="n"/>
      <c r="R1271" s="5" t="n"/>
      <c r="S1271" s="5" t="n"/>
      <c r="T1271" s="5" t="n"/>
      <c r="U1271" s="5" t="n"/>
      <c r="V1271" s="5" t="n"/>
      <c r="W1271" s="5" t="n"/>
      <c r="X1271" s="5" t="n"/>
      <c r="Y1271" s="5" t="n"/>
      <c r="Z1271" s="5" t="n"/>
      <c r="AA1271" s="5" t="n"/>
      <c r="AB1271" s="5" t="n"/>
    </row>
    <row r="1272" ht="15.75" customHeight="1" s="79">
      <c r="A1272" s="5" t="n"/>
      <c r="B1272" s="5" t="n"/>
      <c r="C1272" s="5" t="n"/>
      <c r="D1272" s="5" t="n"/>
      <c r="E1272" s="5" t="n"/>
      <c r="F1272" s="5" t="n"/>
      <c r="G1272" s="5" t="n"/>
      <c r="H1272" s="5" t="n"/>
      <c r="I1272" s="5" t="n"/>
      <c r="J1272" s="5" t="n"/>
      <c r="K1272" s="5" t="n"/>
      <c r="L1272" s="5" t="n"/>
      <c r="M1272" s="5" t="n"/>
      <c r="N1272" s="5" t="n"/>
      <c r="O1272" s="5" t="n"/>
      <c r="P1272" s="5" t="n"/>
      <c r="Q1272" s="5" t="n"/>
      <c r="R1272" s="5" t="n"/>
      <c r="S1272" s="5" t="n"/>
      <c r="T1272" s="5" t="n"/>
      <c r="U1272" s="5" t="n"/>
      <c r="V1272" s="5" t="n"/>
      <c r="W1272" s="5" t="n"/>
      <c r="X1272" s="5" t="n"/>
      <c r="Y1272" s="5" t="n"/>
      <c r="Z1272" s="5" t="n"/>
      <c r="AA1272" s="5" t="n"/>
      <c r="AB1272" s="5" t="n"/>
    </row>
    <row r="1273" ht="15.75" customHeight="1" s="79">
      <c r="A1273" s="5" t="n"/>
      <c r="B1273" s="5" t="n"/>
      <c r="C1273" s="5" t="n"/>
      <c r="D1273" s="5" t="n"/>
      <c r="E1273" s="5" t="n"/>
      <c r="F1273" s="5" t="n"/>
      <c r="G1273" s="5" t="n"/>
      <c r="H1273" s="5" t="n"/>
      <c r="I1273" s="5" t="n"/>
      <c r="J1273" s="5" t="n"/>
      <c r="K1273" s="5" t="n"/>
      <c r="L1273" s="5" t="n"/>
      <c r="M1273" s="5" t="n"/>
      <c r="N1273" s="5" t="n"/>
      <c r="O1273" s="5" t="n"/>
      <c r="P1273" s="5" t="n"/>
      <c r="Q1273" s="5" t="n"/>
      <c r="R1273" s="5" t="n"/>
      <c r="S1273" s="5" t="n"/>
      <c r="T1273" s="5" t="n"/>
      <c r="U1273" s="5" t="n"/>
      <c r="V1273" s="5" t="n"/>
      <c r="W1273" s="5" t="n"/>
      <c r="X1273" s="5" t="n"/>
      <c r="Y1273" s="5" t="n"/>
      <c r="Z1273" s="5" t="n"/>
      <c r="AA1273" s="5" t="n"/>
      <c r="AB1273" s="5" t="n"/>
    </row>
    <row r="1274" ht="15.75" customHeight="1" s="79">
      <c r="A1274" s="5" t="n"/>
      <c r="B1274" s="5" t="n"/>
      <c r="C1274" s="5" t="n"/>
      <c r="D1274" s="5" t="n"/>
      <c r="E1274" s="5" t="n"/>
      <c r="F1274" s="5" t="n"/>
      <c r="G1274" s="5" t="n"/>
      <c r="H1274" s="5" t="n"/>
      <c r="I1274" s="5" t="n"/>
      <c r="J1274" s="5" t="n"/>
      <c r="K1274" s="5" t="n"/>
      <c r="L1274" s="5" t="n"/>
      <c r="M1274" s="5" t="n"/>
      <c r="N1274" s="5" t="n"/>
      <c r="O1274" s="5" t="n"/>
      <c r="P1274" s="5" t="n"/>
      <c r="Q1274" s="5" t="n"/>
      <c r="R1274" s="5" t="n"/>
      <c r="S1274" s="5" t="n"/>
      <c r="T1274" s="5" t="n"/>
      <c r="U1274" s="5" t="n"/>
      <c r="V1274" s="5" t="n"/>
      <c r="W1274" s="5" t="n"/>
      <c r="X1274" s="5" t="n"/>
      <c r="Y1274" s="5" t="n"/>
      <c r="Z1274" s="5" t="n"/>
      <c r="AA1274" s="5" t="n"/>
      <c r="AB1274" s="5" t="n"/>
    </row>
    <row r="1275" ht="15.75" customHeight="1" s="79">
      <c r="A1275" s="5" t="n"/>
      <c r="B1275" s="5" t="n"/>
      <c r="C1275" s="5" t="n"/>
      <c r="D1275" s="5" t="n"/>
      <c r="E1275" s="5" t="n"/>
      <c r="F1275" s="5" t="n"/>
      <c r="G1275" s="5" t="n"/>
      <c r="H1275" s="5" t="n"/>
      <c r="I1275" s="5" t="n"/>
      <c r="J1275" s="5" t="n"/>
      <c r="K1275" s="5" t="n"/>
      <c r="L1275" s="5" t="n"/>
      <c r="M1275" s="5" t="n"/>
      <c r="N1275" s="5" t="n"/>
      <c r="O1275" s="5" t="n"/>
      <c r="P1275" s="5" t="n"/>
      <c r="Q1275" s="5" t="n"/>
      <c r="R1275" s="5" t="n"/>
      <c r="S1275" s="5" t="n"/>
      <c r="T1275" s="5" t="n"/>
      <c r="U1275" s="5" t="n"/>
      <c r="V1275" s="5" t="n"/>
      <c r="W1275" s="5" t="n"/>
      <c r="X1275" s="5" t="n"/>
      <c r="Y1275" s="5" t="n"/>
      <c r="Z1275" s="5" t="n"/>
      <c r="AA1275" s="5" t="n"/>
      <c r="AB1275" s="5" t="n"/>
    </row>
    <row r="1276" ht="15.75" customHeight="1" s="79">
      <c r="A1276" s="5" t="n"/>
      <c r="B1276" s="5" t="n"/>
      <c r="C1276" s="5" t="n"/>
      <c r="D1276" s="5" t="n"/>
      <c r="E1276" s="5" t="n"/>
      <c r="F1276" s="5" t="n"/>
      <c r="G1276" s="5" t="n"/>
      <c r="H1276" s="5" t="n"/>
      <c r="I1276" s="5" t="n"/>
      <c r="J1276" s="5" t="n"/>
      <c r="K1276" s="5" t="n"/>
      <c r="L1276" s="5" t="n"/>
      <c r="M1276" s="5" t="n"/>
      <c r="N1276" s="5" t="n"/>
      <c r="O1276" s="5" t="n"/>
      <c r="P1276" s="5" t="n"/>
      <c r="Q1276" s="5" t="n"/>
      <c r="R1276" s="5" t="n"/>
      <c r="S1276" s="5" t="n"/>
      <c r="T1276" s="5" t="n"/>
      <c r="U1276" s="5" t="n"/>
      <c r="V1276" s="5" t="n"/>
      <c r="W1276" s="5" t="n"/>
      <c r="X1276" s="5" t="n"/>
      <c r="Y1276" s="5" t="n"/>
      <c r="Z1276" s="5" t="n"/>
      <c r="AA1276" s="5" t="n"/>
      <c r="AB1276" s="5" t="n"/>
    </row>
    <row r="1277" ht="15.75" customHeight="1" s="79">
      <c r="A1277" s="5" t="n"/>
      <c r="B1277" s="5" t="n"/>
      <c r="C1277" s="5" t="n"/>
      <c r="D1277" s="5" t="n"/>
      <c r="E1277" s="5" t="n"/>
      <c r="F1277" s="5" t="n"/>
      <c r="G1277" s="5" t="n"/>
      <c r="H1277" s="5" t="n"/>
      <c r="I1277" s="5" t="n"/>
      <c r="J1277" s="5" t="n"/>
      <c r="K1277" s="5" t="n"/>
      <c r="L1277" s="5" t="n"/>
      <c r="M1277" s="5" t="n"/>
      <c r="N1277" s="5" t="n"/>
      <c r="O1277" s="5" t="n"/>
      <c r="P1277" s="5" t="n"/>
      <c r="Q1277" s="5" t="n"/>
      <c r="R1277" s="5" t="n"/>
      <c r="S1277" s="5" t="n"/>
      <c r="T1277" s="5" t="n"/>
      <c r="U1277" s="5" t="n"/>
      <c r="V1277" s="5" t="n"/>
      <c r="W1277" s="5" t="n"/>
      <c r="X1277" s="5" t="n"/>
      <c r="Y1277" s="5" t="n"/>
      <c r="Z1277" s="5" t="n"/>
      <c r="AA1277" s="5" t="n"/>
      <c r="AB1277" s="5" t="n"/>
    </row>
    <row r="1278" ht="15.75" customHeight="1" s="79">
      <c r="A1278" s="5" t="n"/>
      <c r="B1278" s="5" t="n"/>
      <c r="C1278" s="5" t="n"/>
      <c r="D1278" s="5" t="n"/>
      <c r="E1278" s="5" t="n"/>
      <c r="F1278" s="5" t="n"/>
      <c r="G1278" s="5" t="n"/>
      <c r="H1278" s="5" t="n"/>
      <c r="I1278" s="5" t="n"/>
      <c r="J1278" s="5" t="n"/>
      <c r="K1278" s="5" t="n"/>
      <c r="L1278" s="5" t="n"/>
      <c r="M1278" s="5" t="n"/>
      <c r="N1278" s="5" t="n"/>
      <c r="O1278" s="5" t="n"/>
      <c r="P1278" s="5" t="n"/>
      <c r="Q1278" s="5" t="n"/>
      <c r="R1278" s="5" t="n"/>
      <c r="S1278" s="5" t="n"/>
      <c r="T1278" s="5" t="n"/>
      <c r="U1278" s="5" t="n"/>
      <c r="V1278" s="5" t="n"/>
      <c r="W1278" s="5" t="n"/>
      <c r="X1278" s="5" t="n"/>
      <c r="Y1278" s="5" t="n"/>
      <c r="Z1278" s="5" t="n"/>
      <c r="AA1278" s="5" t="n"/>
      <c r="AB1278" s="5" t="n"/>
    </row>
    <row r="1279" ht="15.75" customHeight="1" s="79">
      <c r="A1279" s="5" t="n"/>
      <c r="B1279" s="5" t="n"/>
      <c r="C1279" s="5" t="n"/>
      <c r="D1279" s="5" t="n"/>
      <c r="E1279" s="5" t="n"/>
      <c r="F1279" s="5" t="n"/>
      <c r="G1279" s="5" t="n"/>
      <c r="H1279" s="5" t="n"/>
      <c r="I1279" s="5" t="n"/>
      <c r="J1279" s="5" t="n"/>
      <c r="K1279" s="5" t="n"/>
      <c r="L1279" s="5" t="n"/>
      <c r="M1279" s="5" t="n"/>
      <c r="N1279" s="5" t="n"/>
      <c r="O1279" s="5" t="n"/>
      <c r="P1279" s="5" t="n"/>
      <c r="Q1279" s="5" t="n"/>
      <c r="R1279" s="5" t="n"/>
      <c r="S1279" s="5" t="n"/>
      <c r="T1279" s="5" t="n"/>
      <c r="U1279" s="5" t="n"/>
      <c r="V1279" s="5" t="n"/>
      <c r="W1279" s="5" t="n"/>
      <c r="X1279" s="5" t="n"/>
      <c r="Y1279" s="5" t="n"/>
      <c r="Z1279" s="5" t="n"/>
      <c r="AA1279" s="5" t="n"/>
      <c r="AB1279" s="5" t="n"/>
    </row>
    <row r="1280" ht="15.75" customHeight="1" s="79">
      <c r="A1280" s="5" t="n"/>
      <c r="B1280" s="5" t="n"/>
      <c r="C1280" s="5" t="n"/>
      <c r="D1280" s="5" t="n"/>
      <c r="E1280" s="5" t="n"/>
      <c r="F1280" s="5" t="n"/>
      <c r="G1280" s="5" t="n"/>
      <c r="H1280" s="5" t="n"/>
      <c r="I1280" s="5" t="n"/>
      <c r="J1280" s="5" t="n"/>
      <c r="K1280" s="5" t="n"/>
      <c r="L1280" s="5" t="n"/>
      <c r="M1280" s="5" t="n"/>
      <c r="N1280" s="5" t="n"/>
      <c r="O1280" s="5" t="n"/>
      <c r="P1280" s="5" t="n"/>
      <c r="Q1280" s="5" t="n"/>
      <c r="R1280" s="5" t="n"/>
      <c r="S1280" s="5" t="n"/>
      <c r="T1280" s="5" t="n"/>
      <c r="U1280" s="5" t="n"/>
      <c r="V1280" s="5" t="n"/>
      <c r="W1280" s="5" t="n"/>
      <c r="X1280" s="5" t="n"/>
      <c r="Y1280" s="5" t="n"/>
      <c r="Z1280" s="5" t="n"/>
      <c r="AA1280" s="5" t="n"/>
      <c r="AB1280" s="5" t="n"/>
    </row>
    <row r="1281" ht="15.75" customHeight="1" s="79">
      <c r="A1281" s="5" t="n"/>
      <c r="B1281" s="5" t="n"/>
      <c r="C1281" s="5" t="n"/>
      <c r="D1281" s="5" t="n"/>
      <c r="E1281" s="5" t="n"/>
      <c r="F1281" s="5" t="n"/>
      <c r="G1281" s="5" t="n"/>
      <c r="H1281" s="5" t="n"/>
      <c r="I1281" s="5" t="n"/>
      <c r="J1281" s="5" t="n"/>
      <c r="K1281" s="5" t="n"/>
      <c r="L1281" s="5" t="n"/>
      <c r="M1281" s="5" t="n"/>
      <c r="N1281" s="5" t="n"/>
      <c r="O1281" s="5" t="n"/>
      <c r="P1281" s="5" t="n"/>
      <c r="Q1281" s="5" t="n"/>
      <c r="R1281" s="5" t="n"/>
      <c r="S1281" s="5" t="n"/>
      <c r="T1281" s="5" t="n"/>
      <c r="U1281" s="5" t="n"/>
      <c r="V1281" s="5" t="n"/>
      <c r="W1281" s="5" t="n"/>
      <c r="X1281" s="5" t="n"/>
      <c r="Y1281" s="5" t="n"/>
      <c r="Z1281" s="5" t="n"/>
      <c r="AA1281" s="5" t="n"/>
      <c r="AB1281" s="5" t="n"/>
    </row>
    <row r="1282" ht="15.75" customHeight="1" s="79">
      <c r="A1282" s="5" t="n"/>
      <c r="B1282" s="5" t="n"/>
      <c r="C1282" s="5" t="n"/>
      <c r="D1282" s="5" t="n"/>
      <c r="E1282" s="5" t="n"/>
      <c r="F1282" s="5" t="n"/>
      <c r="G1282" s="5" t="n"/>
      <c r="H1282" s="5" t="n"/>
      <c r="I1282" s="5" t="n"/>
      <c r="J1282" s="5" t="n"/>
      <c r="K1282" s="5" t="n"/>
      <c r="L1282" s="5" t="n"/>
      <c r="M1282" s="5" t="n"/>
      <c r="N1282" s="5" t="n"/>
      <c r="O1282" s="5" t="n"/>
      <c r="P1282" s="5" t="n"/>
      <c r="Q1282" s="5" t="n"/>
      <c r="R1282" s="5" t="n"/>
      <c r="S1282" s="5" t="n"/>
      <c r="T1282" s="5" t="n"/>
      <c r="U1282" s="5" t="n"/>
      <c r="V1282" s="5" t="n"/>
      <c r="W1282" s="5" t="n"/>
      <c r="X1282" s="5" t="n"/>
      <c r="Y1282" s="5" t="n"/>
      <c r="Z1282" s="5" t="n"/>
      <c r="AA1282" s="5" t="n"/>
      <c r="AB1282" s="5" t="n"/>
    </row>
    <row r="1283" ht="15.75" customHeight="1" s="79">
      <c r="A1283" s="5" t="n"/>
      <c r="B1283" s="5" t="n"/>
      <c r="C1283" s="5" t="n"/>
      <c r="D1283" s="5" t="n"/>
      <c r="E1283" s="5" t="n"/>
      <c r="F1283" s="5" t="n"/>
      <c r="G1283" s="5" t="n"/>
      <c r="H1283" s="5" t="n"/>
      <c r="I1283" s="5" t="n"/>
      <c r="J1283" s="5" t="n"/>
      <c r="K1283" s="5" t="n"/>
      <c r="L1283" s="5" t="n"/>
      <c r="M1283" s="5" t="n"/>
      <c r="N1283" s="5" t="n"/>
      <c r="O1283" s="5" t="n"/>
      <c r="P1283" s="5" t="n"/>
      <c r="Q1283" s="5" t="n"/>
      <c r="R1283" s="5" t="n"/>
      <c r="S1283" s="5" t="n"/>
      <c r="T1283" s="5" t="n"/>
      <c r="U1283" s="5" t="n"/>
      <c r="V1283" s="5" t="n"/>
      <c r="W1283" s="5" t="n"/>
      <c r="X1283" s="5" t="n"/>
      <c r="Y1283" s="5" t="n"/>
      <c r="Z1283" s="5" t="n"/>
      <c r="AA1283" s="5" t="n"/>
      <c r="AB1283" s="5" t="n"/>
    </row>
    <row r="1284" ht="15.75" customHeight="1" s="79">
      <c r="A1284" s="5" t="n"/>
      <c r="B1284" s="5" t="n"/>
      <c r="C1284" s="5" t="n"/>
      <c r="D1284" s="5" t="n"/>
      <c r="E1284" s="5" t="n"/>
      <c r="F1284" s="5" t="n"/>
      <c r="G1284" s="5" t="n"/>
      <c r="H1284" s="5" t="n"/>
      <c r="I1284" s="5" t="n"/>
      <c r="J1284" s="5" t="n"/>
      <c r="K1284" s="5" t="n"/>
      <c r="L1284" s="5" t="n"/>
      <c r="M1284" s="5" t="n"/>
      <c r="N1284" s="5" t="n"/>
      <c r="O1284" s="5" t="n"/>
      <c r="P1284" s="5" t="n"/>
      <c r="Q1284" s="5" t="n"/>
      <c r="R1284" s="5" t="n"/>
      <c r="S1284" s="5" t="n"/>
      <c r="T1284" s="5" t="n"/>
      <c r="U1284" s="5" t="n"/>
      <c r="V1284" s="5" t="n"/>
      <c r="W1284" s="5" t="n"/>
      <c r="X1284" s="5" t="n"/>
      <c r="Y1284" s="5" t="n"/>
      <c r="Z1284" s="5" t="n"/>
      <c r="AA1284" s="5" t="n"/>
      <c r="AB1284" s="5" t="n"/>
    </row>
    <row r="1285" ht="15.75" customHeight="1" s="79">
      <c r="A1285" s="5" t="n"/>
      <c r="B1285" s="5" t="n"/>
      <c r="C1285" s="5" t="n"/>
      <c r="D1285" s="5" t="n"/>
      <c r="E1285" s="5" t="n"/>
      <c r="F1285" s="5" t="n"/>
      <c r="G1285" s="5" t="n"/>
      <c r="H1285" s="5" t="n"/>
      <c r="I1285" s="5" t="n"/>
      <c r="J1285" s="5" t="n"/>
      <c r="K1285" s="5" t="n"/>
      <c r="L1285" s="5" t="n"/>
      <c r="M1285" s="5" t="n"/>
      <c r="N1285" s="5" t="n"/>
      <c r="O1285" s="5" t="n"/>
      <c r="P1285" s="5" t="n"/>
      <c r="Q1285" s="5" t="n"/>
      <c r="R1285" s="5" t="n"/>
      <c r="S1285" s="5" t="n"/>
      <c r="T1285" s="5" t="n"/>
      <c r="U1285" s="5" t="n"/>
      <c r="V1285" s="5" t="n"/>
      <c r="W1285" s="5" t="n"/>
      <c r="X1285" s="5" t="n"/>
      <c r="Y1285" s="5" t="n"/>
      <c r="Z1285" s="5" t="n"/>
      <c r="AA1285" s="5" t="n"/>
      <c r="AB1285" s="5" t="n"/>
    </row>
    <row r="1286" ht="15.75" customHeight="1" s="79">
      <c r="A1286" s="5" t="n"/>
      <c r="B1286" s="5" t="n"/>
      <c r="C1286" s="5" t="n"/>
      <c r="D1286" s="5" t="n"/>
      <c r="E1286" s="5" t="n"/>
      <c r="F1286" s="5" t="n"/>
      <c r="G1286" s="5" t="n"/>
      <c r="H1286" s="5" t="n"/>
      <c r="I1286" s="5" t="n"/>
      <c r="J1286" s="5" t="n"/>
      <c r="K1286" s="5" t="n"/>
      <c r="L1286" s="5" t="n"/>
      <c r="M1286" s="5" t="n"/>
      <c r="N1286" s="5" t="n"/>
      <c r="O1286" s="5" t="n"/>
      <c r="P1286" s="5" t="n"/>
      <c r="Q1286" s="5" t="n"/>
      <c r="R1286" s="5" t="n"/>
      <c r="S1286" s="5" t="n"/>
      <c r="T1286" s="5" t="n"/>
      <c r="U1286" s="5" t="n"/>
      <c r="V1286" s="5" t="n"/>
      <c r="W1286" s="5" t="n"/>
      <c r="X1286" s="5" t="n"/>
      <c r="Y1286" s="5" t="n"/>
      <c r="Z1286" s="5" t="n"/>
      <c r="AA1286" s="5" t="n"/>
      <c r="AB1286" s="5" t="n"/>
    </row>
    <row r="1287" ht="15.75" customHeight="1" s="79">
      <c r="A1287" s="5" t="n"/>
      <c r="B1287" s="5" t="n"/>
      <c r="C1287" s="5" t="n"/>
      <c r="D1287" s="5" t="n"/>
      <c r="E1287" s="5" t="n"/>
      <c r="F1287" s="5" t="n"/>
      <c r="G1287" s="5" t="n"/>
      <c r="H1287" s="5" t="n"/>
      <c r="I1287" s="5" t="n"/>
      <c r="J1287" s="5" t="n"/>
      <c r="K1287" s="5" t="n"/>
      <c r="L1287" s="5" t="n"/>
      <c r="M1287" s="5" t="n"/>
      <c r="N1287" s="5" t="n"/>
      <c r="O1287" s="5" t="n"/>
      <c r="P1287" s="5" t="n"/>
      <c r="Q1287" s="5" t="n"/>
      <c r="R1287" s="5" t="n"/>
      <c r="S1287" s="5" t="n"/>
      <c r="T1287" s="5" t="n"/>
      <c r="U1287" s="5" t="n"/>
      <c r="V1287" s="5" t="n"/>
      <c r="W1287" s="5" t="n"/>
      <c r="X1287" s="5" t="n"/>
      <c r="Y1287" s="5" t="n"/>
      <c r="Z1287" s="5" t="n"/>
      <c r="AA1287" s="5" t="n"/>
      <c r="AB1287" s="5" t="n"/>
    </row>
    <row r="1288" ht="15.75" customHeight="1" s="79">
      <c r="A1288" s="5" t="n"/>
      <c r="B1288" s="5" t="n"/>
      <c r="C1288" s="5" t="n"/>
      <c r="D1288" s="5" t="n"/>
      <c r="E1288" s="5" t="n"/>
      <c r="F1288" s="5" t="n"/>
      <c r="G1288" s="5" t="n"/>
      <c r="H1288" s="5" t="n"/>
      <c r="I1288" s="5" t="n"/>
      <c r="J1288" s="5" t="n"/>
      <c r="K1288" s="5" t="n"/>
      <c r="L1288" s="5" t="n"/>
      <c r="M1288" s="5" t="n"/>
      <c r="N1288" s="5" t="n"/>
      <c r="O1288" s="5" t="n"/>
      <c r="P1288" s="5" t="n"/>
      <c r="Q1288" s="5" t="n"/>
      <c r="R1288" s="5" t="n"/>
      <c r="S1288" s="5" t="n"/>
      <c r="T1288" s="5" t="n"/>
      <c r="U1288" s="5" t="n"/>
      <c r="V1288" s="5" t="n"/>
      <c r="W1288" s="5" t="n"/>
      <c r="X1288" s="5" t="n"/>
      <c r="Y1288" s="5" t="n"/>
      <c r="Z1288" s="5" t="n"/>
      <c r="AA1288" s="5" t="n"/>
      <c r="AB1288" s="5" t="n"/>
    </row>
    <row r="1289" ht="15.75" customHeight="1" s="79">
      <c r="A1289" s="5" t="n"/>
      <c r="B1289" s="5" t="n"/>
      <c r="C1289" s="5" t="n"/>
      <c r="D1289" s="5" t="n"/>
      <c r="E1289" s="5" t="n"/>
      <c r="F1289" s="5" t="n"/>
      <c r="G1289" s="5" t="n"/>
      <c r="H1289" s="5" t="n"/>
      <c r="I1289" s="5" t="n"/>
      <c r="J1289" s="5" t="n"/>
      <c r="K1289" s="5" t="n"/>
      <c r="L1289" s="5" t="n"/>
      <c r="M1289" s="5" t="n"/>
      <c r="N1289" s="5" t="n"/>
      <c r="O1289" s="5" t="n"/>
      <c r="P1289" s="5" t="n"/>
      <c r="Q1289" s="5" t="n"/>
      <c r="R1289" s="5" t="n"/>
      <c r="S1289" s="5" t="n"/>
      <c r="T1289" s="5" t="n"/>
      <c r="U1289" s="5" t="n"/>
      <c r="V1289" s="5" t="n"/>
      <c r="W1289" s="5" t="n"/>
      <c r="X1289" s="5" t="n"/>
      <c r="Y1289" s="5" t="n"/>
      <c r="Z1289" s="5" t="n"/>
      <c r="AA1289" s="5" t="n"/>
      <c r="AB1289" s="5" t="n"/>
    </row>
    <row r="1290" ht="15.75" customHeight="1" s="79">
      <c r="A1290" s="5" t="n"/>
      <c r="B1290" s="5" t="n"/>
      <c r="C1290" s="5" t="n"/>
      <c r="D1290" s="5" t="n"/>
      <c r="E1290" s="5" t="n"/>
      <c r="F1290" s="5" t="n"/>
      <c r="G1290" s="5" t="n"/>
      <c r="H1290" s="5" t="n"/>
      <c r="I1290" s="5" t="n"/>
      <c r="J1290" s="5" t="n"/>
      <c r="K1290" s="5" t="n"/>
      <c r="L1290" s="5" t="n"/>
      <c r="M1290" s="5" t="n"/>
      <c r="N1290" s="5" t="n"/>
      <c r="O1290" s="5" t="n"/>
      <c r="P1290" s="5" t="n"/>
      <c r="Q1290" s="5" t="n"/>
      <c r="R1290" s="5" t="n"/>
      <c r="S1290" s="5" t="n"/>
      <c r="T1290" s="5" t="n"/>
      <c r="U1290" s="5" t="n"/>
      <c r="V1290" s="5" t="n"/>
      <c r="W1290" s="5" t="n"/>
      <c r="X1290" s="5" t="n"/>
      <c r="Y1290" s="5" t="n"/>
      <c r="Z1290" s="5" t="n"/>
      <c r="AA1290" s="5" t="n"/>
      <c r="AB1290" s="5" t="n"/>
    </row>
    <row r="1291" ht="15.75" customHeight="1" s="79">
      <c r="A1291" s="5" t="n"/>
      <c r="B1291" s="5" t="n"/>
      <c r="C1291" s="5" t="n"/>
      <c r="D1291" s="5" t="n"/>
      <c r="E1291" s="5" t="n"/>
      <c r="F1291" s="5" t="n"/>
      <c r="G1291" s="5" t="n"/>
      <c r="H1291" s="5" t="n"/>
      <c r="I1291" s="5" t="n"/>
      <c r="J1291" s="5" t="n"/>
      <c r="K1291" s="5" t="n"/>
      <c r="L1291" s="5" t="n"/>
      <c r="M1291" s="5" t="n"/>
      <c r="N1291" s="5" t="n"/>
      <c r="O1291" s="5" t="n"/>
      <c r="P1291" s="5" t="n"/>
      <c r="Q1291" s="5" t="n"/>
      <c r="R1291" s="5" t="n"/>
      <c r="S1291" s="5" t="n"/>
      <c r="T1291" s="5" t="n"/>
      <c r="U1291" s="5" t="n"/>
      <c r="V1291" s="5" t="n"/>
      <c r="W1291" s="5" t="n"/>
      <c r="X1291" s="5" t="n"/>
      <c r="Y1291" s="5" t="n"/>
      <c r="Z1291" s="5" t="n"/>
      <c r="AA1291" s="5" t="n"/>
      <c r="AB1291" s="5" t="n"/>
    </row>
    <row r="1292" ht="15.75" customHeight="1" s="79">
      <c r="A1292" s="5" t="n"/>
      <c r="B1292" s="5" t="n"/>
      <c r="C1292" s="5" t="n"/>
      <c r="D1292" s="5" t="n"/>
      <c r="E1292" s="5" t="n"/>
      <c r="F1292" s="5" t="n"/>
      <c r="G1292" s="5" t="n"/>
      <c r="H1292" s="5" t="n"/>
      <c r="I1292" s="5" t="n"/>
      <c r="J1292" s="5" t="n"/>
      <c r="K1292" s="5" t="n"/>
      <c r="L1292" s="5" t="n"/>
      <c r="M1292" s="5" t="n"/>
      <c r="N1292" s="5" t="n"/>
      <c r="O1292" s="5" t="n"/>
      <c r="P1292" s="5" t="n"/>
      <c r="Q1292" s="5" t="n"/>
      <c r="R1292" s="5" t="n"/>
      <c r="S1292" s="5" t="n"/>
      <c r="T1292" s="5" t="n"/>
      <c r="U1292" s="5" t="n"/>
      <c r="V1292" s="5" t="n"/>
      <c r="W1292" s="5" t="n"/>
      <c r="X1292" s="5" t="n"/>
      <c r="Y1292" s="5" t="n"/>
      <c r="Z1292" s="5" t="n"/>
      <c r="AA1292" s="5" t="n"/>
      <c r="AB1292" s="5" t="n"/>
    </row>
    <row r="1293" ht="15.75" customHeight="1" s="79">
      <c r="A1293" s="5" t="n"/>
      <c r="B1293" s="5" t="n"/>
      <c r="C1293" s="5" t="n"/>
      <c r="D1293" s="5" t="n"/>
      <c r="E1293" s="5" t="n"/>
      <c r="F1293" s="5" t="n"/>
      <c r="G1293" s="5" t="n"/>
      <c r="H1293" s="5" t="n"/>
      <c r="I1293" s="5" t="n"/>
      <c r="J1293" s="5" t="n"/>
      <c r="K1293" s="5" t="n"/>
      <c r="L1293" s="5" t="n"/>
      <c r="M1293" s="5" t="n"/>
      <c r="N1293" s="5" t="n"/>
      <c r="O1293" s="5" t="n"/>
      <c r="P1293" s="5" t="n"/>
      <c r="Q1293" s="5" t="n"/>
      <c r="R1293" s="5" t="n"/>
      <c r="S1293" s="5" t="n"/>
      <c r="T1293" s="5" t="n"/>
      <c r="U1293" s="5" t="n"/>
      <c r="V1293" s="5" t="n"/>
      <c r="W1293" s="5" t="n"/>
      <c r="X1293" s="5" t="n"/>
      <c r="Y1293" s="5" t="n"/>
      <c r="Z1293" s="5" t="n"/>
      <c r="AA1293" s="5" t="n"/>
      <c r="AB1293" s="5" t="n"/>
    </row>
    <row r="1294" ht="15.75" customHeight="1" s="79">
      <c r="A1294" s="5" t="n"/>
      <c r="B1294" s="5" t="n"/>
      <c r="C1294" s="5" t="n"/>
      <c r="D1294" s="5" t="n"/>
      <c r="E1294" s="5" t="n"/>
      <c r="F1294" s="5" t="n"/>
      <c r="G1294" s="5" t="n"/>
      <c r="H1294" s="5" t="n"/>
      <c r="I1294" s="5" t="n"/>
      <c r="J1294" s="5" t="n"/>
      <c r="K1294" s="5" t="n"/>
      <c r="L1294" s="5" t="n"/>
      <c r="M1294" s="5" t="n"/>
      <c r="N1294" s="5" t="n"/>
      <c r="O1294" s="5" t="n"/>
      <c r="P1294" s="5" t="n"/>
      <c r="Q1294" s="5" t="n"/>
      <c r="R1294" s="5" t="n"/>
      <c r="S1294" s="5" t="n"/>
      <c r="T1294" s="5" t="n"/>
      <c r="U1294" s="5" t="n"/>
      <c r="V1294" s="5" t="n"/>
      <c r="W1294" s="5" t="n"/>
      <c r="X1294" s="5" t="n"/>
      <c r="Y1294" s="5" t="n"/>
      <c r="Z1294" s="5" t="n"/>
      <c r="AA1294" s="5" t="n"/>
      <c r="AB1294" s="5" t="n"/>
    </row>
    <row r="1295" ht="15.75" customHeight="1" s="79">
      <c r="A1295" s="5" t="n"/>
      <c r="B1295" s="5" t="n"/>
      <c r="C1295" s="5" t="n"/>
      <c r="D1295" s="5" t="n"/>
      <c r="E1295" s="5" t="n"/>
      <c r="F1295" s="5" t="n"/>
      <c r="G1295" s="5" t="n"/>
      <c r="H1295" s="5" t="n"/>
      <c r="I1295" s="5" t="n"/>
      <c r="J1295" s="5" t="n"/>
      <c r="K1295" s="5" t="n"/>
      <c r="L1295" s="5" t="n"/>
      <c r="M1295" s="5" t="n"/>
      <c r="N1295" s="5" t="n"/>
      <c r="O1295" s="5" t="n"/>
      <c r="P1295" s="5" t="n"/>
      <c r="Q1295" s="5" t="n"/>
      <c r="R1295" s="5" t="n"/>
      <c r="S1295" s="5" t="n"/>
      <c r="T1295" s="5" t="n"/>
      <c r="U1295" s="5" t="n"/>
      <c r="V1295" s="5" t="n"/>
      <c r="W1295" s="5" t="n"/>
      <c r="X1295" s="5" t="n"/>
      <c r="Y1295" s="5" t="n"/>
      <c r="Z1295" s="5" t="n"/>
      <c r="AA1295" s="5" t="n"/>
      <c r="AB1295" s="5" t="n"/>
    </row>
    <row r="1296" ht="15.75" customHeight="1" s="79">
      <c r="A1296" s="5" t="n"/>
      <c r="B1296" s="5" t="n"/>
      <c r="C1296" s="5" t="n"/>
      <c r="D1296" s="5" t="n"/>
      <c r="E1296" s="5" t="n"/>
      <c r="F1296" s="5" t="n"/>
      <c r="G1296" s="5" t="n"/>
      <c r="H1296" s="5" t="n"/>
      <c r="I1296" s="5" t="n"/>
      <c r="J1296" s="5" t="n"/>
      <c r="K1296" s="5" t="n"/>
      <c r="L1296" s="5" t="n"/>
      <c r="M1296" s="5" t="n"/>
      <c r="N1296" s="5" t="n"/>
      <c r="O1296" s="5" t="n"/>
      <c r="P1296" s="5" t="n"/>
      <c r="Q1296" s="5" t="n"/>
      <c r="R1296" s="5" t="n"/>
      <c r="S1296" s="5" t="n"/>
      <c r="T1296" s="5" t="n"/>
      <c r="U1296" s="5" t="n"/>
      <c r="V1296" s="5" t="n"/>
      <c r="W1296" s="5" t="n"/>
      <c r="X1296" s="5" t="n"/>
      <c r="Y1296" s="5" t="n"/>
      <c r="Z1296" s="5" t="n"/>
      <c r="AA1296" s="5" t="n"/>
      <c r="AB1296" s="5" t="n"/>
    </row>
    <row r="1297" ht="15.75" customHeight="1" s="79">
      <c r="A1297" s="5" t="n"/>
      <c r="B1297" s="5" t="n"/>
      <c r="C1297" s="5" t="n"/>
      <c r="D1297" s="5" t="n"/>
      <c r="E1297" s="5" t="n"/>
      <c r="F1297" s="5" t="n"/>
      <c r="G1297" s="5" t="n"/>
      <c r="H1297" s="5" t="n"/>
      <c r="I1297" s="5" t="n"/>
      <c r="J1297" s="5" t="n"/>
      <c r="K1297" s="5" t="n"/>
      <c r="L1297" s="5" t="n"/>
      <c r="M1297" s="5" t="n"/>
      <c r="N1297" s="5" t="n"/>
      <c r="O1297" s="5" t="n"/>
      <c r="P1297" s="5" t="n"/>
      <c r="Q1297" s="5" t="n"/>
      <c r="R1297" s="5" t="n"/>
      <c r="S1297" s="5" t="n"/>
      <c r="T1297" s="5" t="n"/>
      <c r="U1297" s="5" t="n"/>
      <c r="V1297" s="5" t="n"/>
      <c r="W1297" s="5" t="n"/>
      <c r="X1297" s="5" t="n"/>
      <c r="Y1297" s="5" t="n"/>
      <c r="Z1297" s="5" t="n"/>
      <c r="AA1297" s="5" t="n"/>
      <c r="AB1297" s="5" t="n"/>
    </row>
    <row r="1298" ht="15.75" customHeight="1" s="79">
      <c r="A1298" s="5" t="n"/>
      <c r="B1298" s="5" t="n"/>
      <c r="C1298" s="5" t="n"/>
      <c r="D1298" s="5" t="n"/>
      <c r="E1298" s="5" t="n"/>
      <c r="F1298" s="5" t="n"/>
      <c r="G1298" s="5" t="n"/>
      <c r="H1298" s="5" t="n"/>
      <c r="I1298" s="5" t="n"/>
      <c r="J1298" s="5" t="n"/>
      <c r="K1298" s="5" t="n"/>
      <c r="L1298" s="5" t="n"/>
      <c r="M1298" s="5" t="n"/>
      <c r="N1298" s="5" t="n"/>
      <c r="O1298" s="5" t="n"/>
      <c r="P1298" s="5" t="n"/>
      <c r="Q1298" s="5" t="n"/>
      <c r="R1298" s="5" t="n"/>
      <c r="S1298" s="5" t="n"/>
      <c r="T1298" s="5" t="n"/>
      <c r="U1298" s="5" t="n"/>
      <c r="V1298" s="5" t="n"/>
      <c r="W1298" s="5" t="n"/>
      <c r="X1298" s="5" t="n"/>
      <c r="Y1298" s="5" t="n"/>
      <c r="Z1298" s="5" t="n"/>
      <c r="AA1298" s="5" t="n"/>
      <c r="AB1298" s="5" t="n"/>
    </row>
    <row r="1299" ht="15.75" customHeight="1" s="79">
      <c r="A1299" s="5" t="n"/>
      <c r="B1299" s="5" t="n"/>
      <c r="C1299" s="5" t="n"/>
      <c r="D1299" s="5" t="n"/>
      <c r="E1299" s="5" t="n"/>
      <c r="F1299" s="5" t="n"/>
      <c r="G1299" s="5" t="n"/>
      <c r="H1299" s="5" t="n"/>
      <c r="I1299" s="5" t="n"/>
      <c r="J1299" s="5" t="n"/>
      <c r="K1299" s="5" t="n"/>
      <c r="L1299" s="5" t="n"/>
      <c r="M1299" s="5" t="n"/>
      <c r="N1299" s="5" t="n"/>
      <c r="O1299" s="5" t="n"/>
      <c r="P1299" s="5" t="n"/>
      <c r="Q1299" s="5" t="n"/>
      <c r="R1299" s="5" t="n"/>
      <c r="S1299" s="5" t="n"/>
      <c r="T1299" s="5" t="n"/>
      <c r="U1299" s="5" t="n"/>
      <c r="V1299" s="5" t="n"/>
      <c r="W1299" s="5" t="n"/>
      <c r="X1299" s="5" t="n"/>
      <c r="Y1299" s="5" t="n"/>
      <c r="Z1299" s="5" t="n"/>
      <c r="AA1299" s="5" t="n"/>
      <c r="AB1299" s="5" t="n"/>
    </row>
    <row r="1300" ht="15.75" customHeight="1" s="79">
      <c r="A1300" s="5" t="n"/>
      <c r="B1300" s="5" t="n"/>
      <c r="C1300" s="5" t="n"/>
      <c r="D1300" s="5" t="n"/>
      <c r="E1300" s="5" t="n"/>
      <c r="F1300" s="5" t="n"/>
      <c r="G1300" s="5" t="n"/>
      <c r="H1300" s="5" t="n"/>
      <c r="I1300" s="5" t="n"/>
      <c r="J1300" s="5" t="n"/>
      <c r="K1300" s="5" t="n"/>
      <c r="L1300" s="5" t="n"/>
      <c r="M1300" s="5" t="n"/>
      <c r="N1300" s="5" t="n"/>
      <c r="O1300" s="5" t="n"/>
      <c r="P1300" s="5" t="n"/>
      <c r="Q1300" s="5" t="n"/>
      <c r="R1300" s="5" t="n"/>
      <c r="S1300" s="5" t="n"/>
      <c r="T1300" s="5" t="n"/>
      <c r="U1300" s="5" t="n"/>
      <c r="V1300" s="5" t="n"/>
      <c r="W1300" s="5" t="n"/>
      <c r="X1300" s="5" t="n"/>
      <c r="Y1300" s="5" t="n"/>
      <c r="Z1300" s="5" t="n"/>
      <c r="AA1300" s="5" t="n"/>
      <c r="AB1300" s="5" t="n"/>
    </row>
    <row r="1301" ht="15.75" customHeight="1" s="79">
      <c r="A1301" s="5" t="n"/>
      <c r="B1301" s="5" t="n"/>
      <c r="C1301" s="5" t="n"/>
      <c r="D1301" s="5" t="n"/>
      <c r="E1301" s="5" t="n"/>
      <c r="F1301" s="5" t="n"/>
      <c r="G1301" s="5" t="n"/>
      <c r="H1301" s="5" t="n"/>
      <c r="I1301" s="5" t="n"/>
      <c r="J1301" s="5" t="n"/>
      <c r="K1301" s="5" t="n"/>
      <c r="L1301" s="5" t="n"/>
      <c r="M1301" s="5" t="n"/>
      <c r="N1301" s="5" t="n"/>
      <c r="O1301" s="5" t="n"/>
      <c r="P1301" s="5" t="n"/>
      <c r="Q1301" s="5" t="n"/>
      <c r="R1301" s="5" t="n"/>
      <c r="S1301" s="5" t="n"/>
      <c r="T1301" s="5" t="n"/>
      <c r="U1301" s="5" t="n"/>
      <c r="V1301" s="5" t="n"/>
      <c r="W1301" s="5" t="n"/>
      <c r="X1301" s="5" t="n"/>
      <c r="Y1301" s="5" t="n"/>
      <c r="Z1301" s="5" t="n"/>
      <c r="AA1301" s="5" t="n"/>
      <c r="AB1301" s="5" t="n"/>
    </row>
    <row r="1302" ht="15.75" customHeight="1" s="79">
      <c r="A1302" s="5" t="n"/>
      <c r="B1302" s="5" t="n"/>
      <c r="C1302" s="5" t="n"/>
      <c r="D1302" s="5" t="n"/>
      <c r="E1302" s="5" t="n"/>
      <c r="F1302" s="5" t="n"/>
      <c r="G1302" s="5" t="n"/>
      <c r="H1302" s="5" t="n"/>
      <c r="I1302" s="5" t="n"/>
      <c r="J1302" s="5" t="n"/>
      <c r="K1302" s="5" t="n"/>
      <c r="L1302" s="5" t="n"/>
      <c r="M1302" s="5" t="n"/>
      <c r="N1302" s="5" t="n"/>
      <c r="O1302" s="5" t="n"/>
      <c r="P1302" s="5" t="n"/>
      <c r="Q1302" s="5" t="n"/>
      <c r="R1302" s="5" t="n"/>
      <c r="S1302" s="5" t="n"/>
      <c r="T1302" s="5" t="n"/>
      <c r="U1302" s="5" t="n"/>
      <c r="V1302" s="5" t="n"/>
      <c r="W1302" s="5" t="n"/>
      <c r="X1302" s="5" t="n"/>
      <c r="Y1302" s="5" t="n"/>
      <c r="Z1302" s="5" t="n"/>
      <c r="AA1302" s="5" t="n"/>
      <c r="AB1302" s="5" t="n"/>
    </row>
    <row r="1303" ht="15.75" customHeight="1" s="79">
      <c r="A1303" s="5" t="n"/>
      <c r="B1303" s="5" t="n"/>
      <c r="C1303" s="5" t="n"/>
      <c r="D1303" s="5" t="n"/>
      <c r="E1303" s="5" t="n"/>
      <c r="F1303" s="5" t="n"/>
      <c r="G1303" s="5" t="n"/>
      <c r="H1303" s="5" t="n"/>
      <c r="I1303" s="5" t="n"/>
      <c r="J1303" s="5" t="n"/>
      <c r="K1303" s="5" t="n"/>
      <c r="L1303" s="5" t="n"/>
      <c r="M1303" s="5" t="n"/>
      <c r="N1303" s="5" t="n"/>
      <c r="O1303" s="5" t="n"/>
      <c r="P1303" s="5" t="n"/>
      <c r="Q1303" s="5" t="n"/>
      <c r="R1303" s="5" t="n"/>
      <c r="S1303" s="5" t="n"/>
      <c r="T1303" s="5" t="n"/>
      <c r="U1303" s="5" t="n"/>
      <c r="V1303" s="5" t="n"/>
      <c r="W1303" s="5" t="n"/>
      <c r="X1303" s="5" t="n"/>
      <c r="Y1303" s="5" t="n"/>
      <c r="Z1303" s="5" t="n"/>
      <c r="AA1303" s="5" t="n"/>
      <c r="AB1303" s="5" t="n"/>
    </row>
    <row r="1304" ht="15.75" customHeight="1" s="79">
      <c r="A1304" s="5" t="n"/>
      <c r="B1304" s="5" t="n"/>
      <c r="C1304" s="5" t="n"/>
      <c r="D1304" s="5" t="n"/>
      <c r="E1304" s="5" t="n"/>
      <c r="F1304" s="5" t="n"/>
      <c r="G1304" s="5" t="n"/>
      <c r="H1304" s="5" t="n"/>
      <c r="I1304" s="5" t="n"/>
      <c r="J1304" s="5" t="n"/>
      <c r="K1304" s="5" t="n"/>
      <c r="L1304" s="5" t="n"/>
      <c r="M1304" s="5" t="n"/>
      <c r="N1304" s="5" t="n"/>
      <c r="O1304" s="5" t="n"/>
      <c r="P1304" s="5" t="n"/>
      <c r="Q1304" s="5" t="n"/>
      <c r="R1304" s="5" t="n"/>
      <c r="S1304" s="5" t="n"/>
      <c r="T1304" s="5" t="n"/>
      <c r="U1304" s="5" t="n"/>
      <c r="V1304" s="5" t="n"/>
      <c r="W1304" s="5" t="n"/>
      <c r="X1304" s="5" t="n"/>
      <c r="Y1304" s="5" t="n"/>
      <c r="Z1304" s="5" t="n"/>
      <c r="AA1304" s="5" t="n"/>
      <c r="AB1304" s="5" t="n"/>
    </row>
    <row r="1305" ht="15.75" customHeight="1" s="79">
      <c r="A1305" s="5" t="n"/>
      <c r="B1305" s="5" t="n"/>
      <c r="C1305" s="5" t="n"/>
      <c r="D1305" s="5" t="n"/>
      <c r="E1305" s="5" t="n"/>
      <c r="F1305" s="5" t="n"/>
      <c r="G1305" s="5" t="n"/>
      <c r="H1305" s="5" t="n"/>
      <c r="I1305" s="5" t="n"/>
      <c r="J1305" s="5" t="n"/>
      <c r="K1305" s="5" t="n"/>
      <c r="L1305" s="5" t="n"/>
      <c r="M1305" s="5" t="n"/>
      <c r="N1305" s="5" t="n"/>
      <c r="O1305" s="5" t="n"/>
      <c r="P1305" s="5" t="n"/>
      <c r="Q1305" s="5" t="n"/>
      <c r="R1305" s="5" t="n"/>
      <c r="S1305" s="5" t="n"/>
      <c r="T1305" s="5" t="n"/>
      <c r="U1305" s="5" t="n"/>
      <c r="V1305" s="5" t="n"/>
      <c r="W1305" s="5" t="n"/>
      <c r="X1305" s="5" t="n"/>
      <c r="Y1305" s="5" t="n"/>
      <c r="Z1305" s="5" t="n"/>
      <c r="AA1305" s="5" t="n"/>
      <c r="AB1305" s="5" t="n"/>
    </row>
    <row r="1306" ht="15.75" customHeight="1" s="79">
      <c r="A1306" s="5" t="n"/>
      <c r="B1306" s="5" t="n"/>
      <c r="C1306" s="5" t="n"/>
      <c r="D1306" s="5" t="n"/>
      <c r="E1306" s="5" t="n"/>
      <c r="F1306" s="5" t="n"/>
      <c r="G1306" s="5" t="n"/>
      <c r="H1306" s="5" t="n"/>
      <c r="I1306" s="5" t="n"/>
      <c r="J1306" s="5" t="n"/>
      <c r="K1306" s="5" t="n"/>
      <c r="L1306" s="5" t="n"/>
      <c r="M1306" s="5" t="n"/>
      <c r="N1306" s="5" t="n"/>
      <c r="O1306" s="5" t="n"/>
      <c r="P1306" s="5" t="n"/>
      <c r="Q1306" s="5" t="n"/>
      <c r="R1306" s="5" t="n"/>
      <c r="S1306" s="5" t="n"/>
      <c r="T1306" s="5" t="n"/>
      <c r="U1306" s="5" t="n"/>
      <c r="V1306" s="5" t="n"/>
      <c r="W1306" s="5" t="n"/>
      <c r="X1306" s="5" t="n"/>
      <c r="Y1306" s="5" t="n"/>
      <c r="Z1306" s="5" t="n"/>
      <c r="AA1306" s="5" t="n"/>
      <c r="AB1306" s="5" t="n"/>
    </row>
    <row r="1307" ht="15.75" customHeight="1" s="79">
      <c r="A1307" s="5" t="n"/>
      <c r="B1307" s="5" t="n"/>
      <c r="C1307" s="5" t="n"/>
      <c r="D1307" s="5" t="n"/>
      <c r="E1307" s="5" t="n"/>
      <c r="F1307" s="5" t="n"/>
      <c r="G1307" s="5" t="n"/>
      <c r="H1307" s="5" t="n"/>
      <c r="I1307" s="5" t="n"/>
      <c r="J1307" s="5" t="n"/>
      <c r="K1307" s="5" t="n"/>
      <c r="L1307" s="5" t="n"/>
      <c r="M1307" s="5" t="n"/>
      <c r="N1307" s="5" t="n"/>
      <c r="O1307" s="5" t="n"/>
      <c r="P1307" s="5" t="n"/>
      <c r="Q1307" s="5" t="n"/>
      <c r="R1307" s="5" t="n"/>
      <c r="S1307" s="5" t="n"/>
      <c r="T1307" s="5" t="n"/>
      <c r="U1307" s="5" t="n"/>
      <c r="V1307" s="5" t="n"/>
      <c r="W1307" s="5" t="n"/>
      <c r="X1307" s="5" t="n"/>
      <c r="Y1307" s="5" t="n"/>
      <c r="Z1307" s="5" t="n"/>
      <c r="AA1307" s="5" t="n"/>
      <c r="AB1307" s="5" t="n"/>
    </row>
    <row r="1308" ht="15.75" customHeight="1" s="79">
      <c r="A1308" s="5" t="n"/>
      <c r="B1308" s="5" t="n"/>
      <c r="C1308" s="5" t="n"/>
      <c r="D1308" s="5" t="n"/>
      <c r="E1308" s="5" t="n"/>
      <c r="F1308" s="5" t="n"/>
      <c r="G1308" s="5" t="n"/>
      <c r="H1308" s="5" t="n"/>
      <c r="I1308" s="5" t="n"/>
      <c r="J1308" s="5" t="n"/>
      <c r="K1308" s="5" t="n"/>
      <c r="L1308" s="5" t="n"/>
      <c r="M1308" s="5" t="n"/>
      <c r="N1308" s="5" t="n"/>
      <c r="O1308" s="5" t="n"/>
      <c r="P1308" s="5" t="n"/>
      <c r="Q1308" s="5" t="n"/>
      <c r="R1308" s="5" t="n"/>
      <c r="S1308" s="5" t="n"/>
      <c r="T1308" s="5" t="n"/>
      <c r="U1308" s="5" t="n"/>
      <c r="V1308" s="5" t="n"/>
      <c r="W1308" s="5" t="n"/>
      <c r="X1308" s="5" t="n"/>
      <c r="Y1308" s="5" t="n"/>
      <c r="Z1308" s="5" t="n"/>
      <c r="AA1308" s="5" t="n"/>
      <c r="AB1308" s="5" t="n"/>
    </row>
    <row r="1309" ht="15.75" customHeight="1" s="79">
      <c r="A1309" s="5" t="n"/>
      <c r="B1309" s="5" t="n"/>
      <c r="C1309" s="5" t="n"/>
      <c r="D1309" s="5" t="n"/>
      <c r="E1309" s="5" t="n"/>
      <c r="F1309" s="5" t="n"/>
      <c r="G1309" s="5" t="n"/>
      <c r="H1309" s="5" t="n"/>
      <c r="I1309" s="5" t="n"/>
      <c r="J1309" s="5" t="n"/>
      <c r="K1309" s="5" t="n"/>
      <c r="L1309" s="5" t="n"/>
      <c r="M1309" s="5" t="n"/>
      <c r="N1309" s="5" t="n"/>
      <c r="O1309" s="5" t="n"/>
      <c r="P1309" s="5" t="n"/>
      <c r="Q1309" s="5" t="n"/>
      <c r="R1309" s="5" t="n"/>
      <c r="S1309" s="5" t="n"/>
      <c r="T1309" s="5" t="n"/>
      <c r="U1309" s="5" t="n"/>
      <c r="V1309" s="5" t="n"/>
      <c r="W1309" s="5" t="n"/>
      <c r="X1309" s="5" t="n"/>
      <c r="Y1309" s="5" t="n"/>
      <c r="Z1309" s="5" t="n"/>
      <c r="AA1309" s="5" t="n"/>
      <c r="AB1309" s="5" t="n"/>
    </row>
    <row r="1310" ht="15.75" customHeight="1" s="79">
      <c r="A1310" s="5" t="n"/>
      <c r="B1310" s="5" t="n"/>
      <c r="C1310" s="5" t="n"/>
      <c r="D1310" s="5" t="n"/>
      <c r="E1310" s="5" t="n"/>
      <c r="F1310" s="5" t="n"/>
      <c r="G1310" s="5" t="n"/>
      <c r="H1310" s="5" t="n"/>
      <c r="I1310" s="5" t="n"/>
      <c r="J1310" s="5" t="n"/>
      <c r="K1310" s="5" t="n"/>
      <c r="L1310" s="5" t="n"/>
      <c r="M1310" s="5" t="n"/>
      <c r="N1310" s="5" t="n"/>
      <c r="O1310" s="5" t="n"/>
      <c r="P1310" s="5" t="n"/>
      <c r="Q1310" s="5" t="n"/>
      <c r="R1310" s="5" t="n"/>
      <c r="S1310" s="5" t="n"/>
      <c r="T1310" s="5" t="n"/>
      <c r="U1310" s="5" t="n"/>
      <c r="V1310" s="5" t="n"/>
      <c r="W1310" s="5" t="n"/>
      <c r="X1310" s="5" t="n"/>
      <c r="Y1310" s="5" t="n"/>
      <c r="Z1310" s="5" t="n"/>
      <c r="AA1310" s="5" t="n"/>
      <c r="AB1310" s="5" t="n"/>
    </row>
    <row r="1311" ht="15.75" customHeight="1" s="79">
      <c r="A1311" s="5" t="n"/>
      <c r="B1311" s="5" t="n"/>
      <c r="C1311" s="5" t="n"/>
      <c r="D1311" s="5" t="n"/>
      <c r="E1311" s="5" t="n"/>
      <c r="F1311" s="5" t="n"/>
      <c r="G1311" s="5" t="n"/>
      <c r="H1311" s="5" t="n"/>
      <c r="I1311" s="5" t="n"/>
      <c r="J1311" s="5" t="n"/>
      <c r="K1311" s="5" t="n"/>
      <c r="L1311" s="5" t="n"/>
      <c r="M1311" s="5" t="n"/>
      <c r="N1311" s="5" t="n"/>
      <c r="O1311" s="5" t="n"/>
      <c r="P1311" s="5" t="n"/>
      <c r="Q1311" s="5" t="n"/>
      <c r="R1311" s="5" t="n"/>
      <c r="S1311" s="5" t="n"/>
      <c r="T1311" s="5" t="n"/>
      <c r="U1311" s="5" t="n"/>
      <c r="V1311" s="5" t="n"/>
      <c r="W1311" s="5" t="n"/>
      <c r="X1311" s="5" t="n"/>
      <c r="Y1311" s="5" t="n"/>
      <c r="Z1311" s="5" t="n"/>
      <c r="AA1311" s="5" t="n"/>
      <c r="AB1311" s="5" t="n"/>
    </row>
    <row r="1312" ht="15.75" customHeight="1" s="79">
      <c r="A1312" s="5" t="n"/>
      <c r="B1312" s="5" t="n"/>
      <c r="C1312" s="5" t="n"/>
      <c r="D1312" s="5" t="n"/>
      <c r="E1312" s="5" t="n"/>
      <c r="F1312" s="5" t="n"/>
      <c r="G1312" s="5" t="n"/>
      <c r="H1312" s="5" t="n"/>
      <c r="I1312" s="5" t="n"/>
      <c r="J1312" s="5" t="n"/>
      <c r="K1312" s="5" t="n"/>
      <c r="L1312" s="5" t="n"/>
      <c r="M1312" s="5" t="n"/>
      <c r="N1312" s="5" t="n"/>
      <c r="O1312" s="5" t="n"/>
      <c r="P1312" s="5" t="n"/>
      <c r="Q1312" s="5" t="n"/>
      <c r="R1312" s="5" t="n"/>
      <c r="S1312" s="5" t="n"/>
      <c r="T1312" s="5" t="n"/>
      <c r="U1312" s="5" t="n"/>
      <c r="V1312" s="5" t="n"/>
      <c r="W1312" s="5" t="n"/>
      <c r="X1312" s="5" t="n"/>
      <c r="Y1312" s="5" t="n"/>
      <c r="Z1312" s="5" t="n"/>
      <c r="AA1312" s="5" t="n"/>
      <c r="AB1312" s="5" t="n"/>
    </row>
    <row r="1313" ht="15.75" customHeight="1" s="79">
      <c r="A1313" s="5" t="n"/>
      <c r="B1313" s="5" t="n"/>
      <c r="C1313" s="5" t="n"/>
      <c r="D1313" s="5" t="n"/>
      <c r="E1313" s="5" t="n"/>
      <c r="F1313" s="5" t="n"/>
      <c r="G1313" s="5" t="n"/>
      <c r="H1313" s="5" t="n"/>
      <c r="I1313" s="5" t="n"/>
      <c r="J1313" s="5" t="n"/>
      <c r="K1313" s="5" t="n"/>
      <c r="L1313" s="5" t="n"/>
      <c r="M1313" s="5" t="n"/>
      <c r="N1313" s="5" t="n"/>
      <c r="O1313" s="5" t="n"/>
      <c r="P1313" s="5" t="n"/>
      <c r="Q1313" s="5" t="n"/>
      <c r="R1313" s="5" t="n"/>
      <c r="S1313" s="5" t="n"/>
      <c r="T1313" s="5" t="n"/>
      <c r="U1313" s="5" t="n"/>
      <c r="V1313" s="5" t="n"/>
      <c r="W1313" s="5" t="n"/>
      <c r="X1313" s="5" t="n"/>
      <c r="Y1313" s="5" t="n"/>
      <c r="Z1313" s="5" t="n"/>
      <c r="AA1313" s="5" t="n"/>
      <c r="AB1313" s="5" t="n"/>
    </row>
    <row r="1314" ht="30" customHeight="1" s="79">
      <c r="A1314" s="34" t="inlineStr">
        <is>
          <t>Segment</t>
        </is>
      </c>
      <c r="B1314" s="34" t="inlineStr">
        <is>
          <t>Funded $</t>
        </is>
      </c>
      <c r="C1314" s="34" t="inlineStr">
        <is>
          <t>Collected $</t>
        </is>
      </c>
      <c r="D1314" s="34" t="inlineStr">
        <is>
          <t>Net profit / loss $</t>
        </is>
      </c>
      <c r="E1314" s="34" t="inlineStr">
        <is>
          <t>Commission $</t>
        </is>
      </c>
      <c r="F1314" s="34" t="inlineStr">
        <is>
          <t>Principal lost $</t>
        </is>
      </c>
      <c r="G1314" s="34" t="inlineStr">
        <is>
          <t>Principal default exposure</t>
        </is>
      </c>
      <c r="H1314" s="34" t="inlineStr">
        <is>
          <t>Recovery rate</t>
        </is>
      </c>
      <c r="I1314" s="34" t="inlineStr">
        <is>
          <t>Return on funded capital (%)</t>
        </is>
      </c>
      <c r="J1314" s="34" t="inlineStr">
        <is>
          <t>Deals</t>
        </is>
      </c>
      <c r="K1314" s="34" t="inlineStr">
        <is>
          <t>Share of funded dollars</t>
        </is>
      </c>
      <c r="L1314" s="34" t="inlineStr">
        <is>
          <t>Avg deal size</t>
        </is>
      </c>
      <c r="M1314" s="34" t="inlineStr">
        <is>
          <t>Avg expected term (business days)</t>
        </is>
      </c>
      <c r="N1314" s="34" t="inlineStr">
        <is>
          <t>Avg expected term (payments)</t>
        </is>
      </c>
      <c r="O1314" s="34" t="inlineStr">
        <is>
          <t>Avg days on book, defaulted</t>
        </is>
      </c>
      <c r="P1314" s="34" t="inlineStr">
        <is>
          <t>Avg days to close</t>
        </is>
      </c>
      <c r="Q1314" s="34" t="inlineStr">
        <is>
          <t>% of deals that were renewals</t>
        </is>
      </c>
      <c r="R1314" s="34" t="inlineStr">
        <is>
          <t>% of funded dollars from renewals</t>
        </is>
      </c>
      <c r="S1314" s="34" t="inlineStr">
        <is>
          <t>Book default exposure</t>
        </is>
      </c>
      <c r="T1314" s="34" t="inlineStr">
        <is>
          <t>Book recovery</t>
        </is>
      </c>
      <c r="U1314" s="34" t="inlineStr">
        <is>
          <t>Book return on funded capital</t>
        </is>
      </c>
      <c r="V1314" s="34" t="inlineStr">
        <is>
          <t>Default rate (#)</t>
        </is>
      </c>
      <c r="W1314" s="5" t="n"/>
      <c r="X1314" s="5" t="n"/>
      <c r="Y1314" s="5" t="n"/>
      <c r="Z1314" s="5" t="n"/>
      <c r="AA1314" s="5" t="n"/>
      <c r="AB1314" s="5" t="n"/>
    </row>
    <row r="1315" ht="15.75" customHeight="1" s="79">
      <c r="A1315" s="5">
        <f>IFERROR(Calc!$A$208,"")</f>
        <v/>
      </c>
      <c r="B1315" s="20">
        <f>IFERROR(Calc!B208,"")</f>
        <v/>
      </c>
      <c r="C1315" s="20">
        <f>IFERROR(Calc!C208,"")</f>
        <v/>
      </c>
      <c r="D1315" s="20">
        <f>IFERROR(Calc!D208,"")</f>
        <v/>
      </c>
      <c r="E1315" s="20">
        <f>IFERROR(Calc!E208,"")</f>
        <v/>
      </c>
      <c r="F1315" s="20">
        <f>IFERROR(Calc!F208,"")</f>
        <v/>
      </c>
      <c r="G1315" s="21">
        <f>IFERROR(Calc!G208,"")</f>
        <v/>
      </c>
      <c r="H1315" s="21">
        <f>IFERROR(Calc!H208,"")</f>
        <v/>
      </c>
      <c r="I1315" s="21">
        <f>IFERROR(Calc!I208,"")</f>
        <v/>
      </c>
      <c r="J1315" s="17">
        <f>IFERROR(Calc!J208,"")</f>
        <v/>
      </c>
      <c r="K1315" s="21">
        <f>IFERROR(Calc!K208,"")</f>
        <v/>
      </c>
      <c r="L1315" s="20">
        <f>IFERROR(Calc!L208,"")</f>
        <v/>
      </c>
      <c r="M1315" s="17">
        <f>IFERROR(Calc!M208,"")</f>
        <v/>
      </c>
      <c r="N1315" s="17">
        <f>IFERROR(Calc!N208,"")</f>
        <v/>
      </c>
      <c r="O1315" s="17">
        <f>IFERROR(Calc!O208,"")</f>
        <v/>
      </c>
      <c r="P1315" s="17">
        <f>IFERROR(Calc!P208,"")</f>
        <v/>
      </c>
      <c r="Q1315" s="21">
        <f>IFERROR(Calc!Q208,"")</f>
        <v/>
      </c>
      <c r="R1315" s="21">
        <f>IFERROR(Calc!R208,"")</f>
        <v/>
      </c>
      <c r="S1315" s="21">
        <f>IFERROR(Calc!S208,"")</f>
        <v/>
      </c>
      <c r="T1315" s="21">
        <f>IFERROR(Calc!T208,"")</f>
        <v/>
      </c>
      <c r="U1315" s="21">
        <f>IFERROR(Calc!U208,"")</f>
        <v/>
      </c>
      <c r="V1315" s="21">
        <f>IFERROR(Calc!V208,"")</f>
        <v/>
      </c>
      <c r="W1315" s="5" t="n"/>
      <c r="X1315" s="5" t="n"/>
      <c r="Y1315" s="5" t="n"/>
      <c r="Z1315" s="5" t="n"/>
      <c r="AA1315" s="5" t="n"/>
      <c r="AB1315" s="5" t="n"/>
    </row>
    <row r="1316" ht="15.75" customHeight="1" s="79">
      <c r="A1316" s="5">
        <f>IFERROR(Calc!$A$209,"")</f>
        <v/>
      </c>
      <c r="B1316" s="20">
        <f>IFERROR(Calc!B209,"")</f>
        <v/>
      </c>
      <c r="C1316" s="20">
        <f>IFERROR(Calc!C209,"")</f>
        <v/>
      </c>
      <c r="D1316" s="20">
        <f>IFERROR(Calc!D209,"")</f>
        <v/>
      </c>
      <c r="E1316" s="20">
        <f>IFERROR(Calc!E209,"")</f>
        <v/>
      </c>
      <c r="F1316" s="20">
        <f>IFERROR(Calc!F209,"")</f>
        <v/>
      </c>
      <c r="G1316" s="21">
        <f>IFERROR(Calc!G209,"")</f>
        <v/>
      </c>
      <c r="H1316" s="21">
        <f>IFERROR(Calc!H209,"")</f>
        <v/>
      </c>
      <c r="I1316" s="21">
        <f>IFERROR(Calc!I209,"")</f>
        <v/>
      </c>
      <c r="J1316" s="17">
        <f>IFERROR(Calc!J209,"")</f>
        <v/>
      </c>
      <c r="K1316" s="21">
        <f>IFERROR(Calc!K209,"")</f>
        <v/>
      </c>
      <c r="L1316" s="20">
        <f>IFERROR(Calc!L209,"")</f>
        <v/>
      </c>
      <c r="M1316" s="17">
        <f>IFERROR(Calc!M209,"")</f>
        <v/>
      </c>
      <c r="N1316" s="17">
        <f>IFERROR(Calc!N209,"")</f>
        <v/>
      </c>
      <c r="O1316" s="17">
        <f>IFERROR(Calc!O209,"")</f>
        <v/>
      </c>
      <c r="P1316" s="17">
        <f>IFERROR(Calc!P209,"")</f>
        <v/>
      </c>
      <c r="Q1316" s="21">
        <f>IFERROR(Calc!Q209,"")</f>
        <v/>
      </c>
      <c r="R1316" s="21">
        <f>IFERROR(Calc!R209,"")</f>
        <v/>
      </c>
      <c r="S1316" s="21">
        <f>IFERROR(Calc!S209,"")</f>
        <v/>
      </c>
      <c r="T1316" s="21">
        <f>IFERROR(Calc!T209,"")</f>
        <v/>
      </c>
      <c r="U1316" s="21">
        <f>IFERROR(Calc!U209,"")</f>
        <v/>
      </c>
      <c r="V1316" s="21">
        <f>IFERROR(Calc!V209,"")</f>
        <v/>
      </c>
      <c r="W1316" s="5" t="n"/>
      <c r="X1316" s="5" t="n"/>
      <c r="Y1316" s="5" t="n"/>
      <c r="Z1316" s="5" t="n"/>
      <c r="AA1316" s="5" t="n"/>
      <c r="AB1316" s="5" t="n"/>
    </row>
    <row r="1317" ht="15.75" customHeight="1" s="79">
      <c r="A1317" s="5">
        <f>IFERROR(Calc!$A$210,"")</f>
        <v/>
      </c>
      <c r="B1317" s="20">
        <f>IFERROR(Calc!B210,"")</f>
        <v/>
      </c>
      <c r="C1317" s="20">
        <f>IFERROR(Calc!C210,"")</f>
        <v/>
      </c>
      <c r="D1317" s="20">
        <f>IFERROR(Calc!D210,"")</f>
        <v/>
      </c>
      <c r="E1317" s="20">
        <f>IFERROR(Calc!E210,"")</f>
        <v/>
      </c>
      <c r="F1317" s="20">
        <f>IFERROR(Calc!F210,"")</f>
        <v/>
      </c>
      <c r="G1317" s="21">
        <f>IFERROR(Calc!G210,"")</f>
        <v/>
      </c>
      <c r="H1317" s="21">
        <f>IFERROR(Calc!H210,"")</f>
        <v/>
      </c>
      <c r="I1317" s="21">
        <f>IFERROR(Calc!I210,"")</f>
        <v/>
      </c>
      <c r="J1317" s="17">
        <f>IFERROR(Calc!J210,"")</f>
        <v/>
      </c>
      <c r="K1317" s="21">
        <f>IFERROR(Calc!K210,"")</f>
        <v/>
      </c>
      <c r="L1317" s="20">
        <f>IFERROR(Calc!L210,"")</f>
        <v/>
      </c>
      <c r="M1317" s="17">
        <f>IFERROR(Calc!M210,"")</f>
        <v/>
      </c>
      <c r="N1317" s="17">
        <f>IFERROR(Calc!N210,"")</f>
        <v/>
      </c>
      <c r="O1317" s="17">
        <f>IFERROR(Calc!O210,"")</f>
        <v/>
      </c>
      <c r="P1317" s="17">
        <f>IFERROR(Calc!P210,"")</f>
        <v/>
      </c>
      <c r="Q1317" s="21">
        <f>IFERROR(Calc!Q210,"")</f>
        <v/>
      </c>
      <c r="R1317" s="21">
        <f>IFERROR(Calc!R210,"")</f>
        <v/>
      </c>
      <c r="S1317" s="21">
        <f>IFERROR(Calc!S210,"")</f>
        <v/>
      </c>
      <c r="T1317" s="21">
        <f>IFERROR(Calc!T210,"")</f>
        <v/>
      </c>
      <c r="U1317" s="21">
        <f>IFERROR(Calc!U210,"")</f>
        <v/>
      </c>
      <c r="V1317" s="21">
        <f>IFERROR(Calc!V210,"")</f>
        <v/>
      </c>
      <c r="W1317" s="5" t="n"/>
      <c r="X1317" s="5" t="n"/>
      <c r="Y1317" s="5" t="n"/>
      <c r="Z1317" s="5" t="n"/>
      <c r="AA1317" s="5" t="n"/>
      <c r="AB1317" s="5" t="n"/>
    </row>
    <row r="1318" ht="15.75" customHeight="1" s="79">
      <c r="A1318" s="5">
        <f>IFERROR(Calc!$A$211,"")</f>
        <v/>
      </c>
      <c r="B1318" s="20">
        <f>IFERROR(Calc!B211,"")</f>
        <v/>
      </c>
      <c r="C1318" s="20">
        <f>IFERROR(Calc!C211,"")</f>
        <v/>
      </c>
      <c r="D1318" s="20">
        <f>IFERROR(Calc!D211,"")</f>
        <v/>
      </c>
      <c r="E1318" s="20">
        <f>IFERROR(Calc!E211,"")</f>
        <v/>
      </c>
      <c r="F1318" s="20">
        <f>IFERROR(Calc!F211,"")</f>
        <v/>
      </c>
      <c r="G1318" s="21">
        <f>IFERROR(Calc!G211,"")</f>
        <v/>
      </c>
      <c r="H1318" s="21">
        <f>IFERROR(Calc!H211,"")</f>
        <v/>
      </c>
      <c r="I1318" s="21">
        <f>IFERROR(Calc!I211,"")</f>
        <v/>
      </c>
      <c r="J1318" s="17">
        <f>IFERROR(Calc!J211,"")</f>
        <v/>
      </c>
      <c r="K1318" s="21">
        <f>IFERROR(Calc!K211,"")</f>
        <v/>
      </c>
      <c r="L1318" s="20">
        <f>IFERROR(Calc!L211,"")</f>
        <v/>
      </c>
      <c r="M1318" s="17">
        <f>IFERROR(Calc!M211,"")</f>
        <v/>
      </c>
      <c r="N1318" s="17">
        <f>IFERROR(Calc!N211,"")</f>
        <v/>
      </c>
      <c r="O1318" s="17">
        <f>IFERROR(Calc!O211,"")</f>
        <v/>
      </c>
      <c r="P1318" s="17">
        <f>IFERROR(Calc!P211,"")</f>
        <v/>
      </c>
      <c r="Q1318" s="21">
        <f>IFERROR(Calc!Q211,"")</f>
        <v/>
      </c>
      <c r="R1318" s="21">
        <f>IFERROR(Calc!R211,"")</f>
        <v/>
      </c>
      <c r="S1318" s="21">
        <f>IFERROR(Calc!S211,"")</f>
        <v/>
      </c>
      <c r="T1318" s="21">
        <f>IFERROR(Calc!T211,"")</f>
        <v/>
      </c>
      <c r="U1318" s="21">
        <f>IFERROR(Calc!U211,"")</f>
        <v/>
      </c>
      <c r="V1318" s="21">
        <f>IFERROR(Calc!V211,"")</f>
        <v/>
      </c>
      <c r="W1318" s="5" t="n"/>
      <c r="X1318" s="5" t="n"/>
      <c r="Y1318" s="5" t="n"/>
      <c r="Z1318" s="5" t="n"/>
      <c r="AA1318" s="5" t="n"/>
      <c r="AB1318" s="5" t="n"/>
    </row>
    <row r="1319" ht="15.75" customHeight="1" s="79">
      <c r="A1319" s="5">
        <f>IFERROR(Calc!$A$212,"")</f>
        <v/>
      </c>
      <c r="B1319" s="20">
        <f>IFERROR(Calc!B212,"")</f>
        <v/>
      </c>
      <c r="C1319" s="20">
        <f>IFERROR(Calc!C212,"")</f>
        <v/>
      </c>
      <c r="D1319" s="20">
        <f>IFERROR(Calc!D212,"")</f>
        <v/>
      </c>
      <c r="E1319" s="20">
        <f>IFERROR(Calc!E212,"")</f>
        <v/>
      </c>
      <c r="F1319" s="20">
        <f>IFERROR(Calc!F212,"")</f>
        <v/>
      </c>
      <c r="G1319" s="21">
        <f>IFERROR(Calc!G212,"")</f>
        <v/>
      </c>
      <c r="H1319" s="21">
        <f>IFERROR(Calc!H212,"")</f>
        <v/>
      </c>
      <c r="I1319" s="21">
        <f>IFERROR(Calc!I212,"")</f>
        <v/>
      </c>
      <c r="J1319" s="17">
        <f>IFERROR(Calc!J212,"")</f>
        <v/>
      </c>
      <c r="K1319" s="21">
        <f>IFERROR(Calc!K212,"")</f>
        <v/>
      </c>
      <c r="L1319" s="20">
        <f>IFERROR(Calc!L212,"")</f>
        <v/>
      </c>
      <c r="M1319" s="17">
        <f>IFERROR(Calc!M212,"")</f>
        <v/>
      </c>
      <c r="N1319" s="17">
        <f>IFERROR(Calc!N212,"")</f>
        <v/>
      </c>
      <c r="O1319" s="17">
        <f>IFERROR(Calc!O212,"")</f>
        <v/>
      </c>
      <c r="P1319" s="17">
        <f>IFERROR(Calc!P212,"")</f>
        <v/>
      </c>
      <c r="Q1319" s="21">
        <f>IFERROR(Calc!Q212,"")</f>
        <v/>
      </c>
      <c r="R1319" s="21">
        <f>IFERROR(Calc!R212,"")</f>
        <v/>
      </c>
      <c r="S1319" s="21">
        <f>IFERROR(Calc!S212,"")</f>
        <v/>
      </c>
      <c r="T1319" s="21">
        <f>IFERROR(Calc!T212,"")</f>
        <v/>
      </c>
      <c r="U1319" s="21">
        <f>IFERROR(Calc!U212,"")</f>
        <v/>
      </c>
      <c r="V1319" s="21">
        <f>IFERROR(Calc!V212,"")</f>
        <v/>
      </c>
      <c r="W1319" s="5" t="n"/>
      <c r="X1319" s="5" t="n"/>
      <c r="Y1319" s="5" t="n"/>
      <c r="Z1319" s="5" t="n"/>
      <c r="AA1319" s="5" t="n"/>
      <c r="AB1319" s="5" t="n"/>
    </row>
    <row r="1320" ht="15.75" customHeight="1" s="79">
      <c r="A1320" s="5">
        <f>IFERROR(Calc!$A$213,"")</f>
        <v/>
      </c>
      <c r="B1320" s="20">
        <f>IFERROR(Calc!B213,"")</f>
        <v/>
      </c>
      <c r="C1320" s="20">
        <f>IFERROR(Calc!C213,"")</f>
        <v/>
      </c>
      <c r="D1320" s="20">
        <f>IFERROR(Calc!D213,"")</f>
        <v/>
      </c>
      <c r="E1320" s="20">
        <f>IFERROR(Calc!E213,"")</f>
        <v/>
      </c>
      <c r="F1320" s="20">
        <f>IFERROR(Calc!F213,"")</f>
        <v/>
      </c>
      <c r="G1320" s="21">
        <f>IFERROR(Calc!G213,"")</f>
        <v/>
      </c>
      <c r="H1320" s="21">
        <f>IFERROR(Calc!H213,"")</f>
        <v/>
      </c>
      <c r="I1320" s="21">
        <f>IFERROR(Calc!I213,"")</f>
        <v/>
      </c>
      <c r="J1320" s="17">
        <f>IFERROR(Calc!J213,"")</f>
        <v/>
      </c>
      <c r="K1320" s="21">
        <f>IFERROR(Calc!K213,"")</f>
        <v/>
      </c>
      <c r="L1320" s="20">
        <f>IFERROR(Calc!L213,"")</f>
        <v/>
      </c>
      <c r="M1320" s="17">
        <f>IFERROR(Calc!M213,"")</f>
        <v/>
      </c>
      <c r="N1320" s="17">
        <f>IFERROR(Calc!N213,"")</f>
        <v/>
      </c>
      <c r="O1320" s="17">
        <f>IFERROR(Calc!O213,"")</f>
        <v/>
      </c>
      <c r="P1320" s="17">
        <f>IFERROR(Calc!P213,"")</f>
        <v/>
      </c>
      <c r="Q1320" s="21">
        <f>IFERROR(Calc!Q213,"")</f>
        <v/>
      </c>
      <c r="R1320" s="21">
        <f>IFERROR(Calc!R213,"")</f>
        <v/>
      </c>
      <c r="S1320" s="21">
        <f>IFERROR(Calc!S213,"")</f>
        <v/>
      </c>
      <c r="T1320" s="21">
        <f>IFERROR(Calc!T213,"")</f>
        <v/>
      </c>
      <c r="U1320" s="21">
        <f>IFERROR(Calc!U213,"")</f>
        <v/>
      </c>
      <c r="V1320" s="21">
        <f>IFERROR(Calc!V213,"")</f>
        <v/>
      </c>
      <c r="W1320" s="5" t="n"/>
      <c r="X1320" s="5" t="n"/>
      <c r="Y1320" s="5" t="n"/>
      <c r="Z1320" s="5" t="n"/>
      <c r="AA1320" s="5" t="n"/>
      <c r="AB1320" s="5" t="n"/>
    </row>
    <row r="1321" ht="15.75" customHeight="1" s="79">
      <c r="A1321" s="5" t="n"/>
      <c r="B1321" s="5" t="n"/>
      <c r="C1321" s="5" t="n"/>
      <c r="D1321" s="5" t="n"/>
      <c r="E1321" s="5" t="n"/>
      <c r="F1321" s="5" t="n"/>
      <c r="G1321" s="5" t="n"/>
      <c r="H1321" s="5" t="n"/>
      <c r="I1321" s="5" t="n"/>
      <c r="J1321" s="5" t="n"/>
      <c r="K1321" s="5" t="n"/>
      <c r="L1321" s="5" t="n"/>
      <c r="M1321" s="5" t="n"/>
      <c r="N1321" s="5" t="n"/>
      <c r="O1321" s="5" t="n"/>
      <c r="P1321" s="5" t="n"/>
      <c r="Q1321" s="5" t="n"/>
      <c r="R1321" s="5" t="n"/>
      <c r="S1321" s="5" t="n"/>
      <c r="T1321" s="5" t="n"/>
      <c r="U1321" s="5" t="n"/>
      <c r="V1321" s="5" t="n"/>
      <c r="W1321" s="5" t="n"/>
      <c r="X1321" s="5" t="n"/>
      <c r="Y1321" s="5" t="n"/>
      <c r="Z1321" s="5" t="n"/>
      <c r="AA1321" s="5" t="n"/>
      <c r="AB1321" s="5" t="n"/>
    </row>
    <row r="1322" ht="15.75" customHeight="1" s="79">
      <c r="A1322" s="5" t="n"/>
      <c r="B1322" s="5" t="n"/>
      <c r="C1322" s="5" t="n"/>
      <c r="D1322" s="5" t="n"/>
      <c r="E1322" s="5" t="n"/>
      <c r="F1322" s="5" t="n"/>
      <c r="G1322" s="5" t="n"/>
      <c r="H1322" s="5" t="n"/>
      <c r="I1322" s="5" t="n"/>
      <c r="J1322" s="5" t="n"/>
      <c r="K1322" s="5" t="n"/>
      <c r="L1322" s="5" t="n"/>
      <c r="M1322" s="5" t="n"/>
      <c r="N1322" s="5" t="n"/>
      <c r="O1322" s="5" t="n"/>
      <c r="P1322" s="5" t="n"/>
      <c r="Q1322" s="5" t="n"/>
      <c r="R1322" s="5" t="n"/>
      <c r="S1322" s="5" t="n"/>
      <c r="T1322" s="5" t="n"/>
      <c r="U1322" s="5" t="n"/>
      <c r="V1322" s="5" t="n"/>
      <c r="W1322" s="5" t="n"/>
      <c r="X1322" s="5" t="n"/>
      <c r="Y1322" s="5" t="n"/>
      <c r="Z1322" s="5" t="n"/>
      <c r="AA1322" s="5" t="n"/>
      <c r="AB1322" s="5" t="n"/>
    </row>
    <row r="1323" ht="15.75" customHeight="1" s="79">
      <c r="A1323" s="5" t="n"/>
      <c r="B1323" s="5" t="n"/>
      <c r="C1323" s="5" t="n"/>
      <c r="D1323" s="5" t="n"/>
      <c r="E1323" s="5" t="n"/>
      <c r="F1323" s="5" t="n"/>
      <c r="G1323" s="5" t="n"/>
      <c r="H1323" s="5" t="n"/>
      <c r="I1323" s="5" t="n"/>
      <c r="J1323" s="5" t="n"/>
      <c r="K1323" s="5" t="n"/>
      <c r="L1323" s="5" t="n"/>
      <c r="M1323" s="5" t="n"/>
      <c r="N1323" s="5" t="n"/>
      <c r="O1323" s="5" t="n"/>
      <c r="P1323" s="5" t="n"/>
      <c r="Q1323" s="5" t="n"/>
      <c r="R1323" s="5" t="n"/>
      <c r="S1323" s="5" t="n"/>
      <c r="T1323" s="5" t="n"/>
      <c r="U1323" s="5" t="n"/>
      <c r="V1323" s="5" t="n"/>
      <c r="W1323" s="5" t="n"/>
      <c r="X1323" s="5" t="n"/>
      <c r="Y1323" s="5" t="n"/>
      <c r="Z1323" s="5" t="n"/>
      <c r="AA1323" s="5" t="n"/>
      <c r="AB1323" s="5" t="n"/>
    </row>
    <row r="1324" ht="15.75" customHeight="1" s="79">
      <c r="A1324" s="43" t="inlineStr">
        <is>
          <t>ADVANCE TO REVENUE</t>
        </is>
      </c>
      <c r="B1324" s="5" t="n"/>
      <c r="C1324" s="5" t="n"/>
      <c r="D1324" s="5" t="n"/>
      <c r="E1324" s="5" t="n"/>
      <c r="F1324" s="5" t="n"/>
      <c r="G1324" s="5" t="n"/>
      <c r="H1324" s="5" t="n"/>
      <c r="I1324" s="5" t="n"/>
      <c r="J1324" s="5" t="n"/>
      <c r="K1324" s="5" t="n"/>
      <c r="L1324" s="5" t="n"/>
      <c r="M1324" s="5" t="n"/>
      <c r="N1324" s="5" t="n"/>
      <c r="O1324" s="5" t="n"/>
      <c r="P1324" s="5" t="n"/>
      <c r="Q1324" s="5" t="n"/>
      <c r="R1324" s="5" t="n"/>
      <c r="S1324" s="5" t="n"/>
      <c r="T1324" s="5" t="n"/>
      <c r="U1324" s="5" t="n"/>
      <c r="V1324" s="5" t="n"/>
      <c r="W1324" s="5" t="n"/>
      <c r="X1324" s="5" t="n"/>
      <c r="Y1324" s="5" t="n"/>
      <c r="Z1324" s="5" t="n"/>
      <c r="AA1324" s="5" t="n"/>
      <c r="AB1324" s="5" t="n"/>
    </row>
    <row r="1325" ht="66" customHeight="1" s="79">
      <c r="A1325" s="72" t="inlineStr">
        <is>
          <t>Under 0.30x monthly revenue is where the book made its money and recovered best when deals went bad. Between 0.30x and 0.50x it broke even. Above 0.50x it worked only when nothing went wrong, and when something did, almost nothing came back. Cap at 0.50x, prefer under 0.30x, (157 deals don't have reveneue attatched to it so numbers will be inaccurate).</t>
        </is>
      </c>
      <c r="R1325" s="72" t="n"/>
      <c r="S1325" s="72" t="n"/>
      <c r="T1325" s="72" t="n"/>
      <c r="U1325" s="72" t="n"/>
      <c r="V1325" s="72" t="n"/>
      <c r="W1325" s="72" t="n"/>
      <c r="X1325" s="72" t="n"/>
      <c r="Y1325" s="72" t="n"/>
      <c r="Z1325" s="72" t="n"/>
      <c r="AA1325" s="72" t="n"/>
      <c r="AB1325" s="5" t="n"/>
    </row>
    <row r="1326" ht="15.75" customHeight="1" s="79">
      <c r="A1326" s="5" t="n"/>
      <c r="B1326" s="5" t="n"/>
      <c r="C1326" s="5" t="n"/>
      <c r="D1326" s="5" t="n"/>
      <c r="E1326" s="5" t="n"/>
      <c r="F1326" s="5" t="n"/>
      <c r="G1326" s="5" t="n"/>
      <c r="H1326" s="5" t="n"/>
      <c r="I1326" s="5" t="n"/>
      <c r="J1326" s="5" t="n"/>
      <c r="K1326" s="5" t="n"/>
      <c r="L1326" s="5" t="n"/>
      <c r="M1326" s="5" t="n"/>
      <c r="N1326" s="5" t="n"/>
      <c r="O1326" s="5" t="n"/>
      <c r="P1326" s="5" t="n"/>
      <c r="Q1326" s="5" t="n"/>
      <c r="R1326" s="5" t="n"/>
      <c r="S1326" s="5" t="n"/>
      <c r="T1326" s="5" t="n"/>
      <c r="U1326" s="5" t="n"/>
      <c r="V1326" s="5" t="n"/>
      <c r="W1326" s="5" t="n"/>
      <c r="X1326" s="5" t="n"/>
      <c r="Y1326" s="5" t="n"/>
      <c r="Z1326" s="5" t="n"/>
      <c r="AA1326" s="5" t="n"/>
      <c r="AB1326" s="5" t="n"/>
    </row>
    <row r="1327" ht="15.75" customHeight="1" s="79">
      <c r="A1327" s="5" t="n"/>
      <c r="B1327" s="5" t="n"/>
      <c r="C1327" s="5" t="n"/>
      <c r="D1327" s="5" t="n"/>
      <c r="E1327" s="5" t="n"/>
      <c r="F1327" s="5" t="n"/>
      <c r="G1327" s="5" t="n"/>
      <c r="H1327" s="5" t="n"/>
      <c r="I1327" s="5" t="n"/>
      <c r="J1327" s="5" t="n"/>
      <c r="K1327" s="5" t="n"/>
      <c r="L1327" s="5" t="n"/>
      <c r="M1327" s="5" t="n"/>
      <c r="N1327" s="5" t="n"/>
      <c r="O1327" s="5" t="n"/>
      <c r="P1327" s="5" t="n"/>
      <c r="Q1327" s="5" t="n"/>
      <c r="R1327" s="5" t="n"/>
      <c r="S1327" s="5" t="n"/>
      <c r="T1327" s="5" t="n"/>
      <c r="U1327" s="5" t="n"/>
      <c r="V1327" s="5" t="n"/>
      <c r="W1327" s="5" t="n"/>
      <c r="X1327" s="5" t="n"/>
      <c r="Y1327" s="5" t="n"/>
      <c r="Z1327" s="5" t="n"/>
      <c r="AA1327" s="5" t="n"/>
      <c r="AB1327" s="5" t="n"/>
    </row>
    <row r="1328" ht="15.75" customHeight="1" s="79">
      <c r="A1328" s="5" t="n"/>
      <c r="B1328" s="5" t="n"/>
      <c r="C1328" s="5" t="n"/>
      <c r="D1328" s="5" t="n"/>
      <c r="E1328" s="5" t="n"/>
      <c r="F1328" s="5" t="n"/>
      <c r="G1328" s="5" t="n"/>
      <c r="H1328" s="5" t="n"/>
      <c r="I1328" s="5" t="n"/>
      <c r="J1328" s="5" t="n"/>
      <c r="K1328" s="5" t="n"/>
      <c r="L1328" s="5" t="n"/>
      <c r="M1328" s="5" t="n"/>
      <c r="N1328" s="5" t="n"/>
      <c r="O1328" s="5" t="n"/>
      <c r="P1328" s="5" t="n"/>
      <c r="Q1328" s="5" t="n"/>
      <c r="R1328" s="5" t="n"/>
      <c r="S1328" s="5" t="n"/>
      <c r="T1328" s="5" t="n"/>
      <c r="U1328" s="5" t="n"/>
      <c r="V1328" s="5" t="n"/>
      <c r="W1328" s="5" t="n"/>
      <c r="X1328" s="5" t="n"/>
      <c r="Y1328" s="5" t="n"/>
      <c r="Z1328" s="5" t="n"/>
      <c r="AA1328" s="5" t="n"/>
      <c r="AB1328" s="5" t="n"/>
    </row>
    <row r="1329" ht="15.75" customHeight="1" s="79">
      <c r="A1329" s="5" t="n"/>
      <c r="B1329" s="5" t="n"/>
      <c r="C1329" s="5" t="n"/>
      <c r="D1329" s="5" t="n"/>
      <c r="E1329" s="5" t="n"/>
      <c r="F1329" s="5" t="n"/>
      <c r="G1329" s="5" t="n"/>
      <c r="H1329" s="5" t="n"/>
      <c r="I1329" s="5" t="n"/>
      <c r="J1329" s="5" t="n"/>
      <c r="K1329" s="5" t="n"/>
      <c r="L1329" s="5" t="n"/>
      <c r="M1329" s="5" t="n"/>
      <c r="N1329" s="5" t="n"/>
      <c r="O1329" s="5" t="n"/>
      <c r="P1329" s="5" t="n"/>
      <c r="Q1329" s="5" t="n"/>
      <c r="R1329" s="5" t="n"/>
      <c r="S1329" s="5" t="n"/>
      <c r="T1329" s="5" t="n"/>
      <c r="U1329" s="5" t="n"/>
      <c r="V1329" s="5" t="n"/>
      <c r="W1329" s="5" t="n"/>
      <c r="X1329" s="5" t="n"/>
      <c r="Y1329" s="5" t="n"/>
      <c r="Z1329" s="5" t="n"/>
      <c r="AA1329" s="5" t="n"/>
      <c r="AB1329" s="5" t="n"/>
    </row>
    <row r="1330" ht="15.75" customHeight="1" s="79">
      <c r="A1330" s="5" t="n"/>
      <c r="B1330" s="5" t="n"/>
      <c r="C1330" s="5" t="n"/>
      <c r="D1330" s="5" t="n"/>
      <c r="E1330" s="5" t="n"/>
      <c r="F1330" s="5" t="n"/>
      <c r="G1330" s="5" t="n"/>
      <c r="H1330" s="5" t="n"/>
      <c r="I1330" s="5" t="n"/>
      <c r="J1330" s="5" t="n"/>
      <c r="K1330" s="5" t="n"/>
      <c r="L1330" s="5" t="n"/>
      <c r="M1330" s="5" t="n"/>
      <c r="N1330" s="5" t="n"/>
      <c r="O1330" s="5" t="n"/>
      <c r="P1330" s="5" t="n"/>
      <c r="Q1330" s="5" t="n"/>
      <c r="R1330" s="5" t="n"/>
      <c r="S1330" s="5" t="n"/>
      <c r="T1330" s="5" t="n"/>
      <c r="U1330" s="5" t="n"/>
      <c r="V1330" s="5" t="n"/>
      <c r="W1330" s="5" t="n"/>
      <c r="X1330" s="5" t="n"/>
      <c r="Y1330" s="5" t="n"/>
      <c r="Z1330" s="5" t="n"/>
      <c r="AA1330" s="5" t="n"/>
      <c r="AB1330" s="5" t="n"/>
    </row>
    <row r="1331" ht="15.75" customHeight="1" s="79">
      <c r="A1331" s="5" t="n"/>
      <c r="B1331" s="5" t="n"/>
      <c r="C1331" s="5" t="n"/>
      <c r="D1331" s="5" t="n"/>
      <c r="E1331" s="5" t="n"/>
      <c r="F1331" s="5" t="n"/>
      <c r="G1331" s="5" t="n"/>
      <c r="H1331" s="5" t="n"/>
      <c r="I1331" s="5" t="n"/>
      <c r="J1331" s="5" t="n"/>
      <c r="K1331" s="5" t="n"/>
      <c r="L1331" s="5" t="n"/>
      <c r="M1331" s="5" t="n"/>
      <c r="N1331" s="5" t="n"/>
      <c r="O1331" s="5" t="n"/>
      <c r="P1331" s="5" t="n"/>
      <c r="Q1331" s="5" t="n"/>
      <c r="R1331" s="5" t="n"/>
      <c r="S1331" s="5" t="n"/>
      <c r="T1331" s="5" t="n"/>
      <c r="U1331" s="5" t="n"/>
      <c r="V1331" s="5" t="n"/>
      <c r="W1331" s="5" t="n"/>
      <c r="X1331" s="5" t="n"/>
      <c r="Y1331" s="5" t="n"/>
      <c r="Z1331" s="5" t="n"/>
      <c r="AA1331" s="5" t="n"/>
      <c r="AB1331" s="5" t="n"/>
    </row>
    <row r="1332" ht="15.75" customHeight="1" s="79">
      <c r="A1332" s="5" t="n"/>
      <c r="B1332" s="5" t="n"/>
      <c r="C1332" s="5" t="n"/>
      <c r="D1332" s="5" t="n"/>
      <c r="E1332" s="5" t="n"/>
      <c r="F1332" s="5" t="n"/>
      <c r="G1332" s="5" t="n"/>
      <c r="H1332" s="5" t="n"/>
      <c r="I1332" s="5" t="n"/>
      <c r="J1332" s="5" t="n"/>
      <c r="K1332" s="5" t="n"/>
      <c r="L1332" s="5" t="n"/>
      <c r="M1332" s="5" t="n"/>
      <c r="N1332" s="5" t="n"/>
      <c r="O1332" s="5" t="n"/>
      <c r="P1332" s="5" t="n"/>
      <c r="Q1332" s="5" t="n"/>
      <c r="R1332" s="5" t="n"/>
      <c r="S1332" s="5" t="n"/>
      <c r="T1332" s="5" t="n"/>
      <c r="U1332" s="5" t="n"/>
      <c r="V1332" s="5" t="n"/>
      <c r="W1332" s="5" t="n"/>
      <c r="X1332" s="5" t="n"/>
      <c r="Y1332" s="5" t="n"/>
      <c r="Z1332" s="5" t="n"/>
      <c r="AA1332" s="5" t="n"/>
      <c r="AB1332" s="5" t="n"/>
    </row>
    <row r="1333" ht="15.75" customHeight="1" s="79">
      <c r="A1333" s="5" t="n"/>
      <c r="B1333" s="5" t="n"/>
      <c r="C1333" s="5" t="n"/>
      <c r="D1333" s="5" t="n"/>
      <c r="E1333" s="5" t="n"/>
      <c r="F1333" s="5" t="n"/>
      <c r="G1333" s="5" t="n"/>
      <c r="H1333" s="5" t="n"/>
      <c r="I1333" s="5" t="n"/>
      <c r="J1333" s="5" t="n"/>
      <c r="K1333" s="5" t="n"/>
      <c r="L1333" s="5" t="n"/>
      <c r="M1333" s="5" t="n"/>
      <c r="N1333" s="5" t="n"/>
      <c r="O1333" s="5" t="n"/>
      <c r="P1333" s="5" t="n"/>
      <c r="Q1333" s="5" t="n"/>
      <c r="R1333" s="5" t="n"/>
      <c r="S1333" s="5" t="n"/>
      <c r="T1333" s="5" t="n"/>
      <c r="U1333" s="5" t="n"/>
      <c r="V1333" s="5" t="n"/>
      <c r="W1333" s="5" t="n"/>
      <c r="X1333" s="5" t="n"/>
      <c r="Y1333" s="5" t="n"/>
      <c r="Z1333" s="5" t="n"/>
      <c r="AA1333" s="5" t="n"/>
      <c r="AB1333" s="5" t="n"/>
    </row>
    <row r="1334" ht="15.75" customHeight="1" s="79">
      <c r="A1334" s="5" t="n"/>
      <c r="B1334" s="5" t="n"/>
      <c r="C1334" s="5" t="n"/>
      <c r="D1334" s="5" t="n"/>
      <c r="E1334" s="5" t="n"/>
      <c r="F1334" s="5" t="n"/>
      <c r="G1334" s="5" t="n"/>
      <c r="H1334" s="5" t="n"/>
      <c r="I1334" s="5" t="n"/>
      <c r="J1334" s="5" t="n"/>
      <c r="K1334" s="5" t="n"/>
      <c r="L1334" s="5" t="n"/>
      <c r="M1334" s="5" t="n"/>
      <c r="N1334" s="5" t="n"/>
      <c r="O1334" s="5" t="n"/>
      <c r="P1334" s="5" t="n"/>
      <c r="Q1334" s="5" t="n"/>
      <c r="R1334" s="5" t="n"/>
      <c r="S1334" s="5" t="n"/>
      <c r="T1334" s="5" t="n"/>
      <c r="U1334" s="5" t="n"/>
      <c r="V1334" s="5" t="n"/>
      <c r="W1334" s="5" t="n"/>
      <c r="X1334" s="5" t="n"/>
      <c r="Y1334" s="5" t="n"/>
      <c r="Z1334" s="5" t="n"/>
      <c r="AA1334" s="5" t="n"/>
      <c r="AB1334" s="5" t="n"/>
    </row>
    <row r="1335" ht="15.75" customHeight="1" s="79">
      <c r="A1335" s="5" t="n"/>
      <c r="B1335" s="5" t="n"/>
      <c r="C1335" s="5" t="n"/>
      <c r="D1335" s="5" t="n"/>
      <c r="E1335" s="5" t="n"/>
      <c r="F1335" s="5" t="n"/>
      <c r="G1335" s="5" t="n"/>
      <c r="H1335" s="5" t="n"/>
      <c r="I1335" s="5" t="n"/>
      <c r="J1335" s="5" t="n"/>
      <c r="K1335" s="5" t="n"/>
      <c r="L1335" s="5" t="n"/>
      <c r="M1335" s="5" t="n"/>
      <c r="N1335" s="5" t="n"/>
      <c r="O1335" s="5" t="n"/>
      <c r="P1335" s="5" t="n"/>
      <c r="Q1335" s="5" t="n"/>
      <c r="R1335" s="5" t="n"/>
      <c r="S1335" s="5" t="n"/>
      <c r="T1335" s="5" t="n"/>
      <c r="U1335" s="5" t="n"/>
      <c r="V1335" s="5" t="n"/>
      <c r="W1335" s="5" t="n"/>
      <c r="X1335" s="5" t="n"/>
      <c r="Y1335" s="5" t="n"/>
      <c r="Z1335" s="5" t="n"/>
      <c r="AA1335" s="5" t="n"/>
      <c r="AB1335" s="5" t="n"/>
    </row>
    <row r="1336" ht="15.75" customHeight="1" s="79">
      <c r="A1336" s="5" t="n"/>
      <c r="B1336" s="5" t="n"/>
      <c r="C1336" s="5" t="n"/>
      <c r="D1336" s="5" t="n"/>
      <c r="E1336" s="5" t="n"/>
      <c r="F1336" s="5" t="n"/>
      <c r="G1336" s="5" t="n"/>
      <c r="H1336" s="5" t="n"/>
      <c r="I1336" s="5" t="n"/>
      <c r="J1336" s="5" t="n"/>
      <c r="K1336" s="5" t="n"/>
      <c r="L1336" s="5" t="n"/>
      <c r="M1336" s="5" t="n"/>
      <c r="N1336" s="5" t="n"/>
      <c r="O1336" s="5" t="n"/>
      <c r="P1336" s="5" t="n"/>
      <c r="Q1336" s="5" t="n"/>
      <c r="R1336" s="5" t="n"/>
      <c r="S1336" s="5" t="n"/>
      <c r="T1336" s="5" t="n"/>
      <c r="U1336" s="5" t="n"/>
      <c r="V1336" s="5" t="n"/>
      <c r="W1336" s="5" t="n"/>
      <c r="X1336" s="5" t="n"/>
      <c r="Y1336" s="5" t="n"/>
      <c r="Z1336" s="5" t="n"/>
      <c r="AA1336" s="5" t="n"/>
      <c r="AB1336" s="5" t="n"/>
    </row>
    <row r="1337" ht="15.75" customHeight="1" s="79">
      <c r="A1337" s="5" t="n"/>
      <c r="B1337" s="5" t="n"/>
      <c r="C1337" s="5" t="n"/>
      <c r="D1337" s="5" t="n"/>
      <c r="E1337" s="5" t="n"/>
      <c r="F1337" s="5" t="n"/>
      <c r="G1337" s="5" t="n"/>
      <c r="H1337" s="5" t="n"/>
      <c r="I1337" s="5" t="n"/>
      <c r="J1337" s="5" t="n"/>
      <c r="K1337" s="5" t="n"/>
      <c r="L1337" s="5" t="n"/>
      <c r="M1337" s="5" t="n"/>
      <c r="N1337" s="5" t="n"/>
      <c r="O1337" s="5" t="n"/>
      <c r="P1337" s="5" t="n"/>
      <c r="Q1337" s="5" t="n"/>
      <c r="R1337" s="5" t="n"/>
      <c r="S1337" s="5" t="n"/>
      <c r="T1337" s="5" t="n"/>
      <c r="U1337" s="5" t="n"/>
      <c r="V1337" s="5" t="n"/>
      <c r="W1337" s="5" t="n"/>
      <c r="X1337" s="5" t="n"/>
      <c r="Y1337" s="5" t="n"/>
      <c r="Z1337" s="5" t="n"/>
      <c r="AA1337" s="5" t="n"/>
      <c r="AB1337" s="5" t="n"/>
    </row>
    <row r="1338" ht="15.75" customHeight="1" s="79">
      <c r="A1338" s="5" t="n"/>
      <c r="B1338" s="5" t="n"/>
      <c r="C1338" s="5" t="n"/>
      <c r="D1338" s="5" t="n"/>
      <c r="E1338" s="5" t="n"/>
      <c r="F1338" s="5" t="n"/>
      <c r="G1338" s="5" t="n"/>
      <c r="H1338" s="5" t="n"/>
      <c r="I1338" s="5" t="n"/>
      <c r="J1338" s="5" t="n"/>
      <c r="K1338" s="5" t="n"/>
      <c r="L1338" s="5" t="n"/>
      <c r="M1338" s="5" t="n"/>
      <c r="N1338" s="5" t="n"/>
      <c r="O1338" s="5" t="n"/>
      <c r="P1338" s="5" t="n"/>
      <c r="Q1338" s="5" t="n"/>
      <c r="R1338" s="5" t="n"/>
      <c r="S1338" s="5" t="n"/>
      <c r="T1338" s="5" t="n"/>
      <c r="U1338" s="5" t="n"/>
      <c r="V1338" s="5" t="n"/>
      <c r="W1338" s="5" t="n"/>
      <c r="X1338" s="5" t="n"/>
      <c r="Y1338" s="5" t="n"/>
      <c r="Z1338" s="5" t="n"/>
      <c r="AA1338" s="5" t="n"/>
      <c r="AB1338" s="5" t="n"/>
    </row>
    <row r="1339" ht="15.75" customHeight="1" s="79">
      <c r="A1339" s="5" t="n"/>
      <c r="B1339" s="5" t="n"/>
      <c r="C1339" s="5" t="n"/>
      <c r="D1339" s="5" t="n"/>
      <c r="E1339" s="5" t="n"/>
      <c r="F1339" s="5" t="n"/>
      <c r="G1339" s="5" t="n"/>
      <c r="H1339" s="5" t="n"/>
      <c r="I1339" s="5" t="n"/>
      <c r="J1339" s="5" t="n"/>
      <c r="K1339" s="5" t="n"/>
      <c r="L1339" s="5" t="n"/>
      <c r="M1339" s="5" t="n"/>
      <c r="N1339" s="5" t="n"/>
      <c r="O1339" s="5" t="n"/>
      <c r="P1339" s="5" t="n"/>
      <c r="Q1339" s="5" t="n"/>
      <c r="R1339" s="5" t="n"/>
      <c r="S1339" s="5" t="n"/>
      <c r="T1339" s="5" t="n"/>
      <c r="U1339" s="5" t="n"/>
      <c r="V1339" s="5" t="n"/>
      <c r="W1339" s="5" t="n"/>
      <c r="X1339" s="5" t="n"/>
      <c r="Y1339" s="5" t="n"/>
      <c r="Z1339" s="5" t="n"/>
      <c r="AA1339" s="5" t="n"/>
      <c r="AB1339" s="5" t="n"/>
    </row>
    <row r="1340" ht="15.75" customHeight="1" s="79">
      <c r="A1340" s="5" t="n"/>
      <c r="B1340" s="5" t="n"/>
      <c r="C1340" s="5" t="n"/>
      <c r="D1340" s="5" t="n"/>
      <c r="E1340" s="5" t="n"/>
      <c r="F1340" s="5" t="n"/>
      <c r="G1340" s="5" t="n"/>
      <c r="H1340" s="5" t="n"/>
      <c r="I1340" s="5" t="n"/>
      <c r="J1340" s="5" t="n"/>
      <c r="K1340" s="5" t="n"/>
      <c r="L1340" s="5" t="n"/>
      <c r="M1340" s="5" t="n"/>
      <c r="N1340" s="5" t="n"/>
      <c r="O1340" s="5" t="n"/>
      <c r="P1340" s="5" t="n"/>
      <c r="Q1340" s="5" t="n"/>
      <c r="R1340" s="5" t="n"/>
      <c r="S1340" s="5" t="n"/>
      <c r="T1340" s="5" t="n"/>
      <c r="U1340" s="5" t="n"/>
      <c r="V1340" s="5" t="n"/>
      <c r="W1340" s="5" t="n"/>
      <c r="X1340" s="5" t="n"/>
      <c r="Y1340" s="5" t="n"/>
      <c r="Z1340" s="5" t="n"/>
      <c r="AA1340" s="5" t="n"/>
      <c r="AB1340" s="5" t="n"/>
    </row>
    <row r="1341" ht="15.75" customHeight="1" s="79">
      <c r="A1341" s="5" t="n"/>
      <c r="B1341" s="5" t="n"/>
      <c r="C1341" s="5" t="n"/>
      <c r="D1341" s="5" t="n"/>
      <c r="E1341" s="5" t="n"/>
      <c r="F1341" s="5" t="n"/>
      <c r="G1341" s="5" t="n"/>
      <c r="H1341" s="5" t="n"/>
      <c r="I1341" s="5" t="n"/>
      <c r="J1341" s="5" t="n"/>
      <c r="K1341" s="5" t="n"/>
      <c r="L1341" s="5" t="n"/>
      <c r="M1341" s="5" t="n"/>
      <c r="N1341" s="5" t="n"/>
      <c r="O1341" s="5" t="n"/>
      <c r="P1341" s="5" t="n"/>
      <c r="Q1341" s="5" t="n"/>
      <c r="R1341" s="5" t="n"/>
      <c r="S1341" s="5" t="n"/>
      <c r="T1341" s="5" t="n"/>
      <c r="U1341" s="5" t="n"/>
      <c r="V1341" s="5" t="n"/>
      <c r="W1341" s="5" t="n"/>
      <c r="X1341" s="5" t="n"/>
      <c r="Y1341" s="5" t="n"/>
      <c r="Z1341" s="5" t="n"/>
      <c r="AA1341" s="5" t="n"/>
      <c r="AB1341" s="5" t="n"/>
    </row>
    <row r="1342" ht="15.75" customHeight="1" s="79">
      <c r="A1342" s="5" t="n"/>
      <c r="B1342" s="5" t="n"/>
      <c r="C1342" s="5" t="n"/>
      <c r="D1342" s="5" t="n"/>
      <c r="E1342" s="5" t="n"/>
      <c r="F1342" s="5" t="n"/>
      <c r="G1342" s="5" t="n"/>
      <c r="H1342" s="5" t="n"/>
      <c r="I1342" s="5" t="n"/>
      <c r="J1342" s="5" t="n"/>
      <c r="K1342" s="5" t="n"/>
      <c r="L1342" s="5" t="n"/>
      <c r="M1342" s="5" t="n"/>
      <c r="N1342" s="5" t="n"/>
      <c r="O1342" s="5" t="n"/>
      <c r="P1342" s="5" t="n"/>
      <c r="Q1342" s="5" t="n"/>
      <c r="R1342" s="5" t="n"/>
      <c r="S1342" s="5" t="n"/>
      <c r="T1342" s="5" t="n"/>
      <c r="U1342" s="5" t="n"/>
      <c r="V1342" s="5" t="n"/>
      <c r="W1342" s="5" t="n"/>
      <c r="X1342" s="5" t="n"/>
      <c r="Y1342" s="5" t="n"/>
      <c r="Z1342" s="5" t="n"/>
      <c r="AA1342" s="5" t="n"/>
      <c r="AB1342" s="5" t="n"/>
    </row>
    <row r="1343" ht="15.75" customHeight="1" s="79">
      <c r="A1343" s="5" t="n"/>
      <c r="B1343" s="5" t="n"/>
      <c r="C1343" s="5" t="n"/>
      <c r="D1343" s="5" t="n"/>
      <c r="E1343" s="5" t="n"/>
      <c r="F1343" s="5" t="n"/>
      <c r="G1343" s="5" t="n"/>
      <c r="H1343" s="5" t="n"/>
      <c r="I1343" s="5" t="n"/>
      <c r="J1343" s="5" t="n"/>
      <c r="K1343" s="5" t="n"/>
      <c r="L1343" s="5" t="n"/>
      <c r="M1343" s="5" t="n"/>
      <c r="N1343" s="5" t="n"/>
      <c r="O1343" s="5" t="n"/>
      <c r="P1343" s="5" t="n"/>
      <c r="Q1343" s="5" t="n"/>
      <c r="R1343" s="5" t="n"/>
      <c r="S1343" s="5" t="n"/>
      <c r="T1343" s="5" t="n"/>
      <c r="U1343" s="5" t="n"/>
      <c r="V1343" s="5" t="n"/>
      <c r="W1343" s="5" t="n"/>
      <c r="X1343" s="5" t="n"/>
      <c r="Y1343" s="5" t="n"/>
      <c r="Z1343" s="5" t="n"/>
      <c r="AA1343" s="5" t="n"/>
      <c r="AB1343" s="5" t="n"/>
    </row>
    <row r="1344" ht="15.75" customHeight="1" s="79">
      <c r="A1344" s="5" t="n"/>
      <c r="B1344" s="5" t="n"/>
      <c r="C1344" s="5" t="n"/>
      <c r="D1344" s="5" t="n"/>
      <c r="E1344" s="5" t="n"/>
      <c r="F1344" s="5" t="n"/>
      <c r="G1344" s="5" t="n"/>
      <c r="H1344" s="5" t="n"/>
      <c r="I1344" s="5" t="n"/>
      <c r="J1344" s="5" t="n"/>
      <c r="K1344" s="5" t="n"/>
      <c r="L1344" s="5" t="n"/>
      <c r="M1344" s="5" t="n"/>
      <c r="N1344" s="5" t="n"/>
      <c r="O1344" s="5" t="n"/>
      <c r="P1344" s="5" t="n"/>
      <c r="Q1344" s="5" t="n"/>
      <c r="R1344" s="5" t="n"/>
      <c r="S1344" s="5" t="n"/>
      <c r="T1344" s="5" t="n"/>
      <c r="U1344" s="5" t="n"/>
      <c r="V1344" s="5" t="n"/>
      <c r="W1344" s="5" t="n"/>
      <c r="X1344" s="5" t="n"/>
      <c r="Y1344" s="5" t="n"/>
      <c r="Z1344" s="5" t="n"/>
      <c r="AA1344" s="5" t="n"/>
      <c r="AB1344" s="5" t="n"/>
    </row>
    <row r="1345" ht="15.75" customHeight="1" s="79">
      <c r="A1345" s="5" t="n"/>
      <c r="B1345" s="5" t="n"/>
      <c r="C1345" s="5" t="n"/>
      <c r="D1345" s="5" t="n"/>
      <c r="E1345" s="5" t="n"/>
      <c r="F1345" s="5" t="n"/>
      <c r="G1345" s="5" t="n"/>
      <c r="H1345" s="5" t="n"/>
      <c r="I1345" s="5" t="n"/>
      <c r="J1345" s="5" t="n"/>
      <c r="K1345" s="5" t="n"/>
      <c r="L1345" s="5" t="n"/>
      <c r="M1345" s="5" t="n"/>
      <c r="N1345" s="5" t="n"/>
      <c r="O1345" s="5" t="n"/>
      <c r="P1345" s="5" t="n"/>
      <c r="Q1345" s="5" t="n"/>
      <c r="R1345" s="5" t="n"/>
      <c r="S1345" s="5" t="n"/>
      <c r="T1345" s="5" t="n"/>
      <c r="U1345" s="5" t="n"/>
      <c r="V1345" s="5" t="n"/>
      <c r="W1345" s="5" t="n"/>
      <c r="X1345" s="5" t="n"/>
      <c r="Y1345" s="5" t="n"/>
      <c r="Z1345" s="5" t="n"/>
      <c r="AA1345" s="5" t="n"/>
      <c r="AB1345" s="5" t="n"/>
    </row>
    <row r="1346" ht="15.75" customHeight="1" s="79">
      <c r="A1346" s="5" t="n"/>
      <c r="B1346" s="5" t="n"/>
      <c r="C1346" s="5" t="n"/>
      <c r="D1346" s="5" t="n"/>
      <c r="E1346" s="5" t="n"/>
      <c r="F1346" s="5" t="n"/>
      <c r="G1346" s="5" t="n"/>
      <c r="H1346" s="5" t="n"/>
      <c r="I1346" s="5" t="n"/>
      <c r="J1346" s="5" t="n"/>
      <c r="K1346" s="5" t="n"/>
      <c r="L1346" s="5" t="n"/>
      <c r="M1346" s="5" t="n"/>
      <c r="N1346" s="5" t="n"/>
      <c r="O1346" s="5" t="n"/>
      <c r="P1346" s="5" t="n"/>
      <c r="Q1346" s="5" t="n"/>
      <c r="R1346" s="5" t="n"/>
      <c r="S1346" s="5" t="n"/>
      <c r="T1346" s="5" t="n"/>
      <c r="U1346" s="5" t="n"/>
      <c r="V1346" s="5" t="n"/>
      <c r="W1346" s="5" t="n"/>
      <c r="X1346" s="5" t="n"/>
      <c r="Y1346" s="5" t="n"/>
      <c r="Z1346" s="5" t="n"/>
      <c r="AA1346" s="5" t="n"/>
      <c r="AB1346" s="5" t="n"/>
    </row>
    <row r="1347" ht="15.75" customHeight="1" s="79">
      <c r="A1347" s="5" t="n"/>
      <c r="B1347" s="5" t="n"/>
      <c r="C1347" s="5" t="n"/>
      <c r="D1347" s="5" t="n"/>
      <c r="E1347" s="5" t="n"/>
      <c r="F1347" s="5" t="n"/>
      <c r="G1347" s="5" t="n"/>
      <c r="H1347" s="5" t="n"/>
      <c r="I1347" s="5" t="n"/>
      <c r="J1347" s="5" t="n"/>
      <c r="K1347" s="5" t="n"/>
      <c r="L1347" s="5" t="n"/>
      <c r="M1347" s="5" t="n"/>
      <c r="N1347" s="5" t="n"/>
      <c r="O1347" s="5" t="n"/>
      <c r="P1347" s="5" t="n"/>
      <c r="Q1347" s="5" t="n"/>
      <c r="R1347" s="5" t="n"/>
      <c r="S1347" s="5" t="n"/>
      <c r="T1347" s="5" t="n"/>
      <c r="U1347" s="5" t="n"/>
      <c r="V1347" s="5" t="n"/>
      <c r="W1347" s="5" t="n"/>
      <c r="X1347" s="5" t="n"/>
      <c r="Y1347" s="5" t="n"/>
      <c r="Z1347" s="5" t="n"/>
      <c r="AA1347" s="5" t="n"/>
      <c r="AB1347" s="5" t="n"/>
    </row>
    <row r="1348" ht="15.75" customHeight="1" s="79">
      <c r="A1348" s="5" t="n"/>
      <c r="B1348" s="5" t="n"/>
      <c r="C1348" s="5" t="n"/>
      <c r="D1348" s="5" t="n"/>
      <c r="E1348" s="5" t="n"/>
      <c r="F1348" s="5" t="n"/>
      <c r="G1348" s="5" t="n"/>
      <c r="H1348" s="5" t="n"/>
      <c r="I1348" s="5" t="n"/>
      <c r="J1348" s="5" t="n"/>
      <c r="K1348" s="5" t="n"/>
      <c r="L1348" s="5" t="n"/>
      <c r="M1348" s="5" t="n"/>
      <c r="N1348" s="5" t="n"/>
      <c r="O1348" s="5" t="n"/>
      <c r="P1348" s="5" t="n"/>
      <c r="Q1348" s="5" t="n"/>
      <c r="R1348" s="5" t="n"/>
      <c r="S1348" s="5" t="n"/>
      <c r="T1348" s="5" t="n"/>
      <c r="U1348" s="5" t="n"/>
      <c r="V1348" s="5" t="n"/>
      <c r="W1348" s="5" t="n"/>
      <c r="X1348" s="5" t="n"/>
      <c r="Y1348" s="5" t="n"/>
      <c r="Z1348" s="5" t="n"/>
      <c r="AA1348" s="5" t="n"/>
      <c r="AB1348" s="5" t="n"/>
    </row>
    <row r="1349" ht="15.75" customHeight="1" s="79">
      <c r="A1349" s="5" t="n"/>
      <c r="B1349" s="5" t="n"/>
      <c r="C1349" s="5" t="n"/>
      <c r="D1349" s="5" t="n"/>
      <c r="E1349" s="5" t="n"/>
      <c r="F1349" s="5" t="n"/>
      <c r="G1349" s="5" t="n"/>
      <c r="H1349" s="5" t="n"/>
      <c r="I1349" s="5" t="n"/>
      <c r="J1349" s="5" t="n"/>
      <c r="K1349" s="5" t="n"/>
      <c r="L1349" s="5" t="n"/>
      <c r="M1349" s="5" t="n"/>
      <c r="N1349" s="5" t="n"/>
      <c r="O1349" s="5" t="n"/>
      <c r="P1349" s="5" t="n"/>
      <c r="Q1349" s="5" t="n"/>
      <c r="R1349" s="5" t="n"/>
      <c r="S1349" s="5" t="n"/>
      <c r="T1349" s="5" t="n"/>
      <c r="U1349" s="5" t="n"/>
      <c r="V1349" s="5" t="n"/>
      <c r="W1349" s="5" t="n"/>
      <c r="X1349" s="5" t="n"/>
      <c r="Y1349" s="5" t="n"/>
      <c r="Z1349" s="5" t="n"/>
      <c r="AA1349" s="5" t="n"/>
      <c r="AB1349" s="5" t="n"/>
    </row>
    <row r="1350" ht="15.75" customHeight="1" s="79">
      <c r="A1350" s="5" t="n"/>
      <c r="B1350" s="5" t="n"/>
      <c r="C1350" s="5" t="n"/>
      <c r="D1350" s="5" t="n"/>
      <c r="E1350" s="5" t="n"/>
      <c r="F1350" s="5" t="n"/>
      <c r="G1350" s="5" t="n"/>
      <c r="H1350" s="5" t="n"/>
      <c r="I1350" s="5" t="n"/>
      <c r="J1350" s="5" t="n"/>
      <c r="K1350" s="5" t="n"/>
      <c r="L1350" s="5" t="n"/>
      <c r="M1350" s="5" t="n"/>
      <c r="N1350" s="5" t="n"/>
      <c r="O1350" s="5" t="n"/>
      <c r="P1350" s="5" t="n"/>
      <c r="Q1350" s="5" t="n"/>
      <c r="R1350" s="5" t="n"/>
      <c r="S1350" s="5" t="n"/>
      <c r="T1350" s="5" t="n"/>
      <c r="U1350" s="5" t="n"/>
      <c r="V1350" s="5" t="n"/>
      <c r="W1350" s="5" t="n"/>
      <c r="X1350" s="5" t="n"/>
      <c r="Y1350" s="5" t="n"/>
      <c r="Z1350" s="5" t="n"/>
      <c r="AA1350" s="5" t="n"/>
      <c r="AB1350" s="5" t="n"/>
    </row>
    <row r="1351" ht="15.75" customHeight="1" s="79">
      <c r="A1351" s="5" t="n"/>
      <c r="B1351" s="5" t="n"/>
      <c r="C1351" s="5" t="n"/>
      <c r="D1351" s="5" t="n"/>
      <c r="E1351" s="5" t="n"/>
      <c r="F1351" s="5" t="n"/>
      <c r="G1351" s="5" t="n"/>
      <c r="H1351" s="5" t="n"/>
      <c r="I1351" s="5" t="n"/>
      <c r="J1351" s="5" t="n"/>
      <c r="K1351" s="5" t="n"/>
      <c r="L1351" s="5" t="n"/>
      <c r="M1351" s="5" t="n"/>
      <c r="N1351" s="5" t="n"/>
      <c r="O1351" s="5" t="n"/>
      <c r="P1351" s="5" t="n"/>
      <c r="Q1351" s="5" t="n"/>
      <c r="R1351" s="5" t="n"/>
      <c r="S1351" s="5" t="n"/>
      <c r="T1351" s="5" t="n"/>
      <c r="U1351" s="5" t="n"/>
      <c r="V1351" s="5" t="n"/>
      <c r="W1351" s="5" t="n"/>
      <c r="X1351" s="5" t="n"/>
      <c r="Y1351" s="5" t="n"/>
      <c r="Z1351" s="5" t="n"/>
      <c r="AA1351" s="5" t="n"/>
      <c r="AB1351" s="5" t="n"/>
    </row>
    <row r="1352" ht="15.75" customHeight="1" s="79">
      <c r="A1352" s="5" t="n"/>
      <c r="B1352" s="5" t="n"/>
      <c r="C1352" s="5" t="n"/>
      <c r="D1352" s="5" t="n"/>
      <c r="E1352" s="5" t="n"/>
      <c r="F1352" s="5" t="n"/>
      <c r="G1352" s="5" t="n"/>
      <c r="H1352" s="5" t="n"/>
      <c r="I1352" s="5" t="n"/>
      <c r="J1352" s="5" t="n"/>
      <c r="K1352" s="5" t="n"/>
      <c r="L1352" s="5" t="n"/>
      <c r="M1352" s="5" t="n"/>
      <c r="N1352" s="5" t="n"/>
      <c r="O1352" s="5" t="n"/>
      <c r="P1352" s="5" t="n"/>
      <c r="Q1352" s="5" t="n"/>
      <c r="R1352" s="5" t="n"/>
      <c r="S1352" s="5" t="n"/>
      <c r="T1352" s="5" t="n"/>
      <c r="U1352" s="5" t="n"/>
      <c r="V1352" s="5" t="n"/>
      <c r="W1352" s="5" t="n"/>
      <c r="X1352" s="5" t="n"/>
      <c r="Y1352" s="5" t="n"/>
      <c r="Z1352" s="5" t="n"/>
      <c r="AA1352" s="5" t="n"/>
      <c r="AB1352" s="5" t="n"/>
    </row>
    <row r="1353" ht="15.75" customHeight="1" s="79">
      <c r="A1353" s="5" t="n"/>
      <c r="B1353" s="5" t="n"/>
      <c r="C1353" s="5" t="n"/>
      <c r="D1353" s="5" t="n"/>
      <c r="E1353" s="5" t="n"/>
      <c r="F1353" s="5" t="n"/>
      <c r="G1353" s="5" t="n"/>
      <c r="H1353" s="5" t="n"/>
      <c r="I1353" s="5" t="n"/>
      <c r="J1353" s="5" t="n"/>
      <c r="K1353" s="5" t="n"/>
      <c r="L1353" s="5" t="n"/>
      <c r="M1353" s="5" t="n"/>
      <c r="N1353" s="5" t="n"/>
      <c r="O1353" s="5" t="n"/>
      <c r="P1353" s="5" t="n"/>
      <c r="Q1353" s="5" t="n"/>
      <c r="R1353" s="5" t="n"/>
      <c r="S1353" s="5" t="n"/>
      <c r="T1353" s="5" t="n"/>
      <c r="U1353" s="5" t="n"/>
      <c r="V1353" s="5" t="n"/>
      <c r="W1353" s="5" t="n"/>
      <c r="X1353" s="5" t="n"/>
      <c r="Y1353" s="5" t="n"/>
      <c r="Z1353" s="5" t="n"/>
      <c r="AA1353" s="5" t="n"/>
      <c r="AB1353" s="5" t="n"/>
    </row>
    <row r="1354" ht="15.75" customHeight="1" s="79">
      <c r="A1354" s="5" t="n"/>
      <c r="B1354" s="5" t="n"/>
      <c r="C1354" s="5" t="n"/>
      <c r="D1354" s="5" t="n"/>
      <c r="E1354" s="5" t="n"/>
      <c r="F1354" s="5" t="n"/>
      <c r="G1354" s="5" t="n"/>
      <c r="H1354" s="5" t="n"/>
      <c r="I1354" s="5" t="n"/>
      <c r="J1354" s="5" t="n"/>
      <c r="K1354" s="5" t="n"/>
      <c r="L1354" s="5" t="n"/>
      <c r="M1354" s="5" t="n"/>
      <c r="N1354" s="5" t="n"/>
      <c r="O1354" s="5" t="n"/>
      <c r="P1354" s="5" t="n"/>
      <c r="Q1354" s="5" t="n"/>
      <c r="R1354" s="5" t="n"/>
      <c r="S1354" s="5" t="n"/>
      <c r="T1354" s="5" t="n"/>
      <c r="U1354" s="5" t="n"/>
      <c r="V1354" s="5" t="n"/>
      <c r="W1354" s="5" t="n"/>
      <c r="X1354" s="5" t="n"/>
      <c r="Y1354" s="5" t="n"/>
      <c r="Z1354" s="5" t="n"/>
      <c r="AA1354" s="5" t="n"/>
      <c r="AB1354" s="5" t="n"/>
    </row>
    <row r="1355" ht="15.75" customHeight="1" s="79">
      <c r="A1355" s="5" t="n"/>
      <c r="B1355" s="5" t="n"/>
      <c r="C1355" s="5" t="n"/>
      <c r="D1355" s="5" t="n"/>
      <c r="E1355" s="5" t="n"/>
      <c r="F1355" s="5" t="n"/>
      <c r="G1355" s="5" t="n"/>
      <c r="H1355" s="5" t="n"/>
      <c r="I1355" s="5" t="n"/>
      <c r="J1355" s="5" t="n"/>
      <c r="K1355" s="5" t="n"/>
      <c r="L1355" s="5" t="n"/>
      <c r="M1355" s="5" t="n"/>
      <c r="N1355" s="5" t="n"/>
      <c r="O1355" s="5" t="n"/>
      <c r="P1355" s="5" t="n"/>
      <c r="Q1355" s="5" t="n"/>
      <c r="R1355" s="5" t="n"/>
      <c r="S1355" s="5" t="n"/>
      <c r="T1355" s="5" t="n"/>
      <c r="U1355" s="5" t="n"/>
      <c r="V1355" s="5" t="n"/>
      <c r="W1355" s="5" t="n"/>
      <c r="X1355" s="5" t="n"/>
      <c r="Y1355" s="5" t="n"/>
      <c r="Z1355" s="5" t="n"/>
      <c r="AA1355" s="5" t="n"/>
      <c r="AB1355" s="5" t="n"/>
    </row>
    <row r="1356" ht="15.75" customHeight="1" s="79">
      <c r="A1356" s="5" t="n"/>
      <c r="B1356" s="5" t="n"/>
      <c r="C1356" s="5" t="n"/>
      <c r="D1356" s="5" t="n"/>
      <c r="E1356" s="5" t="n"/>
      <c r="F1356" s="5" t="n"/>
      <c r="G1356" s="5" t="n"/>
      <c r="H1356" s="5" t="n"/>
      <c r="I1356" s="5" t="n"/>
      <c r="J1356" s="5" t="n"/>
      <c r="K1356" s="5" t="n"/>
      <c r="L1356" s="5" t="n"/>
      <c r="M1356" s="5" t="n"/>
      <c r="N1356" s="5" t="n"/>
      <c r="O1356" s="5" t="n"/>
      <c r="P1356" s="5" t="n"/>
      <c r="Q1356" s="5" t="n"/>
      <c r="R1356" s="5" t="n"/>
      <c r="S1356" s="5" t="n"/>
      <c r="T1356" s="5" t="n"/>
      <c r="U1356" s="5" t="n"/>
      <c r="V1356" s="5" t="n"/>
      <c r="W1356" s="5" t="n"/>
      <c r="X1356" s="5" t="n"/>
      <c r="Y1356" s="5" t="n"/>
      <c r="Z1356" s="5" t="n"/>
      <c r="AA1356" s="5" t="n"/>
      <c r="AB1356" s="5" t="n"/>
    </row>
    <row r="1357" ht="15.75" customHeight="1" s="79">
      <c r="A1357" s="5" t="n"/>
      <c r="B1357" s="5" t="n"/>
      <c r="C1357" s="5" t="n"/>
      <c r="D1357" s="5" t="n"/>
      <c r="E1357" s="5" t="n"/>
      <c r="F1357" s="5" t="n"/>
      <c r="G1357" s="5" t="n"/>
      <c r="H1357" s="5" t="n"/>
      <c r="I1357" s="5" t="n"/>
      <c r="J1357" s="5" t="n"/>
      <c r="K1357" s="5" t="n"/>
      <c r="L1357" s="5" t="n"/>
      <c r="M1357" s="5" t="n"/>
      <c r="N1357" s="5" t="n"/>
      <c r="O1357" s="5" t="n"/>
      <c r="P1357" s="5" t="n"/>
      <c r="Q1357" s="5" t="n"/>
      <c r="R1357" s="5" t="n"/>
      <c r="S1357" s="5" t="n"/>
      <c r="T1357" s="5" t="n"/>
      <c r="U1357" s="5" t="n"/>
      <c r="V1357" s="5" t="n"/>
      <c r="W1357" s="5" t="n"/>
      <c r="X1357" s="5" t="n"/>
      <c r="Y1357" s="5" t="n"/>
      <c r="Z1357" s="5" t="n"/>
      <c r="AA1357" s="5" t="n"/>
      <c r="AB1357" s="5" t="n"/>
    </row>
    <row r="1358" ht="15.75" customHeight="1" s="79">
      <c r="A1358" s="5" t="n"/>
      <c r="B1358" s="5" t="n"/>
      <c r="C1358" s="5" t="n"/>
      <c r="D1358" s="5" t="n"/>
      <c r="E1358" s="5" t="n"/>
      <c r="F1358" s="5" t="n"/>
      <c r="G1358" s="5" t="n"/>
      <c r="H1358" s="5" t="n"/>
      <c r="I1358" s="5" t="n"/>
      <c r="J1358" s="5" t="n"/>
      <c r="K1358" s="5" t="n"/>
      <c r="L1358" s="5" t="n"/>
      <c r="M1358" s="5" t="n"/>
      <c r="N1358" s="5" t="n"/>
      <c r="O1358" s="5" t="n"/>
      <c r="P1358" s="5" t="n"/>
      <c r="Q1358" s="5" t="n"/>
      <c r="R1358" s="5" t="n"/>
      <c r="S1358" s="5" t="n"/>
      <c r="T1358" s="5" t="n"/>
      <c r="U1358" s="5" t="n"/>
      <c r="V1358" s="5" t="n"/>
      <c r="W1358" s="5" t="n"/>
      <c r="X1358" s="5" t="n"/>
      <c r="Y1358" s="5" t="n"/>
      <c r="Z1358" s="5" t="n"/>
      <c r="AA1358" s="5" t="n"/>
      <c r="AB1358" s="5" t="n"/>
    </row>
    <row r="1359" ht="15.75" customHeight="1" s="79">
      <c r="A1359" s="5" t="n"/>
      <c r="B1359" s="5" t="n"/>
      <c r="C1359" s="5" t="n"/>
      <c r="D1359" s="5" t="n"/>
      <c r="E1359" s="5" t="n"/>
      <c r="F1359" s="5" t="n"/>
      <c r="G1359" s="5" t="n"/>
      <c r="H1359" s="5" t="n"/>
      <c r="I1359" s="5" t="n"/>
      <c r="J1359" s="5" t="n"/>
      <c r="K1359" s="5" t="n"/>
      <c r="L1359" s="5" t="n"/>
      <c r="M1359" s="5" t="n"/>
      <c r="N1359" s="5" t="n"/>
      <c r="O1359" s="5" t="n"/>
      <c r="P1359" s="5" t="n"/>
      <c r="Q1359" s="5" t="n"/>
      <c r="R1359" s="5" t="n"/>
      <c r="S1359" s="5" t="n"/>
      <c r="T1359" s="5" t="n"/>
      <c r="U1359" s="5" t="n"/>
      <c r="V1359" s="5" t="n"/>
      <c r="W1359" s="5" t="n"/>
      <c r="X1359" s="5" t="n"/>
      <c r="Y1359" s="5" t="n"/>
      <c r="Z1359" s="5" t="n"/>
      <c r="AA1359" s="5" t="n"/>
      <c r="AB1359" s="5" t="n"/>
    </row>
    <row r="1360" ht="15.75" customHeight="1" s="79">
      <c r="A1360" s="5" t="n"/>
      <c r="B1360" s="5" t="n"/>
      <c r="C1360" s="5" t="n"/>
      <c r="D1360" s="5" t="n"/>
      <c r="E1360" s="5" t="n"/>
      <c r="F1360" s="5" t="n"/>
      <c r="G1360" s="5" t="n"/>
      <c r="H1360" s="5" t="n"/>
      <c r="I1360" s="5" t="n"/>
      <c r="J1360" s="5" t="n"/>
      <c r="K1360" s="5" t="n"/>
      <c r="L1360" s="5" t="n"/>
      <c r="M1360" s="5" t="n"/>
      <c r="N1360" s="5" t="n"/>
      <c r="O1360" s="5" t="n"/>
      <c r="P1360" s="5" t="n"/>
      <c r="Q1360" s="5" t="n"/>
      <c r="R1360" s="5" t="n"/>
      <c r="S1360" s="5" t="n"/>
      <c r="T1360" s="5" t="n"/>
      <c r="U1360" s="5" t="n"/>
      <c r="V1360" s="5" t="n"/>
      <c r="W1360" s="5" t="n"/>
      <c r="X1360" s="5" t="n"/>
      <c r="Y1360" s="5" t="n"/>
      <c r="Z1360" s="5" t="n"/>
      <c r="AA1360" s="5" t="n"/>
      <c r="AB1360" s="5" t="n"/>
    </row>
    <row r="1361" ht="15.75" customHeight="1" s="79">
      <c r="A1361" s="5" t="n"/>
      <c r="B1361" s="5" t="n"/>
      <c r="C1361" s="5" t="n"/>
      <c r="D1361" s="5" t="n"/>
      <c r="E1361" s="5" t="n"/>
      <c r="F1361" s="5" t="n"/>
      <c r="G1361" s="5" t="n"/>
      <c r="H1361" s="5" t="n"/>
      <c r="I1361" s="5" t="n"/>
      <c r="J1361" s="5" t="n"/>
      <c r="K1361" s="5" t="n"/>
      <c r="L1361" s="5" t="n"/>
      <c r="M1361" s="5" t="n"/>
      <c r="N1361" s="5" t="n"/>
      <c r="O1361" s="5" t="n"/>
      <c r="P1361" s="5" t="n"/>
      <c r="Q1361" s="5" t="n"/>
      <c r="R1361" s="5" t="n"/>
      <c r="S1361" s="5" t="n"/>
      <c r="T1361" s="5" t="n"/>
      <c r="U1361" s="5" t="n"/>
      <c r="V1361" s="5" t="n"/>
      <c r="W1361" s="5" t="n"/>
      <c r="X1361" s="5" t="n"/>
      <c r="Y1361" s="5" t="n"/>
      <c r="Z1361" s="5" t="n"/>
      <c r="AA1361" s="5" t="n"/>
      <c r="AB1361" s="5" t="n"/>
    </row>
    <row r="1362" ht="15.75" customHeight="1" s="79">
      <c r="A1362" s="5" t="n"/>
      <c r="B1362" s="5" t="n"/>
      <c r="C1362" s="5" t="n"/>
      <c r="D1362" s="5" t="n"/>
      <c r="E1362" s="5" t="n"/>
      <c r="F1362" s="5" t="n"/>
      <c r="G1362" s="5" t="n"/>
      <c r="H1362" s="5" t="n"/>
      <c r="I1362" s="5" t="n"/>
      <c r="J1362" s="5" t="n"/>
      <c r="K1362" s="5" t="n"/>
      <c r="L1362" s="5" t="n"/>
      <c r="M1362" s="5" t="n"/>
      <c r="N1362" s="5" t="n"/>
      <c r="O1362" s="5" t="n"/>
      <c r="P1362" s="5" t="n"/>
      <c r="Q1362" s="5" t="n"/>
      <c r="R1362" s="5" t="n"/>
      <c r="S1362" s="5" t="n"/>
      <c r="T1362" s="5" t="n"/>
      <c r="U1362" s="5" t="n"/>
      <c r="V1362" s="5" t="n"/>
      <c r="W1362" s="5" t="n"/>
      <c r="X1362" s="5" t="n"/>
      <c r="Y1362" s="5" t="n"/>
      <c r="Z1362" s="5" t="n"/>
      <c r="AA1362" s="5" t="n"/>
      <c r="AB1362" s="5" t="n"/>
    </row>
    <row r="1363" ht="15.75" customHeight="1" s="79">
      <c r="A1363" s="5" t="n"/>
      <c r="B1363" s="5" t="n"/>
      <c r="C1363" s="5" t="n"/>
      <c r="D1363" s="5" t="n"/>
      <c r="E1363" s="5" t="n"/>
      <c r="F1363" s="5" t="n"/>
      <c r="G1363" s="5" t="n"/>
      <c r="H1363" s="5" t="n"/>
      <c r="I1363" s="5" t="n"/>
      <c r="J1363" s="5" t="n"/>
      <c r="K1363" s="5" t="n"/>
      <c r="L1363" s="5" t="n"/>
      <c r="M1363" s="5" t="n"/>
      <c r="N1363" s="5" t="n"/>
      <c r="O1363" s="5" t="n"/>
      <c r="P1363" s="5" t="n"/>
      <c r="Q1363" s="5" t="n"/>
      <c r="R1363" s="5" t="n"/>
      <c r="S1363" s="5" t="n"/>
      <c r="T1363" s="5" t="n"/>
      <c r="U1363" s="5" t="n"/>
      <c r="V1363" s="5" t="n"/>
      <c r="W1363" s="5" t="n"/>
      <c r="X1363" s="5" t="n"/>
      <c r="Y1363" s="5" t="n"/>
      <c r="Z1363" s="5" t="n"/>
      <c r="AA1363" s="5" t="n"/>
      <c r="AB1363" s="5" t="n"/>
    </row>
    <row r="1364" ht="15.75" customHeight="1" s="79">
      <c r="A1364" s="5" t="n"/>
      <c r="B1364" s="5" t="n"/>
      <c r="C1364" s="5" t="n"/>
      <c r="D1364" s="5" t="n"/>
      <c r="E1364" s="5" t="n"/>
      <c r="F1364" s="5" t="n"/>
      <c r="G1364" s="5" t="n"/>
      <c r="H1364" s="5" t="n"/>
      <c r="I1364" s="5" t="n"/>
      <c r="J1364" s="5" t="n"/>
      <c r="K1364" s="5" t="n"/>
      <c r="L1364" s="5" t="n"/>
      <c r="M1364" s="5" t="n"/>
      <c r="N1364" s="5" t="n"/>
      <c r="O1364" s="5" t="n"/>
      <c r="P1364" s="5" t="n"/>
      <c r="Q1364" s="5" t="n"/>
      <c r="R1364" s="5" t="n"/>
      <c r="S1364" s="5" t="n"/>
      <c r="T1364" s="5" t="n"/>
      <c r="U1364" s="5" t="n"/>
      <c r="V1364" s="5" t="n"/>
      <c r="W1364" s="5" t="n"/>
      <c r="X1364" s="5" t="n"/>
      <c r="Y1364" s="5" t="n"/>
      <c r="Z1364" s="5" t="n"/>
      <c r="AA1364" s="5" t="n"/>
      <c r="AB1364" s="5" t="n"/>
    </row>
    <row r="1365" ht="15.75" customHeight="1" s="79">
      <c r="A1365" s="5" t="n"/>
      <c r="B1365" s="5" t="n"/>
      <c r="C1365" s="5" t="n"/>
      <c r="D1365" s="5" t="n"/>
      <c r="E1365" s="5" t="n"/>
      <c r="F1365" s="5" t="n"/>
      <c r="G1365" s="5" t="n"/>
      <c r="H1365" s="5" t="n"/>
      <c r="I1365" s="5" t="n"/>
      <c r="J1365" s="5" t="n"/>
      <c r="K1365" s="5" t="n"/>
      <c r="L1365" s="5" t="n"/>
      <c r="M1365" s="5" t="n"/>
      <c r="N1365" s="5" t="n"/>
      <c r="O1365" s="5" t="n"/>
      <c r="P1365" s="5" t="n"/>
      <c r="Q1365" s="5" t="n"/>
      <c r="R1365" s="5" t="n"/>
      <c r="S1365" s="5" t="n"/>
      <c r="T1365" s="5" t="n"/>
      <c r="U1365" s="5" t="n"/>
      <c r="V1365" s="5" t="n"/>
      <c r="W1365" s="5" t="n"/>
      <c r="X1365" s="5" t="n"/>
      <c r="Y1365" s="5" t="n"/>
      <c r="Z1365" s="5" t="n"/>
      <c r="AA1365" s="5" t="n"/>
      <c r="AB1365" s="5" t="n"/>
    </row>
    <row r="1366" ht="15.75" customHeight="1" s="79">
      <c r="A1366" s="5" t="n"/>
      <c r="B1366" s="5" t="n"/>
      <c r="C1366" s="5" t="n"/>
      <c r="D1366" s="5" t="n"/>
      <c r="E1366" s="5" t="n"/>
      <c r="F1366" s="5" t="n"/>
      <c r="G1366" s="5" t="n"/>
      <c r="H1366" s="5" t="n"/>
      <c r="I1366" s="5" t="n"/>
      <c r="J1366" s="5" t="n"/>
      <c r="K1366" s="5" t="n"/>
      <c r="L1366" s="5" t="n"/>
      <c r="M1366" s="5" t="n"/>
      <c r="N1366" s="5" t="n"/>
      <c r="O1366" s="5" t="n"/>
      <c r="P1366" s="5" t="n"/>
      <c r="Q1366" s="5" t="n"/>
      <c r="R1366" s="5" t="n"/>
      <c r="S1366" s="5" t="n"/>
      <c r="T1366" s="5" t="n"/>
      <c r="U1366" s="5" t="n"/>
      <c r="V1366" s="5" t="n"/>
      <c r="W1366" s="5" t="n"/>
      <c r="X1366" s="5" t="n"/>
      <c r="Y1366" s="5" t="n"/>
      <c r="Z1366" s="5" t="n"/>
      <c r="AA1366" s="5" t="n"/>
      <c r="AB1366" s="5" t="n"/>
    </row>
    <row r="1367" ht="15.75" customHeight="1" s="79">
      <c r="A1367" s="5" t="n"/>
      <c r="B1367" s="5" t="n"/>
      <c r="C1367" s="5" t="n"/>
      <c r="D1367" s="5" t="n"/>
      <c r="E1367" s="5" t="n"/>
      <c r="F1367" s="5" t="n"/>
      <c r="G1367" s="5" t="n"/>
      <c r="H1367" s="5" t="n"/>
      <c r="I1367" s="5" t="n"/>
      <c r="J1367" s="5" t="n"/>
      <c r="K1367" s="5" t="n"/>
      <c r="L1367" s="5" t="n"/>
      <c r="M1367" s="5" t="n"/>
      <c r="N1367" s="5" t="n"/>
      <c r="O1367" s="5" t="n"/>
      <c r="P1367" s="5" t="n"/>
      <c r="Q1367" s="5" t="n"/>
      <c r="R1367" s="5" t="n"/>
      <c r="S1367" s="5" t="n"/>
      <c r="T1367" s="5" t="n"/>
      <c r="U1367" s="5" t="n"/>
      <c r="V1367" s="5" t="n"/>
      <c r="W1367" s="5" t="n"/>
      <c r="X1367" s="5" t="n"/>
      <c r="Y1367" s="5" t="n"/>
      <c r="Z1367" s="5" t="n"/>
      <c r="AA1367" s="5" t="n"/>
      <c r="AB1367" s="5" t="n"/>
    </row>
    <row r="1368" ht="15.75" customHeight="1" s="79">
      <c r="A1368" s="5" t="n"/>
      <c r="B1368" s="5" t="n"/>
      <c r="C1368" s="5" t="n"/>
      <c r="D1368" s="5" t="n"/>
      <c r="E1368" s="5" t="n"/>
      <c r="F1368" s="5" t="n"/>
      <c r="G1368" s="5" t="n"/>
      <c r="H1368" s="5" t="n"/>
      <c r="I1368" s="5" t="n"/>
      <c r="J1368" s="5" t="n"/>
      <c r="K1368" s="5" t="n"/>
      <c r="L1368" s="5" t="n"/>
      <c r="M1368" s="5" t="n"/>
      <c r="N1368" s="5" t="n"/>
      <c r="O1368" s="5" t="n"/>
      <c r="P1368" s="5" t="n"/>
      <c r="Q1368" s="5" t="n"/>
      <c r="R1368" s="5" t="n"/>
      <c r="S1368" s="5" t="n"/>
      <c r="T1368" s="5" t="n"/>
      <c r="U1368" s="5" t="n"/>
      <c r="V1368" s="5" t="n"/>
      <c r="W1368" s="5" t="n"/>
      <c r="X1368" s="5" t="n"/>
      <c r="Y1368" s="5" t="n"/>
      <c r="Z1368" s="5" t="n"/>
      <c r="AA1368" s="5" t="n"/>
      <c r="AB1368" s="5" t="n"/>
    </row>
    <row r="1369" ht="15.75" customHeight="1" s="79">
      <c r="A1369" s="5" t="n"/>
      <c r="B1369" s="5" t="n"/>
      <c r="C1369" s="5" t="n"/>
      <c r="D1369" s="5" t="n"/>
      <c r="E1369" s="5" t="n"/>
      <c r="F1369" s="5" t="n"/>
      <c r="G1369" s="5" t="n"/>
      <c r="H1369" s="5" t="n"/>
      <c r="I1369" s="5" t="n"/>
      <c r="J1369" s="5" t="n"/>
      <c r="K1369" s="5" t="n"/>
      <c r="L1369" s="5" t="n"/>
      <c r="M1369" s="5" t="n"/>
      <c r="N1369" s="5" t="n"/>
      <c r="O1369" s="5" t="n"/>
      <c r="P1369" s="5" t="n"/>
      <c r="Q1369" s="5" t="n"/>
      <c r="R1369" s="5" t="n"/>
      <c r="S1369" s="5" t="n"/>
      <c r="T1369" s="5" t="n"/>
      <c r="U1369" s="5" t="n"/>
      <c r="V1369" s="5" t="n"/>
      <c r="W1369" s="5" t="n"/>
      <c r="X1369" s="5" t="n"/>
      <c r="Y1369" s="5" t="n"/>
      <c r="Z1369" s="5" t="n"/>
      <c r="AA1369" s="5" t="n"/>
      <c r="AB1369" s="5" t="n"/>
    </row>
    <row r="1370" ht="15.75" customHeight="1" s="79">
      <c r="A1370" s="5" t="n"/>
      <c r="B1370" s="5" t="n"/>
      <c r="C1370" s="5" t="n"/>
      <c r="D1370" s="5" t="n"/>
      <c r="E1370" s="5" t="n"/>
      <c r="F1370" s="5" t="n"/>
      <c r="G1370" s="5" t="n"/>
      <c r="H1370" s="5" t="n"/>
      <c r="I1370" s="5" t="n"/>
      <c r="J1370" s="5" t="n"/>
      <c r="K1370" s="5" t="n"/>
      <c r="L1370" s="5" t="n"/>
      <c r="M1370" s="5" t="n"/>
      <c r="N1370" s="5" t="n"/>
      <c r="O1370" s="5" t="n"/>
      <c r="P1370" s="5" t="n"/>
      <c r="Q1370" s="5" t="n"/>
      <c r="R1370" s="5" t="n"/>
      <c r="S1370" s="5" t="n"/>
      <c r="T1370" s="5" t="n"/>
      <c r="U1370" s="5" t="n"/>
      <c r="V1370" s="5" t="n"/>
      <c r="W1370" s="5" t="n"/>
      <c r="X1370" s="5" t="n"/>
      <c r="Y1370" s="5" t="n"/>
      <c r="Z1370" s="5" t="n"/>
      <c r="AA1370" s="5" t="n"/>
      <c r="AB1370" s="5" t="n"/>
    </row>
    <row r="1371" ht="15.75" customHeight="1" s="79">
      <c r="A1371" s="5" t="n"/>
      <c r="B1371" s="5" t="n"/>
      <c r="C1371" s="5" t="n"/>
      <c r="D1371" s="5" t="n"/>
      <c r="E1371" s="5" t="n"/>
      <c r="F1371" s="5" t="n"/>
      <c r="G1371" s="5" t="n"/>
      <c r="H1371" s="5" t="n"/>
      <c r="I1371" s="5" t="n"/>
      <c r="J1371" s="5" t="n"/>
      <c r="K1371" s="5" t="n"/>
      <c r="L1371" s="5" t="n"/>
      <c r="M1371" s="5" t="n"/>
      <c r="N1371" s="5" t="n"/>
      <c r="O1371" s="5" t="n"/>
      <c r="P1371" s="5" t="n"/>
      <c r="Q1371" s="5" t="n"/>
      <c r="R1371" s="5" t="n"/>
      <c r="S1371" s="5" t="n"/>
      <c r="T1371" s="5" t="n"/>
      <c r="U1371" s="5" t="n"/>
      <c r="V1371" s="5" t="n"/>
      <c r="W1371" s="5" t="n"/>
      <c r="X1371" s="5" t="n"/>
      <c r="Y1371" s="5" t="n"/>
      <c r="Z1371" s="5" t="n"/>
      <c r="AA1371" s="5" t="n"/>
      <c r="AB1371" s="5" t="n"/>
    </row>
    <row r="1372" ht="15.75" customHeight="1" s="79">
      <c r="A1372" s="5" t="n"/>
      <c r="B1372" s="5" t="n"/>
      <c r="C1372" s="5" t="n"/>
      <c r="D1372" s="5" t="n"/>
      <c r="E1372" s="5" t="n"/>
      <c r="F1372" s="5" t="n"/>
      <c r="G1372" s="5" t="n"/>
      <c r="H1372" s="5" t="n"/>
      <c r="I1372" s="5" t="n"/>
      <c r="J1372" s="5" t="n"/>
      <c r="K1372" s="5" t="n"/>
      <c r="L1372" s="5" t="n"/>
      <c r="M1372" s="5" t="n"/>
      <c r="N1372" s="5" t="n"/>
      <c r="O1372" s="5" t="n"/>
      <c r="P1372" s="5" t="n"/>
      <c r="Q1372" s="5" t="n"/>
      <c r="R1372" s="5" t="n"/>
      <c r="S1372" s="5" t="n"/>
      <c r="T1372" s="5" t="n"/>
      <c r="U1372" s="5" t="n"/>
      <c r="V1372" s="5" t="n"/>
      <c r="W1372" s="5" t="n"/>
      <c r="X1372" s="5" t="n"/>
      <c r="Y1372" s="5" t="n"/>
      <c r="Z1372" s="5" t="n"/>
      <c r="AA1372" s="5" t="n"/>
      <c r="AB1372" s="5" t="n"/>
    </row>
    <row r="1373" ht="15.75" customHeight="1" s="79">
      <c r="A1373" s="5" t="n"/>
      <c r="B1373" s="5" t="n"/>
      <c r="C1373" s="5" t="n"/>
      <c r="D1373" s="5" t="n"/>
      <c r="E1373" s="5" t="n"/>
      <c r="F1373" s="5" t="n"/>
      <c r="G1373" s="5" t="n"/>
      <c r="H1373" s="5" t="n"/>
      <c r="I1373" s="5" t="n"/>
      <c r="J1373" s="5" t="n"/>
      <c r="K1373" s="5" t="n"/>
      <c r="L1373" s="5" t="n"/>
      <c r="M1373" s="5" t="n"/>
      <c r="N1373" s="5" t="n"/>
      <c r="O1373" s="5" t="n"/>
      <c r="P1373" s="5" t="n"/>
      <c r="Q1373" s="5" t="n"/>
      <c r="R1373" s="5" t="n"/>
      <c r="S1373" s="5" t="n"/>
      <c r="T1373" s="5" t="n"/>
      <c r="U1373" s="5" t="n"/>
      <c r="V1373" s="5" t="n"/>
      <c r="W1373" s="5" t="n"/>
      <c r="X1373" s="5" t="n"/>
      <c r="Y1373" s="5" t="n"/>
      <c r="Z1373" s="5" t="n"/>
      <c r="AA1373" s="5" t="n"/>
      <c r="AB1373" s="5" t="n"/>
    </row>
    <row r="1374" ht="15.75" customHeight="1" s="79">
      <c r="A1374" s="5" t="n"/>
      <c r="B1374" s="5" t="n"/>
      <c r="C1374" s="5" t="n"/>
      <c r="D1374" s="5" t="n"/>
      <c r="E1374" s="5" t="n"/>
      <c r="F1374" s="5" t="n"/>
      <c r="G1374" s="5" t="n"/>
      <c r="H1374" s="5" t="n"/>
      <c r="I1374" s="5" t="n"/>
      <c r="J1374" s="5" t="n"/>
      <c r="K1374" s="5" t="n"/>
      <c r="L1374" s="5" t="n"/>
      <c r="M1374" s="5" t="n"/>
      <c r="N1374" s="5" t="n"/>
      <c r="O1374" s="5" t="n"/>
      <c r="P1374" s="5" t="n"/>
      <c r="Q1374" s="5" t="n"/>
      <c r="R1374" s="5" t="n"/>
      <c r="S1374" s="5" t="n"/>
      <c r="T1374" s="5" t="n"/>
      <c r="U1374" s="5" t="n"/>
      <c r="V1374" s="5" t="n"/>
      <c r="W1374" s="5" t="n"/>
      <c r="X1374" s="5" t="n"/>
      <c r="Y1374" s="5" t="n"/>
      <c r="Z1374" s="5" t="n"/>
      <c r="AA1374" s="5" t="n"/>
      <c r="AB1374" s="5" t="n"/>
    </row>
    <row r="1375" ht="15.75" customHeight="1" s="79">
      <c r="A1375" s="5" t="n"/>
      <c r="B1375" s="5" t="n"/>
      <c r="C1375" s="5" t="n"/>
      <c r="D1375" s="5" t="n"/>
      <c r="E1375" s="5" t="n"/>
      <c r="F1375" s="5" t="n"/>
      <c r="G1375" s="5" t="n"/>
      <c r="H1375" s="5" t="n"/>
      <c r="I1375" s="5" t="n"/>
      <c r="J1375" s="5" t="n"/>
      <c r="K1375" s="5" t="n"/>
      <c r="L1375" s="5" t="n"/>
      <c r="M1375" s="5" t="n"/>
      <c r="N1375" s="5" t="n"/>
      <c r="O1375" s="5" t="n"/>
      <c r="P1375" s="5" t="n"/>
      <c r="Q1375" s="5" t="n"/>
      <c r="R1375" s="5" t="n"/>
      <c r="S1375" s="5" t="n"/>
      <c r="T1375" s="5" t="n"/>
      <c r="U1375" s="5" t="n"/>
      <c r="V1375" s="5" t="n"/>
      <c r="W1375" s="5" t="n"/>
      <c r="X1375" s="5" t="n"/>
      <c r="Y1375" s="5" t="n"/>
      <c r="Z1375" s="5" t="n"/>
      <c r="AA1375" s="5" t="n"/>
      <c r="AB1375" s="5" t="n"/>
    </row>
    <row r="1376" ht="15.75" customHeight="1" s="79">
      <c r="A1376" s="5" t="n"/>
      <c r="B1376" s="5" t="n"/>
      <c r="C1376" s="5" t="n"/>
      <c r="D1376" s="5" t="n"/>
      <c r="E1376" s="5" t="n"/>
      <c r="F1376" s="5" t="n"/>
      <c r="G1376" s="5" t="n"/>
      <c r="H1376" s="5" t="n"/>
      <c r="I1376" s="5" t="n"/>
      <c r="J1376" s="5" t="n"/>
      <c r="K1376" s="5" t="n"/>
      <c r="L1376" s="5" t="n"/>
      <c r="M1376" s="5" t="n"/>
      <c r="N1376" s="5" t="n"/>
      <c r="O1376" s="5" t="n"/>
      <c r="P1376" s="5" t="n"/>
      <c r="Q1376" s="5" t="n"/>
      <c r="R1376" s="5" t="n"/>
      <c r="S1376" s="5" t="n"/>
      <c r="T1376" s="5" t="n"/>
      <c r="U1376" s="5" t="n"/>
      <c r="V1376" s="5" t="n"/>
      <c r="W1376" s="5" t="n"/>
      <c r="X1376" s="5" t="n"/>
      <c r="Y1376" s="5" t="n"/>
      <c r="Z1376" s="5" t="n"/>
      <c r="AA1376" s="5" t="n"/>
      <c r="AB1376" s="5" t="n"/>
    </row>
    <row r="1377" ht="15.75" customHeight="1" s="79">
      <c r="A1377" s="5" t="n"/>
      <c r="B1377" s="5" t="n"/>
      <c r="C1377" s="5" t="n"/>
      <c r="D1377" s="5" t="n"/>
      <c r="E1377" s="5" t="n"/>
      <c r="F1377" s="5" t="n"/>
      <c r="G1377" s="5" t="n"/>
      <c r="H1377" s="5" t="n"/>
      <c r="I1377" s="5" t="n"/>
      <c r="J1377" s="5" t="n"/>
      <c r="K1377" s="5" t="n"/>
      <c r="L1377" s="5" t="n"/>
      <c r="M1377" s="5" t="n"/>
      <c r="N1377" s="5" t="n"/>
      <c r="O1377" s="5" t="n"/>
      <c r="P1377" s="5" t="n"/>
      <c r="Q1377" s="5" t="n"/>
      <c r="R1377" s="5" t="n"/>
      <c r="S1377" s="5" t="n"/>
      <c r="T1377" s="5" t="n"/>
      <c r="U1377" s="5" t="n"/>
      <c r="V1377" s="5" t="n"/>
      <c r="W1377" s="5" t="n"/>
      <c r="X1377" s="5" t="n"/>
      <c r="Y1377" s="5" t="n"/>
      <c r="Z1377" s="5" t="n"/>
      <c r="AA1377" s="5" t="n"/>
      <c r="AB1377" s="5" t="n"/>
    </row>
    <row r="1378" ht="15.75" customHeight="1" s="79">
      <c r="A1378" s="5" t="n"/>
      <c r="B1378" s="5" t="n"/>
      <c r="C1378" s="5" t="n"/>
      <c r="D1378" s="5" t="n"/>
      <c r="E1378" s="5" t="n"/>
      <c r="F1378" s="5" t="n"/>
      <c r="G1378" s="5" t="n"/>
      <c r="H1378" s="5" t="n"/>
      <c r="I1378" s="5" t="n"/>
      <c r="J1378" s="5" t="n"/>
      <c r="K1378" s="5" t="n"/>
      <c r="L1378" s="5" t="n"/>
      <c r="M1378" s="5" t="n"/>
      <c r="N1378" s="5" t="n"/>
      <c r="O1378" s="5" t="n"/>
      <c r="P1378" s="5" t="n"/>
      <c r="Q1378" s="5" t="n"/>
      <c r="R1378" s="5" t="n"/>
      <c r="S1378" s="5" t="n"/>
      <c r="T1378" s="5" t="n"/>
      <c r="U1378" s="5" t="n"/>
      <c r="V1378" s="5" t="n"/>
      <c r="W1378" s="5" t="n"/>
      <c r="X1378" s="5" t="n"/>
      <c r="Y1378" s="5" t="n"/>
      <c r="Z1378" s="5" t="n"/>
      <c r="AA1378" s="5" t="n"/>
      <c r="AB1378" s="5" t="n"/>
    </row>
    <row r="1379" ht="15.75" customHeight="1" s="79">
      <c r="A1379" s="5" t="n"/>
      <c r="B1379" s="5" t="n"/>
      <c r="C1379" s="5" t="n"/>
      <c r="D1379" s="5" t="n"/>
      <c r="E1379" s="5" t="n"/>
      <c r="F1379" s="5" t="n"/>
      <c r="G1379" s="5" t="n"/>
      <c r="H1379" s="5" t="n"/>
      <c r="I1379" s="5" t="n"/>
      <c r="J1379" s="5" t="n"/>
      <c r="K1379" s="5" t="n"/>
      <c r="L1379" s="5" t="n"/>
      <c r="M1379" s="5" t="n"/>
      <c r="N1379" s="5" t="n"/>
      <c r="O1379" s="5" t="n"/>
      <c r="P1379" s="5" t="n"/>
      <c r="Q1379" s="5" t="n"/>
      <c r="R1379" s="5" t="n"/>
      <c r="S1379" s="5" t="n"/>
      <c r="T1379" s="5" t="n"/>
      <c r="U1379" s="5" t="n"/>
      <c r="V1379" s="5" t="n"/>
      <c r="W1379" s="5" t="n"/>
      <c r="X1379" s="5" t="n"/>
      <c r="Y1379" s="5" t="n"/>
      <c r="Z1379" s="5" t="n"/>
      <c r="AA1379" s="5" t="n"/>
      <c r="AB1379" s="5" t="n"/>
    </row>
    <row r="1380" ht="15.75" customHeight="1" s="79">
      <c r="A1380" s="5" t="n"/>
      <c r="B1380" s="5" t="n"/>
      <c r="C1380" s="5" t="n"/>
      <c r="D1380" s="5" t="n"/>
      <c r="E1380" s="5" t="n"/>
      <c r="F1380" s="5" t="n"/>
      <c r="G1380" s="5" t="n"/>
      <c r="H1380" s="5" t="n"/>
      <c r="I1380" s="5" t="n"/>
      <c r="J1380" s="5" t="n"/>
      <c r="K1380" s="5" t="n"/>
      <c r="L1380" s="5" t="n"/>
      <c r="M1380" s="5" t="n"/>
      <c r="N1380" s="5" t="n"/>
      <c r="O1380" s="5" t="n"/>
      <c r="P1380" s="5" t="n"/>
      <c r="Q1380" s="5" t="n"/>
      <c r="R1380" s="5" t="n"/>
      <c r="S1380" s="5" t="n"/>
      <c r="T1380" s="5" t="n"/>
      <c r="U1380" s="5" t="n"/>
      <c r="V1380" s="5" t="n"/>
      <c r="W1380" s="5" t="n"/>
      <c r="X1380" s="5" t="n"/>
      <c r="Y1380" s="5" t="n"/>
      <c r="Z1380" s="5" t="n"/>
      <c r="AA1380" s="5" t="n"/>
      <c r="AB1380" s="5" t="n"/>
    </row>
    <row r="1381" ht="15.75" customHeight="1" s="79">
      <c r="A1381" s="5" t="n"/>
      <c r="B1381" s="5" t="n"/>
      <c r="C1381" s="5" t="n"/>
      <c r="D1381" s="5" t="n"/>
      <c r="E1381" s="5" t="n"/>
      <c r="F1381" s="5" t="n"/>
      <c r="G1381" s="5" t="n"/>
      <c r="H1381" s="5" t="n"/>
      <c r="I1381" s="5" t="n"/>
      <c r="J1381" s="5" t="n"/>
      <c r="K1381" s="5" t="n"/>
      <c r="L1381" s="5" t="n"/>
      <c r="M1381" s="5" t="n"/>
      <c r="N1381" s="5" t="n"/>
      <c r="O1381" s="5" t="n"/>
      <c r="P1381" s="5" t="n"/>
      <c r="Q1381" s="5" t="n"/>
      <c r="R1381" s="5" t="n"/>
      <c r="S1381" s="5" t="n"/>
      <c r="T1381" s="5" t="n"/>
      <c r="U1381" s="5" t="n"/>
      <c r="V1381" s="5" t="n"/>
      <c r="W1381" s="5" t="n"/>
      <c r="X1381" s="5" t="n"/>
      <c r="Y1381" s="5" t="n"/>
      <c r="Z1381" s="5" t="n"/>
      <c r="AA1381" s="5" t="n"/>
      <c r="AB1381" s="5" t="n"/>
    </row>
    <row r="1382" ht="15.75" customHeight="1" s="79">
      <c r="A1382" s="5" t="n"/>
      <c r="B1382" s="5" t="n"/>
      <c r="C1382" s="5" t="n"/>
      <c r="D1382" s="5" t="n"/>
      <c r="E1382" s="5" t="n"/>
      <c r="F1382" s="5" t="n"/>
      <c r="G1382" s="5" t="n"/>
      <c r="H1382" s="5" t="n"/>
      <c r="I1382" s="5" t="n"/>
      <c r="J1382" s="5" t="n"/>
      <c r="K1382" s="5" t="n"/>
      <c r="L1382" s="5" t="n"/>
      <c r="M1382" s="5" t="n"/>
      <c r="N1382" s="5" t="n"/>
      <c r="O1382" s="5" t="n"/>
      <c r="P1382" s="5" t="n"/>
      <c r="Q1382" s="5" t="n"/>
      <c r="R1382" s="5" t="n"/>
      <c r="S1382" s="5" t="n"/>
      <c r="T1382" s="5" t="n"/>
      <c r="U1382" s="5" t="n"/>
      <c r="V1382" s="5" t="n"/>
      <c r="W1382" s="5" t="n"/>
      <c r="X1382" s="5" t="n"/>
      <c r="Y1382" s="5" t="n"/>
      <c r="Z1382" s="5" t="n"/>
      <c r="AA1382" s="5" t="n"/>
      <c r="AB1382" s="5" t="n"/>
    </row>
    <row r="1383" ht="15.75" customHeight="1" s="79">
      <c r="A1383" s="5" t="n"/>
      <c r="B1383" s="5" t="n"/>
      <c r="C1383" s="5" t="n"/>
      <c r="D1383" s="5" t="n"/>
      <c r="E1383" s="5" t="n"/>
      <c r="F1383" s="5" t="n"/>
      <c r="G1383" s="5" t="n"/>
      <c r="H1383" s="5" t="n"/>
      <c r="I1383" s="5" t="n"/>
      <c r="J1383" s="5" t="n"/>
      <c r="K1383" s="5" t="n"/>
      <c r="L1383" s="5" t="n"/>
      <c r="M1383" s="5" t="n"/>
      <c r="N1383" s="5" t="n"/>
      <c r="O1383" s="5" t="n"/>
      <c r="P1383" s="5" t="n"/>
      <c r="Q1383" s="5" t="n"/>
      <c r="R1383" s="5" t="n"/>
      <c r="S1383" s="5" t="n"/>
      <c r="T1383" s="5" t="n"/>
      <c r="U1383" s="5" t="n"/>
      <c r="V1383" s="5" t="n"/>
      <c r="W1383" s="5" t="n"/>
      <c r="X1383" s="5" t="n"/>
      <c r="Y1383" s="5" t="n"/>
      <c r="Z1383" s="5" t="n"/>
      <c r="AA1383" s="5" t="n"/>
      <c r="AB1383" s="5" t="n"/>
    </row>
    <row r="1384" ht="15.75" customHeight="1" s="79">
      <c r="A1384" s="5" t="n"/>
      <c r="B1384" s="5" t="n"/>
      <c r="C1384" s="5" t="n"/>
      <c r="D1384" s="5" t="n"/>
      <c r="E1384" s="5" t="n"/>
      <c r="F1384" s="5" t="n"/>
      <c r="G1384" s="5" t="n"/>
      <c r="H1384" s="5" t="n"/>
      <c r="I1384" s="5" t="n"/>
      <c r="J1384" s="5" t="n"/>
      <c r="K1384" s="5" t="n"/>
      <c r="L1384" s="5" t="n"/>
      <c r="M1384" s="5" t="n"/>
      <c r="N1384" s="5" t="n"/>
      <c r="O1384" s="5" t="n"/>
      <c r="P1384" s="5" t="n"/>
      <c r="Q1384" s="5" t="n"/>
      <c r="R1384" s="5" t="n"/>
      <c r="S1384" s="5" t="n"/>
      <c r="T1384" s="5" t="n"/>
      <c r="U1384" s="5" t="n"/>
      <c r="V1384" s="5" t="n"/>
      <c r="W1384" s="5" t="n"/>
      <c r="X1384" s="5" t="n"/>
      <c r="Y1384" s="5" t="n"/>
      <c r="Z1384" s="5" t="n"/>
      <c r="AA1384" s="5" t="n"/>
      <c r="AB1384" s="5" t="n"/>
    </row>
    <row r="1385" ht="15.75" customHeight="1" s="79">
      <c r="A1385" s="5" t="n"/>
      <c r="B1385" s="5" t="n"/>
      <c r="C1385" s="5" t="n"/>
      <c r="D1385" s="5" t="n"/>
      <c r="E1385" s="5" t="n"/>
      <c r="F1385" s="5" t="n"/>
      <c r="G1385" s="5" t="n"/>
      <c r="H1385" s="5" t="n"/>
      <c r="I1385" s="5" t="n"/>
      <c r="J1385" s="5" t="n"/>
      <c r="K1385" s="5" t="n"/>
      <c r="L1385" s="5" t="n"/>
      <c r="M1385" s="5" t="n"/>
      <c r="N1385" s="5" t="n"/>
      <c r="O1385" s="5" t="n"/>
      <c r="P1385" s="5" t="n"/>
      <c r="Q1385" s="5" t="n"/>
      <c r="R1385" s="5" t="n"/>
      <c r="S1385" s="5" t="n"/>
      <c r="T1385" s="5" t="n"/>
      <c r="U1385" s="5" t="n"/>
      <c r="V1385" s="5" t="n"/>
      <c r="W1385" s="5" t="n"/>
      <c r="X1385" s="5" t="n"/>
      <c r="Y1385" s="5" t="n"/>
      <c r="Z1385" s="5" t="n"/>
      <c r="AA1385" s="5" t="n"/>
      <c r="AB1385" s="5" t="n"/>
    </row>
    <row r="1386" ht="15.75" customHeight="1" s="79">
      <c r="A1386" s="5" t="n"/>
      <c r="B1386" s="5" t="n"/>
      <c r="C1386" s="5" t="n"/>
      <c r="D1386" s="5" t="n"/>
      <c r="E1386" s="5" t="n"/>
      <c r="F1386" s="5" t="n"/>
      <c r="G1386" s="5" t="n"/>
      <c r="H1386" s="5" t="n"/>
      <c r="I1386" s="5" t="n"/>
      <c r="J1386" s="5" t="n"/>
      <c r="K1386" s="5" t="n"/>
      <c r="L1386" s="5" t="n"/>
      <c r="M1386" s="5" t="n"/>
      <c r="N1386" s="5" t="n"/>
      <c r="O1386" s="5" t="n"/>
      <c r="P1386" s="5" t="n"/>
      <c r="Q1386" s="5" t="n"/>
      <c r="R1386" s="5" t="n"/>
      <c r="S1386" s="5" t="n"/>
      <c r="T1386" s="5" t="n"/>
      <c r="U1386" s="5" t="n"/>
      <c r="V1386" s="5" t="n"/>
      <c r="W1386" s="5" t="n"/>
      <c r="X1386" s="5" t="n"/>
      <c r="Y1386" s="5" t="n"/>
      <c r="Z1386" s="5" t="n"/>
      <c r="AA1386" s="5" t="n"/>
      <c r="AB1386" s="5" t="n"/>
    </row>
    <row r="1387" ht="15.75" customHeight="1" s="79">
      <c r="A1387" s="5" t="n"/>
      <c r="B1387" s="5" t="n"/>
      <c r="C1387" s="5" t="n"/>
      <c r="D1387" s="5" t="n"/>
      <c r="E1387" s="5" t="n"/>
      <c r="F1387" s="5" t="n"/>
      <c r="G1387" s="5" t="n"/>
      <c r="H1387" s="5" t="n"/>
      <c r="I1387" s="5" t="n"/>
      <c r="J1387" s="5" t="n"/>
      <c r="K1387" s="5" t="n"/>
      <c r="L1387" s="5" t="n"/>
      <c r="M1387" s="5" t="n"/>
      <c r="N1387" s="5" t="n"/>
      <c r="O1387" s="5" t="n"/>
      <c r="P1387" s="5" t="n"/>
      <c r="Q1387" s="5" t="n"/>
      <c r="R1387" s="5" t="n"/>
      <c r="S1387" s="5" t="n"/>
      <c r="T1387" s="5" t="n"/>
      <c r="U1387" s="5" t="n"/>
      <c r="V1387" s="5" t="n"/>
      <c r="W1387" s="5" t="n"/>
      <c r="X1387" s="5" t="n"/>
      <c r="Y1387" s="5" t="n"/>
      <c r="Z1387" s="5" t="n"/>
      <c r="AA1387" s="5" t="n"/>
      <c r="AB1387" s="5" t="n"/>
    </row>
    <row r="1388" ht="15.75" customHeight="1" s="79">
      <c r="A1388" s="5" t="n"/>
      <c r="B1388" s="5" t="n"/>
      <c r="C1388" s="5" t="n"/>
      <c r="D1388" s="5" t="n"/>
      <c r="E1388" s="5" t="n"/>
      <c r="F1388" s="5" t="n"/>
      <c r="G1388" s="5" t="n"/>
      <c r="H1388" s="5" t="n"/>
      <c r="I1388" s="5" t="n"/>
      <c r="J1388" s="5" t="n"/>
      <c r="K1388" s="5" t="n"/>
      <c r="L1388" s="5" t="n"/>
      <c r="M1388" s="5" t="n"/>
      <c r="N1388" s="5" t="n"/>
      <c r="O1388" s="5" t="n"/>
      <c r="P1388" s="5" t="n"/>
      <c r="Q1388" s="5" t="n"/>
      <c r="R1388" s="5" t="n"/>
      <c r="S1388" s="5" t="n"/>
      <c r="T1388" s="5" t="n"/>
      <c r="U1388" s="5" t="n"/>
      <c r="V1388" s="5" t="n"/>
      <c r="W1388" s="5" t="n"/>
      <c r="X1388" s="5" t="n"/>
      <c r="Y1388" s="5" t="n"/>
      <c r="Z1388" s="5" t="n"/>
      <c r="AA1388" s="5" t="n"/>
      <c r="AB1388" s="5" t="n"/>
    </row>
    <row r="1389" ht="15.75" customHeight="1" s="79">
      <c r="A1389" s="5" t="n"/>
      <c r="B1389" s="5" t="n"/>
      <c r="C1389" s="5" t="n"/>
      <c r="D1389" s="5" t="n"/>
      <c r="E1389" s="5" t="n"/>
      <c r="F1389" s="5" t="n"/>
      <c r="G1389" s="5" t="n"/>
      <c r="H1389" s="5" t="n"/>
      <c r="I1389" s="5" t="n"/>
      <c r="J1389" s="5" t="n"/>
      <c r="K1389" s="5" t="n"/>
      <c r="L1389" s="5" t="n"/>
      <c r="M1389" s="5" t="n"/>
      <c r="N1389" s="5" t="n"/>
      <c r="O1389" s="5" t="n"/>
      <c r="P1389" s="5" t="n"/>
      <c r="Q1389" s="5" t="n"/>
      <c r="R1389" s="5" t="n"/>
      <c r="S1389" s="5" t="n"/>
      <c r="T1389" s="5" t="n"/>
      <c r="U1389" s="5" t="n"/>
      <c r="V1389" s="5" t="n"/>
      <c r="W1389" s="5" t="n"/>
      <c r="X1389" s="5" t="n"/>
      <c r="Y1389" s="5" t="n"/>
      <c r="Z1389" s="5" t="n"/>
      <c r="AA1389" s="5" t="n"/>
      <c r="AB1389" s="5" t="n"/>
    </row>
    <row r="1390" ht="15.75" customHeight="1" s="79">
      <c r="A1390" s="5" t="n"/>
      <c r="B1390" s="5" t="n"/>
      <c r="C1390" s="5" t="n"/>
      <c r="D1390" s="5" t="n"/>
      <c r="E1390" s="5" t="n"/>
      <c r="F1390" s="5" t="n"/>
      <c r="G1390" s="5" t="n"/>
      <c r="H1390" s="5" t="n"/>
      <c r="I1390" s="5" t="n"/>
      <c r="J1390" s="5" t="n"/>
      <c r="K1390" s="5" t="n"/>
      <c r="L1390" s="5" t="n"/>
      <c r="M1390" s="5" t="n"/>
      <c r="N1390" s="5" t="n"/>
      <c r="O1390" s="5" t="n"/>
      <c r="P1390" s="5" t="n"/>
      <c r="Q1390" s="5" t="n"/>
      <c r="R1390" s="5" t="n"/>
      <c r="S1390" s="5" t="n"/>
      <c r="T1390" s="5" t="n"/>
      <c r="U1390" s="5" t="n"/>
      <c r="V1390" s="5" t="n"/>
      <c r="W1390" s="5" t="n"/>
      <c r="X1390" s="5" t="n"/>
      <c r="Y1390" s="5" t="n"/>
      <c r="Z1390" s="5" t="n"/>
      <c r="AA1390" s="5" t="n"/>
      <c r="AB1390" s="5" t="n"/>
    </row>
    <row r="1391" ht="15.75" customHeight="1" s="79">
      <c r="A1391" s="5" t="n"/>
      <c r="B1391" s="5" t="n"/>
      <c r="C1391" s="5" t="n"/>
      <c r="D1391" s="5" t="n"/>
      <c r="E1391" s="5" t="n"/>
      <c r="F1391" s="5" t="n"/>
      <c r="G1391" s="5" t="n"/>
      <c r="H1391" s="5" t="n"/>
      <c r="I1391" s="5" t="n"/>
      <c r="J1391" s="5" t="n"/>
      <c r="K1391" s="5" t="n"/>
      <c r="L1391" s="5" t="n"/>
      <c r="M1391" s="5" t="n"/>
      <c r="N1391" s="5" t="n"/>
      <c r="O1391" s="5" t="n"/>
      <c r="P1391" s="5" t="n"/>
      <c r="Q1391" s="5" t="n"/>
      <c r="R1391" s="5" t="n"/>
      <c r="S1391" s="5" t="n"/>
      <c r="T1391" s="5" t="n"/>
      <c r="U1391" s="5" t="n"/>
      <c r="V1391" s="5" t="n"/>
      <c r="W1391" s="5" t="n"/>
      <c r="X1391" s="5" t="n"/>
      <c r="Y1391" s="5" t="n"/>
      <c r="Z1391" s="5" t="n"/>
      <c r="AA1391" s="5" t="n"/>
      <c r="AB1391" s="5" t="n"/>
    </row>
    <row r="1392" ht="15.75" customHeight="1" s="79">
      <c r="A1392" s="5" t="n"/>
      <c r="B1392" s="5" t="n"/>
      <c r="C1392" s="5" t="n"/>
      <c r="D1392" s="5" t="n"/>
      <c r="E1392" s="5" t="n"/>
      <c r="F1392" s="5" t="n"/>
      <c r="G1392" s="5" t="n"/>
      <c r="H1392" s="5" t="n"/>
      <c r="I1392" s="5" t="n"/>
      <c r="J1392" s="5" t="n"/>
      <c r="K1392" s="5" t="n"/>
      <c r="L1392" s="5" t="n"/>
      <c r="M1392" s="5" t="n"/>
      <c r="N1392" s="5" t="n"/>
      <c r="O1392" s="5" t="n"/>
      <c r="P1392" s="5" t="n"/>
      <c r="Q1392" s="5" t="n"/>
      <c r="R1392" s="5" t="n"/>
      <c r="S1392" s="5" t="n"/>
      <c r="T1392" s="5" t="n"/>
      <c r="U1392" s="5" t="n"/>
      <c r="V1392" s="5" t="n"/>
      <c r="W1392" s="5" t="n"/>
      <c r="X1392" s="5" t="n"/>
      <c r="Y1392" s="5" t="n"/>
      <c r="Z1392" s="5" t="n"/>
      <c r="AA1392" s="5" t="n"/>
      <c r="AB1392" s="5" t="n"/>
    </row>
    <row r="1393" ht="15.75" customHeight="1" s="79">
      <c r="A1393" s="5" t="n"/>
      <c r="B1393" s="5" t="n"/>
      <c r="C1393" s="5" t="n"/>
      <c r="D1393" s="5" t="n"/>
      <c r="E1393" s="5" t="n"/>
      <c r="F1393" s="5" t="n"/>
      <c r="G1393" s="5" t="n"/>
      <c r="H1393" s="5" t="n"/>
      <c r="I1393" s="5" t="n"/>
      <c r="J1393" s="5" t="n"/>
      <c r="K1393" s="5" t="n"/>
      <c r="L1393" s="5" t="n"/>
      <c r="M1393" s="5" t="n"/>
      <c r="N1393" s="5" t="n"/>
      <c r="O1393" s="5" t="n"/>
      <c r="P1393" s="5" t="n"/>
      <c r="Q1393" s="5" t="n"/>
      <c r="R1393" s="5" t="n"/>
      <c r="S1393" s="5" t="n"/>
      <c r="T1393" s="5" t="n"/>
      <c r="U1393" s="5" t="n"/>
      <c r="V1393" s="5" t="n"/>
      <c r="W1393" s="5" t="n"/>
      <c r="X1393" s="5" t="n"/>
      <c r="Y1393" s="5" t="n"/>
      <c r="Z1393" s="5" t="n"/>
      <c r="AA1393" s="5" t="n"/>
      <c r="AB1393" s="5" t="n"/>
    </row>
    <row r="1394" ht="15.75" customHeight="1" s="79">
      <c r="A1394" s="5" t="n"/>
      <c r="B1394" s="5" t="n"/>
      <c r="C1394" s="5" t="n"/>
      <c r="D1394" s="5" t="n"/>
      <c r="E1394" s="5" t="n"/>
      <c r="F1394" s="5" t="n"/>
      <c r="G1394" s="5" t="n"/>
      <c r="H1394" s="5" t="n"/>
      <c r="I1394" s="5" t="n"/>
      <c r="J1394" s="5" t="n"/>
      <c r="K1394" s="5" t="n"/>
      <c r="L1394" s="5" t="n"/>
      <c r="M1394" s="5" t="n"/>
      <c r="N1394" s="5" t="n"/>
      <c r="O1394" s="5" t="n"/>
      <c r="P1394" s="5" t="n"/>
      <c r="Q1394" s="5" t="n"/>
      <c r="R1394" s="5" t="n"/>
      <c r="S1394" s="5" t="n"/>
      <c r="T1394" s="5" t="n"/>
      <c r="U1394" s="5" t="n"/>
      <c r="V1394" s="5" t="n"/>
      <c r="W1394" s="5" t="n"/>
      <c r="X1394" s="5" t="n"/>
      <c r="Y1394" s="5" t="n"/>
      <c r="Z1394" s="5" t="n"/>
      <c r="AA1394" s="5" t="n"/>
      <c r="AB1394" s="5" t="n"/>
    </row>
    <row r="1395" ht="15.75" customHeight="1" s="79">
      <c r="A1395" s="5" t="n"/>
      <c r="B1395" s="5" t="n"/>
      <c r="C1395" s="5" t="n"/>
      <c r="D1395" s="5" t="n"/>
      <c r="E1395" s="5" t="n"/>
      <c r="F1395" s="5" t="n"/>
      <c r="G1395" s="5" t="n"/>
      <c r="H1395" s="5" t="n"/>
      <c r="I1395" s="5" t="n"/>
      <c r="J1395" s="5" t="n"/>
      <c r="K1395" s="5" t="n"/>
      <c r="L1395" s="5" t="n"/>
      <c r="M1395" s="5" t="n"/>
      <c r="N1395" s="5" t="n"/>
      <c r="O1395" s="5" t="n"/>
      <c r="P1395" s="5" t="n"/>
      <c r="Q1395" s="5" t="n"/>
      <c r="R1395" s="5" t="n"/>
      <c r="S1395" s="5" t="n"/>
      <c r="T1395" s="5" t="n"/>
      <c r="U1395" s="5" t="n"/>
      <c r="V1395" s="5" t="n"/>
      <c r="W1395" s="5" t="n"/>
      <c r="X1395" s="5" t="n"/>
      <c r="Y1395" s="5" t="n"/>
      <c r="Z1395" s="5" t="n"/>
      <c r="AA1395" s="5" t="n"/>
      <c r="AB1395" s="5" t="n"/>
    </row>
    <row r="1396" ht="15.75" customHeight="1" s="79">
      <c r="A1396" s="5" t="n"/>
      <c r="B1396" s="5" t="n"/>
      <c r="C1396" s="5" t="n"/>
      <c r="D1396" s="5" t="n"/>
      <c r="E1396" s="5" t="n"/>
      <c r="F1396" s="5" t="n"/>
      <c r="G1396" s="5" t="n"/>
      <c r="H1396" s="5" t="n"/>
      <c r="I1396" s="5" t="n"/>
      <c r="J1396" s="5" t="n"/>
      <c r="K1396" s="5" t="n"/>
      <c r="L1396" s="5" t="n"/>
      <c r="M1396" s="5" t="n"/>
      <c r="N1396" s="5" t="n"/>
      <c r="O1396" s="5" t="n"/>
      <c r="P1396" s="5" t="n"/>
      <c r="Q1396" s="5" t="n"/>
      <c r="R1396" s="5" t="n"/>
      <c r="S1396" s="5" t="n"/>
      <c r="T1396" s="5" t="n"/>
      <c r="U1396" s="5" t="n"/>
      <c r="V1396" s="5" t="n"/>
      <c r="W1396" s="5" t="n"/>
      <c r="X1396" s="5" t="n"/>
      <c r="Y1396" s="5" t="n"/>
      <c r="Z1396" s="5" t="n"/>
      <c r="AA1396" s="5" t="n"/>
      <c r="AB1396" s="5" t="n"/>
    </row>
    <row r="1397" ht="15.75" customHeight="1" s="79">
      <c r="A1397" s="5" t="n"/>
      <c r="B1397" s="5" t="n"/>
      <c r="C1397" s="5" t="n"/>
      <c r="D1397" s="5" t="n"/>
      <c r="E1397" s="5" t="n"/>
      <c r="F1397" s="5" t="n"/>
      <c r="G1397" s="5" t="n"/>
      <c r="H1397" s="5" t="n"/>
      <c r="I1397" s="5" t="n"/>
      <c r="J1397" s="5" t="n"/>
      <c r="K1397" s="5" t="n"/>
      <c r="L1397" s="5" t="n"/>
      <c r="M1397" s="5" t="n"/>
      <c r="N1397" s="5" t="n"/>
      <c r="O1397" s="5" t="n"/>
      <c r="P1397" s="5" t="n"/>
      <c r="Q1397" s="5" t="n"/>
      <c r="R1397" s="5" t="n"/>
      <c r="S1397" s="5" t="n"/>
      <c r="T1397" s="5" t="n"/>
      <c r="U1397" s="5" t="n"/>
      <c r="V1397" s="5" t="n"/>
      <c r="W1397" s="5" t="n"/>
      <c r="X1397" s="5" t="n"/>
      <c r="Y1397" s="5" t="n"/>
      <c r="Z1397" s="5" t="n"/>
      <c r="AA1397" s="5" t="n"/>
      <c r="AB1397" s="5" t="n"/>
    </row>
    <row r="1398" ht="15.75" customHeight="1" s="79">
      <c r="A1398" s="5" t="n"/>
      <c r="B1398" s="5" t="n"/>
      <c r="C1398" s="5" t="n"/>
      <c r="D1398" s="5" t="n"/>
      <c r="E1398" s="5" t="n"/>
      <c r="F1398" s="5" t="n"/>
      <c r="G1398" s="5" t="n"/>
      <c r="H1398" s="5" t="n"/>
      <c r="I1398" s="5" t="n"/>
      <c r="J1398" s="5" t="n"/>
      <c r="K1398" s="5" t="n"/>
      <c r="L1398" s="5" t="n"/>
      <c r="M1398" s="5" t="n"/>
      <c r="N1398" s="5" t="n"/>
      <c r="O1398" s="5" t="n"/>
      <c r="P1398" s="5" t="n"/>
      <c r="Q1398" s="5" t="n"/>
      <c r="R1398" s="5" t="n"/>
      <c r="S1398" s="5" t="n"/>
      <c r="T1398" s="5" t="n"/>
      <c r="U1398" s="5" t="n"/>
      <c r="V1398" s="5" t="n"/>
      <c r="W1398" s="5" t="n"/>
      <c r="X1398" s="5" t="n"/>
      <c r="Y1398" s="5" t="n"/>
      <c r="Z1398" s="5" t="n"/>
      <c r="AA1398" s="5" t="n"/>
      <c r="AB1398" s="5" t="n"/>
    </row>
    <row r="1399" ht="15.75" customHeight="1" s="79">
      <c r="A1399" s="5" t="n"/>
      <c r="B1399" s="5" t="n"/>
      <c r="C1399" s="5" t="n"/>
      <c r="D1399" s="5" t="n"/>
      <c r="E1399" s="5" t="n"/>
      <c r="F1399" s="5" t="n"/>
      <c r="G1399" s="5" t="n"/>
      <c r="H1399" s="5" t="n"/>
      <c r="I1399" s="5" t="n"/>
      <c r="J1399" s="5" t="n"/>
      <c r="K1399" s="5" t="n"/>
      <c r="L1399" s="5" t="n"/>
      <c r="M1399" s="5" t="n"/>
      <c r="N1399" s="5" t="n"/>
      <c r="O1399" s="5" t="n"/>
      <c r="P1399" s="5" t="n"/>
      <c r="Q1399" s="5" t="n"/>
      <c r="R1399" s="5" t="n"/>
      <c r="S1399" s="5" t="n"/>
      <c r="T1399" s="5" t="n"/>
      <c r="U1399" s="5" t="n"/>
      <c r="V1399" s="5" t="n"/>
      <c r="W1399" s="5" t="n"/>
      <c r="X1399" s="5" t="n"/>
      <c r="Y1399" s="5" t="n"/>
      <c r="Z1399" s="5" t="n"/>
      <c r="AA1399" s="5" t="n"/>
      <c r="AB1399" s="5" t="n"/>
    </row>
    <row r="1400" ht="15.75" customHeight="1" s="79">
      <c r="A1400" s="5" t="n"/>
      <c r="B1400" s="5" t="n"/>
      <c r="C1400" s="5" t="n"/>
      <c r="D1400" s="5" t="n"/>
      <c r="E1400" s="5" t="n"/>
      <c r="F1400" s="5" t="n"/>
      <c r="G1400" s="5" t="n"/>
      <c r="H1400" s="5" t="n"/>
      <c r="I1400" s="5" t="n"/>
      <c r="J1400" s="5" t="n"/>
      <c r="K1400" s="5" t="n"/>
      <c r="L1400" s="5" t="n"/>
      <c r="M1400" s="5" t="n"/>
      <c r="N1400" s="5" t="n"/>
      <c r="O1400" s="5" t="n"/>
      <c r="P1400" s="5" t="n"/>
      <c r="Q1400" s="5" t="n"/>
      <c r="R1400" s="5" t="n"/>
      <c r="S1400" s="5" t="n"/>
      <c r="T1400" s="5" t="n"/>
      <c r="U1400" s="5" t="n"/>
      <c r="V1400" s="5" t="n"/>
      <c r="W1400" s="5" t="n"/>
      <c r="X1400" s="5" t="n"/>
      <c r="Y1400" s="5" t="n"/>
      <c r="Z1400" s="5" t="n"/>
      <c r="AA1400" s="5" t="n"/>
      <c r="AB1400" s="5" t="n"/>
    </row>
    <row r="1401" ht="15.75" customHeight="1" s="79">
      <c r="A1401" s="5" t="n"/>
      <c r="B1401" s="5" t="n"/>
      <c r="C1401" s="5" t="n"/>
      <c r="D1401" s="5" t="n"/>
      <c r="E1401" s="5" t="n"/>
      <c r="F1401" s="5" t="n"/>
      <c r="G1401" s="5" t="n"/>
      <c r="H1401" s="5" t="n"/>
      <c r="I1401" s="5" t="n"/>
      <c r="J1401" s="5" t="n"/>
      <c r="K1401" s="5" t="n"/>
      <c r="L1401" s="5" t="n"/>
      <c r="M1401" s="5" t="n"/>
      <c r="N1401" s="5" t="n"/>
      <c r="O1401" s="5" t="n"/>
      <c r="P1401" s="5" t="n"/>
      <c r="Q1401" s="5" t="n"/>
      <c r="R1401" s="5" t="n"/>
      <c r="S1401" s="5" t="n"/>
      <c r="T1401" s="5" t="n"/>
      <c r="U1401" s="5" t="n"/>
      <c r="V1401" s="5" t="n"/>
      <c r="W1401" s="5" t="n"/>
      <c r="X1401" s="5" t="n"/>
      <c r="Y1401" s="5" t="n"/>
      <c r="Z1401" s="5" t="n"/>
      <c r="AA1401" s="5" t="n"/>
      <c r="AB1401" s="5" t="n"/>
    </row>
    <row r="1402" ht="15.75" customHeight="1" s="79">
      <c r="A1402" s="5" t="n"/>
      <c r="B1402" s="5" t="n"/>
      <c r="C1402" s="5" t="n"/>
      <c r="D1402" s="5" t="n"/>
      <c r="E1402" s="5" t="n"/>
      <c r="F1402" s="5" t="n"/>
      <c r="G1402" s="5" t="n"/>
      <c r="H1402" s="5" t="n"/>
      <c r="I1402" s="5" t="n"/>
      <c r="J1402" s="5" t="n"/>
      <c r="K1402" s="5" t="n"/>
      <c r="L1402" s="5" t="n"/>
      <c r="M1402" s="5" t="n"/>
      <c r="N1402" s="5" t="n"/>
      <c r="O1402" s="5" t="n"/>
      <c r="P1402" s="5" t="n"/>
      <c r="Q1402" s="5" t="n"/>
      <c r="R1402" s="5" t="n"/>
      <c r="S1402" s="5" t="n"/>
      <c r="T1402" s="5" t="n"/>
      <c r="U1402" s="5" t="n"/>
      <c r="V1402" s="5" t="n"/>
      <c r="W1402" s="5" t="n"/>
      <c r="X1402" s="5" t="n"/>
      <c r="Y1402" s="5" t="n"/>
      <c r="Z1402" s="5" t="n"/>
      <c r="AA1402" s="5" t="n"/>
      <c r="AB1402" s="5" t="n"/>
    </row>
    <row r="1403" ht="15.75" customHeight="1" s="79">
      <c r="A1403" s="5" t="n"/>
      <c r="B1403" s="5" t="n"/>
      <c r="C1403" s="5" t="n"/>
      <c r="D1403" s="5" t="n"/>
      <c r="E1403" s="5" t="n"/>
      <c r="F1403" s="5" t="n"/>
      <c r="G1403" s="5" t="n"/>
      <c r="H1403" s="5" t="n"/>
      <c r="I1403" s="5" t="n"/>
      <c r="J1403" s="5" t="n"/>
      <c r="K1403" s="5" t="n"/>
      <c r="L1403" s="5" t="n"/>
      <c r="M1403" s="5" t="n"/>
      <c r="N1403" s="5" t="n"/>
      <c r="O1403" s="5" t="n"/>
      <c r="P1403" s="5" t="n"/>
      <c r="Q1403" s="5" t="n"/>
      <c r="R1403" s="5" t="n"/>
      <c r="S1403" s="5" t="n"/>
      <c r="T1403" s="5" t="n"/>
      <c r="U1403" s="5" t="n"/>
      <c r="V1403" s="5" t="n"/>
      <c r="W1403" s="5" t="n"/>
      <c r="X1403" s="5" t="n"/>
      <c r="Y1403" s="5" t="n"/>
      <c r="Z1403" s="5" t="n"/>
      <c r="AA1403" s="5" t="n"/>
      <c r="AB1403" s="5" t="n"/>
    </row>
    <row r="1404" ht="15.75" customHeight="1" s="79">
      <c r="A1404" s="5" t="n"/>
      <c r="B1404" s="5" t="n"/>
      <c r="C1404" s="5" t="n"/>
      <c r="D1404" s="5" t="n"/>
      <c r="E1404" s="5" t="n"/>
      <c r="F1404" s="5" t="n"/>
      <c r="G1404" s="5" t="n"/>
      <c r="H1404" s="5" t="n"/>
      <c r="I1404" s="5" t="n"/>
      <c r="J1404" s="5" t="n"/>
      <c r="K1404" s="5" t="n"/>
      <c r="L1404" s="5" t="n"/>
      <c r="M1404" s="5" t="n"/>
      <c r="N1404" s="5" t="n"/>
      <c r="O1404" s="5" t="n"/>
      <c r="P1404" s="5" t="n"/>
      <c r="Q1404" s="5" t="n"/>
      <c r="R1404" s="5" t="n"/>
      <c r="S1404" s="5" t="n"/>
      <c r="T1404" s="5" t="n"/>
      <c r="U1404" s="5" t="n"/>
      <c r="V1404" s="5" t="n"/>
      <c r="W1404" s="5" t="n"/>
      <c r="X1404" s="5" t="n"/>
      <c r="Y1404" s="5" t="n"/>
      <c r="Z1404" s="5" t="n"/>
      <c r="AA1404" s="5" t="n"/>
      <c r="AB1404" s="5" t="n"/>
    </row>
    <row r="1405" ht="15.75" customHeight="1" s="79">
      <c r="A1405" s="5" t="n"/>
      <c r="B1405" s="5" t="n"/>
      <c r="C1405" s="5" t="n"/>
      <c r="D1405" s="5" t="n"/>
      <c r="E1405" s="5" t="n"/>
      <c r="F1405" s="5" t="n"/>
      <c r="G1405" s="5" t="n"/>
      <c r="H1405" s="5" t="n"/>
      <c r="I1405" s="5" t="n"/>
      <c r="J1405" s="5" t="n"/>
      <c r="K1405" s="5" t="n"/>
      <c r="L1405" s="5" t="n"/>
      <c r="M1405" s="5" t="n"/>
      <c r="N1405" s="5" t="n"/>
      <c r="O1405" s="5" t="n"/>
      <c r="P1405" s="5" t="n"/>
      <c r="Q1405" s="5" t="n"/>
      <c r="R1405" s="5" t="n"/>
      <c r="S1405" s="5" t="n"/>
      <c r="T1405" s="5" t="n"/>
      <c r="U1405" s="5" t="n"/>
      <c r="V1405" s="5" t="n"/>
      <c r="W1405" s="5" t="n"/>
      <c r="X1405" s="5" t="n"/>
      <c r="Y1405" s="5" t="n"/>
      <c r="Z1405" s="5" t="n"/>
      <c r="AA1405" s="5" t="n"/>
      <c r="AB1405" s="5" t="n"/>
    </row>
    <row r="1406" ht="15.75" customHeight="1" s="79">
      <c r="A1406" s="5" t="n"/>
      <c r="B1406" s="5" t="n"/>
      <c r="C1406" s="5" t="n"/>
      <c r="D1406" s="5" t="n"/>
      <c r="E1406" s="5" t="n"/>
      <c r="F1406" s="5" t="n"/>
      <c r="G1406" s="5" t="n"/>
      <c r="H1406" s="5" t="n"/>
      <c r="I1406" s="5" t="n"/>
      <c r="J1406" s="5" t="n"/>
      <c r="K1406" s="5" t="n"/>
      <c r="L1406" s="5" t="n"/>
      <c r="M1406" s="5" t="n"/>
      <c r="N1406" s="5" t="n"/>
      <c r="O1406" s="5" t="n"/>
      <c r="P1406" s="5" t="n"/>
      <c r="Q1406" s="5" t="n"/>
      <c r="R1406" s="5" t="n"/>
      <c r="S1406" s="5" t="n"/>
      <c r="T1406" s="5" t="n"/>
      <c r="U1406" s="5" t="n"/>
      <c r="V1406" s="5" t="n"/>
      <c r="W1406" s="5" t="n"/>
      <c r="X1406" s="5" t="n"/>
      <c r="Y1406" s="5" t="n"/>
      <c r="Z1406" s="5" t="n"/>
      <c r="AA1406" s="5" t="n"/>
      <c r="AB1406" s="5" t="n"/>
    </row>
    <row r="1407" ht="15.75" customHeight="1" s="79">
      <c r="A1407" s="5" t="n"/>
      <c r="B1407" s="5" t="n"/>
      <c r="C1407" s="5" t="n"/>
      <c r="D1407" s="5" t="n"/>
      <c r="E1407" s="5" t="n"/>
      <c r="F1407" s="5" t="n"/>
      <c r="G1407" s="5" t="n"/>
      <c r="H1407" s="5" t="n"/>
      <c r="I1407" s="5" t="n"/>
      <c r="J1407" s="5" t="n"/>
      <c r="K1407" s="5" t="n"/>
      <c r="L1407" s="5" t="n"/>
      <c r="M1407" s="5" t="n"/>
      <c r="N1407" s="5" t="n"/>
      <c r="O1407" s="5" t="n"/>
      <c r="P1407" s="5" t="n"/>
      <c r="Q1407" s="5" t="n"/>
      <c r="R1407" s="5" t="n"/>
      <c r="S1407" s="5" t="n"/>
      <c r="T1407" s="5" t="n"/>
      <c r="U1407" s="5" t="n"/>
      <c r="V1407" s="5" t="n"/>
      <c r="W1407" s="5" t="n"/>
      <c r="X1407" s="5" t="n"/>
      <c r="Y1407" s="5" t="n"/>
      <c r="Z1407" s="5" t="n"/>
      <c r="AA1407" s="5" t="n"/>
      <c r="AB1407" s="5" t="n"/>
    </row>
    <row r="1408" ht="15.75" customHeight="1" s="79">
      <c r="A1408" s="5" t="n"/>
      <c r="B1408" s="5" t="n"/>
      <c r="C1408" s="5" t="n"/>
      <c r="D1408" s="5" t="n"/>
      <c r="E1408" s="5" t="n"/>
      <c r="F1408" s="5" t="n"/>
      <c r="G1408" s="5" t="n"/>
      <c r="H1408" s="5" t="n"/>
      <c r="I1408" s="5" t="n"/>
      <c r="J1408" s="5" t="n"/>
      <c r="K1408" s="5" t="n"/>
      <c r="L1408" s="5" t="n"/>
      <c r="M1408" s="5" t="n"/>
      <c r="N1408" s="5" t="n"/>
      <c r="O1408" s="5" t="n"/>
      <c r="P1408" s="5" t="n"/>
      <c r="Q1408" s="5" t="n"/>
      <c r="R1408" s="5" t="n"/>
      <c r="S1408" s="5" t="n"/>
      <c r="T1408" s="5" t="n"/>
      <c r="U1408" s="5" t="n"/>
      <c r="V1408" s="5" t="n"/>
      <c r="W1408" s="5" t="n"/>
      <c r="X1408" s="5" t="n"/>
      <c r="Y1408" s="5" t="n"/>
      <c r="Z1408" s="5" t="n"/>
      <c r="AA1408" s="5" t="n"/>
      <c r="AB1408" s="5" t="n"/>
    </row>
    <row r="1409" ht="15.75" customHeight="1" s="79">
      <c r="A1409" s="5" t="n"/>
      <c r="B1409" s="5" t="n"/>
      <c r="C1409" s="5" t="n"/>
      <c r="D1409" s="5" t="n"/>
      <c r="E1409" s="5" t="n"/>
      <c r="F1409" s="5" t="n"/>
      <c r="G1409" s="5" t="n"/>
      <c r="H1409" s="5" t="n"/>
      <c r="I1409" s="5" t="n"/>
      <c r="J1409" s="5" t="n"/>
      <c r="K1409" s="5" t="n"/>
      <c r="L1409" s="5" t="n"/>
      <c r="M1409" s="5" t="n"/>
      <c r="N1409" s="5" t="n"/>
      <c r="O1409" s="5" t="n"/>
      <c r="P1409" s="5" t="n"/>
      <c r="Q1409" s="5" t="n"/>
      <c r="R1409" s="5" t="n"/>
      <c r="S1409" s="5" t="n"/>
      <c r="T1409" s="5" t="n"/>
      <c r="U1409" s="5" t="n"/>
      <c r="V1409" s="5" t="n"/>
      <c r="W1409" s="5" t="n"/>
      <c r="X1409" s="5" t="n"/>
      <c r="Y1409" s="5" t="n"/>
      <c r="Z1409" s="5" t="n"/>
      <c r="AA1409" s="5" t="n"/>
      <c r="AB1409" s="5" t="n"/>
    </row>
    <row r="1410" ht="15.75" customHeight="1" s="79">
      <c r="A1410" s="5" t="n"/>
      <c r="B1410" s="5" t="n"/>
      <c r="C1410" s="5" t="n"/>
      <c r="D1410" s="5" t="n"/>
      <c r="E1410" s="5" t="n"/>
      <c r="F1410" s="5" t="n"/>
      <c r="G1410" s="5" t="n"/>
      <c r="H1410" s="5" t="n"/>
      <c r="I1410" s="5" t="n"/>
      <c r="J1410" s="5" t="n"/>
      <c r="K1410" s="5" t="n"/>
      <c r="L1410" s="5" t="n"/>
      <c r="M1410" s="5" t="n"/>
      <c r="N1410" s="5" t="n"/>
      <c r="O1410" s="5" t="n"/>
      <c r="P1410" s="5" t="n"/>
      <c r="Q1410" s="5" t="n"/>
      <c r="R1410" s="5" t="n"/>
      <c r="S1410" s="5" t="n"/>
      <c r="T1410" s="5" t="n"/>
      <c r="U1410" s="5" t="n"/>
      <c r="V1410" s="5" t="n"/>
      <c r="W1410" s="5" t="n"/>
      <c r="X1410" s="5" t="n"/>
      <c r="Y1410" s="5" t="n"/>
      <c r="Z1410" s="5" t="n"/>
      <c r="AA1410" s="5" t="n"/>
      <c r="AB1410" s="5" t="n"/>
    </row>
    <row r="1411" ht="15.75" customHeight="1" s="79">
      <c r="A1411" s="5" t="n"/>
      <c r="B1411" s="5" t="n"/>
      <c r="C1411" s="5" t="n"/>
      <c r="D1411" s="5" t="n"/>
      <c r="E1411" s="5" t="n"/>
      <c r="F1411" s="5" t="n"/>
      <c r="G1411" s="5" t="n"/>
      <c r="H1411" s="5" t="n"/>
      <c r="I1411" s="5" t="n"/>
      <c r="J1411" s="5" t="n"/>
      <c r="K1411" s="5" t="n"/>
      <c r="L1411" s="5" t="n"/>
      <c r="M1411" s="5" t="n"/>
      <c r="N1411" s="5" t="n"/>
      <c r="O1411" s="5" t="n"/>
      <c r="P1411" s="5" t="n"/>
      <c r="Q1411" s="5" t="n"/>
      <c r="R1411" s="5" t="n"/>
      <c r="S1411" s="5" t="n"/>
      <c r="T1411" s="5" t="n"/>
      <c r="U1411" s="5" t="n"/>
      <c r="V1411" s="5" t="n"/>
      <c r="W1411" s="5" t="n"/>
      <c r="X1411" s="5" t="n"/>
      <c r="Y1411" s="5" t="n"/>
      <c r="Z1411" s="5" t="n"/>
      <c r="AA1411" s="5" t="n"/>
      <c r="AB1411" s="5" t="n"/>
    </row>
    <row r="1412" ht="15.75" customHeight="1" s="79">
      <c r="A1412" s="5" t="n"/>
      <c r="B1412" s="5" t="n"/>
      <c r="C1412" s="5" t="n"/>
      <c r="D1412" s="5" t="n"/>
      <c r="E1412" s="5" t="n"/>
      <c r="F1412" s="5" t="n"/>
      <c r="G1412" s="5" t="n"/>
      <c r="H1412" s="5" t="n"/>
      <c r="I1412" s="5" t="n"/>
      <c r="J1412" s="5" t="n"/>
      <c r="K1412" s="5" t="n"/>
      <c r="L1412" s="5" t="n"/>
      <c r="M1412" s="5" t="n"/>
      <c r="N1412" s="5" t="n"/>
      <c r="O1412" s="5" t="n"/>
      <c r="P1412" s="5" t="n"/>
      <c r="Q1412" s="5" t="n"/>
      <c r="R1412" s="5" t="n"/>
      <c r="S1412" s="5" t="n"/>
      <c r="T1412" s="5" t="n"/>
      <c r="U1412" s="5" t="n"/>
      <c r="V1412" s="5" t="n"/>
      <c r="W1412" s="5" t="n"/>
      <c r="X1412" s="5" t="n"/>
      <c r="Y1412" s="5" t="n"/>
      <c r="Z1412" s="5" t="n"/>
      <c r="AA1412" s="5" t="n"/>
      <c r="AB1412" s="5" t="n"/>
    </row>
    <row r="1413" ht="15.75" customHeight="1" s="79">
      <c r="A1413" s="5" t="n"/>
      <c r="B1413" s="5" t="n"/>
      <c r="C1413" s="5" t="n"/>
      <c r="D1413" s="5" t="n"/>
      <c r="E1413" s="5" t="n"/>
      <c r="F1413" s="5" t="n"/>
      <c r="G1413" s="5" t="n"/>
      <c r="H1413" s="5" t="n"/>
      <c r="I1413" s="5" t="n"/>
      <c r="J1413" s="5" t="n"/>
      <c r="K1413" s="5" t="n"/>
      <c r="L1413" s="5" t="n"/>
      <c r="M1413" s="5" t="n"/>
      <c r="N1413" s="5" t="n"/>
      <c r="O1413" s="5" t="n"/>
      <c r="P1413" s="5" t="n"/>
      <c r="Q1413" s="5" t="n"/>
      <c r="R1413" s="5" t="n"/>
      <c r="S1413" s="5" t="n"/>
      <c r="T1413" s="5" t="n"/>
      <c r="U1413" s="5" t="n"/>
      <c r="V1413" s="5" t="n"/>
      <c r="W1413" s="5" t="n"/>
      <c r="X1413" s="5" t="n"/>
      <c r="Y1413" s="5" t="n"/>
      <c r="Z1413" s="5" t="n"/>
      <c r="AA1413" s="5" t="n"/>
      <c r="AB1413" s="5" t="n"/>
    </row>
    <row r="1414" ht="15.75" customHeight="1" s="79">
      <c r="A1414" s="5" t="n"/>
      <c r="B1414" s="5" t="n"/>
      <c r="C1414" s="5" t="n"/>
      <c r="D1414" s="5" t="n"/>
      <c r="E1414" s="5" t="n"/>
      <c r="F1414" s="5" t="n"/>
      <c r="G1414" s="5" t="n"/>
      <c r="H1414" s="5" t="n"/>
      <c r="I1414" s="5" t="n"/>
      <c r="J1414" s="5" t="n"/>
      <c r="K1414" s="5" t="n"/>
      <c r="L1414" s="5" t="n"/>
      <c r="M1414" s="5" t="n"/>
      <c r="N1414" s="5" t="n"/>
      <c r="O1414" s="5" t="n"/>
      <c r="P1414" s="5" t="n"/>
      <c r="Q1414" s="5" t="n"/>
      <c r="R1414" s="5" t="n"/>
      <c r="S1414" s="5" t="n"/>
      <c r="T1414" s="5" t="n"/>
      <c r="U1414" s="5" t="n"/>
      <c r="V1414" s="5" t="n"/>
      <c r="W1414" s="5" t="n"/>
      <c r="X1414" s="5" t="n"/>
      <c r="Y1414" s="5" t="n"/>
      <c r="Z1414" s="5" t="n"/>
      <c r="AA1414" s="5" t="n"/>
      <c r="AB1414" s="5" t="n"/>
    </row>
    <row r="1415" ht="15.75" customHeight="1" s="79">
      <c r="A1415" s="5" t="n"/>
      <c r="B1415" s="5" t="n"/>
      <c r="C1415" s="5" t="n"/>
      <c r="D1415" s="5" t="n"/>
      <c r="E1415" s="5" t="n"/>
      <c r="F1415" s="5" t="n"/>
      <c r="G1415" s="5" t="n"/>
      <c r="H1415" s="5" t="n"/>
      <c r="I1415" s="5" t="n"/>
      <c r="J1415" s="5" t="n"/>
      <c r="K1415" s="5" t="n"/>
      <c r="L1415" s="5" t="n"/>
      <c r="M1415" s="5" t="n"/>
      <c r="N1415" s="5" t="n"/>
      <c r="O1415" s="5" t="n"/>
      <c r="P1415" s="5" t="n"/>
      <c r="Q1415" s="5" t="n"/>
      <c r="R1415" s="5" t="n"/>
      <c r="S1415" s="5" t="n"/>
      <c r="T1415" s="5" t="n"/>
      <c r="U1415" s="5" t="n"/>
      <c r="V1415" s="5" t="n"/>
      <c r="W1415" s="5" t="n"/>
      <c r="X1415" s="5" t="n"/>
      <c r="Y1415" s="5" t="n"/>
      <c r="Z1415" s="5" t="n"/>
      <c r="AA1415" s="5" t="n"/>
      <c r="AB1415" s="5" t="n"/>
    </row>
    <row r="1416" ht="15.75" customHeight="1" s="79">
      <c r="A1416" s="5" t="n"/>
      <c r="B1416" s="5" t="n"/>
      <c r="C1416" s="5" t="n"/>
      <c r="D1416" s="5" t="n"/>
      <c r="E1416" s="5" t="n"/>
      <c r="F1416" s="5" t="n"/>
      <c r="G1416" s="5" t="n"/>
      <c r="H1416" s="5" t="n"/>
      <c r="I1416" s="5" t="n"/>
      <c r="J1416" s="5" t="n"/>
      <c r="K1416" s="5" t="n"/>
      <c r="L1416" s="5" t="n"/>
      <c r="M1416" s="5" t="n"/>
      <c r="N1416" s="5" t="n"/>
      <c r="O1416" s="5" t="n"/>
      <c r="P1416" s="5" t="n"/>
      <c r="Q1416" s="5" t="n"/>
      <c r="R1416" s="5" t="n"/>
      <c r="S1416" s="5" t="n"/>
      <c r="T1416" s="5" t="n"/>
      <c r="U1416" s="5" t="n"/>
      <c r="V1416" s="5" t="n"/>
      <c r="W1416" s="5" t="n"/>
      <c r="X1416" s="5" t="n"/>
      <c r="Y1416" s="5" t="n"/>
      <c r="Z1416" s="5" t="n"/>
      <c r="AA1416" s="5" t="n"/>
      <c r="AB1416" s="5" t="n"/>
    </row>
    <row r="1417" ht="15.75" customHeight="1" s="79">
      <c r="A1417" s="5" t="n"/>
      <c r="B1417" s="5" t="n"/>
      <c r="C1417" s="5" t="n"/>
      <c r="D1417" s="5" t="n"/>
      <c r="E1417" s="5" t="n"/>
      <c r="F1417" s="5" t="n"/>
      <c r="G1417" s="5" t="n"/>
      <c r="H1417" s="5" t="n"/>
      <c r="I1417" s="5" t="n"/>
      <c r="J1417" s="5" t="n"/>
      <c r="K1417" s="5" t="n"/>
      <c r="L1417" s="5" t="n"/>
      <c r="M1417" s="5" t="n"/>
      <c r="N1417" s="5" t="n"/>
      <c r="O1417" s="5" t="n"/>
      <c r="P1417" s="5" t="n"/>
      <c r="Q1417" s="5" t="n"/>
      <c r="R1417" s="5" t="n"/>
      <c r="S1417" s="5" t="n"/>
      <c r="T1417" s="5" t="n"/>
      <c r="U1417" s="5" t="n"/>
      <c r="V1417" s="5" t="n"/>
      <c r="W1417" s="5" t="n"/>
      <c r="X1417" s="5" t="n"/>
      <c r="Y1417" s="5" t="n"/>
      <c r="Z1417" s="5" t="n"/>
      <c r="AA1417" s="5" t="n"/>
      <c r="AB1417" s="5" t="n"/>
    </row>
    <row r="1418" ht="15.75" customHeight="1" s="79">
      <c r="A1418" s="5" t="n"/>
      <c r="B1418" s="5" t="n"/>
      <c r="C1418" s="5" t="n"/>
      <c r="D1418" s="5" t="n"/>
      <c r="E1418" s="5" t="n"/>
      <c r="F1418" s="5" t="n"/>
      <c r="G1418" s="5" t="n"/>
      <c r="H1418" s="5" t="n"/>
      <c r="I1418" s="5" t="n"/>
      <c r="J1418" s="5" t="n"/>
      <c r="K1418" s="5" t="n"/>
      <c r="L1418" s="5" t="n"/>
      <c r="M1418" s="5" t="n"/>
      <c r="N1418" s="5" t="n"/>
      <c r="O1418" s="5" t="n"/>
      <c r="P1418" s="5" t="n"/>
      <c r="Q1418" s="5" t="n"/>
      <c r="R1418" s="5" t="n"/>
      <c r="S1418" s="5" t="n"/>
      <c r="T1418" s="5" t="n"/>
      <c r="U1418" s="5" t="n"/>
      <c r="V1418" s="5" t="n"/>
      <c r="W1418" s="5" t="n"/>
      <c r="X1418" s="5" t="n"/>
      <c r="Y1418" s="5" t="n"/>
      <c r="Z1418" s="5" t="n"/>
      <c r="AA1418" s="5" t="n"/>
      <c r="AB1418" s="5" t="n"/>
    </row>
    <row r="1419" ht="15.75" customHeight="1" s="79">
      <c r="A1419" s="5" t="n"/>
      <c r="B1419" s="5" t="n"/>
      <c r="C1419" s="5" t="n"/>
      <c r="D1419" s="5" t="n"/>
      <c r="E1419" s="5" t="n"/>
      <c r="F1419" s="5" t="n"/>
      <c r="G1419" s="5" t="n"/>
      <c r="H1419" s="5" t="n"/>
      <c r="I1419" s="5" t="n"/>
      <c r="J1419" s="5" t="n"/>
      <c r="K1419" s="5" t="n"/>
      <c r="L1419" s="5" t="n"/>
      <c r="M1419" s="5" t="n"/>
      <c r="N1419" s="5" t="n"/>
      <c r="O1419" s="5" t="n"/>
      <c r="P1419" s="5" t="n"/>
      <c r="Q1419" s="5" t="n"/>
      <c r="R1419" s="5" t="n"/>
      <c r="S1419" s="5" t="n"/>
      <c r="T1419" s="5" t="n"/>
      <c r="U1419" s="5" t="n"/>
      <c r="V1419" s="5" t="n"/>
      <c r="W1419" s="5" t="n"/>
      <c r="X1419" s="5" t="n"/>
      <c r="Y1419" s="5" t="n"/>
      <c r="Z1419" s="5" t="n"/>
      <c r="AA1419" s="5" t="n"/>
      <c r="AB1419" s="5" t="n"/>
    </row>
    <row r="1420" ht="15.75" customHeight="1" s="79">
      <c r="A1420" s="5" t="n"/>
      <c r="B1420" s="5" t="n"/>
      <c r="C1420" s="5" t="n"/>
      <c r="D1420" s="5" t="n"/>
      <c r="E1420" s="5" t="n"/>
      <c r="F1420" s="5" t="n"/>
      <c r="G1420" s="5" t="n"/>
      <c r="H1420" s="5" t="n"/>
      <c r="I1420" s="5" t="n"/>
      <c r="J1420" s="5" t="n"/>
      <c r="K1420" s="5" t="n"/>
      <c r="L1420" s="5" t="n"/>
      <c r="M1420" s="5" t="n"/>
      <c r="N1420" s="5" t="n"/>
      <c r="O1420" s="5" t="n"/>
      <c r="P1420" s="5" t="n"/>
      <c r="Q1420" s="5" t="n"/>
      <c r="R1420" s="5" t="n"/>
      <c r="S1420" s="5" t="n"/>
      <c r="T1420" s="5" t="n"/>
      <c r="U1420" s="5" t="n"/>
      <c r="V1420" s="5" t="n"/>
      <c r="W1420" s="5" t="n"/>
      <c r="X1420" s="5" t="n"/>
      <c r="Y1420" s="5" t="n"/>
      <c r="Z1420" s="5" t="n"/>
      <c r="AA1420" s="5" t="n"/>
      <c r="AB1420" s="5" t="n"/>
    </row>
    <row r="1421" ht="15.75" customHeight="1" s="79">
      <c r="A1421" s="5" t="n"/>
      <c r="B1421" s="5" t="n"/>
      <c r="C1421" s="5" t="n"/>
      <c r="D1421" s="5" t="n"/>
      <c r="E1421" s="5" t="n"/>
      <c r="F1421" s="5" t="n"/>
      <c r="G1421" s="5" t="n"/>
      <c r="H1421" s="5" t="n"/>
      <c r="I1421" s="5" t="n"/>
      <c r="J1421" s="5" t="n"/>
      <c r="K1421" s="5" t="n"/>
      <c r="L1421" s="5" t="n"/>
      <c r="M1421" s="5" t="n"/>
      <c r="N1421" s="5" t="n"/>
      <c r="O1421" s="5" t="n"/>
      <c r="P1421" s="5" t="n"/>
      <c r="Q1421" s="5" t="n"/>
      <c r="R1421" s="5" t="n"/>
      <c r="S1421" s="5" t="n"/>
      <c r="T1421" s="5" t="n"/>
      <c r="U1421" s="5" t="n"/>
      <c r="V1421" s="5" t="n"/>
      <c r="W1421" s="5" t="n"/>
      <c r="X1421" s="5" t="n"/>
      <c r="Y1421" s="5" t="n"/>
      <c r="Z1421" s="5" t="n"/>
      <c r="AA1421" s="5" t="n"/>
      <c r="AB1421" s="5" t="n"/>
    </row>
    <row r="1422" ht="15.75" customHeight="1" s="79">
      <c r="A1422" s="5" t="n"/>
      <c r="B1422" s="5" t="n"/>
      <c r="C1422" s="5" t="n"/>
      <c r="D1422" s="5" t="n"/>
      <c r="E1422" s="5" t="n"/>
      <c r="F1422" s="5" t="n"/>
      <c r="G1422" s="5" t="n"/>
      <c r="H1422" s="5" t="n"/>
      <c r="I1422" s="5" t="n"/>
      <c r="J1422" s="5" t="n"/>
      <c r="K1422" s="5" t="n"/>
      <c r="L1422" s="5" t="n"/>
      <c r="M1422" s="5" t="n"/>
      <c r="N1422" s="5" t="n"/>
      <c r="O1422" s="5" t="n"/>
      <c r="P1422" s="5" t="n"/>
      <c r="Q1422" s="5" t="n"/>
      <c r="R1422" s="5" t="n"/>
      <c r="S1422" s="5" t="n"/>
      <c r="T1422" s="5" t="n"/>
      <c r="U1422" s="5" t="n"/>
      <c r="V1422" s="5" t="n"/>
      <c r="W1422" s="5" t="n"/>
      <c r="X1422" s="5" t="n"/>
      <c r="Y1422" s="5" t="n"/>
      <c r="Z1422" s="5" t="n"/>
      <c r="AA1422" s="5" t="n"/>
      <c r="AB1422" s="5" t="n"/>
    </row>
    <row r="1423" ht="15.75" customHeight="1" s="79">
      <c r="A1423" s="5" t="n"/>
      <c r="B1423" s="5" t="n"/>
      <c r="C1423" s="5" t="n"/>
      <c r="D1423" s="5" t="n"/>
      <c r="E1423" s="5" t="n"/>
      <c r="F1423" s="5" t="n"/>
      <c r="G1423" s="5" t="n"/>
      <c r="H1423" s="5" t="n"/>
      <c r="I1423" s="5" t="n"/>
      <c r="J1423" s="5" t="n"/>
      <c r="K1423" s="5" t="n"/>
      <c r="L1423" s="5" t="n"/>
      <c r="M1423" s="5" t="n"/>
      <c r="N1423" s="5" t="n"/>
      <c r="O1423" s="5" t="n"/>
      <c r="P1423" s="5" t="n"/>
      <c r="Q1423" s="5" t="n"/>
      <c r="R1423" s="5" t="n"/>
      <c r="S1423" s="5" t="n"/>
      <c r="T1423" s="5" t="n"/>
      <c r="U1423" s="5" t="n"/>
      <c r="V1423" s="5" t="n"/>
      <c r="W1423" s="5" t="n"/>
      <c r="X1423" s="5" t="n"/>
      <c r="Y1423" s="5" t="n"/>
      <c r="Z1423" s="5" t="n"/>
      <c r="AA1423" s="5" t="n"/>
      <c r="AB1423" s="5" t="n"/>
    </row>
    <row r="1424" ht="15.75" customHeight="1" s="79">
      <c r="A1424" s="5" t="n"/>
      <c r="B1424" s="5" t="n"/>
      <c r="C1424" s="5" t="n"/>
      <c r="D1424" s="5" t="n"/>
      <c r="E1424" s="5" t="n"/>
      <c r="F1424" s="5" t="n"/>
      <c r="G1424" s="5" t="n"/>
      <c r="H1424" s="5" t="n"/>
      <c r="I1424" s="5" t="n"/>
      <c r="J1424" s="5" t="n"/>
      <c r="K1424" s="5" t="n"/>
      <c r="L1424" s="5" t="n"/>
      <c r="M1424" s="5" t="n"/>
      <c r="N1424" s="5" t="n"/>
      <c r="O1424" s="5" t="n"/>
      <c r="P1424" s="5" t="n"/>
      <c r="Q1424" s="5" t="n"/>
      <c r="R1424" s="5" t="n"/>
      <c r="S1424" s="5" t="n"/>
      <c r="T1424" s="5" t="n"/>
      <c r="U1424" s="5" t="n"/>
      <c r="V1424" s="5" t="n"/>
      <c r="W1424" s="5" t="n"/>
      <c r="X1424" s="5" t="n"/>
      <c r="Y1424" s="5" t="n"/>
      <c r="Z1424" s="5" t="n"/>
      <c r="AA1424" s="5" t="n"/>
      <c r="AB1424" s="5" t="n"/>
    </row>
    <row r="1425" ht="15.75" customHeight="1" s="79">
      <c r="A1425" s="5" t="n"/>
      <c r="B1425" s="5" t="n"/>
      <c r="C1425" s="5" t="n"/>
      <c r="D1425" s="5" t="n"/>
      <c r="E1425" s="5" t="n"/>
      <c r="F1425" s="5" t="n"/>
      <c r="G1425" s="5" t="n"/>
      <c r="H1425" s="5" t="n"/>
      <c r="I1425" s="5" t="n"/>
      <c r="J1425" s="5" t="n"/>
      <c r="K1425" s="5" t="n"/>
      <c r="L1425" s="5" t="n"/>
      <c r="M1425" s="5" t="n"/>
      <c r="N1425" s="5" t="n"/>
      <c r="O1425" s="5" t="n"/>
      <c r="P1425" s="5" t="n"/>
      <c r="Q1425" s="5" t="n"/>
      <c r="R1425" s="5" t="n"/>
      <c r="S1425" s="5" t="n"/>
      <c r="T1425" s="5" t="n"/>
      <c r="U1425" s="5" t="n"/>
      <c r="V1425" s="5" t="n"/>
      <c r="W1425" s="5" t="n"/>
      <c r="X1425" s="5" t="n"/>
      <c r="Y1425" s="5" t="n"/>
      <c r="Z1425" s="5" t="n"/>
      <c r="AA1425" s="5" t="n"/>
      <c r="AB1425" s="5" t="n"/>
    </row>
    <row r="1426" ht="15.75" customHeight="1" s="79">
      <c r="A1426" s="5" t="n"/>
      <c r="B1426" s="5" t="n"/>
      <c r="C1426" s="5" t="n"/>
      <c r="D1426" s="5" t="n"/>
      <c r="E1426" s="5" t="n"/>
      <c r="F1426" s="5" t="n"/>
      <c r="G1426" s="5" t="n"/>
      <c r="H1426" s="5" t="n"/>
      <c r="I1426" s="5" t="n"/>
      <c r="J1426" s="5" t="n"/>
      <c r="K1426" s="5" t="n"/>
      <c r="L1426" s="5" t="n"/>
      <c r="M1426" s="5" t="n"/>
      <c r="N1426" s="5" t="n"/>
      <c r="O1426" s="5" t="n"/>
      <c r="P1426" s="5" t="n"/>
      <c r="Q1426" s="5" t="n"/>
      <c r="R1426" s="5" t="n"/>
      <c r="S1426" s="5" t="n"/>
      <c r="T1426" s="5" t="n"/>
      <c r="U1426" s="5" t="n"/>
      <c r="V1426" s="5" t="n"/>
      <c r="W1426" s="5" t="n"/>
      <c r="X1426" s="5" t="n"/>
      <c r="Y1426" s="5" t="n"/>
      <c r="Z1426" s="5" t="n"/>
      <c r="AA1426" s="5" t="n"/>
      <c r="AB1426" s="5" t="n"/>
    </row>
    <row r="1427" ht="15.75" customHeight="1" s="79">
      <c r="A1427" s="5" t="n"/>
      <c r="B1427" s="5" t="n"/>
      <c r="C1427" s="5" t="n"/>
      <c r="D1427" s="5" t="n"/>
      <c r="E1427" s="5" t="n"/>
      <c r="F1427" s="5" t="n"/>
      <c r="G1427" s="5" t="n"/>
      <c r="H1427" s="5" t="n"/>
      <c r="I1427" s="5" t="n"/>
      <c r="J1427" s="5" t="n"/>
      <c r="K1427" s="5" t="n"/>
      <c r="L1427" s="5" t="n"/>
      <c r="M1427" s="5" t="n"/>
      <c r="N1427" s="5" t="n"/>
      <c r="O1427" s="5" t="n"/>
      <c r="P1427" s="5" t="n"/>
      <c r="Q1427" s="5" t="n"/>
      <c r="R1427" s="5" t="n"/>
      <c r="S1427" s="5" t="n"/>
      <c r="T1427" s="5" t="n"/>
      <c r="U1427" s="5" t="n"/>
      <c r="V1427" s="5" t="n"/>
      <c r="W1427" s="5" t="n"/>
      <c r="X1427" s="5" t="n"/>
      <c r="Y1427" s="5" t="n"/>
      <c r="Z1427" s="5" t="n"/>
      <c r="AA1427" s="5" t="n"/>
      <c r="AB1427" s="5" t="n"/>
    </row>
    <row r="1428" ht="15.75" customHeight="1" s="79">
      <c r="A1428" s="5" t="n"/>
      <c r="B1428" s="5" t="n"/>
      <c r="C1428" s="5" t="n"/>
      <c r="D1428" s="5" t="n"/>
      <c r="E1428" s="5" t="n"/>
      <c r="F1428" s="5" t="n"/>
      <c r="G1428" s="5" t="n"/>
      <c r="H1428" s="5" t="n"/>
      <c r="I1428" s="5" t="n"/>
      <c r="J1428" s="5" t="n"/>
      <c r="K1428" s="5" t="n"/>
      <c r="L1428" s="5" t="n"/>
      <c r="M1428" s="5" t="n"/>
      <c r="N1428" s="5" t="n"/>
      <c r="O1428" s="5" t="n"/>
      <c r="P1428" s="5" t="n"/>
      <c r="Q1428" s="5" t="n"/>
      <c r="R1428" s="5" t="n"/>
      <c r="S1428" s="5" t="n"/>
      <c r="T1428" s="5" t="n"/>
      <c r="U1428" s="5" t="n"/>
      <c r="V1428" s="5" t="n"/>
      <c r="W1428" s="5" t="n"/>
      <c r="X1428" s="5" t="n"/>
      <c r="Y1428" s="5" t="n"/>
      <c r="Z1428" s="5" t="n"/>
      <c r="AA1428" s="5" t="n"/>
      <c r="AB1428" s="5" t="n"/>
    </row>
    <row r="1429" ht="15.75" customHeight="1" s="79">
      <c r="A1429" s="5" t="n"/>
      <c r="B1429" s="5" t="n"/>
      <c r="C1429" s="5" t="n"/>
      <c r="D1429" s="5" t="n"/>
      <c r="E1429" s="5" t="n"/>
      <c r="F1429" s="5" t="n"/>
      <c r="G1429" s="5" t="n"/>
      <c r="H1429" s="5" t="n"/>
      <c r="I1429" s="5" t="n"/>
      <c r="J1429" s="5" t="n"/>
      <c r="K1429" s="5" t="n"/>
      <c r="L1429" s="5" t="n"/>
      <c r="M1429" s="5" t="n"/>
      <c r="N1429" s="5" t="n"/>
      <c r="O1429" s="5" t="n"/>
      <c r="P1429" s="5" t="n"/>
      <c r="Q1429" s="5" t="n"/>
      <c r="R1429" s="5" t="n"/>
      <c r="S1429" s="5" t="n"/>
      <c r="T1429" s="5" t="n"/>
      <c r="U1429" s="5" t="n"/>
      <c r="V1429" s="5" t="n"/>
      <c r="W1429" s="5" t="n"/>
      <c r="X1429" s="5" t="n"/>
      <c r="Y1429" s="5" t="n"/>
      <c r="Z1429" s="5" t="n"/>
      <c r="AA1429" s="5" t="n"/>
      <c r="AB1429" s="5" t="n"/>
    </row>
    <row r="1430" ht="15.75" customHeight="1" s="79">
      <c r="A1430" s="5" t="n"/>
      <c r="B1430" s="5" t="n"/>
      <c r="C1430" s="5" t="n"/>
      <c r="D1430" s="5" t="n"/>
      <c r="E1430" s="5" t="n"/>
      <c r="F1430" s="5" t="n"/>
      <c r="G1430" s="5" t="n"/>
      <c r="H1430" s="5" t="n"/>
      <c r="I1430" s="5" t="n"/>
      <c r="J1430" s="5" t="n"/>
      <c r="K1430" s="5" t="n"/>
      <c r="L1430" s="5" t="n"/>
      <c r="M1430" s="5" t="n"/>
      <c r="N1430" s="5" t="n"/>
      <c r="O1430" s="5" t="n"/>
      <c r="P1430" s="5" t="n"/>
      <c r="Q1430" s="5" t="n"/>
      <c r="R1430" s="5" t="n"/>
      <c r="S1430" s="5" t="n"/>
      <c r="T1430" s="5" t="n"/>
      <c r="U1430" s="5" t="n"/>
      <c r="V1430" s="5" t="n"/>
      <c r="W1430" s="5" t="n"/>
      <c r="X1430" s="5" t="n"/>
      <c r="Y1430" s="5" t="n"/>
      <c r="Z1430" s="5" t="n"/>
      <c r="AA1430" s="5" t="n"/>
      <c r="AB1430" s="5" t="n"/>
    </row>
    <row r="1431" ht="15.75" customHeight="1" s="79">
      <c r="A1431" s="5" t="n"/>
      <c r="B1431" s="5" t="n"/>
      <c r="C1431" s="5" t="n"/>
      <c r="D1431" s="5" t="n"/>
      <c r="E1431" s="5" t="n"/>
      <c r="F1431" s="5" t="n"/>
      <c r="G1431" s="5" t="n"/>
      <c r="H1431" s="5" t="n"/>
      <c r="I1431" s="5" t="n"/>
      <c r="J1431" s="5" t="n"/>
      <c r="K1431" s="5" t="n"/>
      <c r="L1431" s="5" t="n"/>
      <c r="M1431" s="5" t="n"/>
      <c r="N1431" s="5" t="n"/>
      <c r="O1431" s="5" t="n"/>
      <c r="P1431" s="5" t="n"/>
      <c r="Q1431" s="5" t="n"/>
      <c r="R1431" s="5" t="n"/>
      <c r="S1431" s="5" t="n"/>
      <c r="T1431" s="5" t="n"/>
      <c r="U1431" s="5" t="n"/>
      <c r="V1431" s="5" t="n"/>
      <c r="W1431" s="5" t="n"/>
      <c r="X1431" s="5" t="n"/>
      <c r="Y1431" s="5" t="n"/>
      <c r="Z1431" s="5" t="n"/>
      <c r="AA1431" s="5" t="n"/>
      <c r="AB1431" s="5" t="n"/>
    </row>
    <row r="1432" ht="15.75" customHeight="1" s="79">
      <c r="A1432" s="5" t="n"/>
      <c r="B1432" s="5" t="n"/>
      <c r="C1432" s="5" t="n"/>
      <c r="D1432" s="5" t="n"/>
      <c r="E1432" s="5" t="n"/>
      <c r="F1432" s="5" t="n"/>
      <c r="G1432" s="5" t="n"/>
      <c r="H1432" s="5" t="n"/>
      <c r="I1432" s="5" t="n"/>
      <c r="J1432" s="5" t="n"/>
      <c r="K1432" s="5" t="n"/>
      <c r="L1432" s="5" t="n"/>
      <c r="M1432" s="5" t="n"/>
      <c r="N1432" s="5" t="n"/>
      <c r="O1432" s="5" t="n"/>
      <c r="P1432" s="5" t="n"/>
      <c r="Q1432" s="5" t="n"/>
      <c r="R1432" s="5" t="n"/>
      <c r="S1432" s="5" t="n"/>
      <c r="T1432" s="5" t="n"/>
      <c r="U1432" s="5" t="n"/>
      <c r="V1432" s="5" t="n"/>
      <c r="W1432" s="5" t="n"/>
      <c r="X1432" s="5" t="n"/>
      <c r="Y1432" s="5" t="n"/>
      <c r="Z1432" s="5" t="n"/>
      <c r="AA1432" s="5" t="n"/>
      <c r="AB1432" s="5" t="n"/>
    </row>
    <row r="1433" ht="15.75" customHeight="1" s="79">
      <c r="A1433" s="5" t="n"/>
      <c r="B1433" s="5" t="n"/>
      <c r="C1433" s="5" t="n"/>
      <c r="D1433" s="5" t="n"/>
      <c r="E1433" s="5" t="n"/>
      <c r="F1433" s="5" t="n"/>
      <c r="G1433" s="5" t="n"/>
      <c r="H1433" s="5" t="n"/>
      <c r="I1433" s="5" t="n"/>
      <c r="J1433" s="5" t="n"/>
      <c r="K1433" s="5" t="n"/>
      <c r="L1433" s="5" t="n"/>
      <c r="M1433" s="5" t="n"/>
      <c r="N1433" s="5" t="n"/>
      <c r="O1433" s="5" t="n"/>
      <c r="P1433" s="5" t="n"/>
      <c r="Q1433" s="5" t="n"/>
      <c r="R1433" s="5" t="n"/>
      <c r="S1433" s="5" t="n"/>
      <c r="T1433" s="5" t="n"/>
      <c r="U1433" s="5" t="n"/>
      <c r="V1433" s="5" t="n"/>
      <c r="W1433" s="5" t="n"/>
      <c r="X1433" s="5" t="n"/>
      <c r="Y1433" s="5" t="n"/>
      <c r="Z1433" s="5" t="n"/>
      <c r="AA1433" s="5" t="n"/>
      <c r="AB1433" s="5" t="n"/>
    </row>
    <row r="1434" ht="15.75" customHeight="1" s="79">
      <c r="A1434" s="5" t="n"/>
      <c r="B1434" s="5" t="n"/>
      <c r="C1434" s="5" t="n"/>
      <c r="D1434" s="5" t="n"/>
      <c r="E1434" s="5" t="n"/>
      <c r="F1434" s="5" t="n"/>
      <c r="G1434" s="5" t="n"/>
      <c r="H1434" s="5" t="n"/>
      <c r="I1434" s="5" t="n"/>
      <c r="J1434" s="5" t="n"/>
      <c r="K1434" s="5" t="n"/>
      <c r="L1434" s="5" t="n"/>
      <c r="M1434" s="5" t="n"/>
      <c r="N1434" s="5" t="n"/>
      <c r="O1434" s="5" t="n"/>
      <c r="P1434" s="5" t="n"/>
      <c r="Q1434" s="5" t="n"/>
      <c r="R1434" s="5" t="n"/>
      <c r="S1434" s="5" t="n"/>
      <c r="T1434" s="5" t="n"/>
      <c r="U1434" s="5" t="n"/>
      <c r="V1434" s="5" t="n"/>
      <c r="W1434" s="5" t="n"/>
      <c r="X1434" s="5" t="n"/>
      <c r="Y1434" s="5" t="n"/>
      <c r="Z1434" s="5" t="n"/>
      <c r="AA1434" s="5" t="n"/>
      <c r="AB1434" s="5" t="n"/>
    </row>
    <row r="1435" ht="15.75" customHeight="1" s="79">
      <c r="A1435" s="5" t="n"/>
      <c r="B1435" s="5" t="n"/>
      <c r="C1435" s="5" t="n"/>
      <c r="D1435" s="5" t="n"/>
      <c r="E1435" s="5" t="n"/>
      <c r="F1435" s="5" t="n"/>
      <c r="G1435" s="5" t="n"/>
      <c r="H1435" s="5" t="n"/>
      <c r="I1435" s="5" t="n"/>
      <c r="J1435" s="5" t="n"/>
      <c r="K1435" s="5" t="n"/>
      <c r="L1435" s="5" t="n"/>
      <c r="M1435" s="5" t="n"/>
      <c r="N1435" s="5" t="n"/>
      <c r="O1435" s="5" t="n"/>
      <c r="P1435" s="5" t="n"/>
      <c r="Q1435" s="5" t="n"/>
      <c r="R1435" s="5" t="n"/>
      <c r="S1435" s="5" t="n"/>
      <c r="T1435" s="5" t="n"/>
      <c r="U1435" s="5" t="n"/>
      <c r="V1435" s="5" t="n"/>
      <c r="W1435" s="5" t="n"/>
      <c r="X1435" s="5" t="n"/>
      <c r="Y1435" s="5" t="n"/>
      <c r="Z1435" s="5" t="n"/>
      <c r="AA1435" s="5" t="n"/>
      <c r="AB1435" s="5" t="n"/>
    </row>
    <row r="1436" ht="15.75" customHeight="1" s="79">
      <c r="A1436" s="5" t="n"/>
      <c r="B1436" s="5" t="n"/>
      <c r="C1436" s="5" t="n"/>
      <c r="D1436" s="5" t="n"/>
      <c r="E1436" s="5" t="n"/>
      <c r="F1436" s="5" t="n"/>
      <c r="G1436" s="5" t="n"/>
      <c r="H1436" s="5" t="n"/>
      <c r="I1436" s="5" t="n"/>
      <c r="J1436" s="5" t="n"/>
      <c r="K1436" s="5" t="n"/>
      <c r="L1436" s="5" t="n"/>
      <c r="M1436" s="5" t="n"/>
      <c r="N1436" s="5" t="n"/>
      <c r="O1436" s="5" t="n"/>
      <c r="P1436" s="5" t="n"/>
      <c r="Q1436" s="5" t="n"/>
      <c r="R1436" s="5" t="n"/>
      <c r="S1436" s="5" t="n"/>
      <c r="T1436" s="5" t="n"/>
      <c r="U1436" s="5" t="n"/>
      <c r="V1436" s="5" t="n"/>
      <c r="W1436" s="5" t="n"/>
      <c r="X1436" s="5" t="n"/>
      <c r="Y1436" s="5" t="n"/>
      <c r="Z1436" s="5" t="n"/>
      <c r="AA1436" s="5" t="n"/>
      <c r="AB1436" s="5" t="n"/>
    </row>
    <row r="1437" ht="15.75" customHeight="1" s="79">
      <c r="A1437" s="5" t="n"/>
      <c r="B1437" s="5" t="n"/>
      <c r="C1437" s="5" t="n"/>
      <c r="D1437" s="5" t="n"/>
      <c r="E1437" s="5" t="n"/>
      <c r="F1437" s="5" t="n"/>
      <c r="G1437" s="5" t="n"/>
      <c r="H1437" s="5" t="n"/>
      <c r="I1437" s="5" t="n"/>
      <c r="J1437" s="5" t="n"/>
      <c r="K1437" s="5" t="n"/>
      <c r="L1437" s="5" t="n"/>
      <c r="M1437" s="5" t="n"/>
      <c r="N1437" s="5" t="n"/>
      <c r="O1437" s="5" t="n"/>
      <c r="P1437" s="5" t="n"/>
      <c r="Q1437" s="5" t="n"/>
      <c r="R1437" s="5" t="n"/>
      <c r="S1437" s="5" t="n"/>
      <c r="T1437" s="5" t="n"/>
      <c r="U1437" s="5" t="n"/>
      <c r="V1437" s="5" t="n"/>
      <c r="W1437" s="5" t="n"/>
      <c r="X1437" s="5" t="n"/>
      <c r="Y1437" s="5" t="n"/>
      <c r="Z1437" s="5" t="n"/>
      <c r="AA1437" s="5" t="n"/>
      <c r="AB1437" s="5" t="n"/>
    </row>
    <row r="1438" ht="15.75" customHeight="1" s="79">
      <c r="A1438" s="5" t="n"/>
      <c r="B1438" s="5" t="n"/>
      <c r="C1438" s="5" t="n"/>
      <c r="D1438" s="5" t="n"/>
      <c r="E1438" s="5" t="n"/>
      <c r="F1438" s="5" t="n"/>
      <c r="G1438" s="5" t="n"/>
      <c r="H1438" s="5" t="n"/>
      <c r="I1438" s="5" t="n"/>
      <c r="J1438" s="5" t="n"/>
      <c r="K1438" s="5" t="n"/>
      <c r="L1438" s="5" t="n"/>
      <c r="M1438" s="5" t="n"/>
      <c r="N1438" s="5" t="n"/>
      <c r="O1438" s="5" t="n"/>
      <c r="P1438" s="5" t="n"/>
      <c r="Q1438" s="5" t="n"/>
      <c r="R1438" s="5" t="n"/>
      <c r="S1438" s="5" t="n"/>
      <c r="T1438" s="5" t="n"/>
      <c r="U1438" s="5" t="n"/>
      <c r="V1438" s="5" t="n"/>
      <c r="W1438" s="5" t="n"/>
      <c r="X1438" s="5" t="n"/>
      <c r="Y1438" s="5" t="n"/>
      <c r="Z1438" s="5" t="n"/>
      <c r="AA1438" s="5" t="n"/>
      <c r="AB1438" s="5" t="n"/>
    </row>
    <row r="1439" ht="15.75" customHeight="1" s="79">
      <c r="A1439" s="5" t="n"/>
      <c r="B1439" s="5" t="n"/>
      <c r="C1439" s="5" t="n"/>
      <c r="D1439" s="5" t="n"/>
      <c r="E1439" s="5" t="n"/>
      <c r="F1439" s="5" t="n"/>
      <c r="G1439" s="5" t="n"/>
      <c r="H1439" s="5" t="n"/>
      <c r="I1439" s="5" t="n"/>
      <c r="J1439" s="5" t="n"/>
      <c r="K1439" s="5" t="n"/>
      <c r="L1439" s="5" t="n"/>
      <c r="M1439" s="5" t="n"/>
      <c r="N1439" s="5" t="n"/>
      <c r="O1439" s="5" t="n"/>
      <c r="P1439" s="5" t="n"/>
      <c r="Q1439" s="5" t="n"/>
      <c r="R1439" s="5" t="n"/>
      <c r="S1439" s="5" t="n"/>
      <c r="T1439" s="5" t="n"/>
      <c r="U1439" s="5" t="n"/>
      <c r="V1439" s="5" t="n"/>
      <c r="W1439" s="5" t="n"/>
      <c r="X1439" s="5" t="n"/>
      <c r="Y1439" s="5" t="n"/>
      <c r="Z1439" s="5" t="n"/>
      <c r="AA1439" s="5" t="n"/>
      <c r="AB1439" s="5" t="n"/>
    </row>
    <row r="1440" ht="15.75" customHeight="1" s="79">
      <c r="A1440" s="5" t="n"/>
      <c r="B1440" s="5" t="n"/>
      <c r="C1440" s="5" t="n"/>
      <c r="D1440" s="5" t="n"/>
      <c r="E1440" s="5" t="n"/>
      <c r="F1440" s="5" t="n"/>
      <c r="G1440" s="5" t="n"/>
      <c r="H1440" s="5" t="n"/>
      <c r="I1440" s="5" t="n"/>
      <c r="J1440" s="5" t="n"/>
      <c r="K1440" s="5" t="n"/>
      <c r="L1440" s="5" t="n"/>
      <c r="M1440" s="5" t="n"/>
      <c r="N1440" s="5" t="n"/>
      <c r="O1440" s="5" t="n"/>
      <c r="P1440" s="5" t="n"/>
      <c r="Q1440" s="5" t="n"/>
      <c r="R1440" s="5" t="n"/>
      <c r="S1440" s="5" t="n"/>
      <c r="T1440" s="5" t="n"/>
      <c r="U1440" s="5" t="n"/>
      <c r="V1440" s="5" t="n"/>
      <c r="W1440" s="5" t="n"/>
      <c r="X1440" s="5" t="n"/>
      <c r="Y1440" s="5" t="n"/>
      <c r="Z1440" s="5" t="n"/>
      <c r="AA1440" s="5" t="n"/>
      <c r="AB1440" s="5" t="n"/>
    </row>
    <row r="1441" ht="15.75" customHeight="1" s="79">
      <c r="A1441" s="5" t="n"/>
      <c r="B1441" s="5" t="n"/>
      <c r="C1441" s="5" t="n"/>
      <c r="D1441" s="5" t="n"/>
      <c r="E1441" s="5" t="n"/>
      <c r="F1441" s="5" t="n"/>
      <c r="G1441" s="5" t="n"/>
      <c r="H1441" s="5" t="n"/>
      <c r="I1441" s="5" t="n"/>
      <c r="J1441" s="5" t="n"/>
      <c r="K1441" s="5" t="n"/>
      <c r="L1441" s="5" t="n"/>
      <c r="M1441" s="5" t="n"/>
      <c r="N1441" s="5" t="n"/>
      <c r="O1441" s="5" t="n"/>
      <c r="P1441" s="5" t="n"/>
      <c r="Q1441" s="5" t="n"/>
      <c r="R1441" s="5" t="n"/>
      <c r="S1441" s="5" t="n"/>
      <c r="T1441" s="5" t="n"/>
      <c r="U1441" s="5" t="n"/>
      <c r="V1441" s="5" t="n"/>
      <c r="W1441" s="5" t="n"/>
      <c r="X1441" s="5" t="n"/>
      <c r="Y1441" s="5" t="n"/>
      <c r="Z1441" s="5" t="n"/>
      <c r="AA1441" s="5" t="n"/>
      <c r="AB1441" s="5" t="n"/>
    </row>
    <row r="1442" ht="15.75" customHeight="1" s="79">
      <c r="A1442" s="5" t="n"/>
      <c r="B1442" s="5" t="n"/>
      <c r="C1442" s="5" t="n"/>
      <c r="D1442" s="5" t="n"/>
      <c r="E1442" s="5" t="n"/>
      <c r="F1442" s="5" t="n"/>
      <c r="G1442" s="5" t="n"/>
      <c r="H1442" s="5" t="n"/>
      <c r="I1442" s="5" t="n"/>
      <c r="J1442" s="5" t="n"/>
      <c r="K1442" s="5" t="n"/>
      <c r="L1442" s="5" t="n"/>
      <c r="M1442" s="5" t="n"/>
      <c r="N1442" s="5" t="n"/>
      <c r="O1442" s="5" t="n"/>
      <c r="P1442" s="5" t="n"/>
      <c r="Q1442" s="5" t="n"/>
      <c r="R1442" s="5" t="n"/>
      <c r="S1442" s="5" t="n"/>
      <c r="T1442" s="5" t="n"/>
      <c r="U1442" s="5" t="n"/>
      <c r="V1442" s="5" t="n"/>
      <c r="W1442" s="5" t="n"/>
      <c r="X1442" s="5" t="n"/>
      <c r="Y1442" s="5" t="n"/>
      <c r="Z1442" s="5" t="n"/>
      <c r="AA1442" s="5" t="n"/>
      <c r="AB1442" s="5" t="n"/>
    </row>
    <row r="1443" ht="15.75" customHeight="1" s="79">
      <c r="A1443" s="5" t="n"/>
      <c r="B1443" s="5" t="n"/>
      <c r="C1443" s="5" t="n"/>
      <c r="D1443" s="5" t="n"/>
      <c r="E1443" s="5" t="n"/>
      <c r="F1443" s="5" t="n"/>
      <c r="G1443" s="5" t="n"/>
      <c r="H1443" s="5" t="n"/>
      <c r="I1443" s="5" t="n"/>
      <c r="J1443" s="5" t="n"/>
      <c r="K1443" s="5" t="n"/>
      <c r="L1443" s="5" t="n"/>
      <c r="M1443" s="5" t="n"/>
      <c r="N1443" s="5" t="n"/>
      <c r="O1443" s="5" t="n"/>
      <c r="P1443" s="5" t="n"/>
      <c r="Q1443" s="5" t="n"/>
      <c r="R1443" s="5" t="n"/>
      <c r="S1443" s="5" t="n"/>
      <c r="T1443" s="5" t="n"/>
      <c r="U1443" s="5" t="n"/>
      <c r="V1443" s="5" t="n"/>
      <c r="W1443" s="5" t="n"/>
      <c r="X1443" s="5" t="n"/>
      <c r="Y1443" s="5" t="n"/>
      <c r="Z1443" s="5" t="n"/>
      <c r="AA1443" s="5" t="n"/>
      <c r="AB1443" s="5" t="n"/>
    </row>
    <row r="1444" ht="15.75" customHeight="1" s="79">
      <c r="A1444" s="5" t="n"/>
      <c r="B1444" s="5" t="n"/>
      <c r="C1444" s="5" t="n"/>
      <c r="D1444" s="5" t="n"/>
      <c r="E1444" s="5" t="n"/>
      <c r="F1444" s="5" t="n"/>
      <c r="G1444" s="5" t="n"/>
      <c r="H1444" s="5" t="n"/>
      <c r="I1444" s="5" t="n"/>
      <c r="J1444" s="5" t="n"/>
      <c r="K1444" s="5" t="n"/>
      <c r="L1444" s="5" t="n"/>
      <c r="M1444" s="5" t="n"/>
      <c r="N1444" s="5" t="n"/>
      <c r="O1444" s="5" t="n"/>
      <c r="P1444" s="5" t="n"/>
      <c r="Q1444" s="5" t="n"/>
      <c r="R1444" s="5" t="n"/>
      <c r="S1444" s="5" t="n"/>
      <c r="T1444" s="5" t="n"/>
      <c r="U1444" s="5" t="n"/>
      <c r="V1444" s="5" t="n"/>
      <c r="W1444" s="5" t="n"/>
      <c r="X1444" s="5" t="n"/>
      <c r="Y1444" s="5" t="n"/>
      <c r="Z1444" s="5" t="n"/>
      <c r="AA1444" s="5" t="n"/>
      <c r="AB1444" s="5" t="n"/>
    </row>
    <row r="1445" ht="15.75" customHeight="1" s="79">
      <c r="A1445" s="5" t="n"/>
      <c r="B1445" s="5" t="n"/>
      <c r="C1445" s="5" t="n"/>
      <c r="D1445" s="5" t="n"/>
      <c r="E1445" s="5" t="n"/>
      <c r="F1445" s="5" t="n"/>
      <c r="G1445" s="5" t="n"/>
      <c r="H1445" s="5" t="n"/>
      <c r="I1445" s="5" t="n"/>
      <c r="J1445" s="5" t="n"/>
      <c r="K1445" s="5" t="n"/>
      <c r="L1445" s="5" t="n"/>
      <c r="M1445" s="5" t="n"/>
      <c r="N1445" s="5" t="n"/>
      <c r="O1445" s="5" t="n"/>
      <c r="P1445" s="5" t="n"/>
      <c r="Q1445" s="5" t="n"/>
      <c r="R1445" s="5" t="n"/>
      <c r="S1445" s="5" t="n"/>
      <c r="T1445" s="5" t="n"/>
      <c r="U1445" s="5" t="n"/>
      <c r="V1445" s="5" t="n"/>
      <c r="W1445" s="5" t="n"/>
      <c r="X1445" s="5" t="n"/>
      <c r="Y1445" s="5" t="n"/>
      <c r="Z1445" s="5" t="n"/>
      <c r="AA1445" s="5" t="n"/>
      <c r="AB1445" s="5" t="n"/>
    </row>
    <row r="1446" ht="15.75" customHeight="1" s="79">
      <c r="A1446" s="5" t="n"/>
      <c r="B1446" s="5" t="n"/>
      <c r="C1446" s="5" t="n"/>
      <c r="D1446" s="5" t="n"/>
      <c r="E1446" s="5" t="n"/>
      <c r="F1446" s="5" t="n"/>
      <c r="G1446" s="5" t="n"/>
      <c r="H1446" s="5" t="n"/>
      <c r="I1446" s="5" t="n"/>
      <c r="J1446" s="5" t="n"/>
      <c r="K1446" s="5" t="n"/>
      <c r="L1446" s="5" t="n"/>
      <c r="M1446" s="5" t="n"/>
      <c r="N1446" s="5" t="n"/>
      <c r="O1446" s="5" t="n"/>
      <c r="P1446" s="5" t="n"/>
      <c r="Q1446" s="5" t="n"/>
      <c r="R1446" s="5" t="n"/>
      <c r="S1446" s="5" t="n"/>
      <c r="T1446" s="5" t="n"/>
      <c r="U1446" s="5" t="n"/>
      <c r="V1446" s="5" t="n"/>
      <c r="W1446" s="5" t="n"/>
      <c r="X1446" s="5" t="n"/>
      <c r="Y1446" s="5" t="n"/>
      <c r="Z1446" s="5" t="n"/>
      <c r="AA1446" s="5" t="n"/>
      <c r="AB1446" s="5" t="n"/>
    </row>
    <row r="1447" ht="15.75" customHeight="1" s="79">
      <c r="A1447" s="5" t="n"/>
      <c r="B1447" s="5" t="n"/>
      <c r="C1447" s="5" t="n"/>
      <c r="D1447" s="5" t="n"/>
      <c r="E1447" s="5" t="n"/>
      <c r="F1447" s="5" t="n"/>
      <c r="G1447" s="5" t="n"/>
      <c r="H1447" s="5" t="n"/>
      <c r="I1447" s="5" t="n"/>
      <c r="J1447" s="5" t="n"/>
      <c r="K1447" s="5" t="n"/>
      <c r="L1447" s="5" t="n"/>
      <c r="M1447" s="5" t="n"/>
      <c r="N1447" s="5" t="n"/>
      <c r="O1447" s="5" t="n"/>
      <c r="P1447" s="5" t="n"/>
      <c r="Q1447" s="5" t="n"/>
      <c r="R1447" s="5" t="n"/>
      <c r="S1447" s="5" t="n"/>
      <c r="T1447" s="5" t="n"/>
      <c r="U1447" s="5" t="n"/>
      <c r="V1447" s="5" t="n"/>
      <c r="W1447" s="5" t="n"/>
      <c r="X1447" s="5" t="n"/>
      <c r="Y1447" s="5" t="n"/>
      <c r="Z1447" s="5" t="n"/>
      <c r="AA1447" s="5" t="n"/>
      <c r="AB1447" s="5" t="n"/>
    </row>
    <row r="1448" ht="15.75" customHeight="1" s="79">
      <c r="A1448" s="5" t="n"/>
      <c r="B1448" s="5" t="n"/>
      <c r="C1448" s="5" t="n"/>
      <c r="D1448" s="5" t="n"/>
      <c r="E1448" s="5" t="n"/>
      <c r="F1448" s="5" t="n"/>
      <c r="G1448" s="5" t="n"/>
      <c r="H1448" s="5" t="n"/>
      <c r="I1448" s="5" t="n"/>
      <c r="J1448" s="5" t="n"/>
      <c r="K1448" s="5" t="n"/>
      <c r="L1448" s="5" t="n"/>
      <c r="M1448" s="5" t="n"/>
      <c r="N1448" s="5" t="n"/>
      <c r="O1448" s="5" t="n"/>
      <c r="P1448" s="5" t="n"/>
      <c r="Q1448" s="5" t="n"/>
      <c r="R1448" s="5" t="n"/>
      <c r="S1448" s="5" t="n"/>
      <c r="T1448" s="5" t="n"/>
      <c r="U1448" s="5" t="n"/>
      <c r="V1448" s="5" t="n"/>
      <c r="W1448" s="5" t="n"/>
      <c r="X1448" s="5" t="n"/>
      <c r="Y1448" s="5" t="n"/>
      <c r="Z1448" s="5" t="n"/>
      <c r="AA1448" s="5" t="n"/>
      <c r="AB1448" s="5" t="n"/>
    </row>
    <row r="1449" ht="15.75" customHeight="1" s="79">
      <c r="A1449" s="5" t="n"/>
      <c r="B1449" s="5" t="n"/>
      <c r="C1449" s="5" t="n"/>
      <c r="D1449" s="5" t="n"/>
      <c r="E1449" s="5" t="n"/>
      <c r="F1449" s="5" t="n"/>
      <c r="G1449" s="5" t="n"/>
      <c r="H1449" s="5" t="n"/>
      <c r="I1449" s="5" t="n"/>
      <c r="J1449" s="5" t="n"/>
      <c r="K1449" s="5" t="n"/>
      <c r="L1449" s="5" t="n"/>
      <c r="M1449" s="5" t="n"/>
      <c r="N1449" s="5" t="n"/>
      <c r="O1449" s="5" t="n"/>
      <c r="P1449" s="5" t="n"/>
      <c r="Q1449" s="5" t="n"/>
      <c r="R1449" s="5" t="n"/>
      <c r="S1449" s="5" t="n"/>
      <c r="T1449" s="5" t="n"/>
      <c r="U1449" s="5" t="n"/>
      <c r="V1449" s="5" t="n"/>
      <c r="W1449" s="5" t="n"/>
      <c r="X1449" s="5" t="n"/>
      <c r="Y1449" s="5" t="n"/>
      <c r="Z1449" s="5" t="n"/>
      <c r="AA1449" s="5" t="n"/>
      <c r="AB1449" s="5" t="n"/>
    </row>
    <row r="1450" ht="15.75" customHeight="1" s="79">
      <c r="A1450" s="5" t="n"/>
      <c r="B1450" s="5" t="n"/>
      <c r="C1450" s="5" t="n"/>
      <c r="D1450" s="5" t="n"/>
      <c r="E1450" s="5" t="n"/>
      <c r="F1450" s="5" t="n"/>
      <c r="G1450" s="5" t="n"/>
      <c r="H1450" s="5" t="n"/>
      <c r="I1450" s="5" t="n"/>
      <c r="J1450" s="5" t="n"/>
      <c r="K1450" s="5" t="n"/>
      <c r="L1450" s="5" t="n"/>
      <c r="M1450" s="5" t="n"/>
      <c r="N1450" s="5" t="n"/>
      <c r="O1450" s="5" t="n"/>
      <c r="P1450" s="5" t="n"/>
      <c r="Q1450" s="5" t="n"/>
      <c r="R1450" s="5" t="n"/>
      <c r="S1450" s="5" t="n"/>
      <c r="T1450" s="5" t="n"/>
      <c r="U1450" s="5" t="n"/>
      <c r="V1450" s="5" t="n"/>
      <c r="W1450" s="5" t="n"/>
      <c r="X1450" s="5" t="n"/>
      <c r="Y1450" s="5" t="n"/>
      <c r="Z1450" s="5" t="n"/>
      <c r="AA1450" s="5" t="n"/>
      <c r="AB1450" s="5" t="n"/>
    </row>
    <row r="1451" ht="15.75" customHeight="1" s="79">
      <c r="A1451" s="5" t="n"/>
      <c r="B1451" s="5" t="n"/>
      <c r="C1451" s="5" t="n"/>
      <c r="D1451" s="5" t="n"/>
      <c r="E1451" s="5" t="n"/>
      <c r="F1451" s="5" t="n"/>
      <c r="G1451" s="5" t="n"/>
      <c r="H1451" s="5" t="n"/>
      <c r="I1451" s="5" t="n"/>
      <c r="J1451" s="5" t="n"/>
      <c r="K1451" s="5" t="n"/>
      <c r="L1451" s="5" t="n"/>
      <c r="M1451" s="5" t="n"/>
      <c r="N1451" s="5" t="n"/>
      <c r="O1451" s="5" t="n"/>
      <c r="P1451" s="5" t="n"/>
      <c r="Q1451" s="5" t="n"/>
      <c r="R1451" s="5" t="n"/>
      <c r="S1451" s="5" t="n"/>
      <c r="T1451" s="5" t="n"/>
      <c r="U1451" s="5" t="n"/>
      <c r="V1451" s="5" t="n"/>
      <c r="W1451" s="5" t="n"/>
      <c r="X1451" s="5" t="n"/>
      <c r="Y1451" s="5" t="n"/>
      <c r="Z1451" s="5" t="n"/>
      <c r="AA1451" s="5" t="n"/>
      <c r="AB1451" s="5" t="n"/>
    </row>
    <row r="1452" ht="30" customHeight="1" s="79">
      <c r="A1452" s="34" t="inlineStr">
        <is>
          <t>Segment</t>
        </is>
      </c>
      <c r="B1452" s="34" t="inlineStr">
        <is>
          <t>Funded $</t>
        </is>
      </c>
      <c r="C1452" s="34" t="inlineStr">
        <is>
          <t>Collected $</t>
        </is>
      </c>
      <c r="D1452" s="34" t="inlineStr">
        <is>
          <t>Net profit / loss $</t>
        </is>
      </c>
      <c r="E1452" s="34" t="inlineStr">
        <is>
          <t>Commission $</t>
        </is>
      </c>
      <c r="F1452" s="34" t="inlineStr">
        <is>
          <t>Principal lost $</t>
        </is>
      </c>
      <c r="G1452" s="34" t="inlineStr">
        <is>
          <t>Principal default exposure</t>
        </is>
      </c>
      <c r="H1452" s="34" t="inlineStr">
        <is>
          <t>Recovery rate</t>
        </is>
      </c>
      <c r="I1452" s="34" t="inlineStr">
        <is>
          <t>Return on funded capital (%)</t>
        </is>
      </c>
      <c r="J1452" s="34" t="inlineStr">
        <is>
          <t>Deals</t>
        </is>
      </c>
      <c r="K1452" s="34" t="inlineStr">
        <is>
          <t>Share of funded dollars</t>
        </is>
      </c>
      <c r="L1452" s="34" t="inlineStr">
        <is>
          <t>Avg deal size</t>
        </is>
      </c>
      <c r="M1452" s="34" t="inlineStr">
        <is>
          <t>Avg expected term (business days)</t>
        </is>
      </c>
      <c r="N1452" s="34" t="inlineStr">
        <is>
          <t>Avg expected term (payments)</t>
        </is>
      </c>
      <c r="O1452" s="34" t="inlineStr">
        <is>
          <t>Avg days on book, defaulted</t>
        </is>
      </c>
      <c r="P1452" s="34" t="inlineStr">
        <is>
          <t>Avg days to close</t>
        </is>
      </c>
      <c r="Q1452" s="34" t="inlineStr">
        <is>
          <t>% of deals that were renewals</t>
        </is>
      </c>
      <c r="R1452" s="34" t="inlineStr">
        <is>
          <t>% of funded dollars from renewals</t>
        </is>
      </c>
      <c r="S1452" s="34" t="inlineStr">
        <is>
          <t>Book default exposure</t>
        </is>
      </c>
      <c r="T1452" s="34" t="inlineStr">
        <is>
          <t>Book recovery</t>
        </is>
      </c>
      <c r="U1452" s="34" t="inlineStr">
        <is>
          <t>Book return on funded capital</t>
        </is>
      </c>
      <c r="V1452" s="34" t="inlineStr">
        <is>
          <t>Default rate (#)</t>
        </is>
      </c>
      <c r="W1452" s="5" t="n"/>
      <c r="X1452" s="5" t="n"/>
      <c r="Y1452" s="5" t="n"/>
      <c r="Z1452" s="5" t="n"/>
      <c r="AA1452" s="5" t="n"/>
      <c r="AB1452" s="5" t="n"/>
    </row>
    <row r="1453" ht="15.75" customHeight="1" s="79">
      <c r="A1453" s="5">
        <f>IFERROR(Calc!$A$218,"")</f>
        <v/>
      </c>
      <c r="B1453" s="20">
        <f>IFERROR(Calc!B218,"")</f>
        <v/>
      </c>
      <c r="C1453" s="20">
        <f>IFERROR(Calc!C218,"")</f>
        <v/>
      </c>
      <c r="D1453" s="20">
        <f>IFERROR(Calc!D218,"")</f>
        <v/>
      </c>
      <c r="E1453" s="20">
        <f>IFERROR(Calc!E218,"")</f>
        <v/>
      </c>
      <c r="F1453" s="20">
        <f>IFERROR(Calc!F218,"")</f>
        <v/>
      </c>
      <c r="G1453" s="21">
        <f>IFERROR(Calc!G218,"")</f>
        <v/>
      </c>
      <c r="H1453" s="21">
        <f>IFERROR(Calc!H218,"")</f>
        <v/>
      </c>
      <c r="I1453" s="21">
        <f>IFERROR(Calc!I218,"")</f>
        <v/>
      </c>
      <c r="J1453" s="17">
        <f>IFERROR(Calc!J218,"")</f>
        <v/>
      </c>
      <c r="K1453" s="21">
        <f>IFERROR(Calc!K218,"")</f>
        <v/>
      </c>
      <c r="L1453" s="20">
        <f>IFERROR(Calc!L218,"")</f>
        <v/>
      </c>
      <c r="M1453" s="17">
        <f>IFERROR(Calc!M218,"")</f>
        <v/>
      </c>
      <c r="N1453" s="17">
        <f>IFERROR(Calc!N218,"")</f>
        <v/>
      </c>
      <c r="O1453" s="17">
        <f>IFERROR(Calc!O218,"")</f>
        <v/>
      </c>
      <c r="P1453" s="17">
        <f>IFERROR(Calc!P218,"")</f>
        <v/>
      </c>
      <c r="Q1453" s="21">
        <f>IFERROR(Calc!Q218,"")</f>
        <v/>
      </c>
      <c r="R1453" s="21">
        <f>IFERROR(Calc!R218,"")</f>
        <v/>
      </c>
      <c r="S1453" s="21">
        <f>IFERROR(Calc!S218,"")</f>
        <v/>
      </c>
      <c r="T1453" s="21">
        <f>IFERROR(Calc!T218,"")</f>
        <v/>
      </c>
      <c r="U1453" s="21">
        <f>IFERROR(Calc!U218,"")</f>
        <v/>
      </c>
      <c r="V1453" s="21">
        <f>IFERROR(Calc!V218,"")</f>
        <v/>
      </c>
      <c r="W1453" s="5" t="n"/>
      <c r="X1453" s="5" t="n"/>
      <c r="Y1453" s="5" t="n"/>
      <c r="Z1453" s="5" t="n"/>
      <c r="AA1453" s="5" t="n"/>
      <c r="AB1453" s="5" t="n"/>
    </row>
    <row r="1454" ht="15.75" customHeight="1" s="79">
      <c r="A1454" s="5">
        <f>IFERROR(Calc!$A$219,"")</f>
        <v/>
      </c>
      <c r="B1454" s="20">
        <f>IFERROR(Calc!B219,"")</f>
        <v/>
      </c>
      <c r="C1454" s="20">
        <f>IFERROR(Calc!C219,"")</f>
        <v/>
      </c>
      <c r="D1454" s="20">
        <f>IFERROR(Calc!D219,"")</f>
        <v/>
      </c>
      <c r="E1454" s="20">
        <f>IFERROR(Calc!E219,"")</f>
        <v/>
      </c>
      <c r="F1454" s="20">
        <f>IFERROR(Calc!F219,"")</f>
        <v/>
      </c>
      <c r="G1454" s="21">
        <f>IFERROR(Calc!G219,"")</f>
        <v/>
      </c>
      <c r="H1454" s="21">
        <f>IFERROR(Calc!H219,"")</f>
        <v/>
      </c>
      <c r="I1454" s="21">
        <f>IFERROR(Calc!I219,"")</f>
        <v/>
      </c>
      <c r="J1454" s="17">
        <f>IFERROR(Calc!J219,"")</f>
        <v/>
      </c>
      <c r="K1454" s="21">
        <f>IFERROR(Calc!K219,"")</f>
        <v/>
      </c>
      <c r="L1454" s="20">
        <f>IFERROR(Calc!L219,"")</f>
        <v/>
      </c>
      <c r="M1454" s="17">
        <f>IFERROR(Calc!M219,"")</f>
        <v/>
      </c>
      <c r="N1454" s="17">
        <f>IFERROR(Calc!N219,"")</f>
        <v/>
      </c>
      <c r="O1454" s="17">
        <f>IFERROR(Calc!O219,"")</f>
        <v/>
      </c>
      <c r="P1454" s="17">
        <f>IFERROR(Calc!P219,"")</f>
        <v/>
      </c>
      <c r="Q1454" s="21">
        <f>IFERROR(Calc!Q219,"")</f>
        <v/>
      </c>
      <c r="R1454" s="21">
        <f>IFERROR(Calc!R219,"")</f>
        <v/>
      </c>
      <c r="S1454" s="21">
        <f>IFERROR(Calc!S219,"")</f>
        <v/>
      </c>
      <c r="T1454" s="21">
        <f>IFERROR(Calc!T219,"")</f>
        <v/>
      </c>
      <c r="U1454" s="21">
        <f>IFERROR(Calc!U219,"")</f>
        <v/>
      </c>
      <c r="V1454" s="21">
        <f>IFERROR(Calc!V219,"")</f>
        <v/>
      </c>
      <c r="W1454" s="5" t="n"/>
      <c r="X1454" s="5" t="n"/>
      <c r="Y1454" s="5" t="n"/>
      <c r="Z1454" s="5" t="n"/>
      <c r="AA1454" s="5" t="n"/>
      <c r="AB1454" s="5" t="n"/>
    </row>
    <row r="1455" ht="15.75" customHeight="1" s="79">
      <c r="A1455" s="5">
        <f>IFERROR(Calc!$A$220,"")</f>
        <v/>
      </c>
      <c r="B1455" s="20">
        <f>IFERROR(Calc!B220,"")</f>
        <v/>
      </c>
      <c r="C1455" s="20">
        <f>IFERROR(Calc!C220,"")</f>
        <v/>
      </c>
      <c r="D1455" s="20">
        <f>IFERROR(Calc!D220,"")</f>
        <v/>
      </c>
      <c r="E1455" s="20">
        <f>IFERROR(Calc!E220,"")</f>
        <v/>
      </c>
      <c r="F1455" s="20">
        <f>IFERROR(Calc!F220,"")</f>
        <v/>
      </c>
      <c r="G1455" s="21">
        <f>IFERROR(Calc!G220,"")</f>
        <v/>
      </c>
      <c r="H1455" s="21">
        <f>IFERROR(Calc!H220,"")</f>
        <v/>
      </c>
      <c r="I1455" s="21">
        <f>IFERROR(Calc!I220,"")</f>
        <v/>
      </c>
      <c r="J1455" s="17">
        <f>IFERROR(Calc!J220,"")</f>
        <v/>
      </c>
      <c r="K1455" s="21">
        <f>IFERROR(Calc!K220,"")</f>
        <v/>
      </c>
      <c r="L1455" s="20">
        <f>IFERROR(Calc!L220,"")</f>
        <v/>
      </c>
      <c r="M1455" s="17">
        <f>IFERROR(Calc!M220,"")</f>
        <v/>
      </c>
      <c r="N1455" s="17">
        <f>IFERROR(Calc!N220,"")</f>
        <v/>
      </c>
      <c r="O1455" s="17">
        <f>IFERROR(Calc!O220,"")</f>
        <v/>
      </c>
      <c r="P1455" s="17">
        <f>IFERROR(Calc!P220,"")</f>
        <v/>
      </c>
      <c r="Q1455" s="21">
        <f>IFERROR(Calc!Q220,"")</f>
        <v/>
      </c>
      <c r="R1455" s="21">
        <f>IFERROR(Calc!R220,"")</f>
        <v/>
      </c>
      <c r="S1455" s="21">
        <f>IFERROR(Calc!S220,"")</f>
        <v/>
      </c>
      <c r="T1455" s="21">
        <f>IFERROR(Calc!T220,"")</f>
        <v/>
      </c>
      <c r="U1455" s="21">
        <f>IFERROR(Calc!U220,"")</f>
        <v/>
      </c>
      <c r="V1455" s="21">
        <f>IFERROR(Calc!V220,"")</f>
        <v/>
      </c>
      <c r="W1455" s="5" t="n"/>
      <c r="X1455" s="5" t="n"/>
      <c r="Y1455" s="5" t="n"/>
      <c r="Z1455" s="5" t="n"/>
      <c r="AA1455" s="5" t="n"/>
      <c r="AB1455" s="5" t="n"/>
    </row>
    <row r="1456" ht="15.75" customHeight="1" s="79">
      <c r="A1456" s="5">
        <f>IFERROR(Calc!$A$221,"")</f>
        <v/>
      </c>
      <c r="B1456" s="20">
        <f>IFERROR(Calc!B221,"")</f>
        <v/>
      </c>
      <c r="C1456" s="20">
        <f>IFERROR(Calc!C221,"")</f>
        <v/>
      </c>
      <c r="D1456" s="20">
        <f>IFERROR(Calc!D221,"")</f>
        <v/>
      </c>
      <c r="E1456" s="20">
        <f>IFERROR(Calc!E221,"")</f>
        <v/>
      </c>
      <c r="F1456" s="20">
        <f>IFERROR(Calc!F221,"")</f>
        <v/>
      </c>
      <c r="G1456" s="21">
        <f>IFERROR(Calc!G221,"")</f>
        <v/>
      </c>
      <c r="H1456" s="21">
        <f>IFERROR(Calc!H221,"")</f>
        <v/>
      </c>
      <c r="I1456" s="21">
        <f>IFERROR(Calc!I221,"")</f>
        <v/>
      </c>
      <c r="J1456" s="17">
        <f>IFERROR(Calc!J221,"")</f>
        <v/>
      </c>
      <c r="K1456" s="21">
        <f>IFERROR(Calc!K221,"")</f>
        <v/>
      </c>
      <c r="L1456" s="20">
        <f>IFERROR(Calc!L221,"")</f>
        <v/>
      </c>
      <c r="M1456" s="17">
        <f>IFERROR(Calc!M221,"")</f>
        <v/>
      </c>
      <c r="N1456" s="17">
        <f>IFERROR(Calc!N221,"")</f>
        <v/>
      </c>
      <c r="O1456" s="17">
        <f>IFERROR(Calc!O221,"")</f>
        <v/>
      </c>
      <c r="P1456" s="17">
        <f>IFERROR(Calc!P221,"")</f>
        <v/>
      </c>
      <c r="Q1456" s="21">
        <f>IFERROR(Calc!Q221,"")</f>
        <v/>
      </c>
      <c r="R1456" s="21">
        <f>IFERROR(Calc!R221,"")</f>
        <v/>
      </c>
      <c r="S1456" s="21">
        <f>IFERROR(Calc!S221,"")</f>
        <v/>
      </c>
      <c r="T1456" s="21">
        <f>IFERROR(Calc!T221,"")</f>
        <v/>
      </c>
      <c r="U1456" s="21">
        <f>IFERROR(Calc!U221,"")</f>
        <v/>
      </c>
      <c r="V1456" s="21">
        <f>IFERROR(Calc!V221,"")</f>
        <v/>
      </c>
      <c r="W1456" s="5" t="n"/>
      <c r="X1456" s="5" t="n"/>
      <c r="Y1456" s="5" t="n"/>
      <c r="Z1456" s="5" t="n"/>
      <c r="AA1456" s="5" t="n"/>
      <c r="AB1456" s="5" t="n"/>
    </row>
    <row r="1457" ht="15.75" customHeight="1" s="79">
      <c r="A1457" s="5">
        <f>IFERROR(Calc!$A$222,"")</f>
        <v/>
      </c>
      <c r="B1457" s="20">
        <f>IFERROR(Calc!B222,"")</f>
        <v/>
      </c>
      <c r="C1457" s="20">
        <f>IFERROR(Calc!C222,"")</f>
        <v/>
      </c>
      <c r="D1457" s="20">
        <f>IFERROR(Calc!D222,"")</f>
        <v/>
      </c>
      <c r="E1457" s="20">
        <f>IFERROR(Calc!E222,"")</f>
        <v/>
      </c>
      <c r="F1457" s="20">
        <f>IFERROR(Calc!F222,"")</f>
        <v/>
      </c>
      <c r="G1457" s="21">
        <f>IFERROR(Calc!G222,"")</f>
        <v/>
      </c>
      <c r="H1457" s="21">
        <f>IFERROR(Calc!H222,"")</f>
        <v/>
      </c>
      <c r="I1457" s="21">
        <f>IFERROR(Calc!I222,"")</f>
        <v/>
      </c>
      <c r="J1457" s="17">
        <f>IFERROR(Calc!J222,"")</f>
        <v/>
      </c>
      <c r="K1457" s="21">
        <f>IFERROR(Calc!K222,"")</f>
        <v/>
      </c>
      <c r="L1457" s="20">
        <f>IFERROR(Calc!L222,"")</f>
        <v/>
      </c>
      <c r="M1457" s="17">
        <f>IFERROR(Calc!M222,"")</f>
        <v/>
      </c>
      <c r="N1457" s="17">
        <f>IFERROR(Calc!N222,"")</f>
        <v/>
      </c>
      <c r="O1457" s="17">
        <f>IFERROR(Calc!O222,"")</f>
        <v/>
      </c>
      <c r="P1457" s="17">
        <f>IFERROR(Calc!P222,"")</f>
        <v/>
      </c>
      <c r="Q1457" s="21">
        <f>IFERROR(Calc!Q222,"")</f>
        <v/>
      </c>
      <c r="R1457" s="21">
        <f>IFERROR(Calc!R222,"")</f>
        <v/>
      </c>
      <c r="S1457" s="21">
        <f>IFERROR(Calc!S222,"")</f>
        <v/>
      </c>
      <c r="T1457" s="21">
        <f>IFERROR(Calc!T222,"")</f>
        <v/>
      </c>
      <c r="U1457" s="21">
        <f>IFERROR(Calc!U222,"")</f>
        <v/>
      </c>
      <c r="V1457" s="21">
        <f>IFERROR(Calc!V222,"")</f>
        <v/>
      </c>
      <c r="W1457" s="5" t="n"/>
      <c r="X1457" s="5" t="n"/>
      <c r="Y1457" s="5" t="n"/>
      <c r="Z1457" s="5" t="n"/>
      <c r="AA1457" s="5" t="n"/>
      <c r="AB1457" s="5" t="n"/>
    </row>
    <row r="1458" ht="15.75" customHeight="1" s="79">
      <c r="A1458" s="5">
        <f>IFERROR(Calc!$A$223,"")</f>
        <v/>
      </c>
      <c r="B1458" s="20">
        <f>IFERROR(Calc!B223,"")</f>
        <v/>
      </c>
      <c r="C1458" s="20">
        <f>IFERROR(Calc!C223,"")</f>
        <v/>
      </c>
      <c r="D1458" s="20">
        <f>IFERROR(Calc!D223,"")</f>
        <v/>
      </c>
      <c r="E1458" s="20">
        <f>IFERROR(Calc!E223,"")</f>
        <v/>
      </c>
      <c r="F1458" s="20">
        <f>IFERROR(Calc!F223,"")</f>
        <v/>
      </c>
      <c r="G1458" s="21">
        <f>IFERROR(Calc!G223,"")</f>
        <v/>
      </c>
      <c r="H1458" s="21">
        <f>IFERROR(Calc!H223,"")</f>
        <v/>
      </c>
      <c r="I1458" s="21">
        <f>IFERROR(Calc!I223,"")</f>
        <v/>
      </c>
      <c r="J1458" s="17">
        <f>IFERROR(Calc!J223,"")</f>
        <v/>
      </c>
      <c r="K1458" s="21">
        <f>IFERROR(Calc!K223,"")</f>
        <v/>
      </c>
      <c r="L1458" s="20">
        <f>IFERROR(Calc!L223,"")</f>
        <v/>
      </c>
      <c r="M1458" s="17">
        <f>IFERROR(Calc!M223,"")</f>
        <v/>
      </c>
      <c r="N1458" s="17">
        <f>IFERROR(Calc!N223,"")</f>
        <v/>
      </c>
      <c r="O1458" s="17">
        <f>IFERROR(Calc!O223,"")</f>
        <v/>
      </c>
      <c r="P1458" s="17">
        <f>IFERROR(Calc!P223,"")</f>
        <v/>
      </c>
      <c r="Q1458" s="21">
        <f>IFERROR(Calc!Q223,"")</f>
        <v/>
      </c>
      <c r="R1458" s="21">
        <f>IFERROR(Calc!R223,"")</f>
        <v/>
      </c>
      <c r="S1458" s="21">
        <f>IFERROR(Calc!S223,"")</f>
        <v/>
      </c>
      <c r="T1458" s="21">
        <f>IFERROR(Calc!T223,"")</f>
        <v/>
      </c>
      <c r="U1458" s="21">
        <f>IFERROR(Calc!U223,"")</f>
        <v/>
      </c>
      <c r="V1458" s="21">
        <f>IFERROR(Calc!V223,"")</f>
        <v/>
      </c>
      <c r="W1458" s="5" t="n"/>
      <c r="X1458" s="5" t="n"/>
      <c r="Y1458" s="5" t="n"/>
      <c r="Z1458" s="5" t="n"/>
      <c r="AA1458" s="5" t="n"/>
      <c r="AB1458" s="5" t="n"/>
    </row>
    <row r="1459" ht="15.75" customHeight="1" s="79">
      <c r="A1459" s="5" t="n"/>
      <c r="B1459" s="5" t="n"/>
      <c r="C1459" s="5" t="n"/>
      <c r="D1459" s="5" t="n"/>
      <c r="E1459" s="5" t="n"/>
      <c r="F1459" s="5" t="n"/>
      <c r="G1459" s="5" t="n"/>
      <c r="H1459" s="5" t="n"/>
      <c r="I1459" s="5" t="n"/>
      <c r="J1459" s="5" t="n"/>
      <c r="K1459" s="5" t="n"/>
      <c r="L1459" s="5" t="n"/>
      <c r="M1459" s="5" t="n"/>
      <c r="N1459" s="5" t="n"/>
      <c r="O1459" s="5" t="n"/>
      <c r="P1459" s="5" t="n"/>
      <c r="Q1459" s="5" t="n"/>
      <c r="R1459" s="5" t="n"/>
      <c r="S1459" s="5" t="n"/>
      <c r="T1459" s="5" t="n"/>
      <c r="U1459" s="5" t="n"/>
      <c r="V1459" s="5" t="n"/>
      <c r="W1459" s="5" t="n"/>
      <c r="X1459" s="5" t="n"/>
      <c r="Y1459" s="5" t="n"/>
      <c r="Z1459" s="5" t="n"/>
      <c r="AA1459" s="5" t="n"/>
      <c r="AB1459" s="5" t="n"/>
    </row>
    <row r="1460" ht="15.75" customHeight="1" s="79">
      <c r="A1460" s="5" t="n"/>
      <c r="B1460" s="5" t="n"/>
      <c r="C1460" s="5" t="n"/>
      <c r="D1460" s="5" t="n"/>
      <c r="E1460" s="5" t="n"/>
      <c r="F1460" s="5" t="n"/>
      <c r="G1460" s="5" t="n"/>
      <c r="H1460" s="5" t="n"/>
      <c r="I1460" s="5" t="n"/>
      <c r="J1460" s="5" t="n"/>
      <c r="K1460" s="5" t="n"/>
      <c r="L1460" s="5" t="n"/>
      <c r="M1460" s="5" t="n"/>
      <c r="N1460" s="5" t="n"/>
      <c r="O1460" s="5" t="n"/>
      <c r="P1460" s="5" t="n"/>
      <c r="Q1460" s="5" t="n"/>
      <c r="R1460" s="5" t="n"/>
      <c r="S1460" s="5" t="n"/>
      <c r="T1460" s="5" t="n"/>
      <c r="U1460" s="5" t="n"/>
      <c r="V1460" s="5" t="n"/>
      <c r="W1460" s="5" t="n"/>
      <c r="X1460" s="5" t="n"/>
      <c r="Y1460" s="5" t="n"/>
      <c r="Z1460" s="5" t="n"/>
      <c r="AA1460" s="5" t="n"/>
      <c r="AB1460" s="5" t="n"/>
    </row>
    <row r="1461" ht="15.75" customHeight="1" s="79">
      <c r="A1461" s="5" t="n"/>
      <c r="B1461" s="5" t="n"/>
      <c r="C1461" s="5" t="n"/>
      <c r="D1461" s="5" t="n"/>
      <c r="E1461" s="5" t="n"/>
      <c r="F1461" s="5" t="n"/>
      <c r="G1461" s="5" t="n"/>
      <c r="H1461" s="5" t="n"/>
      <c r="I1461" s="5" t="n"/>
      <c r="J1461" s="5" t="n"/>
      <c r="K1461" s="5" t="n"/>
      <c r="L1461" s="5" t="n"/>
      <c r="M1461" s="5" t="n"/>
      <c r="N1461" s="5" t="n"/>
      <c r="O1461" s="5" t="n"/>
      <c r="P1461" s="5" t="n"/>
      <c r="Q1461" s="5" t="n"/>
      <c r="R1461" s="5" t="n"/>
      <c r="S1461" s="5" t="n"/>
      <c r="T1461" s="5" t="n"/>
      <c r="U1461" s="5" t="n"/>
      <c r="V1461" s="5" t="n"/>
      <c r="W1461" s="5" t="n"/>
      <c r="X1461" s="5" t="n"/>
      <c r="Y1461" s="5" t="n"/>
      <c r="Z1461" s="5" t="n"/>
      <c r="AA1461" s="5" t="n"/>
      <c r="AB1461" s="5" t="n"/>
    </row>
    <row r="1462" ht="15.75" customHeight="1" s="79">
      <c r="A1462" s="43" t="inlineStr">
        <is>
          <t>NEW VS RENEWAL</t>
        </is>
      </c>
      <c r="B1462" s="5" t="n"/>
      <c r="C1462" s="5" t="n"/>
      <c r="D1462" s="5" t="n"/>
      <c r="E1462" s="5" t="n"/>
      <c r="F1462" s="5" t="n"/>
      <c r="G1462" s="5" t="n"/>
      <c r="H1462" s="5" t="n"/>
      <c r="I1462" s="5" t="n"/>
      <c r="J1462" s="5" t="n"/>
      <c r="K1462" s="5" t="n"/>
      <c r="L1462" s="5" t="n"/>
      <c r="M1462" s="5" t="n"/>
      <c r="N1462" s="5" t="n"/>
      <c r="O1462" s="5" t="n"/>
      <c r="P1462" s="5" t="n"/>
      <c r="Q1462" s="5" t="n"/>
      <c r="R1462" s="5" t="n"/>
      <c r="S1462" s="5" t="n"/>
      <c r="T1462" s="5" t="n"/>
      <c r="U1462" s="5" t="n"/>
      <c r="V1462" s="5" t="n"/>
      <c r="W1462" s="5" t="n"/>
      <c r="X1462" s="5" t="n"/>
      <c r="Y1462" s="5" t="n"/>
      <c r="Z1462" s="5" t="n"/>
      <c r="AA1462" s="5" t="n"/>
      <c r="AB1462" s="5" t="n"/>
    </row>
    <row r="1463" ht="66" customHeight="1" s="79">
      <c r="A1463" s="72" t="inlineStr">
        <is>
          <t>Renewals are the best paper in the book, by a wide margin. They default half as often and made as much money as all new business on a fifth of the capital. The full-book number saying otherwise is 2026 renewals that haven't finished. Push renewals harder and fund them first.</t>
        </is>
      </c>
      <c r="AB1463" s="5" t="n"/>
    </row>
    <row r="1464" ht="15.75" customHeight="1" s="79">
      <c r="A1464" s="5" t="n"/>
      <c r="B1464" s="5" t="n"/>
      <c r="C1464" s="5" t="n"/>
      <c r="D1464" s="5" t="n"/>
      <c r="E1464" s="5" t="n"/>
      <c r="F1464" s="5" t="n"/>
      <c r="G1464" s="5" t="n"/>
      <c r="H1464" s="5" t="n"/>
      <c r="I1464" s="5" t="n"/>
      <c r="J1464" s="5" t="n"/>
      <c r="K1464" s="5" t="n"/>
      <c r="L1464" s="5" t="n"/>
      <c r="M1464" s="5" t="n"/>
      <c r="N1464" s="5" t="n"/>
      <c r="O1464" s="5" t="n"/>
      <c r="P1464" s="5" t="n"/>
      <c r="Q1464" s="5" t="n"/>
      <c r="R1464" s="5" t="n"/>
      <c r="S1464" s="5" t="n"/>
      <c r="T1464" s="5" t="n"/>
      <c r="U1464" s="5" t="n"/>
      <c r="V1464" s="5" t="n"/>
      <c r="W1464" s="5" t="n"/>
      <c r="X1464" s="5" t="n"/>
      <c r="Y1464" s="5" t="n"/>
      <c r="Z1464" s="5" t="n"/>
      <c r="AA1464" s="5" t="n"/>
      <c r="AB1464" s="5" t="n"/>
    </row>
    <row r="1465" ht="15.75" customHeight="1" s="79">
      <c r="A1465" s="5" t="n"/>
      <c r="B1465" s="5" t="n"/>
      <c r="C1465" s="5" t="n"/>
      <c r="D1465" s="5" t="n"/>
      <c r="E1465" s="5" t="n"/>
      <c r="F1465" s="5" t="n"/>
      <c r="G1465" s="5" t="n"/>
      <c r="H1465" s="5" t="n"/>
      <c r="I1465" s="5" t="n"/>
      <c r="J1465" s="5" t="n"/>
      <c r="K1465" s="5" t="n"/>
      <c r="L1465" s="5" t="n"/>
      <c r="M1465" s="5" t="n"/>
      <c r="N1465" s="5" t="n"/>
      <c r="O1465" s="5" t="n"/>
      <c r="P1465" s="5" t="n"/>
      <c r="Q1465" s="5" t="n"/>
      <c r="R1465" s="5" t="n"/>
      <c r="S1465" s="5" t="n"/>
      <c r="T1465" s="5" t="n"/>
      <c r="U1465" s="5" t="n"/>
      <c r="V1465" s="5" t="n"/>
      <c r="W1465" s="5" t="n"/>
      <c r="X1465" s="5" t="n"/>
      <c r="Y1465" s="5" t="n"/>
      <c r="Z1465" s="5" t="n"/>
      <c r="AA1465" s="5" t="n"/>
      <c r="AB1465" s="5" t="n"/>
    </row>
    <row r="1466" ht="15.75" customHeight="1" s="79">
      <c r="A1466" s="5" t="n"/>
      <c r="B1466" s="5" t="n"/>
      <c r="C1466" s="5" t="n"/>
      <c r="D1466" s="5" t="n"/>
      <c r="E1466" s="5" t="n"/>
      <c r="F1466" s="5" t="n"/>
      <c r="G1466" s="5" t="n"/>
      <c r="H1466" s="5" t="n"/>
      <c r="I1466" s="5" t="n"/>
      <c r="J1466" s="5" t="n"/>
      <c r="K1466" s="5" t="n"/>
      <c r="L1466" s="5" t="n"/>
      <c r="M1466" s="5" t="n"/>
      <c r="N1466" s="5" t="n"/>
      <c r="O1466" s="5" t="n"/>
      <c r="P1466" s="5" t="n"/>
      <c r="Q1466" s="5" t="n"/>
      <c r="R1466" s="5" t="n"/>
      <c r="S1466" s="5" t="n"/>
      <c r="T1466" s="5" t="n"/>
      <c r="U1466" s="5" t="n"/>
      <c r="V1466" s="5" t="n"/>
      <c r="W1466" s="5" t="n"/>
      <c r="X1466" s="5" t="n"/>
      <c r="Y1466" s="5" t="n"/>
      <c r="Z1466" s="5" t="n"/>
      <c r="AA1466" s="5" t="n"/>
      <c r="AB1466" s="5" t="n"/>
    </row>
    <row r="1467" ht="15.75" customHeight="1" s="79">
      <c r="A1467" s="5" t="n"/>
      <c r="B1467" s="5" t="n"/>
      <c r="C1467" s="5" t="n"/>
      <c r="D1467" s="5" t="n"/>
      <c r="E1467" s="5" t="n"/>
      <c r="F1467" s="5" t="n"/>
      <c r="G1467" s="5" t="n"/>
      <c r="H1467" s="5" t="n"/>
      <c r="I1467" s="5" t="n"/>
      <c r="J1467" s="5" t="n"/>
      <c r="K1467" s="5" t="n"/>
      <c r="L1467" s="5" t="n"/>
      <c r="M1467" s="5" t="n"/>
      <c r="N1467" s="5" t="n"/>
      <c r="O1467" s="5" t="n"/>
      <c r="P1467" s="5" t="n"/>
      <c r="Q1467" s="5" t="n"/>
      <c r="R1467" s="5" t="n"/>
      <c r="S1467" s="5" t="n"/>
      <c r="T1467" s="5" t="n"/>
      <c r="U1467" s="5" t="n"/>
      <c r="V1467" s="5" t="n"/>
      <c r="W1467" s="5" t="n"/>
      <c r="X1467" s="5" t="n"/>
      <c r="Y1467" s="5" t="n"/>
      <c r="Z1467" s="5" t="n"/>
      <c r="AA1467" s="5" t="n"/>
      <c r="AB1467" s="5" t="n"/>
    </row>
    <row r="1468" ht="15.75" customHeight="1" s="79">
      <c r="A1468" s="5" t="n"/>
      <c r="B1468" s="5" t="n"/>
      <c r="C1468" s="5" t="n"/>
      <c r="D1468" s="5" t="n"/>
      <c r="E1468" s="5" t="n"/>
      <c r="F1468" s="5" t="n"/>
      <c r="G1468" s="5" t="n"/>
      <c r="H1468" s="5" t="n"/>
      <c r="I1468" s="5" t="n"/>
      <c r="J1468" s="5" t="n"/>
      <c r="K1468" s="5" t="n"/>
      <c r="L1468" s="5" t="n"/>
      <c r="M1468" s="5" t="n"/>
      <c r="N1468" s="5" t="n"/>
      <c r="O1468" s="5" t="n"/>
      <c r="P1468" s="5" t="n"/>
      <c r="Q1468" s="5" t="n"/>
      <c r="R1468" s="5" t="n"/>
      <c r="S1468" s="5" t="n"/>
      <c r="T1468" s="5" t="n"/>
      <c r="U1468" s="5" t="n"/>
      <c r="V1468" s="5" t="n"/>
      <c r="W1468" s="5" t="n"/>
      <c r="X1468" s="5" t="n"/>
      <c r="Y1468" s="5" t="n"/>
      <c r="Z1468" s="5" t="n"/>
      <c r="AA1468" s="5" t="n"/>
      <c r="AB1468" s="5" t="n"/>
    </row>
    <row r="1469" ht="15.75" customHeight="1" s="79">
      <c r="A1469" s="5" t="n"/>
      <c r="B1469" s="5" t="n"/>
      <c r="C1469" s="5" t="n"/>
      <c r="D1469" s="5" t="n"/>
      <c r="E1469" s="5" t="n"/>
      <c r="F1469" s="5" t="n"/>
      <c r="G1469" s="5" t="n"/>
      <c r="H1469" s="5" t="n"/>
      <c r="I1469" s="5" t="n"/>
      <c r="J1469" s="5" t="n"/>
      <c r="K1469" s="5" t="n"/>
      <c r="L1469" s="5" t="n"/>
      <c r="M1469" s="5" t="n"/>
      <c r="N1469" s="5" t="n"/>
      <c r="O1469" s="5" t="n"/>
      <c r="P1469" s="5" t="n"/>
      <c r="Q1469" s="5" t="n"/>
      <c r="R1469" s="5" t="n"/>
      <c r="S1469" s="5" t="n"/>
      <c r="T1469" s="5" t="n"/>
      <c r="U1469" s="5" t="n"/>
      <c r="V1469" s="5" t="n"/>
      <c r="W1469" s="5" t="n"/>
      <c r="X1469" s="5" t="n"/>
      <c r="Y1469" s="5" t="n"/>
      <c r="Z1469" s="5" t="n"/>
      <c r="AA1469" s="5" t="n"/>
      <c r="AB1469" s="5" t="n"/>
    </row>
    <row r="1470" ht="15.75" customHeight="1" s="79">
      <c r="A1470" s="5" t="n"/>
      <c r="B1470" s="5" t="n"/>
      <c r="C1470" s="5" t="n"/>
      <c r="D1470" s="5" t="n"/>
      <c r="E1470" s="5" t="n"/>
      <c r="F1470" s="5" t="n"/>
      <c r="G1470" s="5" t="n"/>
      <c r="H1470" s="5" t="n"/>
      <c r="I1470" s="5" t="n"/>
      <c r="J1470" s="5" t="n"/>
      <c r="K1470" s="5" t="n"/>
      <c r="L1470" s="5" t="n"/>
      <c r="M1470" s="5" t="n"/>
      <c r="N1470" s="5" t="n"/>
      <c r="O1470" s="5" t="n"/>
      <c r="P1470" s="5" t="n"/>
      <c r="Q1470" s="5" t="n"/>
      <c r="R1470" s="5" t="n"/>
      <c r="S1470" s="5" t="n"/>
      <c r="T1470" s="5" t="n"/>
      <c r="U1470" s="5" t="n"/>
      <c r="V1470" s="5" t="n"/>
      <c r="W1470" s="5" t="n"/>
      <c r="X1470" s="5" t="n"/>
      <c r="Y1470" s="5" t="n"/>
      <c r="Z1470" s="5" t="n"/>
      <c r="AA1470" s="5" t="n"/>
      <c r="AB1470" s="5" t="n"/>
    </row>
    <row r="1471" ht="15.75" customHeight="1" s="79">
      <c r="A1471" s="5" t="n"/>
      <c r="B1471" s="5" t="n"/>
      <c r="C1471" s="5" t="n"/>
      <c r="D1471" s="5" t="n"/>
      <c r="E1471" s="5" t="n"/>
      <c r="F1471" s="5" t="n"/>
      <c r="G1471" s="5" t="n"/>
      <c r="H1471" s="5" t="n"/>
      <c r="I1471" s="5" t="n"/>
      <c r="J1471" s="5" t="n"/>
      <c r="K1471" s="5" t="n"/>
      <c r="L1471" s="5" t="n"/>
      <c r="M1471" s="5" t="n"/>
      <c r="N1471" s="5" t="n"/>
      <c r="O1471" s="5" t="n"/>
      <c r="P1471" s="5" t="n"/>
      <c r="Q1471" s="5" t="n"/>
      <c r="R1471" s="5" t="n"/>
      <c r="S1471" s="5" t="n"/>
      <c r="T1471" s="5" t="n"/>
      <c r="U1471" s="5" t="n"/>
      <c r="V1471" s="5" t="n"/>
      <c r="W1471" s="5" t="n"/>
      <c r="X1471" s="5" t="n"/>
      <c r="Y1471" s="5" t="n"/>
      <c r="Z1471" s="5" t="n"/>
      <c r="AA1471" s="5" t="n"/>
      <c r="AB1471" s="5" t="n"/>
    </row>
    <row r="1472" ht="15.75" customHeight="1" s="79">
      <c r="A1472" s="5" t="n"/>
      <c r="B1472" s="5" t="n"/>
      <c r="C1472" s="5" t="n"/>
      <c r="D1472" s="5" t="n"/>
      <c r="E1472" s="5" t="n"/>
      <c r="F1472" s="5" t="n"/>
      <c r="G1472" s="5" t="n"/>
      <c r="H1472" s="5" t="n"/>
      <c r="I1472" s="5" t="n"/>
      <c r="J1472" s="5" t="n"/>
      <c r="K1472" s="5" t="n"/>
      <c r="L1472" s="5" t="n"/>
      <c r="M1472" s="5" t="n"/>
      <c r="N1472" s="5" t="n"/>
      <c r="O1472" s="5" t="n"/>
      <c r="P1472" s="5" t="n"/>
      <c r="Q1472" s="5" t="n"/>
      <c r="R1472" s="5" t="n"/>
      <c r="S1472" s="5" t="n"/>
      <c r="T1472" s="5" t="n"/>
      <c r="U1472" s="5" t="n"/>
      <c r="V1472" s="5" t="n"/>
      <c r="W1472" s="5" t="n"/>
      <c r="X1472" s="5" t="n"/>
      <c r="Y1472" s="5" t="n"/>
      <c r="Z1472" s="5" t="n"/>
      <c r="AA1472" s="5" t="n"/>
      <c r="AB1472" s="5" t="n"/>
    </row>
    <row r="1473" ht="15.75" customHeight="1" s="79">
      <c r="A1473" s="5" t="n"/>
      <c r="B1473" s="5" t="n"/>
      <c r="C1473" s="5" t="n"/>
      <c r="D1473" s="5" t="n"/>
      <c r="E1473" s="5" t="n"/>
      <c r="F1473" s="5" t="n"/>
      <c r="G1473" s="5" t="n"/>
      <c r="H1473" s="5" t="n"/>
      <c r="I1473" s="5" t="n"/>
      <c r="J1473" s="5" t="n"/>
      <c r="K1473" s="5" t="n"/>
      <c r="L1473" s="5" t="n"/>
      <c r="M1473" s="5" t="n"/>
      <c r="N1473" s="5" t="n"/>
      <c r="O1473" s="5" t="n"/>
      <c r="P1473" s="5" t="n"/>
      <c r="Q1473" s="5" t="n"/>
      <c r="R1473" s="5" t="n"/>
      <c r="S1473" s="5" t="n"/>
      <c r="T1473" s="5" t="n"/>
      <c r="U1473" s="5" t="n"/>
      <c r="V1473" s="5" t="n"/>
      <c r="W1473" s="5" t="n"/>
      <c r="X1473" s="5" t="n"/>
      <c r="Y1473" s="5" t="n"/>
      <c r="Z1473" s="5" t="n"/>
      <c r="AA1473" s="5" t="n"/>
      <c r="AB1473" s="5" t="n"/>
    </row>
    <row r="1474" ht="15.75" customHeight="1" s="79">
      <c r="A1474" s="5" t="n"/>
      <c r="B1474" s="5" t="n"/>
      <c r="C1474" s="5" t="n"/>
      <c r="D1474" s="5" t="n"/>
      <c r="E1474" s="5" t="n"/>
      <c r="F1474" s="5" t="n"/>
      <c r="G1474" s="5" t="n"/>
      <c r="H1474" s="5" t="n"/>
      <c r="I1474" s="5" t="n"/>
      <c r="J1474" s="5" t="n"/>
      <c r="K1474" s="5" t="n"/>
      <c r="L1474" s="5" t="n"/>
      <c r="M1474" s="5" t="n"/>
      <c r="N1474" s="5" t="n"/>
      <c r="O1474" s="5" t="n"/>
      <c r="P1474" s="5" t="n"/>
      <c r="Q1474" s="5" t="n"/>
      <c r="R1474" s="5" t="n"/>
      <c r="S1474" s="5" t="n"/>
      <c r="T1474" s="5" t="n"/>
      <c r="U1474" s="5" t="n"/>
      <c r="V1474" s="5" t="n"/>
      <c r="W1474" s="5" t="n"/>
      <c r="X1474" s="5" t="n"/>
      <c r="Y1474" s="5" t="n"/>
      <c r="Z1474" s="5" t="n"/>
      <c r="AA1474" s="5" t="n"/>
      <c r="AB1474" s="5" t="n"/>
    </row>
    <row r="1475" ht="15.75" customHeight="1" s="79">
      <c r="A1475" s="5" t="n"/>
      <c r="B1475" s="5" t="n"/>
      <c r="C1475" s="5" t="n"/>
      <c r="D1475" s="5" t="n"/>
      <c r="E1475" s="5" t="n"/>
      <c r="F1475" s="5" t="n"/>
      <c r="G1475" s="5" t="n"/>
      <c r="H1475" s="5" t="n"/>
      <c r="I1475" s="5" t="n"/>
      <c r="J1475" s="5" t="n"/>
      <c r="K1475" s="5" t="n"/>
      <c r="L1475" s="5" t="n"/>
      <c r="M1475" s="5" t="n"/>
      <c r="N1475" s="5" t="n"/>
      <c r="O1475" s="5" t="n"/>
      <c r="P1475" s="5" t="n"/>
      <c r="Q1475" s="5" t="n"/>
      <c r="R1475" s="5" t="n"/>
      <c r="S1475" s="5" t="n"/>
      <c r="T1475" s="5" t="n"/>
      <c r="U1475" s="5" t="n"/>
      <c r="V1475" s="5" t="n"/>
      <c r="W1475" s="5" t="n"/>
      <c r="X1475" s="5" t="n"/>
      <c r="Y1475" s="5" t="n"/>
      <c r="Z1475" s="5" t="n"/>
      <c r="AA1475" s="5" t="n"/>
      <c r="AB1475" s="5" t="n"/>
    </row>
    <row r="1476" ht="15.75" customHeight="1" s="79">
      <c r="A1476" s="5" t="n"/>
      <c r="B1476" s="5" t="n"/>
      <c r="C1476" s="5" t="n"/>
      <c r="D1476" s="5" t="n"/>
      <c r="E1476" s="5" t="n"/>
      <c r="F1476" s="5" t="n"/>
      <c r="G1476" s="5" t="n"/>
      <c r="H1476" s="5" t="n"/>
      <c r="I1476" s="5" t="n"/>
      <c r="J1476" s="5" t="n"/>
      <c r="K1476" s="5" t="n"/>
      <c r="L1476" s="5" t="n"/>
      <c r="M1476" s="5" t="n"/>
      <c r="N1476" s="5" t="n"/>
      <c r="O1476" s="5" t="n"/>
      <c r="P1476" s="5" t="n"/>
      <c r="Q1476" s="5" t="n"/>
      <c r="R1476" s="5" t="n"/>
      <c r="S1476" s="5" t="n"/>
      <c r="T1476" s="5" t="n"/>
      <c r="U1476" s="5" t="n"/>
      <c r="V1476" s="5" t="n"/>
      <c r="W1476" s="5" t="n"/>
      <c r="X1476" s="5" t="n"/>
      <c r="Y1476" s="5" t="n"/>
      <c r="Z1476" s="5" t="n"/>
      <c r="AA1476" s="5" t="n"/>
      <c r="AB1476" s="5" t="n"/>
    </row>
    <row r="1477" ht="15.75" customHeight="1" s="79">
      <c r="A1477" s="5" t="n"/>
      <c r="B1477" s="5" t="n"/>
      <c r="C1477" s="5" t="n"/>
      <c r="D1477" s="5" t="n"/>
      <c r="E1477" s="5" t="n"/>
      <c r="F1477" s="5" t="n"/>
      <c r="G1477" s="5" t="n"/>
      <c r="H1477" s="5" t="n"/>
      <c r="I1477" s="5" t="n"/>
      <c r="J1477" s="5" t="n"/>
      <c r="K1477" s="5" t="n"/>
      <c r="L1477" s="5" t="n"/>
      <c r="M1477" s="5" t="n"/>
      <c r="N1477" s="5" t="n"/>
      <c r="O1477" s="5" t="n"/>
      <c r="P1477" s="5" t="n"/>
      <c r="Q1477" s="5" t="n"/>
      <c r="R1477" s="5" t="n"/>
      <c r="S1477" s="5" t="n"/>
      <c r="T1477" s="5" t="n"/>
      <c r="U1477" s="5" t="n"/>
      <c r="V1477" s="5" t="n"/>
      <c r="W1477" s="5" t="n"/>
      <c r="X1477" s="5" t="n"/>
      <c r="Y1477" s="5" t="n"/>
      <c r="Z1477" s="5" t="n"/>
      <c r="AA1477" s="5" t="n"/>
      <c r="AB1477" s="5" t="n"/>
    </row>
    <row r="1478" ht="15.75" customHeight="1" s="79">
      <c r="A1478" s="5" t="n"/>
      <c r="B1478" s="5" t="n"/>
      <c r="C1478" s="5" t="n"/>
      <c r="D1478" s="5" t="n"/>
      <c r="E1478" s="5" t="n"/>
      <c r="F1478" s="5" t="n"/>
      <c r="G1478" s="5" t="n"/>
      <c r="H1478" s="5" t="n"/>
      <c r="I1478" s="5" t="n"/>
      <c r="J1478" s="5" t="n"/>
      <c r="K1478" s="5" t="n"/>
      <c r="L1478" s="5" t="n"/>
      <c r="M1478" s="5" t="n"/>
      <c r="N1478" s="5" t="n"/>
      <c r="O1478" s="5" t="n"/>
      <c r="P1478" s="5" t="n"/>
      <c r="Q1478" s="5" t="n"/>
      <c r="R1478" s="5" t="n"/>
      <c r="S1478" s="5" t="n"/>
      <c r="T1478" s="5" t="n"/>
      <c r="U1478" s="5" t="n"/>
      <c r="V1478" s="5" t="n"/>
      <c r="W1478" s="5" t="n"/>
      <c r="X1478" s="5" t="n"/>
      <c r="Y1478" s="5" t="n"/>
      <c r="Z1478" s="5" t="n"/>
      <c r="AA1478" s="5" t="n"/>
      <c r="AB1478" s="5" t="n"/>
    </row>
    <row r="1479" ht="15.75" customHeight="1" s="79">
      <c r="A1479" s="5" t="n"/>
      <c r="B1479" s="5" t="n"/>
      <c r="C1479" s="5" t="n"/>
      <c r="D1479" s="5" t="n"/>
      <c r="E1479" s="5" t="n"/>
      <c r="F1479" s="5" t="n"/>
      <c r="G1479" s="5" t="n"/>
      <c r="H1479" s="5" t="n"/>
      <c r="I1479" s="5" t="n"/>
      <c r="J1479" s="5" t="n"/>
      <c r="K1479" s="5" t="n"/>
      <c r="L1479" s="5" t="n"/>
      <c r="M1479" s="5" t="n"/>
      <c r="N1479" s="5" t="n"/>
      <c r="O1479" s="5" t="n"/>
      <c r="P1479" s="5" t="n"/>
      <c r="Q1479" s="5" t="n"/>
      <c r="R1479" s="5" t="n"/>
      <c r="S1479" s="5" t="n"/>
      <c r="T1479" s="5" t="n"/>
      <c r="U1479" s="5" t="n"/>
      <c r="V1479" s="5" t="n"/>
      <c r="W1479" s="5" t="n"/>
      <c r="X1479" s="5" t="n"/>
      <c r="Y1479" s="5" t="n"/>
      <c r="Z1479" s="5" t="n"/>
      <c r="AA1479" s="5" t="n"/>
      <c r="AB1479" s="5" t="n"/>
    </row>
    <row r="1480" ht="15.75" customHeight="1" s="79">
      <c r="A1480" s="5" t="n"/>
      <c r="B1480" s="5" t="n"/>
      <c r="C1480" s="5" t="n"/>
      <c r="D1480" s="5" t="n"/>
      <c r="E1480" s="5" t="n"/>
      <c r="F1480" s="5" t="n"/>
      <c r="G1480" s="5" t="n"/>
      <c r="H1480" s="5" t="n"/>
      <c r="I1480" s="5" t="n"/>
      <c r="J1480" s="5" t="n"/>
      <c r="K1480" s="5" t="n"/>
      <c r="L1480" s="5" t="n"/>
      <c r="M1480" s="5" t="n"/>
      <c r="N1480" s="5" t="n"/>
      <c r="O1480" s="5" t="n"/>
      <c r="P1480" s="5" t="n"/>
      <c r="Q1480" s="5" t="n"/>
      <c r="R1480" s="5" t="n"/>
      <c r="S1480" s="5" t="n"/>
      <c r="T1480" s="5" t="n"/>
      <c r="U1480" s="5" t="n"/>
      <c r="V1480" s="5" t="n"/>
      <c r="W1480" s="5" t="n"/>
      <c r="X1480" s="5" t="n"/>
      <c r="Y1480" s="5" t="n"/>
      <c r="Z1480" s="5" t="n"/>
      <c r="AA1480" s="5" t="n"/>
      <c r="AB1480" s="5" t="n"/>
    </row>
    <row r="1481" ht="15.75" customHeight="1" s="79">
      <c r="A1481" s="5" t="n"/>
      <c r="B1481" s="5" t="n"/>
      <c r="C1481" s="5" t="n"/>
      <c r="D1481" s="5" t="n"/>
      <c r="E1481" s="5" t="n"/>
      <c r="F1481" s="5" t="n"/>
      <c r="G1481" s="5" t="n"/>
      <c r="H1481" s="5" t="n"/>
      <c r="I1481" s="5" t="n"/>
      <c r="J1481" s="5" t="n"/>
      <c r="K1481" s="5" t="n"/>
      <c r="L1481" s="5" t="n"/>
      <c r="M1481" s="5" t="n"/>
      <c r="N1481" s="5" t="n"/>
      <c r="O1481" s="5" t="n"/>
      <c r="P1481" s="5" t="n"/>
      <c r="Q1481" s="5" t="n"/>
      <c r="R1481" s="5" t="n"/>
      <c r="S1481" s="5" t="n"/>
      <c r="T1481" s="5" t="n"/>
      <c r="U1481" s="5" t="n"/>
      <c r="V1481" s="5" t="n"/>
      <c r="W1481" s="5" t="n"/>
      <c r="X1481" s="5" t="n"/>
      <c r="Y1481" s="5" t="n"/>
      <c r="Z1481" s="5" t="n"/>
      <c r="AA1481" s="5" t="n"/>
      <c r="AB1481" s="5" t="n"/>
    </row>
    <row r="1482" ht="15.75" customHeight="1" s="79">
      <c r="A1482" s="5" t="n"/>
      <c r="B1482" s="5" t="n"/>
      <c r="C1482" s="5" t="n"/>
      <c r="D1482" s="5" t="n"/>
      <c r="E1482" s="5" t="n"/>
      <c r="F1482" s="5" t="n"/>
      <c r="G1482" s="5" t="n"/>
      <c r="H1482" s="5" t="n"/>
      <c r="I1482" s="5" t="n"/>
      <c r="J1482" s="5" t="n"/>
      <c r="K1482" s="5" t="n"/>
      <c r="L1482" s="5" t="n"/>
      <c r="M1482" s="5" t="n"/>
      <c r="N1482" s="5" t="n"/>
      <c r="O1482" s="5" t="n"/>
      <c r="P1482" s="5" t="n"/>
      <c r="Q1482" s="5" t="n"/>
      <c r="R1482" s="5" t="n"/>
      <c r="S1482" s="5" t="n"/>
      <c r="T1482" s="5" t="n"/>
      <c r="U1482" s="5" t="n"/>
      <c r="V1482" s="5" t="n"/>
      <c r="W1482" s="5" t="n"/>
      <c r="X1482" s="5" t="n"/>
      <c r="Y1482" s="5" t="n"/>
      <c r="Z1482" s="5" t="n"/>
      <c r="AA1482" s="5" t="n"/>
      <c r="AB1482" s="5" t="n"/>
    </row>
    <row r="1483" ht="15.75" customHeight="1" s="79">
      <c r="A1483" s="5" t="n"/>
      <c r="B1483" s="5" t="n"/>
      <c r="C1483" s="5" t="n"/>
      <c r="D1483" s="5" t="n"/>
      <c r="E1483" s="5" t="n"/>
      <c r="F1483" s="5" t="n"/>
      <c r="G1483" s="5" t="n"/>
      <c r="H1483" s="5" t="n"/>
      <c r="I1483" s="5" t="n"/>
      <c r="J1483" s="5" t="n"/>
      <c r="K1483" s="5" t="n"/>
      <c r="L1483" s="5" t="n"/>
      <c r="M1483" s="5" t="n"/>
      <c r="N1483" s="5" t="n"/>
      <c r="O1483" s="5" t="n"/>
      <c r="P1483" s="5" t="n"/>
      <c r="Q1483" s="5" t="n"/>
      <c r="R1483" s="5" t="n"/>
      <c r="S1483" s="5" t="n"/>
      <c r="T1483" s="5" t="n"/>
      <c r="U1483" s="5" t="n"/>
      <c r="V1483" s="5" t="n"/>
      <c r="W1483" s="5" t="n"/>
      <c r="X1483" s="5" t="n"/>
      <c r="Y1483" s="5" t="n"/>
      <c r="Z1483" s="5" t="n"/>
      <c r="AA1483" s="5" t="n"/>
      <c r="AB1483" s="5" t="n"/>
    </row>
    <row r="1484" ht="15.75" customHeight="1" s="79">
      <c r="A1484" s="5" t="n"/>
      <c r="B1484" s="5" t="n"/>
      <c r="C1484" s="5" t="n"/>
      <c r="D1484" s="5" t="n"/>
      <c r="E1484" s="5" t="n"/>
      <c r="F1484" s="5" t="n"/>
      <c r="G1484" s="5" t="n"/>
      <c r="H1484" s="5" t="n"/>
      <c r="I1484" s="5" t="n"/>
      <c r="J1484" s="5" t="n"/>
      <c r="K1484" s="5" t="n"/>
      <c r="L1484" s="5" t="n"/>
      <c r="M1484" s="5" t="n"/>
      <c r="N1484" s="5" t="n"/>
      <c r="O1484" s="5" t="n"/>
      <c r="P1484" s="5" t="n"/>
      <c r="Q1484" s="5" t="n"/>
      <c r="R1484" s="5" t="n"/>
      <c r="S1484" s="5" t="n"/>
      <c r="T1484" s="5" t="n"/>
      <c r="U1484" s="5" t="n"/>
      <c r="V1484" s="5" t="n"/>
      <c r="W1484" s="5" t="n"/>
      <c r="X1484" s="5" t="n"/>
      <c r="Y1484" s="5" t="n"/>
      <c r="Z1484" s="5" t="n"/>
      <c r="AA1484" s="5" t="n"/>
      <c r="AB1484" s="5" t="n"/>
    </row>
    <row r="1485" ht="15.75" customHeight="1" s="79">
      <c r="A1485" s="5" t="n"/>
      <c r="B1485" s="5" t="n"/>
      <c r="C1485" s="5" t="n"/>
      <c r="D1485" s="5" t="n"/>
      <c r="E1485" s="5" t="n"/>
      <c r="F1485" s="5" t="n"/>
      <c r="G1485" s="5" t="n"/>
      <c r="H1485" s="5" t="n"/>
      <c r="I1485" s="5" t="n"/>
      <c r="J1485" s="5" t="n"/>
      <c r="K1485" s="5" t="n"/>
      <c r="L1485" s="5" t="n"/>
      <c r="M1485" s="5" t="n"/>
      <c r="N1485" s="5" t="n"/>
      <c r="O1485" s="5" t="n"/>
      <c r="P1485" s="5" t="n"/>
      <c r="Q1485" s="5" t="n"/>
      <c r="R1485" s="5" t="n"/>
      <c r="S1485" s="5" t="n"/>
      <c r="T1485" s="5" t="n"/>
      <c r="U1485" s="5" t="n"/>
      <c r="V1485" s="5" t="n"/>
      <c r="W1485" s="5" t="n"/>
      <c r="X1485" s="5" t="n"/>
      <c r="Y1485" s="5" t="n"/>
      <c r="Z1485" s="5" t="n"/>
      <c r="AA1485" s="5" t="n"/>
      <c r="AB1485" s="5" t="n"/>
    </row>
    <row r="1486" ht="15.75" customHeight="1" s="79">
      <c r="A1486" s="5" t="n"/>
      <c r="B1486" s="5" t="n"/>
      <c r="C1486" s="5" t="n"/>
      <c r="D1486" s="5" t="n"/>
      <c r="E1486" s="5" t="n"/>
      <c r="F1486" s="5" t="n"/>
      <c r="G1486" s="5" t="n"/>
      <c r="H1486" s="5" t="n"/>
      <c r="I1486" s="5" t="n"/>
      <c r="J1486" s="5" t="n"/>
      <c r="K1486" s="5" t="n"/>
      <c r="L1486" s="5" t="n"/>
      <c r="M1486" s="5" t="n"/>
      <c r="N1486" s="5" t="n"/>
      <c r="O1486" s="5" t="n"/>
      <c r="P1486" s="5" t="n"/>
      <c r="Q1486" s="5" t="n"/>
      <c r="R1486" s="5" t="n"/>
      <c r="S1486" s="5" t="n"/>
      <c r="T1486" s="5" t="n"/>
      <c r="U1486" s="5" t="n"/>
      <c r="V1486" s="5" t="n"/>
      <c r="W1486" s="5" t="n"/>
      <c r="X1486" s="5" t="n"/>
      <c r="Y1486" s="5" t="n"/>
      <c r="Z1486" s="5" t="n"/>
      <c r="AA1486" s="5" t="n"/>
      <c r="AB1486" s="5" t="n"/>
    </row>
    <row r="1487" ht="15.75" customHeight="1" s="79">
      <c r="A1487" s="5" t="n"/>
      <c r="B1487" s="5" t="n"/>
      <c r="C1487" s="5" t="n"/>
      <c r="D1487" s="5" t="n"/>
      <c r="E1487" s="5" t="n"/>
      <c r="F1487" s="5" t="n"/>
      <c r="G1487" s="5" t="n"/>
      <c r="H1487" s="5" t="n"/>
      <c r="I1487" s="5" t="n"/>
      <c r="J1487" s="5" t="n"/>
      <c r="K1487" s="5" t="n"/>
      <c r="L1487" s="5" t="n"/>
      <c r="M1487" s="5" t="n"/>
      <c r="N1487" s="5" t="n"/>
      <c r="O1487" s="5" t="n"/>
      <c r="P1487" s="5" t="n"/>
      <c r="Q1487" s="5" t="n"/>
      <c r="R1487" s="5" t="n"/>
      <c r="S1487" s="5" t="n"/>
      <c r="T1487" s="5" t="n"/>
      <c r="U1487" s="5" t="n"/>
      <c r="V1487" s="5" t="n"/>
      <c r="W1487" s="5" t="n"/>
      <c r="X1487" s="5" t="n"/>
      <c r="Y1487" s="5" t="n"/>
      <c r="Z1487" s="5" t="n"/>
      <c r="AA1487" s="5" t="n"/>
      <c r="AB1487" s="5" t="n"/>
    </row>
    <row r="1488" ht="15.75" customHeight="1" s="79">
      <c r="A1488" s="5" t="n"/>
      <c r="B1488" s="5" t="n"/>
      <c r="C1488" s="5" t="n"/>
      <c r="D1488" s="5" t="n"/>
      <c r="E1488" s="5" t="n"/>
      <c r="F1488" s="5" t="n"/>
      <c r="G1488" s="5" t="n"/>
      <c r="H1488" s="5" t="n"/>
      <c r="I1488" s="5" t="n"/>
      <c r="J1488" s="5" t="n"/>
      <c r="K1488" s="5" t="n"/>
      <c r="L1488" s="5" t="n"/>
      <c r="M1488" s="5" t="n"/>
      <c r="N1488" s="5" t="n"/>
      <c r="O1488" s="5" t="n"/>
      <c r="P1488" s="5" t="n"/>
      <c r="Q1488" s="5" t="n"/>
      <c r="R1488" s="5" t="n"/>
      <c r="S1488" s="5" t="n"/>
      <c r="T1488" s="5" t="n"/>
      <c r="U1488" s="5" t="n"/>
      <c r="V1488" s="5" t="n"/>
      <c r="W1488" s="5" t="n"/>
      <c r="X1488" s="5" t="n"/>
      <c r="Y1488" s="5" t="n"/>
      <c r="Z1488" s="5" t="n"/>
      <c r="AA1488" s="5" t="n"/>
      <c r="AB1488" s="5" t="n"/>
    </row>
    <row r="1489" ht="15.75" customHeight="1" s="79">
      <c r="A1489" s="5" t="n"/>
      <c r="B1489" s="5" t="n"/>
      <c r="C1489" s="5" t="n"/>
      <c r="D1489" s="5" t="n"/>
      <c r="E1489" s="5" t="n"/>
      <c r="F1489" s="5" t="n"/>
      <c r="G1489" s="5" t="n"/>
      <c r="H1489" s="5" t="n"/>
      <c r="I1489" s="5" t="n"/>
      <c r="J1489" s="5" t="n"/>
      <c r="K1489" s="5" t="n"/>
      <c r="L1489" s="5" t="n"/>
      <c r="M1489" s="5" t="n"/>
      <c r="N1489" s="5" t="n"/>
      <c r="O1489" s="5" t="n"/>
      <c r="P1489" s="5" t="n"/>
      <c r="Q1489" s="5" t="n"/>
      <c r="R1489" s="5" t="n"/>
      <c r="S1489" s="5" t="n"/>
      <c r="T1489" s="5" t="n"/>
      <c r="U1489" s="5" t="n"/>
      <c r="V1489" s="5" t="n"/>
      <c r="W1489" s="5" t="n"/>
      <c r="X1489" s="5" t="n"/>
      <c r="Y1489" s="5" t="n"/>
      <c r="Z1489" s="5" t="n"/>
      <c r="AA1489" s="5" t="n"/>
      <c r="AB1489" s="5" t="n"/>
    </row>
    <row r="1490" ht="15.75" customHeight="1" s="79">
      <c r="A1490" s="5" t="n"/>
      <c r="B1490" s="5" t="n"/>
      <c r="C1490" s="5" t="n"/>
      <c r="D1490" s="5" t="n"/>
      <c r="E1490" s="5" t="n"/>
      <c r="F1490" s="5" t="n"/>
      <c r="G1490" s="5" t="n"/>
      <c r="H1490" s="5" t="n"/>
      <c r="I1490" s="5" t="n"/>
      <c r="J1490" s="5" t="n"/>
      <c r="K1490" s="5" t="n"/>
      <c r="L1490" s="5" t="n"/>
      <c r="M1490" s="5" t="n"/>
      <c r="N1490" s="5" t="n"/>
      <c r="O1490" s="5" t="n"/>
      <c r="P1490" s="5" t="n"/>
      <c r="Q1490" s="5" t="n"/>
      <c r="R1490" s="5" t="n"/>
      <c r="S1490" s="5" t="n"/>
      <c r="T1490" s="5" t="n"/>
      <c r="U1490" s="5" t="n"/>
      <c r="V1490" s="5" t="n"/>
      <c r="W1490" s="5" t="n"/>
      <c r="X1490" s="5" t="n"/>
      <c r="Y1490" s="5" t="n"/>
      <c r="Z1490" s="5" t="n"/>
      <c r="AA1490" s="5" t="n"/>
      <c r="AB1490" s="5" t="n"/>
    </row>
    <row r="1491" ht="15.75" customHeight="1" s="79">
      <c r="A1491" s="5" t="n"/>
      <c r="B1491" s="5" t="n"/>
      <c r="C1491" s="5" t="n"/>
      <c r="D1491" s="5" t="n"/>
      <c r="E1491" s="5" t="n"/>
      <c r="F1491" s="5" t="n"/>
      <c r="G1491" s="5" t="n"/>
      <c r="H1491" s="5" t="n"/>
      <c r="I1491" s="5" t="n"/>
      <c r="J1491" s="5" t="n"/>
      <c r="K1491" s="5" t="n"/>
      <c r="L1491" s="5" t="n"/>
      <c r="M1491" s="5" t="n"/>
      <c r="N1491" s="5" t="n"/>
      <c r="O1491" s="5" t="n"/>
      <c r="P1491" s="5" t="n"/>
      <c r="Q1491" s="5" t="n"/>
      <c r="R1491" s="5" t="n"/>
      <c r="S1491" s="5" t="n"/>
      <c r="T1491" s="5" t="n"/>
      <c r="U1491" s="5" t="n"/>
      <c r="V1491" s="5" t="n"/>
      <c r="W1491" s="5" t="n"/>
      <c r="X1491" s="5" t="n"/>
      <c r="Y1491" s="5" t="n"/>
      <c r="Z1491" s="5" t="n"/>
      <c r="AA1491" s="5" t="n"/>
      <c r="AB1491" s="5" t="n"/>
    </row>
    <row r="1492" ht="15.75" customHeight="1" s="79">
      <c r="A1492" s="5" t="n"/>
      <c r="B1492" s="5" t="n"/>
      <c r="C1492" s="5" t="n"/>
      <c r="D1492" s="5" t="n"/>
      <c r="E1492" s="5" t="n"/>
      <c r="F1492" s="5" t="n"/>
      <c r="G1492" s="5" t="n"/>
      <c r="H1492" s="5" t="n"/>
      <c r="I1492" s="5" t="n"/>
      <c r="J1492" s="5" t="n"/>
      <c r="K1492" s="5" t="n"/>
      <c r="L1492" s="5" t="n"/>
      <c r="M1492" s="5" t="n"/>
      <c r="N1492" s="5" t="n"/>
      <c r="O1492" s="5" t="n"/>
      <c r="P1492" s="5" t="n"/>
      <c r="Q1492" s="5" t="n"/>
      <c r="R1492" s="5" t="n"/>
      <c r="S1492" s="5" t="n"/>
      <c r="T1492" s="5" t="n"/>
      <c r="U1492" s="5" t="n"/>
      <c r="V1492" s="5" t="n"/>
      <c r="W1492" s="5" t="n"/>
      <c r="X1492" s="5" t="n"/>
      <c r="Y1492" s="5" t="n"/>
      <c r="Z1492" s="5" t="n"/>
      <c r="AA1492" s="5" t="n"/>
      <c r="AB1492" s="5" t="n"/>
    </row>
    <row r="1493" ht="15.75" customHeight="1" s="79">
      <c r="A1493" s="5" t="n"/>
      <c r="B1493" s="5" t="n"/>
      <c r="C1493" s="5" t="n"/>
      <c r="D1493" s="5" t="n"/>
      <c r="E1493" s="5" t="n"/>
      <c r="F1493" s="5" t="n"/>
      <c r="G1493" s="5" t="n"/>
      <c r="H1493" s="5" t="n"/>
      <c r="I1493" s="5" t="n"/>
      <c r="J1493" s="5" t="n"/>
      <c r="K1493" s="5" t="n"/>
      <c r="L1493" s="5" t="n"/>
      <c r="M1493" s="5" t="n"/>
      <c r="N1493" s="5" t="n"/>
      <c r="O1493" s="5" t="n"/>
      <c r="P1493" s="5" t="n"/>
      <c r="Q1493" s="5" t="n"/>
      <c r="R1493" s="5" t="n"/>
      <c r="S1493" s="5" t="n"/>
      <c r="T1493" s="5" t="n"/>
      <c r="U1493" s="5" t="n"/>
      <c r="V1493" s="5" t="n"/>
      <c r="W1493" s="5" t="n"/>
      <c r="X1493" s="5" t="n"/>
      <c r="Y1493" s="5" t="n"/>
      <c r="Z1493" s="5" t="n"/>
      <c r="AA1493" s="5" t="n"/>
      <c r="AB1493" s="5" t="n"/>
    </row>
    <row r="1494" ht="15.75" customHeight="1" s="79">
      <c r="A1494" s="5" t="n"/>
      <c r="B1494" s="5" t="n"/>
      <c r="C1494" s="5" t="n"/>
      <c r="D1494" s="5" t="n"/>
      <c r="E1494" s="5" t="n"/>
      <c r="F1494" s="5" t="n"/>
      <c r="G1494" s="5" t="n"/>
      <c r="H1494" s="5" t="n"/>
      <c r="I1494" s="5" t="n"/>
      <c r="J1494" s="5" t="n"/>
      <c r="K1494" s="5" t="n"/>
      <c r="L1494" s="5" t="n"/>
      <c r="M1494" s="5" t="n"/>
      <c r="N1494" s="5" t="n"/>
      <c r="O1494" s="5" t="n"/>
      <c r="P1494" s="5" t="n"/>
      <c r="Q1494" s="5" t="n"/>
      <c r="R1494" s="5" t="n"/>
      <c r="S1494" s="5" t="n"/>
      <c r="T1494" s="5" t="n"/>
      <c r="U1494" s="5" t="n"/>
      <c r="V1494" s="5" t="n"/>
      <c r="W1494" s="5" t="n"/>
      <c r="X1494" s="5" t="n"/>
      <c r="Y1494" s="5" t="n"/>
      <c r="Z1494" s="5" t="n"/>
      <c r="AA1494" s="5" t="n"/>
      <c r="AB1494" s="5" t="n"/>
    </row>
    <row r="1495" ht="15.75" customHeight="1" s="79">
      <c r="A1495" s="5" t="n"/>
      <c r="B1495" s="5" t="n"/>
      <c r="C1495" s="5" t="n"/>
      <c r="D1495" s="5" t="n"/>
      <c r="E1495" s="5" t="n"/>
      <c r="F1495" s="5" t="n"/>
      <c r="G1495" s="5" t="n"/>
      <c r="H1495" s="5" t="n"/>
      <c r="I1495" s="5" t="n"/>
      <c r="J1495" s="5" t="n"/>
      <c r="K1495" s="5" t="n"/>
      <c r="L1495" s="5" t="n"/>
      <c r="M1495" s="5" t="n"/>
      <c r="N1495" s="5" t="n"/>
      <c r="O1495" s="5" t="n"/>
      <c r="P1495" s="5" t="n"/>
      <c r="Q1495" s="5" t="n"/>
      <c r="R1495" s="5" t="n"/>
      <c r="S1495" s="5" t="n"/>
      <c r="T1495" s="5" t="n"/>
      <c r="U1495" s="5" t="n"/>
      <c r="V1495" s="5" t="n"/>
      <c r="W1495" s="5" t="n"/>
      <c r="X1495" s="5" t="n"/>
      <c r="Y1495" s="5" t="n"/>
      <c r="Z1495" s="5" t="n"/>
      <c r="AA1495" s="5" t="n"/>
      <c r="AB1495" s="5" t="n"/>
    </row>
    <row r="1496" ht="15.75" customHeight="1" s="79">
      <c r="A1496" s="5" t="n"/>
      <c r="B1496" s="5" t="n"/>
      <c r="C1496" s="5" t="n"/>
      <c r="D1496" s="5" t="n"/>
      <c r="E1496" s="5" t="n"/>
      <c r="F1496" s="5" t="n"/>
      <c r="G1496" s="5" t="n"/>
      <c r="H1496" s="5" t="n"/>
      <c r="I1496" s="5" t="n"/>
      <c r="J1496" s="5" t="n"/>
      <c r="K1496" s="5" t="n"/>
      <c r="L1496" s="5" t="n"/>
      <c r="M1496" s="5" t="n"/>
      <c r="N1496" s="5" t="n"/>
      <c r="O1496" s="5" t="n"/>
      <c r="P1496" s="5" t="n"/>
      <c r="Q1496" s="5" t="n"/>
      <c r="R1496" s="5" t="n"/>
      <c r="S1496" s="5" t="n"/>
      <c r="T1496" s="5" t="n"/>
      <c r="U1496" s="5" t="n"/>
      <c r="V1496" s="5" t="n"/>
      <c r="W1496" s="5" t="n"/>
      <c r="X1496" s="5" t="n"/>
      <c r="Y1496" s="5" t="n"/>
      <c r="Z1496" s="5" t="n"/>
      <c r="AA1496" s="5" t="n"/>
      <c r="AB1496" s="5" t="n"/>
    </row>
    <row r="1497" ht="15.75" customHeight="1" s="79">
      <c r="A1497" s="5" t="n"/>
      <c r="B1497" s="5" t="n"/>
      <c r="C1497" s="5" t="n"/>
      <c r="D1497" s="5" t="n"/>
      <c r="E1497" s="5" t="n"/>
      <c r="F1497" s="5" t="n"/>
      <c r="G1497" s="5" t="n"/>
      <c r="H1497" s="5" t="n"/>
      <c r="I1497" s="5" t="n"/>
      <c r="J1497" s="5" t="n"/>
      <c r="K1497" s="5" t="n"/>
      <c r="L1497" s="5" t="n"/>
      <c r="M1497" s="5" t="n"/>
      <c r="N1497" s="5" t="n"/>
      <c r="O1497" s="5" t="n"/>
      <c r="P1497" s="5" t="n"/>
      <c r="Q1497" s="5" t="n"/>
      <c r="R1497" s="5" t="n"/>
      <c r="S1497" s="5" t="n"/>
      <c r="T1497" s="5" t="n"/>
      <c r="U1497" s="5" t="n"/>
      <c r="V1497" s="5" t="n"/>
      <c r="W1497" s="5" t="n"/>
      <c r="X1497" s="5" t="n"/>
      <c r="Y1497" s="5" t="n"/>
      <c r="Z1497" s="5" t="n"/>
      <c r="AA1497" s="5" t="n"/>
      <c r="AB1497" s="5" t="n"/>
    </row>
    <row r="1498" ht="15.75" customHeight="1" s="79">
      <c r="A1498" s="5" t="n"/>
      <c r="B1498" s="5" t="n"/>
      <c r="C1498" s="5" t="n"/>
      <c r="D1498" s="5" t="n"/>
      <c r="E1498" s="5" t="n"/>
      <c r="F1498" s="5" t="n"/>
      <c r="G1498" s="5" t="n"/>
      <c r="H1498" s="5" t="n"/>
      <c r="I1498" s="5" t="n"/>
      <c r="J1498" s="5" t="n"/>
      <c r="K1498" s="5" t="n"/>
      <c r="L1498" s="5" t="n"/>
      <c r="M1498" s="5" t="n"/>
      <c r="N1498" s="5" t="n"/>
      <c r="O1498" s="5" t="n"/>
      <c r="P1498" s="5" t="n"/>
      <c r="Q1498" s="5" t="n"/>
      <c r="R1498" s="5" t="n"/>
      <c r="S1498" s="5" t="n"/>
      <c r="T1498" s="5" t="n"/>
      <c r="U1498" s="5" t="n"/>
      <c r="V1498" s="5" t="n"/>
      <c r="W1498" s="5" t="n"/>
      <c r="X1498" s="5" t="n"/>
      <c r="Y1498" s="5" t="n"/>
      <c r="Z1498" s="5" t="n"/>
      <c r="AA1498" s="5" t="n"/>
      <c r="AB1498" s="5" t="n"/>
    </row>
    <row r="1499" ht="15.75" customHeight="1" s="79">
      <c r="A1499" s="5" t="n"/>
      <c r="B1499" s="5" t="n"/>
      <c r="C1499" s="5" t="n"/>
      <c r="D1499" s="5" t="n"/>
      <c r="E1499" s="5" t="n"/>
      <c r="F1499" s="5" t="n"/>
      <c r="G1499" s="5" t="n"/>
      <c r="H1499" s="5" t="n"/>
      <c r="I1499" s="5" t="n"/>
      <c r="J1499" s="5" t="n"/>
      <c r="K1499" s="5" t="n"/>
      <c r="L1499" s="5" t="n"/>
      <c r="M1499" s="5" t="n"/>
      <c r="N1499" s="5" t="n"/>
      <c r="O1499" s="5" t="n"/>
      <c r="P1499" s="5" t="n"/>
      <c r="Q1499" s="5" t="n"/>
      <c r="R1499" s="5" t="n"/>
      <c r="S1499" s="5" t="n"/>
      <c r="T1499" s="5" t="n"/>
      <c r="U1499" s="5" t="n"/>
      <c r="V1499" s="5" t="n"/>
      <c r="W1499" s="5" t="n"/>
      <c r="X1499" s="5" t="n"/>
      <c r="Y1499" s="5" t="n"/>
      <c r="Z1499" s="5" t="n"/>
      <c r="AA1499" s="5" t="n"/>
      <c r="AB1499" s="5" t="n"/>
    </row>
    <row r="1500" ht="15.75" customHeight="1" s="79">
      <c r="A1500" s="5" t="n"/>
      <c r="B1500" s="5" t="n"/>
      <c r="C1500" s="5" t="n"/>
      <c r="D1500" s="5" t="n"/>
      <c r="E1500" s="5" t="n"/>
      <c r="F1500" s="5" t="n"/>
      <c r="G1500" s="5" t="n"/>
      <c r="H1500" s="5" t="n"/>
      <c r="I1500" s="5" t="n"/>
      <c r="J1500" s="5" t="n"/>
      <c r="K1500" s="5" t="n"/>
      <c r="L1500" s="5" t="n"/>
      <c r="M1500" s="5" t="n"/>
      <c r="N1500" s="5" t="n"/>
      <c r="O1500" s="5" t="n"/>
      <c r="P1500" s="5" t="n"/>
      <c r="Q1500" s="5" t="n"/>
      <c r="R1500" s="5" t="n"/>
      <c r="S1500" s="5" t="n"/>
      <c r="T1500" s="5" t="n"/>
      <c r="U1500" s="5" t="n"/>
      <c r="V1500" s="5" t="n"/>
      <c r="W1500" s="5" t="n"/>
      <c r="X1500" s="5" t="n"/>
      <c r="Y1500" s="5" t="n"/>
      <c r="Z1500" s="5" t="n"/>
      <c r="AA1500" s="5" t="n"/>
      <c r="AB1500" s="5" t="n"/>
    </row>
    <row r="1501" ht="15.75" customHeight="1" s="79">
      <c r="A1501" s="5" t="n"/>
      <c r="B1501" s="5" t="n"/>
      <c r="C1501" s="5" t="n"/>
      <c r="D1501" s="5" t="n"/>
      <c r="E1501" s="5" t="n"/>
      <c r="F1501" s="5" t="n"/>
      <c r="G1501" s="5" t="n"/>
      <c r="H1501" s="5" t="n"/>
      <c r="I1501" s="5" t="n"/>
      <c r="J1501" s="5" t="n"/>
      <c r="K1501" s="5" t="n"/>
      <c r="L1501" s="5" t="n"/>
      <c r="M1501" s="5" t="n"/>
      <c r="N1501" s="5" t="n"/>
      <c r="O1501" s="5" t="n"/>
      <c r="P1501" s="5" t="n"/>
      <c r="Q1501" s="5" t="n"/>
      <c r="R1501" s="5" t="n"/>
      <c r="S1501" s="5" t="n"/>
      <c r="T1501" s="5" t="n"/>
      <c r="U1501" s="5" t="n"/>
      <c r="V1501" s="5" t="n"/>
      <c r="W1501" s="5" t="n"/>
      <c r="X1501" s="5" t="n"/>
      <c r="Y1501" s="5" t="n"/>
      <c r="Z1501" s="5" t="n"/>
      <c r="AA1501" s="5" t="n"/>
      <c r="AB1501" s="5" t="n"/>
    </row>
    <row r="1502" ht="15.75" customHeight="1" s="79">
      <c r="A1502" s="5" t="n"/>
      <c r="B1502" s="5" t="n"/>
      <c r="C1502" s="5" t="n"/>
      <c r="D1502" s="5" t="n"/>
      <c r="E1502" s="5" t="n"/>
      <c r="F1502" s="5" t="n"/>
      <c r="G1502" s="5" t="n"/>
      <c r="H1502" s="5" t="n"/>
      <c r="I1502" s="5" t="n"/>
      <c r="J1502" s="5" t="n"/>
      <c r="K1502" s="5" t="n"/>
      <c r="L1502" s="5" t="n"/>
      <c r="M1502" s="5" t="n"/>
      <c r="N1502" s="5" t="n"/>
      <c r="O1502" s="5" t="n"/>
      <c r="P1502" s="5" t="n"/>
      <c r="Q1502" s="5" t="n"/>
      <c r="R1502" s="5" t="n"/>
      <c r="S1502" s="5" t="n"/>
      <c r="T1502" s="5" t="n"/>
      <c r="U1502" s="5" t="n"/>
      <c r="V1502" s="5" t="n"/>
      <c r="W1502" s="5" t="n"/>
      <c r="X1502" s="5" t="n"/>
      <c r="Y1502" s="5" t="n"/>
      <c r="Z1502" s="5" t="n"/>
      <c r="AA1502" s="5" t="n"/>
      <c r="AB1502" s="5" t="n"/>
    </row>
    <row r="1503" ht="15.75" customHeight="1" s="79">
      <c r="A1503" s="5" t="n"/>
      <c r="B1503" s="5" t="n"/>
      <c r="C1503" s="5" t="n"/>
      <c r="D1503" s="5" t="n"/>
      <c r="E1503" s="5" t="n"/>
      <c r="F1503" s="5" t="n"/>
      <c r="G1503" s="5" t="n"/>
      <c r="H1503" s="5" t="n"/>
      <c r="I1503" s="5" t="n"/>
      <c r="J1503" s="5" t="n"/>
      <c r="K1503" s="5" t="n"/>
      <c r="L1503" s="5" t="n"/>
      <c r="M1503" s="5" t="n"/>
      <c r="N1503" s="5" t="n"/>
      <c r="O1503" s="5" t="n"/>
      <c r="P1503" s="5" t="n"/>
      <c r="Q1503" s="5" t="n"/>
      <c r="R1503" s="5" t="n"/>
      <c r="S1503" s="5" t="n"/>
      <c r="T1503" s="5" t="n"/>
      <c r="U1503" s="5" t="n"/>
      <c r="V1503" s="5" t="n"/>
      <c r="W1503" s="5" t="n"/>
      <c r="X1503" s="5" t="n"/>
      <c r="Y1503" s="5" t="n"/>
      <c r="Z1503" s="5" t="n"/>
      <c r="AA1503" s="5" t="n"/>
      <c r="AB1503" s="5" t="n"/>
    </row>
    <row r="1504" ht="15.75" customHeight="1" s="79">
      <c r="A1504" s="5" t="n"/>
      <c r="B1504" s="5" t="n"/>
      <c r="C1504" s="5" t="n"/>
      <c r="D1504" s="5" t="n"/>
      <c r="E1504" s="5" t="n"/>
      <c r="F1504" s="5" t="n"/>
      <c r="G1504" s="5" t="n"/>
      <c r="H1504" s="5" t="n"/>
      <c r="I1504" s="5" t="n"/>
      <c r="J1504" s="5" t="n"/>
      <c r="K1504" s="5" t="n"/>
      <c r="L1504" s="5" t="n"/>
      <c r="M1504" s="5" t="n"/>
      <c r="N1504" s="5" t="n"/>
      <c r="O1504" s="5" t="n"/>
      <c r="P1504" s="5" t="n"/>
      <c r="Q1504" s="5" t="n"/>
      <c r="R1504" s="5" t="n"/>
      <c r="S1504" s="5" t="n"/>
      <c r="T1504" s="5" t="n"/>
      <c r="U1504" s="5" t="n"/>
      <c r="V1504" s="5" t="n"/>
      <c r="W1504" s="5" t="n"/>
      <c r="X1504" s="5" t="n"/>
      <c r="Y1504" s="5" t="n"/>
      <c r="Z1504" s="5" t="n"/>
      <c r="AA1504" s="5" t="n"/>
      <c r="AB1504" s="5" t="n"/>
    </row>
    <row r="1505" ht="15.75" customHeight="1" s="79">
      <c r="A1505" s="5" t="n"/>
      <c r="B1505" s="5" t="n"/>
      <c r="C1505" s="5" t="n"/>
      <c r="D1505" s="5" t="n"/>
      <c r="E1505" s="5" t="n"/>
      <c r="F1505" s="5" t="n"/>
      <c r="G1505" s="5" t="n"/>
      <c r="H1505" s="5" t="n"/>
      <c r="I1505" s="5" t="n"/>
      <c r="J1505" s="5" t="n"/>
      <c r="K1505" s="5" t="n"/>
      <c r="L1505" s="5" t="n"/>
      <c r="M1505" s="5" t="n"/>
      <c r="N1505" s="5" t="n"/>
      <c r="O1505" s="5" t="n"/>
      <c r="P1505" s="5" t="n"/>
      <c r="Q1505" s="5" t="n"/>
      <c r="R1505" s="5" t="n"/>
      <c r="S1505" s="5" t="n"/>
      <c r="T1505" s="5" t="n"/>
      <c r="U1505" s="5" t="n"/>
      <c r="V1505" s="5" t="n"/>
      <c r="W1505" s="5" t="n"/>
      <c r="X1505" s="5" t="n"/>
      <c r="Y1505" s="5" t="n"/>
      <c r="Z1505" s="5" t="n"/>
      <c r="AA1505" s="5" t="n"/>
      <c r="AB1505" s="5" t="n"/>
    </row>
    <row r="1506" ht="15.75" customHeight="1" s="79">
      <c r="A1506" s="5" t="n"/>
      <c r="B1506" s="5" t="n"/>
      <c r="C1506" s="5" t="n"/>
      <c r="D1506" s="5" t="n"/>
      <c r="E1506" s="5" t="n"/>
      <c r="F1506" s="5" t="n"/>
      <c r="G1506" s="5" t="n"/>
      <c r="H1506" s="5" t="n"/>
      <c r="I1506" s="5" t="n"/>
      <c r="J1506" s="5" t="n"/>
      <c r="K1506" s="5" t="n"/>
      <c r="L1506" s="5" t="n"/>
      <c r="M1506" s="5" t="n"/>
      <c r="N1506" s="5" t="n"/>
      <c r="O1506" s="5" t="n"/>
      <c r="P1506" s="5" t="n"/>
      <c r="Q1506" s="5" t="n"/>
      <c r="R1506" s="5" t="n"/>
      <c r="S1506" s="5" t="n"/>
      <c r="T1506" s="5" t="n"/>
      <c r="U1506" s="5" t="n"/>
      <c r="V1506" s="5" t="n"/>
      <c r="W1506" s="5" t="n"/>
      <c r="X1506" s="5" t="n"/>
      <c r="Y1506" s="5" t="n"/>
      <c r="Z1506" s="5" t="n"/>
      <c r="AA1506" s="5" t="n"/>
      <c r="AB1506" s="5" t="n"/>
    </row>
    <row r="1507" ht="15.75" customHeight="1" s="79">
      <c r="A1507" s="5" t="n"/>
      <c r="B1507" s="5" t="n"/>
      <c r="C1507" s="5" t="n"/>
      <c r="D1507" s="5" t="n"/>
      <c r="E1507" s="5" t="n"/>
      <c r="F1507" s="5" t="n"/>
      <c r="G1507" s="5" t="n"/>
      <c r="H1507" s="5" t="n"/>
      <c r="I1507" s="5" t="n"/>
      <c r="J1507" s="5" t="n"/>
      <c r="K1507" s="5" t="n"/>
      <c r="L1507" s="5" t="n"/>
      <c r="M1507" s="5" t="n"/>
      <c r="N1507" s="5" t="n"/>
      <c r="O1507" s="5" t="n"/>
      <c r="P1507" s="5" t="n"/>
      <c r="Q1507" s="5" t="n"/>
      <c r="R1507" s="5" t="n"/>
      <c r="S1507" s="5" t="n"/>
      <c r="T1507" s="5" t="n"/>
      <c r="U1507" s="5" t="n"/>
      <c r="V1507" s="5" t="n"/>
      <c r="W1507" s="5" t="n"/>
      <c r="X1507" s="5" t="n"/>
      <c r="Y1507" s="5" t="n"/>
      <c r="Z1507" s="5" t="n"/>
      <c r="AA1507" s="5" t="n"/>
      <c r="AB1507" s="5" t="n"/>
    </row>
    <row r="1508" ht="15.75" customHeight="1" s="79">
      <c r="A1508" s="5" t="n"/>
      <c r="B1508" s="5" t="n"/>
      <c r="C1508" s="5" t="n"/>
      <c r="D1508" s="5" t="n"/>
      <c r="E1508" s="5" t="n"/>
      <c r="F1508" s="5" t="n"/>
      <c r="G1508" s="5" t="n"/>
      <c r="H1508" s="5" t="n"/>
      <c r="I1508" s="5" t="n"/>
      <c r="J1508" s="5" t="n"/>
      <c r="K1508" s="5" t="n"/>
      <c r="L1508" s="5" t="n"/>
      <c r="M1508" s="5" t="n"/>
      <c r="N1508" s="5" t="n"/>
      <c r="O1508" s="5" t="n"/>
      <c r="P1508" s="5" t="n"/>
      <c r="Q1508" s="5" t="n"/>
      <c r="R1508" s="5" t="n"/>
      <c r="S1508" s="5" t="n"/>
      <c r="T1508" s="5" t="n"/>
      <c r="U1508" s="5" t="n"/>
      <c r="V1508" s="5" t="n"/>
      <c r="W1508" s="5" t="n"/>
      <c r="X1508" s="5" t="n"/>
      <c r="Y1508" s="5" t="n"/>
      <c r="Z1508" s="5" t="n"/>
      <c r="AA1508" s="5" t="n"/>
      <c r="AB1508" s="5" t="n"/>
    </row>
    <row r="1509" ht="15.75" customHeight="1" s="79">
      <c r="A1509" s="5" t="n"/>
      <c r="B1509" s="5" t="n"/>
      <c r="C1509" s="5" t="n"/>
      <c r="D1509" s="5" t="n"/>
      <c r="E1509" s="5" t="n"/>
      <c r="F1509" s="5" t="n"/>
      <c r="G1509" s="5" t="n"/>
      <c r="H1509" s="5" t="n"/>
      <c r="I1509" s="5" t="n"/>
      <c r="J1509" s="5" t="n"/>
      <c r="K1509" s="5" t="n"/>
      <c r="L1509" s="5" t="n"/>
      <c r="M1509" s="5" t="n"/>
      <c r="N1509" s="5" t="n"/>
      <c r="O1509" s="5" t="n"/>
      <c r="P1509" s="5" t="n"/>
      <c r="Q1509" s="5" t="n"/>
      <c r="R1509" s="5" t="n"/>
      <c r="S1509" s="5" t="n"/>
      <c r="T1509" s="5" t="n"/>
      <c r="U1509" s="5" t="n"/>
      <c r="V1509" s="5" t="n"/>
      <c r="W1509" s="5" t="n"/>
      <c r="X1509" s="5" t="n"/>
      <c r="Y1509" s="5" t="n"/>
      <c r="Z1509" s="5" t="n"/>
      <c r="AA1509" s="5" t="n"/>
      <c r="AB1509" s="5" t="n"/>
    </row>
    <row r="1510" ht="15.75" customHeight="1" s="79">
      <c r="A1510" s="5" t="n"/>
      <c r="B1510" s="5" t="n"/>
      <c r="C1510" s="5" t="n"/>
      <c r="D1510" s="5" t="n"/>
      <c r="E1510" s="5" t="n"/>
      <c r="F1510" s="5" t="n"/>
      <c r="G1510" s="5" t="n"/>
      <c r="H1510" s="5" t="n"/>
      <c r="I1510" s="5" t="n"/>
      <c r="J1510" s="5" t="n"/>
      <c r="K1510" s="5" t="n"/>
      <c r="L1510" s="5" t="n"/>
      <c r="M1510" s="5" t="n"/>
      <c r="N1510" s="5" t="n"/>
      <c r="O1510" s="5" t="n"/>
      <c r="P1510" s="5" t="n"/>
      <c r="Q1510" s="5" t="n"/>
      <c r="R1510" s="5" t="n"/>
      <c r="S1510" s="5" t="n"/>
      <c r="T1510" s="5" t="n"/>
      <c r="U1510" s="5" t="n"/>
      <c r="V1510" s="5" t="n"/>
      <c r="W1510" s="5" t="n"/>
      <c r="X1510" s="5" t="n"/>
      <c r="Y1510" s="5" t="n"/>
      <c r="Z1510" s="5" t="n"/>
      <c r="AA1510" s="5" t="n"/>
      <c r="AB1510" s="5" t="n"/>
    </row>
    <row r="1511" ht="15.75" customHeight="1" s="79">
      <c r="A1511" s="5" t="n"/>
      <c r="B1511" s="5" t="n"/>
      <c r="C1511" s="5" t="n"/>
      <c r="D1511" s="5" t="n"/>
      <c r="E1511" s="5" t="n"/>
      <c r="F1511" s="5" t="n"/>
      <c r="G1511" s="5" t="n"/>
      <c r="H1511" s="5" t="n"/>
      <c r="I1511" s="5" t="n"/>
      <c r="J1511" s="5" t="n"/>
      <c r="K1511" s="5" t="n"/>
      <c r="L1511" s="5" t="n"/>
      <c r="M1511" s="5" t="n"/>
      <c r="N1511" s="5" t="n"/>
      <c r="O1511" s="5" t="n"/>
      <c r="P1511" s="5" t="n"/>
      <c r="Q1511" s="5" t="n"/>
      <c r="R1511" s="5" t="n"/>
      <c r="S1511" s="5" t="n"/>
      <c r="T1511" s="5" t="n"/>
      <c r="U1511" s="5" t="n"/>
      <c r="V1511" s="5" t="n"/>
      <c r="W1511" s="5" t="n"/>
      <c r="X1511" s="5" t="n"/>
      <c r="Y1511" s="5" t="n"/>
      <c r="Z1511" s="5" t="n"/>
      <c r="AA1511" s="5" t="n"/>
      <c r="AB1511" s="5" t="n"/>
    </row>
    <row r="1512" ht="15.75" customHeight="1" s="79">
      <c r="A1512" s="5" t="n"/>
      <c r="B1512" s="5" t="n"/>
      <c r="C1512" s="5" t="n"/>
      <c r="D1512" s="5" t="n"/>
      <c r="E1512" s="5" t="n"/>
      <c r="F1512" s="5" t="n"/>
      <c r="G1512" s="5" t="n"/>
      <c r="H1512" s="5" t="n"/>
      <c r="I1512" s="5" t="n"/>
      <c r="J1512" s="5" t="n"/>
      <c r="K1512" s="5" t="n"/>
      <c r="L1512" s="5" t="n"/>
      <c r="M1512" s="5" t="n"/>
      <c r="N1512" s="5" t="n"/>
      <c r="O1512" s="5" t="n"/>
      <c r="P1512" s="5" t="n"/>
      <c r="Q1512" s="5" t="n"/>
      <c r="R1512" s="5" t="n"/>
      <c r="S1512" s="5" t="n"/>
      <c r="T1512" s="5" t="n"/>
      <c r="U1512" s="5" t="n"/>
      <c r="V1512" s="5" t="n"/>
      <c r="W1512" s="5" t="n"/>
      <c r="X1512" s="5" t="n"/>
      <c r="Y1512" s="5" t="n"/>
      <c r="Z1512" s="5" t="n"/>
      <c r="AA1512" s="5" t="n"/>
      <c r="AB1512" s="5" t="n"/>
    </row>
    <row r="1513" ht="15.75" customHeight="1" s="79">
      <c r="A1513" s="5" t="n"/>
      <c r="B1513" s="5" t="n"/>
      <c r="C1513" s="5" t="n"/>
      <c r="D1513" s="5" t="n"/>
      <c r="E1513" s="5" t="n"/>
      <c r="F1513" s="5" t="n"/>
      <c r="G1513" s="5" t="n"/>
      <c r="H1513" s="5" t="n"/>
      <c r="I1513" s="5" t="n"/>
      <c r="J1513" s="5" t="n"/>
      <c r="K1513" s="5" t="n"/>
      <c r="L1513" s="5" t="n"/>
      <c r="M1513" s="5" t="n"/>
      <c r="N1513" s="5" t="n"/>
      <c r="O1513" s="5" t="n"/>
      <c r="P1513" s="5" t="n"/>
      <c r="Q1513" s="5" t="n"/>
      <c r="R1513" s="5" t="n"/>
      <c r="S1513" s="5" t="n"/>
      <c r="T1513" s="5" t="n"/>
      <c r="U1513" s="5" t="n"/>
      <c r="V1513" s="5" t="n"/>
      <c r="W1513" s="5" t="n"/>
      <c r="X1513" s="5" t="n"/>
      <c r="Y1513" s="5" t="n"/>
      <c r="Z1513" s="5" t="n"/>
      <c r="AA1513" s="5" t="n"/>
      <c r="AB1513" s="5" t="n"/>
    </row>
    <row r="1514" ht="15.75" customHeight="1" s="79">
      <c r="A1514" s="5" t="n"/>
      <c r="B1514" s="5" t="n"/>
      <c r="C1514" s="5" t="n"/>
      <c r="D1514" s="5" t="n"/>
      <c r="E1514" s="5" t="n"/>
      <c r="F1514" s="5" t="n"/>
      <c r="G1514" s="5" t="n"/>
      <c r="H1514" s="5" t="n"/>
      <c r="I1514" s="5" t="n"/>
      <c r="J1514" s="5" t="n"/>
      <c r="K1514" s="5" t="n"/>
      <c r="L1514" s="5" t="n"/>
      <c r="M1514" s="5" t="n"/>
      <c r="N1514" s="5" t="n"/>
      <c r="O1514" s="5" t="n"/>
      <c r="P1514" s="5" t="n"/>
      <c r="Q1514" s="5" t="n"/>
      <c r="R1514" s="5" t="n"/>
      <c r="S1514" s="5" t="n"/>
      <c r="T1514" s="5" t="n"/>
      <c r="U1514" s="5" t="n"/>
      <c r="V1514" s="5" t="n"/>
      <c r="W1514" s="5" t="n"/>
      <c r="X1514" s="5" t="n"/>
      <c r="Y1514" s="5" t="n"/>
      <c r="Z1514" s="5" t="n"/>
      <c r="AA1514" s="5" t="n"/>
      <c r="AB1514" s="5" t="n"/>
    </row>
    <row r="1515" ht="15.75" customHeight="1" s="79">
      <c r="A1515" s="5" t="n"/>
      <c r="B1515" s="5" t="n"/>
      <c r="C1515" s="5" t="n"/>
      <c r="D1515" s="5" t="n"/>
      <c r="E1515" s="5" t="n"/>
      <c r="F1515" s="5" t="n"/>
      <c r="G1515" s="5" t="n"/>
      <c r="H1515" s="5" t="n"/>
      <c r="I1515" s="5" t="n"/>
      <c r="J1515" s="5" t="n"/>
      <c r="K1515" s="5" t="n"/>
      <c r="L1515" s="5" t="n"/>
      <c r="M1515" s="5" t="n"/>
      <c r="N1515" s="5" t="n"/>
      <c r="O1515" s="5" t="n"/>
      <c r="P1515" s="5" t="n"/>
      <c r="Q1515" s="5" t="n"/>
      <c r="R1515" s="5" t="n"/>
      <c r="S1515" s="5" t="n"/>
      <c r="T1515" s="5" t="n"/>
      <c r="U1515" s="5" t="n"/>
      <c r="V1515" s="5" t="n"/>
      <c r="W1515" s="5" t="n"/>
      <c r="X1515" s="5" t="n"/>
      <c r="Y1515" s="5" t="n"/>
      <c r="Z1515" s="5" t="n"/>
      <c r="AA1515" s="5" t="n"/>
      <c r="AB1515" s="5" t="n"/>
    </row>
    <row r="1516" ht="15.75" customHeight="1" s="79">
      <c r="A1516" s="5" t="n"/>
      <c r="B1516" s="5" t="n"/>
      <c r="C1516" s="5" t="n"/>
      <c r="D1516" s="5" t="n"/>
      <c r="E1516" s="5" t="n"/>
      <c r="F1516" s="5" t="n"/>
      <c r="G1516" s="5" t="n"/>
      <c r="H1516" s="5" t="n"/>
      <c r="I1516" s="5" t="n"/>
      <c r="J1516" s="5" t="n"/>
      <c r="K1516" s="5" t="n"/>
      <c r="L1516" s="5" t="n"/>
      <c r="M1516" s="5" t="n"/>
      <c r="N1516" s="5" t="n"/>
      <c r="O1516" s="5" t="n"/>
      <c r="P1516" s="5" t="n"/>
      <c r="Q1516" s="5" t="n"/>
      <c r="R1516" s="5" t="n"/>
      <c r="S1516" s="5" t="n"/>
      <c r="T1516" s="5" t="n"/>
      <c r="U1516" s="5" t="n"/>
      <c r="V1516" s="5" t="n"/>
      <c r="W1516" s="5" t="n"/>
      <c r="X1516" s="5" t="n"/>
      <c r="Y1516" s="5" t="n"/>
      <c r="Z1516" s="5" t="n"/>
      <c r="AA1516" s="5" t="n"/>
      <c r="AB1516" s="5" t="n"/>
    </row>
    <row r="1517" ht="15.75" customHeight="1" s="79">
      <c r="A1517" s="5" t="n"/>
      <c r="B1517" s="5" t="n"/>
      <c r="C1517" s="5" t="n"/>
      <c r="D1517" s="5" t="n"/>
      <c r="E1517" s="5" t="n"/>
      <c r="F1517" s="5" t="n"/>
      <c r="G1517" s="5" t="n"/>
      <c r="H1517" s="5" t="n"/>
      <c r="I1517" s="5" t="n"/>
      <c r="J1517" s="5" t="n"/>
      <c r="K1517" s="5" t="n"/>
      <c r="L1517" s="5" t="n"/>
      <c r="M1517" s="5" t="n"/>
      <c r="N1517" s="5" t="n"/>
      <c r="O1517" s="5" t="n"/>
      <c r="P1517" s="5" t="n"/>
      <c r="Q1517" s="5" t="n"/>
      <c r="R1517" s="5" t="n"/>
      <c r="S1517" s="5" t="n"/>
      <c r="T1517" s="5" t="n"/>
      <c r="U1517" s="5" t="n"/>
      <c r="V1517" s="5" t="n"/>
      <c r="W1517" s="5" t="n"/>
      <c r="X1517" s="5" t="n"/>
      <c r="Y1517" s="5" t="n"/>
      <c r="Z1517" s="5" t="n"/>
      <c r="AA1517" s="5" t="n"/>
      <c r="AB1517" s="5" t="n"/>
    </row>
    <row r="1518" ht="15.75" customHeight="1" s="79">
      <c r="A1518" s="5" t="n"/>
      <c r="B1518" s="5" t="n"/>
      <c r="C1518" s="5" t="n"/>
      <c r="D1518" s="5" t="n"/>
      <c r="E1518" s="5" t="n"/>
      <c r="F1518" s="5" t="n"/>
      <c r="G1518" s="5" t="n"/>
      <c r="H1518" s="5" t="n"/>
      <c r="I1518" s="5" t="n"/>
      <c r="J1518" s="5" t="n"/>
      <c r="K1518" s="5" t="n"/>
      <c r="L1518" s="5" t="n"/>
      <c r="M1518" s="5" t="n"/>
      <c r="N1518" s="5" t="n"/>
      <c r="O1518" s="5" t="n"/>
      <c r="P1518" s="5" t="n"/>
      <c r="Q1518" s="5" t="n"/>
      <c r="R1518" s="5" t="n"/>
      <c r="S1518" s="5" t="n"/>
      <c r="T1518" s="5" t="n"/>
      <c r="U1518" s="5" t="n"/>
      <c r="V1518" s="5" t="n"/>
      <c r="W1518" s="5" t="n"/>
      <c r="X1518" s="5" t="n"/>
      <c r="Y1518" s="5" t="n"/>
      <c r="Z1518" s="5" t="n"/>
      <c r="AA1518" s="5" t="n"/>
      <c r="AB1518" s="5" t="n"/>
    </row>
    <row r="1519" ht="15.75" customHeight="1" s="79">
      <c r="A1519" s="5" t="n"/>
      <c r="B1519" s="5" t="n"/>
      <c r="C1519" s="5" t="n"/>
      <c r="D1519" s="5" t="n"/>
      <c r="E1519" s="5" t="n"/>
      <c r="F1519" s="5" t="n"/>
      <c r="G1519" s="5" t="n"/>
      <c r="H1519" s="5" t="n"/>
      <c r="I1519" s="5" t="n"/>
      <c r="J1519" s="5" t="n"/>
      <c r="K1519" s="5" t="n"/>
      <c r="L1519" s="5" t="n"/>
      <c r="M1519" s="5" t="n"/>
      <c r="N1519" s="5" t="n"/>
      <c r="O1519" s="5" t="n"/>
      <c r="P1519" s="5" t="n"/>
      <c r="Q1519" s="5" t="n"/>
      <c r="R1519" s="5" t="n"/>
      <c r="S1519" s="5" t="n"/>
      <c r="T1519" s="5" t="n"/>
      <c r="U1519" s="5" t="n"/>
      <c r="V1519" s="5" t="n"/>
      <c r="W1519" s="5" t="n"/>
      <c r="X1519" s="5" t="n"/>
      <c r="Y1519" s="5" t="n"/>
      <c r="Z1519" s="5" t="n"/>
      <c r="AA1519" s="5" t="n"/>
      <c r="AB1519" s="5" t="n"/>
    </row>
    <row r="1520" ht="15.75" customHeight="1" s="79">
      <c r="A1520" s="5" t="n"/>
      <c r="B1520" s="5" t="n"/>
      <c r="C1520" s="5" t="n"/>
      <c r="D1520" s="5" t="n"/>
      <c r="E1520" s="5" t="n"/>
      <c r="F1520" s="5" t="n"/>
      <c r="G1520" s="5" t="n"/>
      <c r="H1520" s="5" t="n"/>
      <c r="I1520" s="5" t="n"/>
      <c r="J1520" s="5" t="n"/>
      <c r="K1520" s="5" t="n"/>
      <c r="L1520" s="5" t="n"/>
      <c r="M1520" s="5" t="n"/>
      <c r="N1520" s="5" t="n"/>
      <c r="O1520" s="5" t="n"/>
      <c r="P1520" s="5" t="n"/>
      <c r="Q1520" s="5" t="n"/>
      <c r="R1520" s="5" t="n"/>
      <c r="S1520" s="5" t="n"/>
      <c r="T1520" s="5" t="n"/>
      <c r="U1520" s="5" t="n"/>
      <c r="V1520" s="5" t="n"/>
      <c r="W1520" s="5" t="n"/>
      <c r="X1520" s="5" t="n"/>
      <c r="Y1520" s="5" t="n"/>
      <c r="Z1520" s="5" t="n"/>
      <c r="AA1520" s="5" t="n"/>
      <c r="AB1520" s="5" t="n"/>
    </row>
    <row r="1521" ht="15.75" customHeight="1" s="79">
      <c r="A1521" s="5" t="n"/>
      <c r="B1521" s="5" t="n"/>
      <c r="C1521" s="5" t="n"/>
      <c r="D1521" s="5" t="n"/>
      <c r="E1521" s="5" t="n"/>
      <c r="F1521" s="5" t="n"/>
      <c r="G1521" s="5" t="n"/>
      <c r="H1521" s="5" t="n"/>
      <c r="I1521" s="5" t="n"/>
      <c r="J1521" s="5" t="n"/>
      <c r="K1521" s="5" t="n"/>
      <c r="L1521" s="5" t="n"/>
      <c r="M1521" s="5" t="n"/>
      <c r="N1521" s="5" t="n"/>
      <c r="O1521" s="5" t="n"/>
      <c r="P1521" s="5" t="n"/>
      <c r="Q1521" s="5" t="n"/>
      <c r="R1521" s="5" t="n"/>
      <c r="S1521" s="5" t="n"/>
      <c r="T1521" s="5" t="n"/>
      <c r="U1521" s="5" t="n"/>
      <c r="V1521" s="5" t="n"/>
      <c r="W1521" s="5" t="n"/>
      <c r="X1521" s="5" t="n"/>
      <c r="Y1521" s="5" t="n"/>
      <c r="Z1521" s="5" t="n"/>
      <c r="AA1521" s="5" t="n"/>
      <c r="AB1521" s="5" t="n"/>
    </row>
    <row r="1522" ht="15.75" customHeight="1" s="79">
      <c r="A1522" s="5" t="n"/>
      <c r="B1522" s="5" t="n"/>
      <c r="C1522" s="5" t="n"/>
      <c r="D1522" s="5" t="n"/>
      <c r="E1522" s="5" t="n"/>
      <c r="F1522" s="5" t="n"/>
      <c r="G1522" s="5" t="n"/>
      <c r="H1522" s="5" t="n"/>
      <c r="I1522" s="5" t="n"/>
      <c r="J1522" s="5" t="n"/>
      <c r="K1522" s="5" t="n"/>
      <c r="L1522" s="5" t="n"/>
      <c r="M1522" s="5" t="n"/>
      <c r="N1522" s="5" t="n"/>
      <c r="O1522" s="5" t="n"/>
      <c r="P1522" s="5" t="n"/>
      <c r="Q1522" s="5" t="n"/>
      <c r="R1522" s="5" t="n"/>
      <c r="S1522" s="5" t="n"/>
      <c r="T1522" s="5" t="n"/>
      <c r="U1522" s="5" t="n"/>
      <c r="V1522" s="5" t="n"/>
      <c r="W1522" s="5" t="n"/>
      <c r="X1522" s="5" t="n"/>
      <c r="Y1522" s="5" t="n"/>
      <c r="Z1522" s="5" t="n"/>
      <c r="AA1522" s="5" t="n"/>
      <c r="AB1522" s="5" t="n"/>
    </row>
    <row r="1523" ht="15.75" customHeight="1" s="79">
      <c r="A1523" s="5" t="n"/>
      <c r="B1523" s="5" t="n"/>
      <c r="C1523" s="5" t="n"/>
      <c r="D1523" s="5" t="n"/>
      <c r="E1523" s="5" t="n"/>
      <c r="F1523" s="5" t="n"/>
      <c r="G1523" s="5" t="n"/>
      <c r="H1523" s="5" t="n"/>
      <c r="I1523" s="5" t="n"/>
      <c r="J1523" s="5" t="n"/>
      <c r="K1523" s="5" t="n"/>
      <c r="L1523" s="5" t="n"/>
      <c r="M1523" s="5" t="n"/>
      <c r="N1523" s="5" t="n"/>
      <c r="O1523" s="5" t="n"/>
      <c r="P1523" s="5" t="n"/>
      <c r="Q1523" s="5" t="n"/>
      <c r="R1523" s="5" t="n"/>
      <c r="S1523" s="5" t="n"/>
      <c r="T1523" s="5" t="n"/>
      <c r="U1523" s="5" t="n"/>
      <c r="V1523" s="5" t="n"/>
      <c r="W1523" s="5" t="n"/>
      <c r="X1523" s="5" t="n"/>
      <c r="Y1523" s="5" t="n"/>
      <c r="Z1523" s="5" t="n"/>
      <c r="AA1523" s="5" t="n"/>
      <c r="AB1523" s="5" t="n"/>
    </row>
    <row r="1524" ht="15.75" customHeight="1" s="79">
      <c r="A1524" s="5" t="n"/>
      <c r="B1524" s="5" t="n"/>
      <c r="C1524" s="5" t="n"/>
      <c r="D1524" s="5" t="n"/>
      <c r="E1524" s="5" t="n"/>
      <c r="F1524" s="5" t="n"/>
      <c r="G1524" s="5" t="n"/>
      <c r="H1524" s="5" t="n"/>
      <c r="I1524" s="5" t="n"/>
      <c r="J1524" s="5" t="n"/>
      <c r="K1524" s="5" t="n"/>
      <c r="L1524" s="5" t="n"/>
      <c r="M1524" s="5" t="n"/>
      <c r="N1524" s="5" t="n"/>
      <c r="O1524" s="5" t="n"/>
      <c r="P1524" s="5" t="n"/>
      <c r="Q1524" s="5" t="n"/>
      <c r="R1524" s="5" t="n"/>
      <c r="S1524" s="5" t="n"/>
      <c r="T1524" s="5" t="n"/>
      <c r="U1524" s="5" t="n"/>
      <c r="V1524" s="5" t="n"/>
      <c r="W1524" s="5" t="n"/>
      <c r="X1524" s="5" t="n"/>
      <c r="Y1524" s="5" t="n"/>
      <c r="Z1524" s="5" t="n"/>
      <c r="AA1524" s="5" t="n"/>
      <c r="AB1524" s="5" t="n"/>
    </row>
    <row r="1525" ht="15.75" customHeight="1" s="79">
      <c r="A1525" s="5" t="n"/>
      <c r="B1525" s="5" t="n"/>
      <c r="C1525" s="5" t="n"/>
      <c r="D1525" s="5" t="n"/>
      <c r="E1525" s="5" t="n"/>
      <c r="F1525" s="5" t="n"/>
      <c r="G1525" s="5" t="n"/>
      <c r="H1525" s="5" t="n"/>
      <c r="I1525" s="5" t="n"/>
      <c r="J1525" s="5" t="n"/>
      <c r="K1525" s="5" t="n"/>
      <c r="L1525" s="5" t="n"/>
      <c r="M1525" s="5" t="n"/>
      <c r="N1525" s="5" t="n"/>
      <c r="O1525" s="5" t="n"/>
      <c r="P1525" s="5" t="n"/>
      <c r="Q1525" s="5" t="n"/>
      <c r="R1525" s="5" t="n"/>
      <c r="S1525" s="5" t="n"/>
      <c r="T1525" s="5" t="n"/>
      <c r="U1525" s="5" t="n"/>
      <c r="V1525" s="5" t="n"/>
      <c r="W1525" s="5" t="n"/>
      <c r="X1525" s="5" t="n"/>
      <c r="Y1525" s="5" t="n"/>
      <c r="Z1525" s="5" t="n"/>
      <c r="AA1525" s="5" t="n"/>
      <c r="AB1525" s="5" t="n"/>
    </row>
    <row r="1526" ht="15.75" customHeight="1" s="79">
      <c r="A1526" s="5" t="n"/>
      <c r="B1526" s="5" t="n"/>
      <c r="C1526" s="5" t="n"/>
      <c r="D1526" s="5" t="n"/>
      <c r="E1526" s="5" t="n"/>
      <c r="F1526" s="5" t="n"/>
      <c r="G1526" s="5" t="n"/>
      <c r="H1526" s="5" t="n"/>
      <c r="I1526" s="5" t="n"/>
      <c r="J1526" s="5" t="n"/>
      <c r="K1526" s="5" t="n"/>
      <c r="L1526" s="5" t="n"/>
      <c r="M1526" s="5" t="n"/>
      <c r="N1526" s="5" t="n"/>
      <c r="O1526" s="5" t="n"/>
      <c r="P1526" s="5" t="n"/>
      <c r="Q1526" s="5" t="n"/>
      <c r="R1526" s="5" t="n"/>
      <c r="S1526" s="5" t="n"/>
      <c r="T1526" s="5" t="n"/>
      <c r="U1526" s="5" t="n"/>
      <c r="V1526" s="5" t="n"/>
      <c r="W1526" s="5" t="n"/>
      <c r="X1526" s="5" t="n"/>
      <c r="Y1526" s="5" t="n"/>
      <c r="Z1526" s="5" t="n"/>
      <c r="AA1526" s="5" t="n"/>
      <c r="AB1526" s="5" t="n"/>
    </row>
    <row r="1527" ht="15.75" customHeight="1" s="79">
      <c r="A1527" s="5" t="n"/>
      <c r="B1527" s="5" t="n"/>
      <c r="C1527" s="5" t="n"/>
      <c r="D1527" s="5" t="n"/>
      <c r="E1527" s="5" t="n"/>
      <c r="F1527" s="5" t="n"/>
      <c r="G1527" s="5" t="n"/>
      <c r="H1527" s="5" t="n"/>
      <c r="I1527" s="5" t="n"/>
      <c r="J1527" s="5" t="n"/>
      <c r="K1527" s="5" t="n"/>
      <c r="L1527" s="5" t="n"/>
      <c r="M1527" s="5" t="n"/>
      <c r="N1527" s="5" t="n"/>
      <c r="O1527" s="5" t="n"/>
      <c r="P1527" s="5" t="n"/>
      <c r="Q1527" s="5" t="n"/>
      <c r="R1527" s="5" t="n"/>
      <c r="S1527" s="5" t="n"/>
      <c r="T1527" s="5" t="n"/>
      <c r="U1527" s="5" t="n"/>
      <c r="V1527" s="5" t="n"/>
      <c r="W1527" s="5" t="n"/>
      <c r="X1527" s="5" t="n"/>
      <c r="Y1527" s="5" t="n"/>
      <c r="Z1527" s="5" t="n"/>
      <c r="AA1527" s="5" t="n"/>
      <c r="AB1527" s="5" t="n"/>
    </row>
    <row r="1528" ht="15.75" customHeight="1" s="79">
      <c r="A1528" s="5" t="n"/>
      <c r="B1528" s="5" t="n"/>
      <c r="C1528" s="5" t="n"/>
      <c r="D1528" s="5" t="n"/>
      <c r="E1528" s="5" t="n"/>
      <c r="F1528" s="5" t="n"/>
      <c r="G1528" s="5" t="n"/>
      <c r="H1528" s="5" t="n"/>
      <c r="I1528" s="5" t="n"/>
      <c r="J1528" s="5" t="n"/>
      <c r="K1528" s="5" t="n"/>
      <c r="L1528" s="5" t="n"/>
      <c r="M1528" s="5" t="n"/>
      <c r="N1528" s="5" t="n"/>
      <c r="O1528" s="5" t="n"/>
      <c r="P1528" s="5" t="n"/>
      <c r="Q1528" s="5" t="n"/>
      <c r="R1528" s="5" t="n"/>
      <c r="S1528" s="5" t="n"/>
      <c r="T1528" s="5" t="n"/>
      <c r="U1528" s="5" t="n"/>
      <c r="V1528" s="5" t="n"/>
      <c r="W1528" s="5" t="n"/>
      <c r="X1528" s="5" t="n"/>
      <c r="Y1528" s="5" t="n"/>
      <c r="Z1528" s="5" t="n"/>
      <c r="AA1528" s="5" t="n"/>
      <c r="AB1528" s="5" t="n"/>
    </row>
    <row r="1529" ht="15.75" customHeight="1" s="79">
      <c r="A1529" s="5" t="n"/>
      <c r="B1529" s="5" t="n"/>
      <c r="C1529" s="5" t="n"/>
      <c r="D1529" s="5" t="n"/>
      <c r="E1529" s="5" t="n"/>
      <c r="F1529" s="5" t="n"/>
      <c r="G1529" s="5" t="n"/>
      <c r="H1529" s="5" t="n"/>
      <c r="I1529" s="5" t="n"/>
      <c r="J1529" s="5" t="n"/>
      <c r="K1529" s="5" t="n"/>
      <c r="L1529" s="5" t="n"/>
      <c r="M1529" s="5" t="n"/>
      <c r="N1529" s="5" t="n"/>
      <c r="O1529" s="5" t="n"/>
      <c r="P1529" s="5" t="n"/>
      <c r="Q1529" s="5" t="n"/>
      <c r="R1529" s="5" t="n"/>
      <c r="S1529" s="5" t="n"/>
      <c r="T1529" s="5" t="n"/>
      <c r="U1529" s="5" t="n"/>
      <c r="V1529" s="5" t="n"/>
      <c r="W1529" s="5" t="n"/>
      <c r="X1529" s="5" t="n"/>
      <c r="Y1529" s="5" t="n"/>
      <c r="Z1529" s="5" t="n"/>
      <c r="AA1529" s="5" t="n"/>
      <c r="AB1529" s="5" t="n"/>
    </row>
    <row r="1530" ht="15.75" customHeight="1" s="79">
      <c r="A1530" s="5" t="n"/>
      <c r="B1530" s="5" t="n"/>
      <c r="C1530" s="5" t="n"/>
      <c r="D1530" s="5" t="n"/>
      <c r="E1530" s="5" t="n"/>
      <c r="F1530" s="5" t="n"/>
      <c r="G1530" s="5" t="n"/>
      <c r="H1530" s="5" t="n"/>
      <c r="I1530" s="5" t="n"/>
      <c r="J1530" s="5" t="n"/>
      <c r="K1530" s="5" t="n"/>
      <c r="L1530" s="5" t="n"/>
      <c r="M1530" s="5" t="n"/>
      <c r="N1530" s="5" t="n"/>
      <c r="O1530" s="5" t="n"/>
      <c r="P1530" s="5" t="n"/>
      <c r="Q1530" s="5" t="n"/>
      <c r="R1530" s="5" t="n"/>
      <c r="S1530" s="5" t="n"/>
      <c r="T1530" s="5" t="n"/>
      <c r="U1530" s="5" t="n"/>
      <c r="V1530" s="5" t="n"/>
      <c r="W1530" s="5" t="n"/>
      <c r="X1530" s="5" t="n"/>
      <c r="Y1530" s="5" t="n"/>
      <c r="Z1530" s="5" t="n"/>
      <c r="AA1530" s="5" t="n"/>
      <c r="AB1530" s="5" t="n"/>
    </row>
    <row r="1531" ht="15.75" customHeight="1" s="79">
      <c r="A1531" s="5" t="n"/>
      <c r="B1531" s="5" t="n"/>
      <c r="C1531" s="5" t="n"/>
      <c r="D1531" s="5" t="n"/>
      <c r="E1531" s="5" t="n"/>
      <c r="F1531" s="5" t="n"/>
      <c r="G1531" s="5" t="n"/>
      <c r="H1531" s="5" t="n"/>
      <c r="I1531" s="5" t="n"/>
      <c r="J1531" s="5" t="n"/>
      <c r="K1531" s="5" t="n"/>
      <c r="L1531" s="5" t="n"/>
      <c r="M1531" s="5" t="n"/>
      <c r="N1531" s="5" t="n"/>
      <c r="O1531" s="5" t="n"/>
      <c r="P1531" s="5" t="n"/>
      <c r="Q1531" s="5" t="n"/>
      <c r="R1531" s="5" t="n"/>
      <c r="S1531" s="5" t="n"/>
      <c r="T1531" s="5" t="n"/>
      <c r="U1531" s="5" t="n"/>
      <c r="V1531" s="5" t="n"/>
      <c r="W1531" s="5" t="n"/>
      <c r="X1531" s="5" t="n"/>
      <c r="Y1531" s="5" t="n"/>
      <c r="Z1531" s="5" t="n"/>
      <c r="AA1531" s="5" t="n"/>
      <c r="AB1531" s="5" t="n"/>
    </row>
    <row r="1532" ht="15.75" customHeight="1" s="79">
      <c r="A1532" s="5" t="n"/>
      <c r="B1532" s="5" t="n"/>
      <c r="C1532" s="5" t="n"/>
      <c r="D1532" s="5" t="n"/>
      <c r="E1532" s="5" t="n"/>
      <c r="F1532" s="5" t="n"/>
      <c r="G1532" s="5" t="n"/>
      <c r="H1532" s="5" t="n"/>
      <c r="I1532" s="5" t="n"/>
      <c r="J1532" s="5" t="n"/>
      <c r="K1532" s="5" t="n"/>
      <c r="L1532" s="5" t="n"/>
      <c r="M1532" s="5" t="n"/>
      <c r="N1532" s="5" t="n"/>
      <c r="O1532" s="5" t="n"/>
      <c r="P1532" s="5" t="n"/>
      <c r="Q1532" s="5" t="n"/>
      <c r="R1532" s="5" t="n"/>
      <c r="S1532" s="5" t="n"/>
      <c r="T1532" s="5" t="n"/>
      <c r="U1532" s="5" t="n"/>
      <c r="V1532" s="5" t="n"/>
      <c r="W1532" s="5" t="n"/>
      <c r="X1532" s="5" t="n"/>
      <c r="Y1532" s="5" t="n"/>
      <c r="Z1532" s="5" t="n"/>
      <c r="AA1532" s="5" t="n"/>
      <c r="AB1532" s="5" t="n"/>
    </row>
    <row r="1533" ht="15.75" customHeight="1" s="79">
      <c r="A1533" s="5" t="n"/>
      <c r="B1533" s="5" t="n"/>
      <c r="C1533" s="5" t="n"/>
      <c r="D1533" s="5" t="n"/>
      <c r="E1533" s="5" t="n"/>
      <c r="F1533" s="5" t="n"/>
      <c r="G1533" s="5" t="n"/>
      <c r="H1533" s="5" t="n"/>
      <c r="I1533" s="5" t="n"/>
      <c r="J1533" s="5" t="n"/>
      <c r="K1533" s="5" t="n"/>
      <c r="L1533" s="5" t="n"/>
      <c r="M1533" s="5" t="n"/>
      <c r="N1533" s="5" t="n"/>
      <c r="O1533" s="5" t="n"/>
      <c r="P1533" s="5" t="n"/>
      <c r="Q1533" s="5" t="n"/>
      <c r="R1533" s="5" t="n"/>
      <c r="S1533" s="5" t="n"/>
      <c r="T1533" s="5" t="n"/>
      <c r="U1533" s="5" t="n"/>
      <c r="V1533" s="5" t="n"/>
      <c r="W1533" s="5" t="n"/>
      <c r="X1533" s="5" t="n"/>
      <c r="Y1533" s="5" t="n"/>
      <c r="Z1533" s="5" t="n"/>
      <c r="AA1533" s="5" t="n"/>
      <c r="AB1533" s="5" t="n"/>
    </row>
    <row r="1534" ht="15.75" customHeight="1" s="79">
      <c r="A1534" s="5" t="n"/>
      <c r="B1534" s="5" t="n"/>
      <c r="C1534" s="5" t="n"/>
      <c r="D1534" s="5" t="n"/>
      <c r="E1534" s="5" t="n"/>
      <c r="F1534" s="5" t="n"/>
      <c r="G1534" s="5" t="n"/>
      <c r="H1534" s="5" t="n"/>
      <c r="I1534" s="5" t="n"/>
      <c r="J1534" s="5" t="n"/>
      <c r="K1534" s="5" t="n"/>
      <c r="L1534" s="5" t="n"/>
      <c r="M1534" s="5" t="n"/>
      <c r="N1534" s="5" t="n"/>
      <c r="O1534" s="5" t="n"/>
      <c r="P1534" s="5" t="n"/>
      <c r="Q1534" s="5" t="n"/>
      <c r="R1534" s="5" t="n"/>
      <c r="S1534" s="5" t="n"/>
      <c r="T1534" s="5" t="n"/>
      <c r="U1534" s="5" t="n"/>
      <c r="V1534" s="5" t="n"/>
      <c r="W1534" s="5" t="n"/>
      <c r="X1534" s="5" t="n"/>
      <c r="Y1534" s="5" t="n"/>
      <c r="Z1534" s="5" t="n"/>
      <c r="AA1534" s="5" t="n"/>
      <c r="AB1534" s="5" t="n"/>
    </row>
    <row r="1535" ht="15.75" customHeight="1" s="79">
      <c r="A1535" s="5" t="n"/>
      <c r="B1535" s="5" t="n"/>
      <c r="C1535" s="5" t="n"/>
      <c r="D1535" s="5" t="n"/>
      <c r="E1535" s="5" t="n"/>
      <c r="F1535" s="5" t="n"/>
      <c r="G1535" s="5" t="n"/>
      <c r="H1535" s="5" t="n"/>
      <c r="I1535" s="5" t="n"/>
      <c r="J1535" s="5" t="n"/>
      <c r="K1535" s="5" t="n"/>
      <c r="L1535" s="5" t="n"/>
      <c r="M1535" s="5" t="n"/>
      <c r="N1535" s="5" t="n"/>
      <c r="O1535" s="5" t="n"/>
      <c r="P1535" s="5" t="n"/>
      <c r="Q1535" s="5" t="n"/>
      <c r="R1535" s="5" t="n"/>
      <c r="S1535" s="5" t="n"/>
      <c r="T1535" s="5" t="n"/>
      <c r="U1535" s="5" t="n"/>
      <c r="V1535" s="5" t="n"/>
      <c r="W1535" s="5" t="n"/>
      <c r="X1535" s="5" t="n"/>
      <c r="Y1535" s="5" t="n"/>
      <c r="Z1535" s="5" t="n"/>
      <c r="AA1535" s="5" t="n"/>
      <c r="AB1535" s="5" t="n"/>
    </row>
    <row r="1536" ht="15.75" customHeight="1" s="79">
      <c r="A1536" s="5" t="n"/>
      <c r="B1536" s="5" t="n"/>
      <c r="C1536" s="5" t="n"/>
      <c r="D1536" s="5" t="n"/>
      <c r="E1536" s="5" t="n"/>
      <c r="F1536" s="5" t="n"/>
      <c r="G1536" s="5" t="n"/>
      <c r="H1536" s="5" t="n"/>
      <c r="I1536" s="5" t="n"/>
      <c r="J1536" s="5" t="n"/>
      <c r="K1536" s="5" t="n"/>
      <c r="L1536" s="5" t="n"/>
      <c r="M1536" s="5" t="n"/>
      <c r="N1536" s="5" t="n"/>
      <c r="O1536" s="5" t="n"/>
      <c r="P1536" s="5" t="n"/>
      <c r="Q1536" s="5" t="n"/>
      <c r="R1536" s="5" t="n"/>
      <c r="S1536" s="5" t="n"/>
      <c r="T1536" s="5" t="n"/>
      <c r="U1536" s="5" t="n"/>
      <c r="V1536" s="5" t="n"/>
      <c r="W1536" s="5" t="n"/>
      <c r="X1536" s="5" t="n"/>
      <c r="Y1536" s="5" t="n"/>
      <c r="Z1536" s="5" t="n"/>
      <c r="AA1536" s="5" t="n"/>
      <c r="AB1536" s="5" t="n"/>
    </row>
    <row r="1537" ht="15.75" customHeight="1" s="79">
      <c r="A1537" s="5" t="n"/>
      <c r="B1537" s="5" t="n"/>
      <c r="C1537" s="5" t="n"/>
      <c r="D1537" s="5" t="n"/>
      <c r="E1537" s="5" t="n"/>
      <c r="F1537" s="5" t="n"/>
      <c r="G1537" s="5" t="n"/>
      <c r="H1537" s="5" t="n"/>
      <c r="I1537" s="5" t="n"/>
      <c r="J1537" s="5" t="n"/>
      <c r="K1537" s="5" t="n"/>
      <c r="L1537" s="5" t="n"/>
      <c r="M1537" s="5" t="n"/>
      <c r="N1537" s="5" t="n"/>
      <c r="O1537" s="5" t="n"/>
      <c r="P1537" s="5" t="n"/>
      <c r="Q1537" s="5" t="n"/>
      <c r="R1537" s="5" t="n"/>
      <c r="S1537" s="5" t="n"/>
      <c r="T1537" s="5" t="n"/>
      <c r="U1537" s="5" t="n"/>
      <c r="V1537" s="5" t="n"/>
      <c r="W1537" s="5" t="n"/>
      <c r="X1537" s="5" t="n"/>
      <c r="Y1537" s="5" t="n"/>
      <c r="Z1537" s="5" t="n"/>
      <c r="AA1537" s="5" t="n"/>
      <c r="AB1537" s="5" t="n"/>
    </row>
    <row r="1538" ht="15.75" customHeight="1" s="79">
      <c r="A1538" s="5" t="n"/>
      <c r="B1538" s="5" t="n"/>
      <c r="C1538" s="5" t="n"/>
      <c r="D1538" s="5" t="n"/>
      <c r="E1538" s="5" t="n"/>
      <c r="F1538" s="5" t="n"/>
      <c r="G1538" s="5" t="n"/>
      <c r="H1538" s="5" t="n"/>
      <c r="I1538" s="5" t="n"/>
      <c r="J1538" s="5" t="n"/>
      <c r="K1538" s="5" t="n"/>
      <c r="L1538" s="5" t="n"/>
      <c r="M1538" s="5" t="n"/>
      <c r="N1538" s="5" t="n"/>
      <c r="O1538" s="5" t="n"/>
      <c r="P1538" s="5" t="n"/>
      <c r="Q1538" s="5" t="n"/>
      <c r="R1538" s="5" t="n"/>
      <c r="S1538" s="5" t="n"/>
      <c r="T1538" s="5" t="n"/>
      <c r="U1538" s="5" t="n"/>
      <c r="V1538" s="5" t="n"/>
      <c r="W1538" s="5" t="n"/>
      <c r="X1538" s="5" t="n"/>
      <c r="Y1538" s="5" t="n"/>
      <c r="Z1538" s="5" t="n"/>
      <c r="AA1538" s="5" t="n"/>
      <c r="AB1538" s="5" t="n"/>
    </row>
    <row r="1539" ht="15.75" customHeight="1" s="79">
      <c r="A1539" s="5" t="n"/>
      <c r="B1539" s="5" t="n"/>
      <c r="C1539" s="5" t="n"/>
      <c r="D1539" s="5" t="n"/>
      <c r="E1539" s="5" t="n"/>
      <c r="F1539" s="5" t="n"/>
      <c r="G1539" s="5" t="n"/>
      <c r="H1539" s="5" t="n"/>
      <c r="I1539" s="5" t="n"/>
      <c r="J1539" s="5" t="n"/>
      <c r="K1539" s="5" t="n"/>
      <c r="L1539" s="5" t="n"/>
      <c r="M1539" s="5" t="n"/>
      <c r="N1539" s="5" t="n"/>
      <c r="O1539" s="5" t="n"/>
      <c r="P1539" s="5" t="n"/>
      <c r="Q1539" s="5" t="n"/>
      <c r="R1539" s="5" t="n"/>
      <c r="S1539" s="5" t="n"/>
      <c r="T1539" s="5" t="n"/>
      <c r="U1539" s="5" t="n"/>
      <c r="V1539" s="5" t="n"/>
      <c r="W1539" s="5" t="n"/>
      <c r="X1539" s="5" t="n"/>
      <c r="Y1539" s="5" t="n"/>
      <c r="Z1539" s="5" t="n"/>
      <c r="AA1539" s="5" t="n"/>
      <c r="AB1539" s="5" t="n"/>
    </row>
    <row r="1540" ht="15.75" customHeight="1" s="79">
      <c r="A1540" s="5" t="n"/>
      <c r="B1540" s="5" t="n"/>
      <c r="C1540" s="5" t="n"/>
      <c r="D1540" s="5" t="n"/>
      <c r="E1540" s="5" t="n"/>
      <c r="F1540" s="5" t="n"/>
      <c r="G1540" s="5" t="n"/>
      <c r="H1540" s="5" t="n"/>
      <c r="I1540" s="5" t="n"/>
      <c r="J1540" s="5" t="n"/>
      <c r="K1540" s="5" t="n"/>
      <c r="L1540" s="5" t="n"/>
      <c r="M1540" s="5" t="n"/>
      <c r="N1540" s="5" t="n"/>
      <c r="O1540" s="5" t="n"/>
      <c r="P1540" s="5" t="n"/>
      <c r="Q1540" s="5" t="n"/>
      <c r="R1540" s="5" t="n"/>
      <c r="S1540" s="5" t="n"/>
      <c r="T1540" s="5" t="n"/>
      <c r="U1540" s="5" t="n"/>
      <c r="V1540" s="5" t="n"/>
      <c r="W1540" s="5" t="n"/>
      <c r="X1540" s="5" t="n"/>
      <c r="Y1540" s="5" t="n"/>
      <c r="Z1540" s="5" t="n"/>
      <c r="AA1540" s="5" t="n"/>
      <c r="AB1540" s="5" t="n"/>
    </row>
    <row r="1541" ht="15.75" customHeight="1" s="79">
      <c r="A1541" s="5" t="n"/>
      <c r="B1541" s="5" t="n"/>
      <c r="C1541" s="5" t="n"/>
      <c r="D1541" s="5" t="n"/>
      <c r="E1541" s="5" t="n"/>
      <c r="F1541" s="5" t="n"/>
      <c r="G1541" s="5" t="n"/>
      <c r="H1541" s="5" t="n"/>
      <c r="I1541" s="5" t="n"/>
      <c r="J1541" s="5" t="n"/>
      <c r="K1541" s="5" t="n"/>
      <c r="L1541" s="5" t="n"/>
      <c r="M1541" s="5" t="n"/>
      <c r="N1541" s="5" t="n"/>
      <c r="O1541" s="5" t="n"/>
      <c r="P1541" s="5" t="n"/>
      <c r="Q1541" s="5" t="n"/>
      <c r="R1541" s="5" t="n"/>
      <c r="S1541" s="5" t="n"/>
      <c r="T1541" s="5" t="n"/>
      <c r="U1541" s="5" t="n"/>
      <c r="V1541" s="5" t="n"/>
      <c r="W1541" s="5" t="n"/>
      <c r="X1541" s="5" t="n"/>
      <c r="Y1541" s="5" t="n"/>
      <c r="Z1541" s="5" t="n"/>
      <c r="AA1541" s="5" t="n"/>
      <c r="AB1541" s="5" t="n"/>
    </row>
    <row r="1542" ht="15.75" customHeight="1" s="79">
      <c r="A1542" s="5" t="n"/>
      <c r="B1542" s="5" t="n"/>
      <c r="C1542" s="5" t="n"/>
      <c r="D1542" s="5" t="n"/>
      <c r="E1542" s="5" t="n"/>
      <c r="F1542" s="5" t="n"/>
      <c r="G1542" s="5" t="n"/>
      <c r="H1542" s="5" t="n"/>
      <c r="I1542" s="5" t="n"/>
      <c r="J1542" s="5" t="n"/>
      <c r="K1542" s="5" t="n"/>
      <c r="L1542" s="5" t="n"/>
      <c r="M1542" s="5" t="n"/>
      <c r="N1542" s="5" t="n"/>
      <c r="O1542" s="5" t="n"/>
      <c r="P1542" s="5" t="n"/>
      <c r="Q1542" s="5" t="n"/>
      <c r="R1542" s="5" t="n"/>
      <c r="S1542" s="5" t="n"/>
      <c r="T1542" s="5" t="n"/>
      <c r="U1542" s="5" t="n"/>
      <c r="V1542" s="5" t="n"/>
      <c r="W1542" s="5" t="n"/>
      <c r="X1542" s="5" t="n"/>
      <c r="Y1542" s="5" t="n"/>
      <c r="Z1542" s="5" t="n"/>
      <c r="AA1542" s="5" t="n"/>
      <c r="AB1542" s="5" t="n"/>
    </row>
    <row r="1543" ht="15.75" customHeight="1" s="79">
      <c r="A1543" s="5" t="n"/>
      <c r="B1543" s="5" t="n"/>
      <c r="C1543" s="5" t="n"/>
      <c r="D1543" s="5" t="n"/>
      <c r="E1543" s="5" t="n"/>
      <c r="F1543" s="5" t="n"/>
      <c r="G1543" s="5" t="n"/>
      <c r="H1543" s="5" t="n"/>
      <c r="I1543" s="5" t="n"/>
      <c r="J1543" s="5" t="n"/>
      <c r="K1543" s="5" t="n"/>
      <c r="L1543" s="5" t="n"/>
      <c r="M1543" s="5" t="n"/>
      <c r="N1543" s="5" t="n"/>
      <c r="O1543" s="5" t="n"/>
      <c r="P1543" s="5" t="n"/>
      <c r="Q1543" s="5" t="n"/>
      <c r="R1543" s="5" t="n"/>
      <c r="S1543" s="5" t="n"/>
      <c r="T1543" s="5" t="n"/>
      <c r="U1543" s="5" t="n"/>
      <c r="V1543" s="5" t="n"/>
      <c r="W1543" s="5" t="n"/>
      <c r="X1543" s="5" t="n"/>
      <c r="Y1543" s="5" t="n"/>
      <c r="Z1543" s="5" t="n"/>
      <c r="AA1543" s="5" t="n"/>
      <c r="AB1543" s="5" t="n"/>
    </row>
    <row r="1544" ht="15.75" customHeight="1" s="79">
      <c r="A1544" s="5" t="n"/>
      <c r="B1544" s="5" t="n"/>
      <c r="C1544" s="5" t="n"/>
      <c r="D1544" s="5" t="n"/>
      <c r="E1544" s="5" t="n"/>
      <c r="F1544" s="5" t="n"/>
      <c r="G1544" s="5" t="n"/>
      <c r="H1544" s="5" t="n"/>
      <c r="I1544" s="5" t="n"/>
      <c r="J1544" s="5" t="n"/>
      <c r="K1544" s="5" t="n"/>
      <c r="L1544" s="5" t="n"/>
      <c r="M1544" s="5" t="n"/>
      <c r="N1544" s="5" t="n"/>
      <c r="O1544" s="5" t="n"/>
      <c r="P1544" s="5" t="n"/>
      <c r="Q1544" s="5" t="n"/>
      <c r="R1544" s="5" t="n"/>
      <c r="S1544" s="5" t="n"/>
      <c r="T1544" s="5" t="n"/>
      <c r="U1544" s="5" t="n"/>
      <c r="V1544" s="5" t="n"/>
      <c r="W1544" s="5" t="n"/>
      <c r="X1544" s="5" t="n"/>
      <c r="Y1544" s="5" t="n"/>
      <c r="Z1544" s="5" t="n"/>
      <c r="AA1544" s="5" t="n"/>
      <c r="AB1544" s="5" t="n"/>
    </row>
    <row r="1545" ht="15.75" customHeight="1" s="79">
      <c r="A1545" s="5" t="n"/>
      <c r="B1545" s="5" t="n"/>
      <c r="C1545" s="5" t="n"/>
      <c r="D1545" s="5" t="n"/>
      <c r="E1545" s="5" t="n"/>
      <c r="F1545" s="5" t="n"/>
      <c r="G1545" s="5" t="n"/>
      <c r="H1545" s="5" t="n"/>
      <c r="I1545" s="5" t="n"/>
      <c r="J1545" s="5" t="n"/>
      <c r="K1545" s="5" t="n"/>
      <c r="L1545" s="5" t="n"/>
      <c r="M1545" s="5" t="n"/>
      <c r="N1545" s="5" t="n"/>
      <c r="O1545" s="5" t="n"/>
      <c r="P1545" s="5" t="n"/>
      <c r="Q1545" s="5" t="n"/>
      <c r="R1545" s="5" t="n"/>
      <c r="S1545" s="5" t="n"/>
      <c r="T1545" s="5" t="n"/>
      <c r="U1545" s="5" t="n"/>
      <c r="V1545" s="5" t="n"/>
      <c r="W1545" s="5" t="n"/>
      <c r="X1545" s="5" t="n"/>
      <c r="Y1545" s="5" t="n"/>
      <c r="Z1545" s="5" t="n"/>
      <c r="AA1545" s="5" t="n"/>
      <c r="AB1545" s="5" t="n"/>
    </row>
    <row r="1546" ht="15.75" customHeight="1" s="79">
      <c r="A1546" s="5" t="n"/>
      <c r="B1546" s="5" t="n"/>
      <c r="C1546" s="5" t="n"/>
      <c r="D1546" s="5" t="n"/>
      <c r="E1546" s="5" t="n"/>
      <c r="F1546" s="5" t="n"/>
      <c r="G1546" s="5" t="n"/>
      <c r="H1546" s="5" t="n"/>
      <c r="I1546" s="5" t="n"/>
      <c r="J1546" s="5" t="n"/>
      <c r="K1546" s="5" t="n"/>
      <c r="L1546" s="5" t="n"/>
      <c r="M1546" s="5" t="n"/>
      <c r="N1546" s="5" t="n"/>
      <c r="O1546" s="5" t="n"/>
      <c r="P1546" s="5" t="n"/>
      <c r="Q1546" s="5" t="n"/>
      <c r="R1546" s="5" t="n"/>
      <c r="S1546" s="5" t="n"/>
      <c r="T1546" s="5" t="n"/>
      <c r="U1546" s="5" t="n"/>
      <c r="V1546" s="5" t="n"/>
      <c r="W1546" s="5" t="n"/>
      <c r="X1546" s="5" t="n"/>
      <c r="Y1546" s="5" t="n"/>
      <c r="Z1546" s="5" t="n"/>
      <c r="AA1546" s="5" t="n"/>
      <c r="AB1546" s="5" t="n"/>
    </row>
    <row r="1547" ht="15.75" customHeight="1" s="79">
      <c r="A1547" s="5" t="n"/>
      <c r="B1547" s="5" t="n"/>
      <c r="C1547" s="5" t="n"/>
      <c r="D1547" s="5" t="n"/>
      <c r="E1547" s="5" t="n"/>
      <c r="F1547" s="5" t="n"/>
      <c r="G1547" s="5" t="n"/>
      <c r="H1547" s="5" t="n"/>
      <c r="I1547" s="5" t="n"/>
      <c r="J1547" s="5" t="n"/>
      <c r="K1547" s="5" t="n"/>
      <c r="L1547" s="5" t="n"/>
      <c r="M1547" s="5" t="n"/>
      <c r="N1547" s="5" t="n"/>
      <c r="O1547" s="5" t="n"/>
      <c r="P1547" s="5" t="n"/>
      <c r="Q1547" s="5" t="n"/>
      <c r="R1547" s="5" t="n"/>
      <c r="S1547" s="5" t="n"/>
      <c r="T1547" s="5" t="n"/>
      <c r="U1547" s="5" t="n"/>
      <c r="V1547" s="5" t="n"/>
      <c r="W1547" s="5" t="n"/>
      <c r="X1547" s="5" t="n"/>
      <c r="Y1547" s="5" t="n"/>
      <c r="Z1547" s="5" t="n"/>
      <c r="AA1547" s="5" t="n"/>
      <c r="AB1547" s="5" t="n"/>
    </row>
    <row r="1548" ht="15.75" customHeight="1" s="79">
      <c r="A1548" s="5" t="n"/>
      <c r="B1548" s="5" t="n"/>
      <c r="C1548" s="5" t="n"/>
      <c r="D1548" s="5" t="n"/>
      <c r="E1548" s="5" t="n"/>
      <c r="F1548" s="5" t="n"/>
      <c r="G1548" s="5" t="n"/>
      <c r="H1548" s="5" t="n"/>
      <c r="I1548" s="5" t="n"/>
      <c r="J1548" s="5" t="n"/>
      <c r="K1548" s="5" t="n"/>
      <c r="L1548" s="5" t="n"/>
      <c r="M1548" s="5" t="n"/>
      <c r="N1548" s="5" t="n"/>
      <c r="O1548" s="5" t="n"/>
      <c r="P1548" s="5" t="n"/>
      <c r="Q1548" s="5" t="n"/>
      <c r="R1548" s="5" t="n"/>
      <c r="S1548" s="5" t="n"/>
      <c r="T1548" s="5" t="n"/>
      <c r="U1548" s="5" t="n"/>
      <c r="V1548" s="5" t="n"/>
      <c r="W1548" s="5" t="n"/>
      <c r="X1548" s="5" t="n"/>
      <c r="Y1548" s="5" t="n"/>
      <c r="Z1548" s="5" t="n"/>
      <c r="AA1548" s="5" t="n"/>
      <c r="AB1548" s="5" t="n"/>
    </row>
    <row r="1549" ht="15.75" customHeight="1" s="79">
      <c r="A1549" s="5" t="n"/>
      <c r="B1549" s="5" t="n"/>
      <c r="C1549" s="5" t="n"/>
      <c r="D1549" s="5" t="n"/>
      <c r="E1549" s="5" t="n"/>
      <c r="F1549" s="5" t="n"/>
      <c r="G1549" s="5" t="n"/>
      <c r="H1549" s="5" t="n"/>
      <c r="I1549" s="5" t="n"/>
      <c r="J1549" s="5" t="n"/>
      <c r="K1549" s="5" t="n"/>
      <c r="L1549" s="5" t="n"/>
      <c r="M1549" s="5" t="n"/>
      <c r="N1549" s="5" t="n"/>
      <c r="O1549" s="5" t="n"/>
      <c r="P1549" s="5" t="n"/>
      <c r="Q1549" s="5" t="n"/>
      <c r="R1549" s="5" t="n"/>
      <c r="S1549" s="5" t="n"/>
      <c r="T1549" s="5" t="n"/>
      <c r="U1549" s="5" t="n"/>
      <c r="V1549" s="5" t="n"/>
      <c r="W1549" s="5" t="n"/>
      <c r="X1549" s="5" t="n"/>
      <c r="Y1549" s="5" t="n"/>
      <c r="Z1549" s="5" t="n"/>
      <c r="AA1549" s="5" t="n"/>
      <c r="AB1549" s="5" t="n"/>
    </row>
    <row r="1550" ht="15.75" customHeight="1" s="79">
      <c r="A1550" s="5" t="n"/>
      <c r="B1550" s="5" t="n"/>
      <c r="C1550" s="5" t="n"/>
      <c r="D1550" s="5" t="n"/>
      <c r="E1550" s="5" t="n"/>
      <c r="F1550" s="5" t="n"/>
      <c r="G1550" s="5" t="n"/>
      <c r="H1550" s="5" t="n"/>
      <c r="I1550" s="5" t="n"/>
      <c r="J1550" s="5" t="n"/>
      <c r="K1550" s="5" t="n"/>
      <c r="L1550" s="5" t="n"/>
      <c r="M1550" s="5" t="n"/>
      <c r="N1550" s="5" t="n"/>
      <c r="O1550" s="5" t="n"/>
      <c r="P1550" s="5" t="n"/>
      <c r="Q1550" s="5" t="n"/>
      <c r="R1550" s="5" t="n"/>
      <c r="S1550" s="5" t="n"/>
      <c r="T1550" s="5" t="n"/>
      <c r="U1550" s="5" t="n"/>
      <c r="V1550" s="5" t="n"/>
      <c r="W1550" s="5" t="n"/>
      <c r="X1550" s="5" t="n"/>
      <c r="Y1550" s="5" t="n"/>
      <c r="Z1550" s="5" t="n"/>
      <c r="AA1550" s="5" t="n"/>
      <c r="AB1550" s="5" t="n"/>
    </row>
    <row r="1551" ht="15.75" customHeight="1" s="79">
      <c r="A1551" s="5" t="n"/>
      <c r="B1551" s="5" t="n"/>
      <c r="C1551" s="5" t="n"/>
      <c r="D1551" s="5" t="n"/>
      <c r="E1551" s="5" t="n"/>
      <c r="F1551" s="5" t="n"/>
      <c r="G1551" s="5" t="n"/>
      <c r="H1551" s="5" t="n"/>
      <c r="I1551" s="5" t="n"/>
      <c r="J1551" s="5" t="n"/>
      <c r="K1551" s="5" t="n"/>
      <c r="L1551" s="5" t="n"/>
      <c r="M1551" s="5" t="n"/>
      <c r="N1551" s="5" t="n"/>
      <c r="O1551" s="5" t="n"/>
      <c r="P1551" s="5" t="n"/>
      <c r="Q1551" s="5" t="n"/>
      <c r="R1551" s="5" t="n"/>
      <c r="S1551" s="5" t="n"/>
      <c r="T1551" s="5" t="n"/>
      <c r="U1551" s="5" t="n"/>
      <c r="V1551" s="5" t="n"/>
      <c r="W1551" s="5" t="n"/>
      <c r="X1551" s="5" t="n"/>
      <c r="Y1551" s="5" t="n"/>
      <c r="Z1551" s="5" t="n"/>
      <c r="AA1551" s="5" t="n"/>
      <c r="AB1551" s="5" t="n"/>
    </row>
    <row r="1552" ht="15.75" customHeight="1" s="79">
      <c r="A1552" s="5" t="n"/>
      <c r="B1552" s="5" t="n"/>
      <c r="C1552" s="5" t="n"/>
      <c r="D1552" s="5" t="n"/>
      <c r="E1552" s="5" t="n"/>
      <c r="F1552" s="5" t="n"/>
      <c r="G1552" s="5" t="n"/>
      <c r="H1552" s="5" t="n"/>
      <c r="I1552" s="5" t="n"/>
      <c r="J1552" s="5" t="n"/>
      <c r="K1552" s="5" t="n"/>
      <c r="L1552" s="5" t="n"/>
      <c r="M1552" s="5" t="n"/>
      <c r="N1552" s="5" t="n"/>
      <c r="O1552" s="5" t="n"/>
      <c r="P1552" s="5" t="n"/>
      <c r="Q1552" s="5" t="n"/>
      <c r="R1552" s="5" t="n"/>
      <c r="S1552" s="5" t="n"/>
      <c r="T1552" s="5" t="n"/>
      <c r="U1552" s="5" t="n"/>
      <c r="V1552" s="5" t="n"/>
      <c r="W1552" s="5" t="n"/>
      <c r="X1552" s="5" t="n"/>
      <c r="Y1552" s="5" t="n"/>
      <c r="Z1552" s="5" t="n"/>
      <c r="AA1552" s="5" t="n"/>
      <c r="AB1552" s="5" t="n"/>
    </row>
    <row r="1553" ht="15.75" customHeight="1" s="79">
      <c r="A1553" s="5" t="n"/>
      <c r="B1553" s="5" t="n"/>
      <c r="C1553" s="5" t="n"/>
      <c r="D1553" s="5" t="n"/>
      <c r="E1553" s="5" t="n"/>
      <c r="F1553" s="5" t="n"/>
      <c r="G1553" s="5" t="n"/>
      <c r="H1553" s="5" t="n"/>
      <c r="I1553" s="5" t="n"/>
      <c r="J1553" s="5" t="n"/>
      <c r="K1553" s="5" t="n"/>
      <c r="L1553" s="5" t="n"/>
      <c r="M1553" s="5" t="n"/>
      <c r="N1553" s="5" t="n"/>
      <c r="O1553" s="5" t="n"/>
      <c r="P1553" s="5" t="n"/>
      <c r="Q1553" s="5" t="n"/>
      <c r="R1553" s="5" t="n"/>
      <c r="S1553" s="5" t="n"/>
      <c r="T1553" s="5" t="n"/>
      <c r="U1553" s="5" t="n"/>
      <c r="V1553" s="5" t="n"/>
      <c r="W1553" s="5" t="n"/>
      <c r="X1553" s="5" t="n"/>
      <c r="Y1553" s="5" t="n"/>
      <c r="Z1553" s="5" t="n"/>
      <c r="AA1553" s="5" t="n"/>
      <c r="AB1553" s="5" t="n"/>
    </row>
    <row r="1554" ht="15.75" customHeight="1" s="79">
      <c r="A1554" s="5" t="n"/>
      <c r="B1554" s="5" t="n"/>
      <c r="C1554" s="5" t="n"/>
      <c r="D1554" s="5" t="n"/>
      <c r="E1554" s="5" t="n"/>
      <c r="F1554" s="5" t="n"/>
      <c r="G1554" s="5" t="n"/>
      <c r="H1554" s="5" t="n"/>
      <c r="I1554" s="5" t="n"/>
      <c r="J1554" s="5" t="n"/>
      <c r="K1554" s="5" t="n"/>
      <c r="L1554" s="5" t="n"/>
      <c r="M1554" s="5" t="n"/>
      <c r="N1554" s="5" t="n"/>
      <c r="O1554" s="5" t="n"/>
      <c r="P1554" s="5" t="n"/>
      <c r="Q1554" s="5" t="n"/>
      <c r="R1554" s="5" t="n"/>
      <c r="S1554" s="5" t="n"/>
      <c r="T1554" s="5" t="n"/>
      <c r="U1554" s="5" t="n"/>
      <c r="V1554" s="5" t="n"/>
      <c r="W1554" s="5" t="n"/>
      <c r="X1554" s="5" t="n"/>
      <c r="Y1554" s="5" t="n"/>
      <c r="Z1554" s="5" t="n"/>
      <c r="AA1554" s="5" t="n"/>
      <c r="AB1554" s="5" t="n"/>
    </row>
    <row r="1555" ht="15.75" customHeight="1" s="79">
      <c r="A1555" s="5" t="n"/>
      <c r="B1555" s="5" t="n"/>
      <c r="C1555" s="5" t="n"/>
      <c r="D1555" s="5" t="n"/>
      <c r="E1555" s="5" t="n"/>
      <c r="F1555" s="5" t="n"/>
      <c r="G1555" s="5" t="n"/>
      <c r="H1555" s="5" t="n"/>
      <c r="I1555" s="5" t="n"/>
      <c r="J1555" s="5" t="n"/>
      <c r="K1555" s="5" t="n"/>
      <c r="L1555" s="5" t="n"/>
      <c r="M1555" s="5" t="n"/>
      <c r="N1555" s="5" t="n"/>
      <c r="O1555" s="5" t="n"/>
      <c r="P1555" s="5" t="n"/>
      <c r="Q1555" s="5" t="n"/>
      <c r="R1555" s="5" t="n"/>
      <c r="S1555" s="5" t="n"/>
      <c r="T1555" s="5" t="n"/>
      <c r="U1555" s="5" t="n"/>
      <c r="V1555" s="5" t="n"/>
      <c r="W1555" s="5" t="n"/>
      <c r="X1555" s="5" t="n"/>
      <c r="Y1555" s="5" t="n"/>
      <c r="Z1555" s="5" t="n"/>
      <c r="AA1555" s="5" t="n"/>
      <c r="AB1555" s="5" t="n"/>
    </row>
    <row r="1556" ht="15.75" customHeight="1" s="79">
      <c r="A1556" s="5" t="n"/>
      <c r="B1556" s="5" t="n"/>
      <c r="C1556" s="5" t="n"/>
      <c r="D1556" s="5" t="n"/>
      <c r="E1556" s="5" t="n"/>
      <c r="F1556" s="5" t="n"/>
      <c r="G1556" s="5" t="n"/>
      <c r="H1556" s="5" t="n"/>
      <c r="I1556" s="5" t="n"/>
      <c r="J1556" s="5" t="n"/>
      <c r="K1556" s="5" t="n"/>
      <c r="L1556" s="5" t="n"/>
      <c r="M1556" s="5" t="n"/>
      <c r="N1556" s="5" t="n"/>
      <c r="O1556" s="5" t="n"/>
      <c r="P1556" s="5" t="n"/>
      <c r="Q1556" s="5" t="n"/>
      <c r="R1556" s="5" t="n"/>
      <c r="S1556" s="5" t="n"/>
      <c r="T1556" s="5" t="n"/>
      <c r="U1556" s="5" t="n"/>
      <c r="V1556" s="5" t="n"/>
      <c r="W1556" s="5" t="n"/>
      <c r="X1556" s="5" t="n"/>
      <c r="Y1556" s="5" t="n"/>
      <c r="Z1556" s="5" t="n"/>
      <c r="AA1556" s="5" t="n"/>
      <c r="AB1556" s="5" t="n"/>
    </row>
    <row r="1557" ht="15.75" customHeight="1" s="79">
      <c r="A1557" s="5" t="n"/>
      <c r="B1557" s="5" t="n"/>
      <c r="C1557" s="5" t="n"/>
      <c r="D1557" s="5" t="n"/>
      <c r="E1557" s="5" t="n"/>
      <c r="F1557" s="5" t="n"/>
      <c r="G1557" s="5" t="n"/>
      <c r="H1557" s="5" t="n"/>
      <c r="I1557" s="5" t="n"/>
      <c r="J1557" s="5" t="n"/>
      <c r="K1557" s="5" t="n"/>
      <c r="L1557" s="5" t="n"/>
      <c r="M1557" s="5" t="n"/>
      <c r="N1557" s="5" t="n"/>
      <c r="O1557" s="5" t="n"/>
      <c r="P1557" s="5" t="n"/>
      <c r="Q1557" s="5" t="n"/>
      <c r="R1557" s="5" t="n"/>
      <c r="S1557" s="5" t="n"/>
      <c r="T1557" s="5" t="n"/>
      <c r="U1557" s="5" t="n"/>
      <c r="V1557" s="5" t="n"/>
      <c r="W1557" s="5" t="n"/>
      <c r="X1557" s="5" t="n"/>
      <c r="Y1557" s="5" t="n"/>
      <c r="Z1557" s="5" t="n"/>
      <c r="AA1557" s="5" t="n"/>
      <c r="AB1557" s="5" t="n"/>
    </row>
    <row r="1558" ht="15.75" customHeight="1" s="79">
      <c r="A1558" s="5" t="n"/>
      <c r="B1558" s="5" t="n"/>
      <c r="C1558" s="5" t="n"/>
      <c r="D1558" s="5" t="n"/>
      <c r="E1558" s="5" t="n"/>
      <c r="F1558" s="5" t="n"/>
      <c r="G1558" s="5" t="n"/>
      <c r="H1558" s="5" t="n"/>
      <c r="I1558" s="5" t="n"/>
      <c r="J1558" s="5" t="n"/>
      <c r="K1558" s="5" t="n"/>
      <c r="L1558" s="5" t="n"/>
      <c r="M1558" s="5" t="n"/>
      <c r="N1558" s="5" t="n"/>
      <c r="O1558" s="5" t="n"/>
      <c r="P1558" s="5" t="n"/>
      <c r="Q1558" s="5" t="n"/>
      <c r="R1558" s="5" t="n"/>
      <c r="S1558" s="5" t="n"/>
      <c r="T1558" s="5" t="n"/>
      <c r="U1558" s="5" t="n"/>
      <c r="V1558" s="5" t="n"/>
      <c r="W1558" s="5" t="n"/>
      <c r="X1558" s="5" t="n"/>
      <c r="Y1558" s="5" t="n"/>
      <c r="Z1558" s="5" t="n"/>
      <c r="AA1558" s="5" t="n"/>
      <c r="AB1558" s="5" t="n"/>
    </row>
    <row r="1559" ht="15.75" customHeight="1" s="79">
      <c r="A1559" s="5" t="n"/>
      <c r="B1559" s="5" t="n"/>
      <c r="C1559" s="5" t="n"/>
      <c r="D1559" s="5" t="n"/>
      <c r="E1559" s="5" t="n"/>
      <c r="F1559" s="5" t="n"/>
      <c r="G1559" s="5" t="n"/>
      <c r="H1559" s="5" t="n"/>
      <c r="I1559" s="5" t="n"/>
      <c r="J1559" s="5" t="n"/>
      <c r="K1559" s="5" t="n"/>
      <c r="L1559" s="5" t="n"/>
      <c r="M1559" s="5" t="n"/>
      <c r="N1559" s="5" t="n"/>
      <c r="O1559" s="5" t="n"/>
      <c r="P1559" s="5" t="n"/>
      <c r="Q1559" s="5" t="n"/>
      <c r="R1559" s="5" t="n"/>
      <c r="S1559" s="5" t="n"/>
      <c r="T1559" s="5" t="n"/>
      <c r="U1559" s="5" t="n"/>
      <c r="V1559" s="5" t="n"/>
      <c r="W1559" s="5" t="n"/>
      <c r="X1559" s="5" t="n"/>
      <c r="Y1559" s="5" t="n"/>
      <c r="Z1559" s="5" t="n"/>
      <c r="AA1559" s="5" t="n"/>
      <c r="AB1559" s="5" t="n"/>
    </row>
    <row r="1560" ht="15.75" customHeight="1" s="79">
      <c r="A1560" s="5" t="n"/>
      <c r="B1560" s="5" t="n"/>
      <c r="C1560" s="5" t="n"/>
      <c r="D1560" s="5" t="n"/>
      <c r="E1560" s="5" t="n"/>
      <c r="F1560" s="5" t="n"/>
      <c r="G1560" s="5" t="n"/>
      <c r="H1560" s="5" t="n"/>
      <c r="I1560" s="5" t="n"/>
      <c r="J1560" s="5" t="n"/>
      <c r="K1560" s="5" t="n"/>
      <c r="L1560" s="5" t="n"/>
      <c r="M1560" s="5" t="n"/>
      <c r="N1560" s="5" t="n"/>
      <c r="O1560" s="5" t="n"/>
      <c r="P1560" s="5" t="n"/>
      <c r="Q1560" s="5" t="n"/>
      <c r="R1560" s="5" t="n"/>
      <c r="S1560" s="5" t="n"/>
      <c r="T1560" s="5" t="n"/>
      <c r="U1560" s="5" t="n"/>
      <c r="V1560" s="5" t="n"/>
      <c r="W1560" s="5" t="n"/>
      <c r="X1560" s="5" t="n"/>
      <c r="Y1560" s="5" t="n"/>
      <c r="Z1560" s="5" t="n"/>
      <c r="AA1560" s="5" t="n"/>
      <c r="AB1560" s="5" t="n"/>
    </row>
    <row r="1561" ht="15.75" customHeight="1" s="79">
      <c r="A1561" s="5" t="n"/>
      <c r="B1561" s="5" t="n"/>
      <c r="C1561" s="5" t="n"/>
      <c r="D1561" s="5" t="n"/>
      <c r="E1561" s="5" t="n"/>
      <c r="F1561" s="5" t="n"/>
      <c r="G1561" s="5" t="n"/>
      <c r="H1561" s="5" t="n"/>
      <c r="I1561" s="5" t="n"/>
      <c r="J1561" s="5" t="n"/>
      <c r="K1561" s="5" t="n"/>
      <c r="L1561" s="5" t="n"/>
      <c r="M1561" s="5" t="n"/>
      <c r="N1561" s="5" t="n"/>
      <c r="O1561" s="5" t="n"/>
      <c r="P1561" s="5" t="n"/>
      <c r="Q1561" s="5" t="n"/>
      <c r="R1561" s="5" t="n"/>
      <c r="S1561" s="5" t="n"/>
      <c r="T1561" s="5" t="n"/>
      <c r="U1561" s="5" t="n"/>
      <c r="V1561" s="5" t="n"/>
      <c r="W1561" s="5" t="n"/>
      <c r="X1561" s="5" t="n"/>
      <c r="Y1561" s="5" t="n"/>
      <c r="Z1561" s="5" t="n"/>
      <c r="AA1561" s="5" t="n"/>
      <c r="AB1561" s="5" t="n"/>
    </row>
    <row r="1562" ht="15.75" customHeight="1" s="79">
      <c r="A1562" s="5" t="n"/>
      <c r="B1562" s="5" t="n"/>
      <c r="C1562" s="5" t="n"/>
      <c r="D1562" s="5" t="n"/>
      <c r="E1562" s="5" t="n"/>
      <c r="F1562" s="5" t="n"/>
      <c r="G1562" s="5" t="n"/>
      <c r="H1562" s="5" t="n"/>
      <c r="I1562" s="5" t="n"/>
      <c r="J1562" s="5" t="n"/>
      <c r="K1562" s="5" t="n"/>
      <c r="L1562" s="5" t="n"/>
      <c r="M1562" s="5" t="n"/>
      <c r="N1562" s="5" t="n"/>
      <c r="O1562" s="5" t="n"/>
      <c r="P1562" s="5" t="n"/>
      <c r="Q1562" s="5" t="n"/>
      <c r="R1562" s="5" t="n"/>
      <c r="S1562" s="5" t="n"/>
      <c r="T1562" s="5" t="n"/>
      <c r="U1562" s="5" t="n"/>
      <c r="V1562" s="5" t="n"/>
      <c r="W1562" s="5" t="n"/>
      <c r="X1562" s="5" t="n"/>
      <c r="Y1562" s="5" t="n"/>
      <c r="Z1562" s="5" t="n"/>
      <c r="AA1562" s="5" t="n"/>
      <c r="AB1562" s="5" t="n"/>
    </row>
    <row r="1563" ht="15.75" customHeight="1" s="79">
      <c r="A1563" s="5" t="n"/>
      <c r="B1563" s="5" t="n"/>
      <c r="C1563" s="5" t="n"/>
      <c r="D1563" s="5" t="n"/>
      <c r="E1563" s="5" t="n"/>
      <c r="F1563" s="5" t="n"/>
      <c r="G1563" s="5" t="n"/>
      <c r="H1563" s="5" t="n"/>
      <c r="I1563" s="5" t="n"/>
      <c r="J1563" s="5" t="n"/>
      <c r="K1563" s="5" t="n"/>
      <c r="L1563" s="5" t="n"/>
      <c r="M1563" s="5" t="n"/>
      <c r="N1563" s="5" t="n"/>
      <c r="O1563" s="5" t="n"/>
      <c r="P1563" s="5" t="n"/>
      <c r="Q1563" s="5" t="n"/>
      <c r="R1563" s="5" t="n"/>
      <c r="S1563" s="5" t="n"/>
      <c r="T1563" s="5" t="n"/>
      <c r="U1563" s="5" t="n"/>
      <c r="V1563" s="5" t="n"/>
      <c r="W1563" s="5" t="n"/>
      <c r="X1563" s="5" t="n"/>
      <c r="Y1563" s="5" t="n"/>
      <c r="Z1563" s="5" t="n"/>
      <c r="AA1563" s="5" t="n"/>
      <c r="AB1563" s="5" t="n"/>
    </row>
    <row r="1564" ht="15.75" customHeight="1" s="79">
      <c r="A1564" s="5" t="n"/>
      <c r="B1564" s="5" t="n"/>
      <c r="C1564" s="5" t="n"/>
      <c r="D1564" s="5" t="n"/>
      <c r="E1564" s="5" t="n"/>
      <c r="F1564" s="5" t="n"/>
      <c r="G1564" s="5" t="n"/>
      <c r="H1564" s="5" t="n"/>
      <c r="I1564" s="5" t="n"/>
      <c r="J1564" s="5" t="n"/>
      <c r="K1564" s="5" t="n"/>
      <c r="L1564" s="5" t="n"/>
      <c r="M1564" s="5" t="n"/>
      <c r="N1564" s="5" t="n"/>
      <c r="O1564" s="5" t="n"/>
      <c r="P1564" s="5" t="n"/>
      <c r="Q1564" s="5" t="n"/>
      <c r="R1564" s="5" t="n"/>
      <c r="S1564" s="5" t="n"/>
      <c r="T1564" s="5" t="n"/>
      <c r="U1564" s="5" t="n"/>
      <c r="V1564" s="5" t="n"/>
      <c r="W1564" s="5" t="n"/>
      <c r="X1564" s="5" t="n"/>
      <c r="Y1564" s="5" t="n"/>
      <c r="Z1564" s="5" t="n"/>
      <c r="AA1564" s="5" t="n"/>
      <c r="AB1564" s="5" t="n"/>
    </row>
    <row r="1565" ht="30" customHeight="1" s="79">
      <c r="A1565" s="34" t="inlineStr">
        <is>
          <t>Segment</t>
        </is>
      </c>
      <c r="B1565" s="34" t="inlineStr">
        <is>
          <t>Funded $</t>
        </is>
      </c>
      <c r="C1565" s="34" t="inlineStr">
        <is>
          <t>Collected $</t>
        </is>
      </c>
      <c r="D1565" s="34" t="inlineStr">
        <is>
          <t>Net profit / loss $</t>
        </is>
      </c>
      <c r="E1565" s="34" t="inlineStr">
        <is>
          <t>Commission $</t>
        </is>
      </c>
      <c r="F1565" s="34" t="inlineStr">
        <is>
          <t>Principal lost $</t>
        </is>
      </c>
      <c r="G1565" s="34" t="inlineStr">
        <is>
          <t>Principal default exposure</t>
        </is>
      </c>
      <c r="H1565" s="34" t="inlineStr">
        <is>
          <t>Recovery rate</t>
        </is>
      </c>
      <c r="I1565" s="34" t="inlineStr">
        <is>
          <t>Return on funded capital (%)</t>
        </is>
      </c>
      <c r="J1565" s="34" t="inlineStr">
        <is>
          <t>Deals</t>
        </is>
      </c>
      <c r="K1565" s="34" t="inlineStr">
        <is>
          <t>Share of funded dollars</t>
        </is>
      </c>
      <c r="L1565" s="34" t="inlineStr">
        <is>
          <t>Avg deal size</t>
        </is>
      </c>
      <c r="M1565" s="34" t="inlineStr">
        <is>
          <t>Avg expected term (business days)</t>
        </is>
      </c>
      <c r="N1565" s="34" t="inlineStr">
        <is>
          <t>Avg expected term (payments)</t>
        </is>
      </c>
      <c r="O1565" s="34" t="inlineStr">
        <is>
          <t>Avg days on book, defaulted</t>
        </is>
      </c>
      <c r="P1565" s="34" t="inlineStr">
        <is>
          <t>Avg days to close</t>
        </is>
      </c>
      <c r="Q1565" s="34" t="inlineStr">
        <is>
          <t>% of deals that were renewals</t>
        </is>
      </c>
      <c r="R1565" s="34" t="inlineStr">
        <is>
          <t>% of funded dollars from renewals</t>
        </is>
      </c>
      <c r="S1565" s="34" t="inlineStr">
        <is>
          <t>Book default exposure</t>
        </is>
      </c>
      <c r="T1565" s="34" t="inlineStr">
        <is>
          <t>Book recovery</t>
        </is>
      </c>
      <c r="U1565" s="34" t="inlineStr">
        <is>
          <t>Book return on funded capital</t>
        </is>
      </c>
      <c r="V1565" s="34" t="inlineStr">
        <is>
          <t>Default rate (#)</t>
        </is>
      </c>
      <c r="W1565" s="5" t="n"/>
      <c r="X1565" s="5" t="n"/>
      <c r="Y1565" s="5" t="n"/>
      <c r="Z1565" s="5" t="n"/>
      <c r="AA1565" s="5" t="n"/>
      <c r="AB1565" s="5" t="n"/>
    </row>
    <row r="1566" ht="15.75" customHeight="1" s="79">
      <c r="A1566" s="5">
        <f>IFERROR(Calc!$A$228,"")</f>
        <v/>
      </c>
      <c r="B1566" s="20">
        <f>IFERROR(Calc!B228,"")</f>
        <v/>
      </c>
      <c r="C1566" s="20">
        <f>IFERROR(Calc!C228,"")</f>
        <v/>
      </c>
      <c r="D1566" s="20">
        <f>IFERROR(Calc!D228,"")</f>
        <v/>
      </c>
      <c r="E1566" s="20">
        <f>IFERROR(Calc!E228,"")</f>
        <v/>
      </c>
      <c r="F1566" s="20">
        <f>IFERROR(Calc!F228,"")</f>
        <v/>
      </c>
      <c r="G1566" s="21">
        <f>IFERROR(Calc!G228,"")</f>
        <v/>
      </c>
      <c r="H1566" s="21">
        <f>IFERROR(Calc!H228,"")</f>
        <v/>
      </c>
      <c r="I1566" s="21">
        <f>IFERROR(Calc!I228,"")</f>
        <v/>
      </c>
      <c r="J1566" s="17">
        <f>IFERROR(Calc!J228,"")</f>
        <v/>
      </c>
      <c r="K1566" s="21">
        <f>IFERROR(Calc!K228,"")</f>
        <v/>
      </c>
      <c r="L1566" s="20">
        <f>IFERROR(Calc!L228,"")</f>
        <v/>
      </c>
      <c r="M1566" s="17">
        <f>IFERROR(Calc!M228,"")</f>
        <v/>
      </c>
      <c r="N1566" s="17">
        <f>IFERROR(Calc!N228,"")</f>
        <v/>
      </c>
      <c r="O1566" s="17">
        <f>IFERROR(Calc!O228,"")</f>
        <v/>
      </c>
      <c r="P1566" s="17">
        <f>IFERROR(Calc!P228,"")</f>
        <v/>
      </c>
      <c r="Q1566" s="21">
        <f>IFERROR(Calc!Q228,"")</f>
        <v/>
      </c>
      <c r="R1566" s="21">
        <f>IFERROR(Calc!R228,"")</f>
        <v/>
      </c>
      <c r="S1566" s="21">
        <f>IFERROR(Calc!S228,"")</f>
        <v/>
      </c>
      <c r="T1566" s="21">
        <f>IFERROR(Calc!T228,"")</f>
        <v/>
      </c>
      <c r="U1566" s="21">
        <f>IFERROR(Calc!U228,"")</f>
        <v/>
      </c>
      <c r="V1566" s="21">
        <f>IFERROR(Calc!V228,"")</f>
        <v/>
      </c>
      <c r="W1566" s="5" t="n"/>
      <c r="X1566" s="5" t="n"/>
      <c r="Y1566" s="5" t="n"/>
      <c r="Z1566" s="5" t="n"/>
      <c r="AA1566" s="5" t="n"/>
      <c r="AB1566" s="5" t="n"/>
    </row>
    <row r="1567" ht="15.75" customHeight="1" s="79">
      <c r="A1567" s="5">
        <f>IFERROR(Calc!$A$229,"")</f>
        <v/>
      </c>
      <c r="B1567" s="20">
        <f>IFERROR(Calc!B229,"")</f>
        <v/>
      </c>
      <c r="C1567" s="20">
        <f>IFERROR(Calc!C229,"")</f>
        <v/>
      </c>
      <c r="D1567" s="20">
        <f>IFERROR(Calc!D229,"")</f>
        <v/>
      </c>
      <c r="E1567" s="20">
        <f>IFERROR(Calc!E229,"")</f>
        <v/>
      </c>
      <c r="F1567" s="20">
        <f>IFERROR(Calc!F229,"")</f>
        <v/>
      </c>
      <c r="G1567" s="21">
        <f>IFERROR(Calc!G229,"")</f>
        <v/>
      </c>
      <c r="H1567" s="21">
        <f>IFERROR(Calc!H229,"")</f>
        <v/>
      </c>
      <c r="I1567" s="21">
        <f>IFERROR(Calc!I229,"")</f>
        <v/>
      </c>
      <c r="J1567" s="17">
        <f>IFERROR(Calc!J229,"")</f>
        <v/>
      </c>
      <c r="K1567" s="21">
        <f>IFERROR(Calc!K229,"")</f>
        <v/>
      </c>
      <c r="L1567" s="20">
        <f>IFERROR(Calc!L229,"")</f>
        <v/>
      </c>
      <c r="M1567" s="17">
        <f>IFERROR(Calc!M229,"")</f>
        <v/>
      </c>
      <c r="N1567" s="17">
        <f>IFERROR(Calc!N229,"")</f>
        <v/>
      </c>
      <c r="O1567" s="17">
        <f>IFERROR(Calc!O229,"")</f>
        <v/>
      </c>
      <c r="P1567" s="17">
        <f>IFERROR(Calc!P229,"")</f>
        <v/>
      </c>
      <c r="Q1567" s="21">
        <f>IFERROR(Calc!Q229,"")</f>
        <v/>
      </c>
      <c r="R1567" s="21">
        <f>IFERROR(Calc!R229,"")</f>
        <v/>
      </c>
      <c r="S1567" s="21">
        <f>IFERROR(Calc!S229,"")</f>
        <v/>
      </c>
      <c r="T1567" s="21">
        <f>IFERROR(Calc!T229,"")</f>
        <v/>
      </c>
      <c r="U1567" s="21">
        <f>IFERROR(Calc!U229,"")</f>
        <v/>
      </c>
      <c r="V1567" s="21">
        <f>IFERROR(Calc!V229,"")</f>
        <v/>
      </c>
      <c r="W1567" s="5" t="n"/>
      <c r="X1567" s="5" t="n"/>
      <c r="Y1567" s="5" t="n"/>
      <c r="Z1567" s="5" t="n"/>
      <c r="AA1567" s="5" t="n"/>
      <c r="AB1567" s="5" t="n"/>
    </row>
    <row r="1568" ht="15.75" customHeight="1" s="79">
      <c r="A1568" s="5" t="n"/>
      <c r="B1568" s="5" t="n"/>
      <c r="C1568" s="5" t="n"/>
      <c r="D1568" s="5" t="n"/>
      <c r="E1568" s="5" t="n"/>
      <c r="F1568" s="5" t="n"/>
      <c r="G1568" s="5" t="n"/>
      <c r="H1568" s="5" t="n"/>
      <c r="I1568" s="5" t="n"/>
      <c r="J1568" s="5" t="n"/>
      <c r="K1568" s="5" t="n"/>
      <c r="L1568" s="5" t="n"/>
      <c r="M1568" s="5" t="n"/>
      <c r="N1568" s="5" t="n"/>
      <c r="O1568" s="5" t="n"/>
      <c r="P1568" s="5" t="n"/>
      <c r="Q1568" s="5" t="n"/>
      <c r="R1568" s="5" t="n"/>
      <c r="S1568" s="5" t="n"/>
      <c r="T1568" s="5" t="n"/>
      <c r="U1568" s="5" t="n"/>
      <c r="V1568" s="5" t="n"/>
      <c r="W1568" s="5" t="n"/>
      <c r="X1568" s="5" t="n"/>
      <c r="Y1568" s="5" t="n"/>
      <c r="Z1568" s="5" t="n"/>
      <c r="AA1568" s="5" t="n"/>
      <c r="AB1568" s="5" t="n"/>
    </row>
    <row r="1569" ht="15.75" customHeight="1" s="79">
      <c r="A1569" s="5" t="n"/>
      <c r="B1569" s="5" t="n"/>
      <c r="C1569" s="5" t="n"/>
      <c r="D1569" s="5" t="n"/>
      <c r="E1569" s="5" t="n"/>
      <c r="F1569" s="5" t="n"/>
      <c r="G1569" s="5" t="n"/>
      <c r="H1569" s="5" t="n"/>
      <c r="I1569" s="5" t="n"/>
      <c r="J1569" s="5" t="n"/>
      <c r="K1569" s="5" t="n"/>
      <c r="L1569" s="5" t="n"/>
      <c r="M1569" s="5" t="n"/>
      <c r="N1569" s="5" t="n"/>
      <c r="O1569" s="5" t="n"/>
      <c r="P1569" s="5" t="n"/>
      <c r="Q1569" s="5" t="n"/>
      <c r="R1569" s="5" t="n"/>
      <c r="S1569" s="5" t="n"/>
      <c r="T1569" s="5" t="n"/>
      <c r="U1569" s="5" t="n"/>
      <c r="V1569" s="5" t="n"/>
      <c r="W1569" s="5" t="n"/>
      <c r="X1569" s="5" t="n"/>
      <c r="Y1569" s="5" t="n"/>
      <c r="Z1569" s="5" t="n"/>
      <c r="AA1569" s="5" t="n"/>
      <c r="AB1569" s="5" t="n"/>
    </row>
    <row r="1570" ht="15.75" customHeight="1" s="79">
      <c r="A1570" s="5" t="n"/>
      <c r="B1570" s="5" t="n"/>
      <c r="C1570" s="5" t="n"/>
      <c r="D1570" s="5" t="n"/>
      <c r="E1570" s="5" t="n"/>
      <c r="F1570" s="5" t="n"/>
      <c r="G1570" s="5" t="n"/>
      <c r="H1570" s="5" t="n"/>
      <c r="I1570" s="5" t="n"/>
      <c r="J1570" s="5" t="n"/>
      <c r="K1570" s="5" t="n"/>
      <c r="L1570" s="5" t="n"/>
      <c r="M1570" s="5" t="n"/>
      <c r="N1570" s="5" t="n"/>
      <c r="O1570" s="5" t="n"/>
      <c r="P1570" s="5" t="n"/>
      <c r="Q1570" s="5" t="n"/>
      <c r="R1570" s="5" t="n"/>
      <c r="S1570" s="5" t="n"/>
      <c r="T1570" s="5" t="n"/>
      <c r="U1570" s="5" t="n"/>
      <c r="V1570" s="5" t="n"/>
      <c r="W1570" s="5" t="n"/>
      <c r="X1570" s="5" t="n"/>
      <c r="Y1570" s="5" t="n"/>
      <c r="Z1570" s="5" t="n"/>
      <c r="AA1570" s="5" t="n"/>
      <c r="AB1570" s="5" t="n"/>
    </row>
    <row r="1571" ht="15.75" customHeight="1" s="79">
      <c r="A1571" s="43" t="inlineStr">
        <is>
          <t>STATUS</t>
        </is>
      </c>
      <c r="B1571" s="5" t="n"/>
      <c r="C1571" s="5" t="n"/>
      <c r="D1571" s="5" t="n"/>
      <c r="E1571" s="5" t="n"/>
      <c r="F1571" s="5" t="n"/>
      <c r="G1571" s="5" t="n"/>
      <c r="H1571" s="5" t="n"/>
      <c r="I1571" s="5" t="n"/>
      <c r="J1571" s="5" t="n"/>
      <c r="K1571" s="5" t="n"/>
      <c r="L1571" s="5" t="n"/>
      <c r="M1571" s="5" t="n"/>
      <c r="N1571" s="5" t="n"/>
      <c r="O1571" s="5" t="n"/>
      <c r="P1571" s="5" t="n"/>
      <c r="Q1571" s="5" t="n"/>
      <c r="R1571" s="5" t="n"/>
      <c r="S1571" s="5" t="n"/>
      <c r="T1571" s="5" t="n"/>
      <c r="U1571" s="5" t="n"/>
      <c r="V1571" s="5" t="n"/>
      <c r="W1571" s="5" t="n"/>
      <c r="X1571" s="5" t="n"/>
      <c r="Y1571" s="5" t="n"/>
      <c r="Z1571" s="5" t="n"/>
      <c r="AA1571" s="5" t="n"/>
      <c r="AB1571" s="5" t="n"/>
    </row>
    <row r="1572" ht="66" customHeight="1" s="79">
      <c r="A1572" s="72" t="n"/>
      <c r="T1572" s="72" t="n"/>
      <c r="U1572" s="72" t="n"/>
      <c r="V1572" s="72" t="n"/>
      <c r="W1572" s="72" t="n"/>
      <c r="X1572" s="72" t="n"/>
      <c r="Y1572" s="72" t="n"/>
      <c r="Z1572" s="72" t="n"/>
      <c r="AA1572" s="72" t="n"/>
      <c r="AB1572" s="5" t="n"/>
    </row>
    <row r="1573" ht="15.75" customHeight="1" s="79">
      <c r="A1573" s="5" t="n"/>
      <c r="B1573" s="5" t="n"/>
      <c r="C1573" s="5" t="n"/>
      <c r="D1573" s="5" t="n"/>
      <c r="E1573" s="5" t="n"/>
      <c r="F1573" s="5" t="n"/>
      <c r="G1573" s="5" t="n"/>
      <c r="H1573" s="5" t="n"/>
      <c r="I1573" s="5" t="n"/>
      <c r="J1573" s="5" t="n"/>
      <c r="K1573" s="5" t="n"/>
      <c r="L1573" s="5" t="n"/>
      <c r="M1573" s="5" t="n"/>
      <c r="N1573" s="5" t="n"/>
      <c r="O1573" s="5" t="n"/>
      <c r="P1573" s="5" t="n"/>
      <c r="Q1573" s="5" t="n"/>
      <c r="R1573" s="5" t="n"/>
      <c r="S1573" s="5" t="n"/>
      <c r="T1573" s="5" t="n"/>
      <c r="U1573" s="5" t="n"/>
      <c r="V1573" s="5" t="n"/>
      <c r="W1573" s="5" t="n"/>
      <c r="X1573" s="5" t="n"/>
      <c r="Y1573" s="5" t="n"/>
      <c r="Z1573" s="5" t="n"/>
      <c r="AA1573" s="5" t="n"/>
      <c r="AB1573" s="5" t="n"/>
    </row>
    <row r="1574" ht="15.75" customHeight="1" s="79">
      <c r="A1574" s="5" t="n"/>
      <c r="B1574" s="5" t="n"/>
      <c r="C1574" s="5" t="n"/>
      <c r="D1574" s="5" t="n"/>
      <c r="E1574" s="5" t="n"/>
      <c r="F1574" s="5" t="n"/>
      <c r="G1574" s="5" t="n"/>
      <c r="H1574" s="5" t="n"/>
      <c r="I1574" s="5" t="n"/>
      <c r="J1574" s="5" t="n"/>
      <c r="K1574" s="5" t="n"/>
      <c r="L1574" s="5" t="n"/>
      <c r="M1574" s="5" t="n"/>
      <c r="N1574" s="5" t="n"/>
      <c r="O1574" s="5" t="n"/>
      <c r="P1574" s="5" t="n"/>
      <c r="Q1574" s="5" t="n"/>
      <c r="R1574" s="5" t="n"/>
      <c r="S1574" s="5" t="n"/>
      <c r="T1574" s="5" t="n"/>
      <c r="U1574" s="5" t="n"/>
      <c r="V1574" s="5" t="n"/>
      <c r="W1574" s="5" t="n"/>
      <c r="X1574" s="5" t="n"/>
      <c r="Y1574" s="5" t="n"/>
      <c r="Z1574" s="5" t="n"/>
      <c r="AA1574" s="5" t="n"/>
      <c r="AB1574" s="5" t="n"/>
    </row>
    <row r="1575" ht="15.75" customHeight="1" s="79">
      <c r="A1575" s="5" t="n"/>
      <c r="B1575" s="5" t="n"/>
      <c r="C1575" s="5" t="n"/>
      <c r="D1575" s="5" t="n"/>
      <c r="E1575" s="5" t="n"/>
      <c r="F1575" s="5" t="n"/>
      <c r="G1575" s="5" t="n"/>
      <c r="H1575" s="5" t="n"/>
      <c r="I1575" s="5" t="n"/>
      <c r="J1575" s="5" t="n"/>
      <c r="K1575" s="5" t="n"/>
      <c r="L1575" s="5" t="n"/>
      <c r="M1575" s="5" t="n"/>
      <c r="N1575" s="5" t="n"/>
      <c r="O1575" s="5" t="n"/>
      <c r="P1575" s="5" t="n"/>
      <c r="Q1575" s="5" t="n"/>
      <c r="R1575" s="5" t="n"/>
      <c r="S1575" s="5" t="n"/>
      <c r="T1575" s="5" t="n"/>
      <c r="U1575" s="5" t="n"/>
      <c r="V1575" s="5" t="n"/>
      <c r="W1575" s="5" t="n"/>
      <c r="X1575" s="5" t="n"/>
      <c r="Y1575" s="5" t="n"/>
      <c r="Z1575" s="5" t="n"/>
      <c r="AA1575" s="5" t="n"/>
      <c r="AB1575" s="5" t="n"/>
    </row>
    <row r="1576" ht="15.75" customHeight="1" s="79">
      <c r="A1576" s="5" t="n"/>
      <c r="B1576" s="5" t="n"/>
      <c r="C1576" s="5" t="n"/>
      <c r="D1576" s="5" t="n"/>
      <c r="E1576" s="5" t="n"/>
      <c r="F1576" s="5" t="n"/>
      <c r="G1576" s="5" t="n"/>
      <c r="H1576" s="5" t="n"/>
      <c r="I1576" s="5" t="n"/>
      <c r="J1576" s="5" t="n"/>
      <c r="K1576" s="5" t="n"/>
      <c r="L1576" s="5" t="n"/>
      <c r="M1576" s="5" t="n"/>
      <c r="N1576" s="5" t="n"/>
      <c r="O1576" s="5" t="n"/>
      <c r="P1576" s="5" t="n"/>
      <c r="Q1576" s="5" t="n"/>
      <c r="R1576" s="5" t="n"/>
      <c r="S1576" s="5" t="n"/>
      <c r="T1576" s="5" t="n"/>
      <c r="U1576" s="5" t="n"/>
      <c r="V1576" s="5" t="n"/>
      <c r="W1576" s="5" t="n"/>
      <c r="X1576" s="5" t="n"/>
      <c r="Y1576" s="5" t="n"/>
      <c r="Z1576" s="5" t="n"/>
      <c r="AA1576" s="5" t="n"/>
      <c r="AB1576" s="5" t="n"/>
    </row>
    <row r="1577" ht="15.75" customHeight="1" s="79">
      <c r="A1577" s="5" t="n"/>
      <c r="B1577" s="5" t="n"/>
      <c r="C1577" s="5" t="n"/>
      <c r="D1577" s="5" t="n"/>
      <c r="E1577" s="5" t="n"/>
      <c r="F1577" s="5" t="n"/>
      <c r="G1577" s="5" t="n"/>
      <c r="H1577" s="5" t="n"/>
      <c r="I1577" s="5" t="n"/>
      <c r="J1577" s="5" t="n"/>
      <c r="K1577" s="5" t="n"/>
      <c r="L1577" s="5" t="n"/>
      <c r="M1577" s="5" t="n"/>
      <c r="N1577" s="5" t="n"/>
      <c r="O1577" s="5" t="n"/>
      <c r="P1577" s="5" t="n"/>
      <c r="Q1577" s="5" t="n"/>
      <c r="R1577" s="5" t="n"/>
      <c r="S1577" s="5" t="n"/>
      <c r="T1577" s="5" t="n"/>
      <c r="U1577" s="5" t="n"/>
      <c r="V1577" s="5" t="n"/>
      <c r="W1577" s="5" t="n"/>
      <c r="X1577" s="5" t="n"/>
      <c r="Y1577" s="5" t="n"/>
      <c r="Z1577" s="5" t="n"/>
      <c r="AA1577" s="5" t="n"/>
      <c r="AB1577" s="5" t="n"/>
    </row>
    <row r="1578" ht="15.75" customHeight="1" s="79">
      <c r="A1578" s="5" t="n"/>
      <c r="B1578" s="5" t="n"/>
      <c r="C1578" s="5" t="n"/>
      <c r="D1578" s="5" t="n"/>
      <c r="E1578" s="5" t="n"/>
      <c r="F1578" s="5" t="n"/>
      <c r="G1578" s="5" t="n"/>
      <c r="H1578" s="5" t="n"/>
      <c r="I1578" s="5" t="n"/>
      <c r="J1578" s="5" t="n"/>
      <c r="K1578" s="5" t="n"/>
      <c r="L1578" s="5" t="n"/>
      <c r="M1578" s="5" t="n"/>
      <c r="N1578" s="5" t="n"/>
      <c r="O1578" s="5" t="n"/>
      <c r="P1578" s="5" t="n"/>
      <c r="Q1578" s="5" t="n"/>
      <c r="R1578" s="5" t="n"/>
      <c r="S1578" s="5" t="n"/>
      <c r="T1578" s="5" t="n"/>
      <c r="U1578" s="5" t="n"/>
      <c r="V1578" s="5" t="n"/>
      <c r="W1578" s="5" t="n"/>
      <c r="X1578" s="5" t="n"/>
      <c r="Y1578" s="5" t="n"/>
      <c r="Z1578" s="5" t="n"/>
      <c r="AA1578" s="5" t="n"/>
      <c r="AB1578" s="5" t="n"/>
    </row>
    <row r="1579" ht="15.75" customHeight="1" s="79">
      <c r="A1579" s="5" t="n"/>
      <c r="B1579" s="5" t="n"/>
      <c r="C1579" s="5" t="n"/>
      <c r="D1579" s="5" t="n"/>
      <c r="E1579" s="5" t="n"/>
      <c r="F1579" s="5" t="n"/>
      <c r="G1579" s="5" t="n"/>
      <c r="H1579" s="5" t="n"/>
      <c r="I1579" s="5" t="n"/>
      <c r="J1579" s="5" t="n"/>
      <c r="K1579" s="5" t="n"/>
      <c r="L1579" s="5" t="n"/>
      <c r="M1579" s="5" t="n"/>
      <c r="N1579" s="5" t="n"/>
      <c r="O1579" s="5" t="n"/>
      <c r="P1579" s="5" t="n"/>
      <c r="Q1579" s="5" t="n"/>
      <c r="R1579" s="5" t="n"/>
      <c r="S1579" s="5" t="n"/>
      <c r="T1579" s="5" t="n"/>
      <c r="U1579" s="5" t="n"/>
      <c r="V1579" s="5" t="n"/>
      <c r="W1579" s="5" t="n"/>
      <c r="X1579" s="5" t="n"/>
      <c r="Y1579" s="5" t="n"/>
      <c r="Z1579" s="5" t="n"/>
      <c r="AA1579" s="5" t="n"/>
      <c r="AB1579" s="5" t="n"/>
    </row>
    <row r="1580" ht="15.75" customHeight="1" s="79">
      <c r="A1580" s="5" t="n"/>
      <c r="B1580" s="5" t="n"/>
      <c r="C1580" s="5" t="n"/>
      <c r="D1580" s="5" t="n"/>
      <c r="E1580" s="5" t="n"/>
      <c r="F1580" s="5" t="n"/>
      <c r="G1580" s="5" t="n"/>
      <c r="H1580" s="5" t="n"/>
      <c r="I1580" s="5" t="n"/>
      <c r="J1580" s="5" t="n"/>
      <c r="K1580" s="5" t="n"/>
      <c r="L1580" s="5" t="n"/>
      <c r="M1580" s="5" t="n"/>
      <c r="N1580" s="5" t="n"/>
      <c r="O1580" s="5" t="n"/>
      <c r="P1580" s="5" t="n"/>
      <c r="Q1580" s="5" t="n"/>
      <c r="R1580" s="5" t="n"/>
      <c r="S1580" s="5" t="n"/>
      <c r="T1580" s="5" t="n"/>
      <c r="U1580" s="5" t="n"/>
      <c r="V1580" s="5" t="n"/>
      <c r="W1580" s="5" t="n"/>
      <c r="X1580" s="5" t="n"/>
      <c r="Y1580" s="5" t="n"/>
      <c r="Z1580" s="5" t="n"/>
      <c r="AA1580" s="5" t="n"/>
      <c r="AB1580" s="5" t="n"/>
    </row>
    <row r="1581" ht="15.75" customHeight="1" s="79">
      <c r="A1581" s="5" t="n"/>
      <c r="B1581" s="5" t="n"/>
      <c r="C1581" s="5" t="n"/>
      <c r="D1581" s="5" t="n"/>
      <c r="E1581" s="5" t="n"/>
      <c r="F1581" s="5" t="n"/>
      <c r="G1581" s="5" t="n"/>
      <c r="H1581" s="5" t="n"/>
      <c r="I1581" s="5" t="n"/>
      <c r="J1581" s="5" t="n"/>
      <c r="K1581" s="5" t="n"/>
      <c r="L1581" s="5" t="n"/>
      <c r="M1581" s="5" t="n"/>
      <c r="N1581" s="5" t="n"/>
      <c r="O1581" s="5" t="n"/>
      <c r="P1581" s="5" t="n"/>
      <c r="Q1581" s="5" t="n"/>
      <c r="R1581" s="5" t="n"/>
      <c r="S1581" s="5" t="n"/>
      <c r="T1581" s="5" t="n"/>
      <c r="U1581" s="5" t="n"/>
      <c r="V1581" s="5" t="n"/>
      <c r="W1581" s="5" t="n"/>
      <c r="X1581" s="5" t="n"/>
      <c r="Y1581" s="5" t="n"/>
      <c r="Z1581" s="5" t="n"/>
      <c r="AA1581" s="5" t="n"/>
      <c r="AB1581" s="5" t="n"/>
    </row>
    <row r="1582" ht="15.75" customHeight="1" s="79">
      <c r="A1582" s="5" t="n"/>
      <c r="B1582" s="5" t="n"/>
      <c r="C1582" s="5" t="n"/>
      <c r="D1582" s="5" t="n"/>
      <c r="E1582" s="5" t="n"/>
      <c r="F1582" s="5" t="n"/>
      <c r="G1582" s="5" t="n"/>
      <c r="H1582" s="5" t="n"/>
      <c r="I1582" s="5" t="n"/>
      <c r="J1582" s="5" t="n"/>
      <c r="K1582" s="5" t="n"/>
      <c r="L1582" s="5" t="n"/>
      <c r="M1582" s="5" t="n"/>
      <c r="N1582" s="5" t="n"/>
      <c r="O1582" s="5" t="n"/>
      <c r="P1582" s="5" t="n"/>
      <c r="Q1582" s="5" t="n"/>
      <c r="R1582" s="5" t="n"/>
      <c r="S1582" s="5" t="n"/>
      <c r="T1582" s="5" t="n"/>
      <c r="U1582" s="5" t="n"/>
      <c r="V1582" s="5" t="n"/>
      <c r="W1582" s="5" t="n"/>
      <c r="X1582" s="5" t="n"/>
      <c r="Y1582" s="5" t="n"/>
      <c r="Z1582" s="5" t="n"/>
      <c r="AA1582" s="5" t="n"/>
      <c r="AB1582" s="5" t="n"/>
    </row>
    <row r="1583" ht="15.75" customHeight="1" s="79">
      <c r="A1583" s="5" t="n"/>
      <c r="B1583" s="5" t="n"/>
      <c r="C1583" s="5" t="n"/>
      <c r="D1583" s="5" t="n"/>
      <c r="E1583" s="5" t="n"/>
      <c r="F1583" s="5" t="n"/>
      <c r="G1583" s="5" t="n"/>
      <c r="H1583" s="5" t="n"/>
      <c r="I1583" s="5" t="n"/>
      <c r="J1583" s="5" t="n"/>
      <c r="K1583" s="5" t="n"/>
      <c r="L1583" s="5" t="n"/>
      <c r="M1583" s="5" t="n"/>
      <c r="N1583" s="5" t="n"/>
      <c r="O1583" s="5" t="n"/>
      <c r="P1583" s="5" t="n"/>
      <c r="Q1583" s="5" t="n"/>
      <c r="R1583" s="5" t="n"/>
      <c r="S1583" s="5" t="n"/>
      <c r="T1583" s="5" t="n"/>
      <c r="U1583" s="5" t="n"/>
      <c r="V1583" s="5" t="n"/>
      <c r="W1583" s="5" t="n"/>
      <c r="X1583" s="5" t="n"/>
      <c r="Y1583" s="5" t="n"/>
      <c r="Z1583" s="5" t="n"/>
      <c r="AA1583" s="5" t="n"/>
      <c r="AB1583" s="5" t="n"/>
    </row>
    <row r="1584" ht="15.75" customHeight="1" s="79">
      <c r="A1584" s="5" t="n"/>
      <c r="B1584" s="5" t="n"/>
      <c r="C1584" s="5" t="n"/>
      <c r="D1584" s="5" t="n"/>
      <c r="E1584" s="5" t="n"/>
      <c r="F1584" s="5" t="n"/>
      <c r="G1584" s="5" t="n"/>
      <c r="H1584" s="5" t="n"/>
      <c r="I1584" s="5" t="n"/>
      <c r="J1584" s="5" t="n"/>
      <c r="K1584" s="5" t="n"/>
      <c r="L1584" s="5" t="n"/>
      <c r="M1584" s="5" t="n"/>
      <c r="N1584" s="5" t="n"/>
      <c r="O1584" s="5" t="n"/>
      <c r="P1584" s="5" t="n"/>
      <c r="Q1584" s="5" t="n"/>
      <c r="R1584" s="5" t="n"/>
      <c r="S1584" s="5" t="n"/>
      <c r="T1584" s="5" t="n"/>
      <c r="U1584" s="5" t="n"/>
      <c r="V1584" s="5" t="n"/>
      <c r="W1584" s="5" t="n"/>
      <c r="X1584" s="5" t="n"/>
      <c r="Y1584" s="5" t="n"/>
      <c r="Z1584" s="5" t="n"/>
      <c r="AA1584" s="5" t="n"/>
      <c r="AB1584" s="5" t="n"/>
    </row>
    <row r="1585" ht="15.75" customHeight="1" s="79">
      <c r="A1585" s="5" t="n"/>
      <c r="B1585" s="5" t="n"/>
      <c r="C1585" s="5" t="n"/>
      <c r="D1585" s="5" t="n"/>
      <c r="E1585" s="5" t="n"/>
      <c r="F1585" s="5" t="n"/>
      <c r="G1585" s="5" t="n"/>
      <c r="H1585" s="5" t="n"/>
      <c r="I1585" s="5" t="n"/>
      <c r="J1585" s="5" t="n"/>
      <c r="K1585" s="5" t="n"/>
      <c r="L1585" s="5" t="n"/>
      <c r="M1585" s="5" t="n"/>
      <c r="N1585" s="5" t="n"/>
      <c r="O1585" s="5" t="n"/>
      <c r="P1585" s="5" t="n"/>
      <c r="Q1585" s="5" t="n"/>
      <c r="R1585" s="5" t="n"/>
      <c r="S1585" s="5" t="n"/>
      <c r="T1585" s="5" t="n"/>
      <c r="U1585" s="5" t="n"/>
      <c r="V1585" s="5" t="n"/>
      <c r="W1585" s="5" t="n"/>
      <c r="X1585" s="5" t="n"/>
      <c r="Y1585" s="5" t="n"/>
      <c r="Z1585" s="5" t="n"/>
      <c r="AA1585" s="5" t="n"/>
      <c r="AB1585" s="5" t="n"/>
    </row>
    <row r="1586" ht="15.75" customHeight="1" s="79">
      <c r="A1586" s="5" t="n"/>
      <c r="B1586" s="5" t="n"/>
      <c r="C1586" s="5" t="n"/>
      <c r="D1586" s="5" t="n"/>
      <c r="E1586" s="5" t="n"/>
      <c r="F1586" s="5" t="n"/>
      <c r="G1586" s="5" t="n"/>
      <c r="H1586" s="5" t="n"/>
      <c r="I1586" s="5" t="n"/>
      <c r="J1586" s="5" t="n"/>
      <c r="K1586" s="5" t="n"/>
      <c r="L1586" s="5" t="n"/>
      <c r="M1586" s="5" t="n"/>
      <c r="N1586" s="5" t="n"/>
      <c r="O1586" s="5" t="n"/>
      <c r="P1586" s="5" t="n"/>
      <c r="Q1586" s="5" t="n"/>
      <c r="R1586" s="5" t="n"/>
      <c r="S1586" s="5" t="n"/>
      <c r="T1586" s="5" t="n"/>
      <c r="U1586" s="5" t="n"/>
      <c r="V1586" s="5" t="n"/>
      <c r="W1586" s="5" t="n"/>
      <c r="X1586" s="5" t="n"/>
      <c r="Y1586" s="5" t="n"/>
      <c r="Z1586" s="5" t="n"/>
      <c r="AA1586" s="5" t="n"/>
      <c r="AB1586" s="5" t="n"/>
    </row>
    <row r="1587" ht="15.75" customHeight="1" s="79">
      <c r="A1587" s="5" t="n"/>
      <c r="B1587" s="5" t="n"/>
      <c r="C1587" s="5" t="n"/>
      <c r="D1587" s="5" t="n"/>
      <c r="E1587" s="5" t="n"/>
      <c r="F1587" s="5" t="n"/>
      <c r="G1587" s="5" t="n"/>
      <c r="H1587" s="5" t="n"/>
      <c r="I1587" s="5" t="n"/>
      <c r="J1587" s="5" t="n"/>
      <c r="K1587" s="5" t="n"/>
      <c r="L1587" s="5" t="n"/>
      <c r="M1587" s="5" t="n"/>
      <c r="N1587" s="5" t="n"/>
      <c r="O1587" s="5" t="n"/>
      <c r="P1587" s="5" t="n"/>
      <c r="Q1587" s="5" t="n"/>
      <c r="R1587" s="5" t="n"/>
      <c r="S1587" s="5" t="n"/>
      <c r="T1587" s="5" t="n"/>
      <c r="U1587" s="5" t="n"/>
      <c r="V1587" s="5" t="n"/>
      <c r="W1587" s="5" t="n"/>
      <c r="X1587" s="5" t="n"/>
      <c r="Y1587" s="5" t="n"/>
      <c r="Z1587" s="5" t="n"/>
      <c r="AA1587" s="5" t="n"/>
      <c r="AB1587" s="5" t="n"/>
    </row>
    <row r="1588" ht="15.75" customHeight="1" s="79">
      <c r="A1588" s="5" t="n"/>
      <c r="B1588" s="5" t="n"/>
      <c r="C1588" s="5" t="n"/>
      <c r="D1588" s="5" t="n"/>
      <c r="E1588" s="5" t="n"/>
      <c r="F1588" s="5" t="n"/>
      <c r="G1588" s="5" t="n"/>
      <c r="H1588" s="5" t="n"/>
      <c r="I1588" s="5" t="n"/>
      <c r="J1588" s="5" t="n"/>
      <c r="K1588" s="5" t="n"/>
      <c r="L1588" s="5" t="n"/>
      <c r="M1588" s="5" t="n"/>
      <c r="N1588" s="5" t="n"/>
      <c r="O1588" s="5" t="n"/>
      <c r="P1588" s="5" t="n"/>
      <c r="Q1588" s="5" t="n"/>
      <c r="R1588" s="5" t="n"/>
      <c r="S1588" s="5" t="n"/>
      <c r="T1588" s="5" t="n"/>
      <c r="U1588" s="5" t="n"/>
      <c r="V1588" s="5" t="n"/>
      <c r="W1588" s="5" t="n"/>
      <c r="X1588" s="5" t="n"/>
      <c r="Y1588" s="5" t="n"/>
      <c r="Z1588" s="5" t="n"/>
      <c r="AA1588" s="5" t="n"/>
      <c r="AB1588" s="5" t="n"/>
    </row>
    <row r="1589" ht="15.75" customHeight="1" s="79">
      <c r="A1589" s="5" t="n"/>
      <c r="B1589" s="5" t="n"/>
      <c r="C1589" s="5" t="n"/>
      <c r="D1589" s="5" t="n"/>
      <c r="E1589" s="5" t="n"/>
      <c r="F1589" s="5" t="n"/>
      <c r="G1589" s="5" t="n"/>
      <c r="H1589" s="5" t="n"/>
      <c r="I1589" s="5" t="n"/>
      <c r="J1589" s="5" t="n"/>
      <c r="K1589" s="5" t="n"/>
      <c r="L1589" s="5" t="n"/>
      <c r="M1589" s="5" t="n"/>
      <c r="N1589" s="5" t="n"/>
      <c r="O1589" s="5" t="n"/>
      <c r="P1589" s="5" t="n"/>
      <c r="Q1589" s="5" t="n"/>
      <c r="R1589" s="5" t="n"/>
      <c r="S1589" s="5" t="n"/>
      <c r="T1589" s="5" t="n"/>
      <c r="U1589" s="5" t="n"/>
      <c r="V1589" s="5" t="n"/>
      <c r="W1589" s="5" t="n"/>
      <c r="X1589" s="5" t="n"/>
      <c r="Y1589" s="5" t="n"/>
      <c r="Z1589" s="5" t="n"/>
      <c r="AA1589" s="5" t="n"/>
      <c r="AB1589" s="5" t="n"/>
    </row>
    <row r="1590" ht="15.75" customHeight="1" s="79">
      <c r="A1590" s="5" t="n"/>
      <c r="B1590" s="5" t="n"/>
      <c r="C1590" s="5" t="n"/>
      <c r="D1590" s="5" t="n"/>
      <c r="E1590" s="5" t="n"/>
      <c r="F1590" s="5" t="n"/>
      <c r="G1590" s="5" t="n"/>
      <c r="H1590" s="5" t="n"/>
      <c r="I1590" s="5" t="n"/>
      <c r="J1590" s="5" t="n"/>
      <c r="K1590" s="5" t="n"/>
      <c r="L1590" s="5" t="n"/>
      <c r="M1590" s="5" t="n"/>
      <c r="N1590" s="5" t="n"/>
      <c r="O1590" s="5" t="n"/>
      <c r="P1590" s="5" t="n"/>
      <c r="Q1590" s="5" t="n"/>
      <c r="R1590" s="5" t="n"/>
      <c r="S1590" s="5" t="n"/>
      <c r="T1590" s="5" t="n"/>
      <c r="U1590" s="5" t="n"/>
      <c r="V1590" s="5" t="n"/>
      <c r="W1590" s="5" t="n"/>
      <c r="X1590" s="5" t="n"/>
      <c r="Y1590" s="5" t="n"/>
      <c r="Z1590" s="5" t="n"/>
      <c r="AA1590" s="5" t="n"/>
      <c r="AB1590" s="5" t="n"/>
    </row>
    <row r="1591" ht="15.75" customHeight="1" s="79">
      <c r="A1591" s="5" t="n"/>
      <c r="B1591" s="5" t="n"/>
      <c r="C1591" s="5" t="n"/>
      <c r="D1591" s="5" t="n"/>
      <c r="E1591" s="5" t="n"/>
      <c r="F1591" s="5" t="n"/>
      <c r="G1591" s="5" t="n"/>
      <c r="H1591" s="5" t="n"/>
      <c r="I1591" s="5" t="n"/>
      <c r="J1591" s="5" t="n"/>
      <c r="K1591" s="5" t="n"/>
      <c r="L1591" s="5" t="n"/>
      <c r="M1591" s="5" t="n"/>
      <c r="N1591" s="5" t="n"/>
      <c r="O1591" s="5" t="n"/>
      <c r="P1591" s="5" t="n"/>
      <c r="Q1591" s="5" t="n"/>
      <c r="R1591" s="5" t="n"/>
      <c r="S1591" s="5" t="n"/>
      <c r="T1591" s="5" t="n"/>
      <c r="U1591" s="5" t="n"/>
      <c r="V1591" s="5" t="n"/>
      <c r="W1591" s="5" t="n"/>
      <c r="X1591" s="5" t="n"/>
      <c r="Y1591" s="5" t="n"/>
      <c r="Z1591" s="5" t="n"/>
      <c r="AA1591" s="5" t="n"/>
      <c r="AB1591" s="5" t="n"/>
    </row>
    <row r="1592" ht="15.75" customHeight="1" s="79">
      <c r="A1592" s="5" t="n"/>
      <c r="B1592" s="5" t="n"/>
      <c r="C1592" s="5" t="n"/>
      <c r="D1592" s="5" t="n"/>
      <c r="E1592" s="5" t="n"/>
      <c r="F1592" s="5" t="n"/>
      <c r="G1592" s="5" t="n"/>
      <c r="H1592" s="5" t="n"/>
      <c r="I1592" s="5" t="n"/>
      <c r="J1592" s="5" t="n"/>
      <c r="K1592" s="5" t="n"/>
      <c r="L1592" s="5" t="n"/>
      <c r="M1592" s="5" t="n"/>
      <c r="N1592" s="5" t="n"/>
      <c r="O1592" s="5" t="n"/>
      <c r="P1592" s="5" t="n"/>
      <c r="Q1592" s="5" t="n"/>
      <c r="R1592" s="5" t="n"/>
      <c r="S1592" s="5" t="n"/>
      <c r="T1592" s="5" t="n"/>
      <c r="U1592" s="5" t="n"/>
      <c r="V1592" s="5" t="n"/>
      <c r="W1592" s="5" t="n"/>
      <c r="X1592" s="5" t="n"/>
      <c r="Y1592" s="5" t="n"/>
      <c r="Z1592" s="5" t="n"/>
      <c r="AA1592" s="5" t="n"/>
      <c r="AB1592" s="5" t="n"/>
    </row>
    <row r="1593" ht="15.75" customHeight="1" s="79">
      <c r="A1593" s="5" t="n"/>
      <c r="B1593" s="5" t="n"/>
      <c r="C1593" s="5" t="n"/>
      <c r="D1593" s="5" t="n"/>
      <c r="E1593" s="5" t="n"/>
      <c r="F1593" s="5" t="n"/>
      <c r="G1593" s="5" t="n"/>
      <c r="H1593" s="5" t="n"/>
      <c r="I1593" s="5" t="n"/>
      <c r="J1593" s="5" t="n"/>
      <c r="K1593" s="5" t="n"/>
      <c r="L1593" s="5" t="n"/>
      <c r="M1593" s="5" t="n"/>
      <c r="N1593" s="5" t="n"/>
      <c r="O1593" s="5" t="n"/>
      <c r="P1593" s="5" t="n"/>
      <c r="Q1593" s="5" t="n"/>
      <c r="R1593" s="5" t="n"/>
      <c r="S1593" s="5" t="n"/>
      <c r="T1593" s="5" t="n"/>
      <c r="U1593" s="5" t="n"/>
      <c r="V1593" s="5" t="n"/>
      <c r="W1593" s="5" t="n"/>
      <c r="X1593" s="5" t="n"/>
      <c r="Y1593" s="5" t="n"/>
      <c r="Z1593" s="5" t="n"/>
      <c r="AA1593" s="5" t="n"/>
      <c r="AB1593" s="5" t="n"/>
    </row>
    <row r="1594" ht="15.75" customHeight="1" s="79">
      <c r="A1594" s="5" t="n"/>
      <c r="B1594" s="5" t="n"/>
      <c r="C1594" s="5" t="n"/>
      <c r="D1594" s="5" t="n"/>
      <c r="E1594" s="5" t="n"/>
      <c r="F1594" s="5" t="n"/>
      <c r="G1594" s="5" t="n"/>
      <c r="H1594" s="5" t="n"/>
      <c r="I1594" s="5" t="n"/>
      <c r="J1594" s="5" t="n"/>
      <c r="K1594" s="5" t="n"/>
      <c r="L1594" s="5" t="n"/>
      <c r="M1594" s="5" t="n"/>
      <c r="N1594" s="5" t="n"/>
      <c r="O1594" s="5" t="n"/>
      <c r="P1594" s="5" t="n"/>
      <c r="Q1594" s="5" t="n"/>
      <c r="R1594" s="5" t="n"/>
      <c r="S1594" s="5" t="n"/>
      <c r="T1594" s="5" t="n"/>
      <c r="U1594" s="5" t="n"/>
      <c r="V1594" s="5" t="n"/>
      <c r="W1594" s="5" t="n"/>
      <c r="X1594" s="5" t="n"/>
      <c r="Y1594" s="5" t="n"/>
      <c r="Z1594" s="5" t="n"/>
      <c r="AA1594" s="5" t="n"/>
      <c r="AB1594" s="5" t="n"/>
    </row>
    <row r="1595" ht="15.75" customHeight="1" s="79">
      <c r="A1595" s="5" t="n"/>
      <c r="B1595" s="5" t="n"/>
      <c r="C1595" s="5" t="n"/>
      <c r="D1595" s="5" t="n"/>
      <c r="E1595" s="5" t="n"/>
      <c r="F1595" s="5" t="n"/>
      <c r="G1595" s="5" t="n"/>
      <c r="H1595" s="5" t="n"/>
      <c r="I1595" s="5" t="n"/>
      <c r="J1595" s="5" t="n"/>
      <c r="K1595" s="5" t="n"/>
      <c r="L1595" s="5" t="n"/>
      <c r="M1595" s="5" t="n"/>
      <c r="N1595" s="5" t="n"/>
      <c r="O1595" s="5" t="n"/>
      <c r="P1595" s="5" t="n"/>
      <c r="Q1595" s="5" t="n"/>
      <c r="R1595" s="5" t="n"/>
      <c r="S1595" s="5" t="n"/>
      <c r="T1595" s="5" t="n"/>
      <c r="U1595" s="5" t="n"/>
      <c r="V1595" s="5" t="n"/>
      <c r="W1595" s="5" t="n"/>
      <c r="X1595" s="5" t="n"/>
      <c r="Y1595" s="5" t="n"/>
      <c r="Z1595" s="5" t="n"/>
      <c r="AA1595" s="5" t="n"/>
      <c r="AB1595" s="5" t="n"/>
    </row>
    <row r="1596" ht="15.75" customHeight="1" s="79">
      <c r="A1596" s="5" t="n"/>
      <c r="B1596" s="5" t="n"/>
      <c r="C1596" s="5" t="n"/>
      <c r="D1596" s="5" t="n"/>
      <c r="E1596" s="5" t="n"/>
      <c r="F1596" s="5" t="n"/>
      <c r="G1596" s="5" t="n"/>
      <c r="H1596" s="5" t="n"/>
      <c r="I1596" s="5" t="n"/>
      <c r="J1596" s="5" t="n"/>
      <c r="K1596" s="5" t="n"/>
      <c r="L1596" s="5" t="n"/>
      <c r="M1596" s="5" t="n"/>
      <c r="N1596" s="5" t="n"/>
      <c r="O1596" s="5" t="n"/>
      <c r="P1596" s="5" t="n"/>
      <c r="Q1596" s="5" t="n"/>
      <c r="R1596" s="5" t="n"/>
      <c r="S1596" s="5" t="n"/>
      <c r="T1596" s="5" t="n"/>
      <c r="U1596" s="5" t="n"/>
      <c r="V1596" s="5" t="n"/>
      <c r="W1596" s="5" t="n"/>
      <c r="X1596" s="5" t="n"/>
      <c r="Y1596" s="5" t="n"/>
      <c r="Z1596" s="5" t="n"/>
      <c r="AA1596" s="5" t="n"/>
      <c r="AB1596" s="5" t="n"/>
    </row>
    <row r="1597" ht="15.75" customHeight="1" s="79">
      <c r="A1597" s="5" t="n"/>
      <c r="B1597" s="5" t="n"/>
      <c r="C1597" s="5" t="n"/>
      <c r="D1597" s="5" t="n"/>
      <c r="E1597" s="5" t="n"/>
      <c r="F1597" s="5" t="n"/>
      <c r="G1597" s="5" t="n"/>
      <c r="H1597" s="5" t="n"/>
      <c r="I1597" s="5" t="n"/>
      <c r="J1597" s="5" t="n"/>
      <c r="K1597" s="5" t="n"/>
      <c r="L1597" s="5" t="n"/>
      <c r="M1597" s="5" t="n"/>
      <c r="N1597" s="5" t="n"/>
      <c r="O1597" s="5" t="n"/>
      <c r="P1597" s="5" t="n"/>
      <c r="Q1597" s="5" t="n"/>
      <c r="R1597" s="5" t="n"/>
      <c r="S1597" s="5" t="n"/>
      <c r="T1597" s="5" t="n"/>
      <c r="U1597" s="5" t="n"/>
      <c r="V1597" s="5" t="n"/>
      <c r="W1597" s="5" t="n"/>
      <c r="X1597" s="5" t="n"/>
      <c r="Y1597" s="5" t="n"/>
      <c r="Z1597" s="5" t="n"/>
      <c r="AA1597" s="5" t="n"/>
      <c r="AB1597" s="5" t="n"/>
    </row>
    <row r="1598" ht="15.75" customHeight="1" s="79">
      <c r="A1598" s="5" t="n"/>
      <c r="B1598" s="5" t="n"/>
      <c r="C1598" s="5" t="n"/>
      <c r="D1598" s="5" t="n"/>
      <c r="E1598" s="5" t="n"/>
      <c r="F1598" s="5" t="n"/>
      <c r="G1598" s="5" t="n"/>
      <c r="H1598" s="5" t="n"/>
      <c r="I1598" s="5" t="n"/>
      <c r="J1598" s="5" t="n"/>
      <c r="K1598" s="5" t="n"/>
      <c r="L1598" s="5" t="n"/>
      <c r="M1598" s="5" t="n"/>
      <c r="N1598" s="5" t="n"/>
      <c r="O1598" s="5" t="n"/>
      <c r="P1598" s="5" t="n"/>
      <c r="Q1598" s="5" t="n"/>
      <c r="R1598" s="5" t="n"/>
      <c r="S1598" s="5" t="n"/>
      <c r="T1598" s="5" t="n"/>
      <c r="U1598" s="5" t="n"/>
      <c r="V1598" s="5" t="n"/>
      <c r="W1598" s="5" t="n"/>
      <c r="X1598" s="5" t="n"/>
      <c r="Y1598" s="5" t="n"/>
      <c r="Z1598" s="5" t="n"/>
      <c r="AA1598" s="5" t="n"/>
      <c r="AB1598" s="5" t="n"/>
    </row>
    <row r="1599" ht="15.75" customHeight="1" s="79">
      <c r="A1599" s="5" t="n"/>
      <c r="B1599" s="5" t="n"/>
      <c r="C1599" s="5" t="n"/>
      <c r="D1599" s="5" t="n"/>
      <c r="E1599" s="5" t="n"/>
      <c r="F1599" s="5" t="n"/>
      <c r="G1599" s="5" t="n"/>
      <c r="H1599" s="5" t="n"/>
      <c r="I1599" s="5" t="n"/>
      <c r="J1599" s="5" t="n"/>
      <c r="K1599" s="5" t="n"/>
      <c r="L1599" s="5" t="n"/>
      <c r="M1599" s="5" t="n"/>
      <c r="N1599" s="5" t="n"/>
      <c r="O1599" s="5" t="n"/>
      <c r="P1599" s="5" t="n"/>
      <c r="Q1599" s="5" t="n"/>
      <c r="R1599" s="5" t="n"/>
      <c r="S1599" s="5" t="n"/>
      <c r="T1599" s="5" t="n"/>
      <c r="U1599" s="5" t="n"/>
      <c r="V1599" s="5" t="n"/>
      <c r="W1599" s="5" t="n"/>
      <c r="X1599" s="5" t="n"/>
      <c r="Y1599" s="5" t="n"/>
      <c r="Z1599" s="5" t="n"/>
      <c r="AA1599" s="5" t="n"/>
      <c r="AB1599" s="5" t="n"/>
    </row>
    <row r="1600" ht="15.75" customHeight="1" s="79">
      <c r="A1600" s="5" t="n"/>
      <c r="B1600" s="5" t="n"/>
      <c r="C1600" s="5" t="n"/>
      <c r="D1600" s="5" t="n"/>
      <c r="E1600" s="5" t="n"/>
      <c r="F1600" s="5" t="n"/>
      <c r="G1600" s="5" t="n"/>
      <c r="H1600" s="5" t="n"/>
      <c r="I1600" s="5" t="n"/>
      <c r="J1600" s="5" t="n"/>
      <c r="K1600" s="5" t="n"/>
      <c r="L1600" s="5" t="n"/>
      <c r="M1600" s="5" t="n"/>
      <c r="N1600" s="5" t="n"/>
      <c r="O1600" s="5" t="n"/>
      <c r="P1600" s="5" t="n"/>
      <c r="Q1600" s="5" t="n"/>
      <c r="R1600" s="5" t="n"/>
      <c r="S1600" s="5" t="n"/>
      <c r="T1600" s="5" t="n"/>
      <c r="U1600" s="5" t="n"/>
      <c r="V1600" s="5" t="n"/>
      <c r="W1600" s="5" t="n"/>
      <c r="X1600" s="5" t="n"/>
      <c r="Y1600" s="5" t="n"/>
      <c r="Z1600" s="5" t="n"/>
      <c r="AA1600" s="5" t="n"/>
      <c r="AB1600" s="5" t="n"/>
    </row>
    <row r="1601" ht="15.75" customHeight="1" s="79">
      <c r="A1601" s="5" t="n"/>
      <c r="B1601" s="5" t="n"/>
      <c r="C1601" s="5" t="n"/>
      <c r="D1601" s="5" t="n"/>
      <c r="E1601" s="5" t="n"/>
      <c r="F1601" s="5" t="n"/>
      <c r="G1601" s="5" t="n"/>
      <c r="H1601" s="5" t="n"/>
      <c r="I1601" s="5" t="n"/>
      <c r="J1601" s="5" t="n"/>
      <c r="K1601" s="5" t="n"/>
      <c r="L1601" s="5" t="n"/>
      <c r="M1601" s="5" t="n"/>
      <c r="N1601" s="5" t="n"/>
      <c r="O1601" s="5" t="n"/>
      <c r="P1601" s="5" t="n"/>
      <c r="Q1601" s="5" t="n"/>
      <c r="R1601" s="5" t="n"/>
      <c r="S1601" s="5" t="n"/>
      <c r="T1601" s="5" t="n"/>
      <c r="U1601" s="5" t="n"/>
      <c r="V1601" s="5" t="n"/>
      <c r="W1601" s="5" t="n"/>
      <c r="X1601" s="5" t="n"/>
      <c r="Y1601" s="5" t="n"/>
      <c r="Z1601" s="5" t="n"/>
      <c r="AA1601" s="5" t="n"/>
      <c r="AB1601" s="5" t="n"/>
    </row>
    <row r="1602" ht="15.75" customHeight="1" s="79">
      <c r="A1602" s="5" t="n"/>
      <c r="B1602" s="5" t="n"/>
      <c r="C1602" s="5" t="n"/>
      <c r="D1602" s="5" t="n"/>
      <c r="E1602" s="5" t="n"/>
      <c r="F1602" s="5" t="n"/>
      <c r="G1602" s="5" t="n"/>
      <c r="H1602" s="5" t="n"/>
      <c r="I1602" s="5" t="n"/>
      <c r="J1602" s="5" t="n"/>
      <c r="K1602" s="5" t="n"/>
      <c r="L1602" s="5" t="n"/>
      <c r="M1602" s="5" t="n"/>
      <c r="N1602" s="5" t="n"/>
      <c r="O1602" s="5" t="n"/>
      <c r="P1602" s="5" t="n"/>
      <c r="Q1602" s="5" t="n"/>
      <c r="R1602" s="5" t="n"/>
      <c r="S1602" s="5" t="n"/>
      <c r="T1602" s="5" t="n"/>
      <c r="U1602" s="5" t="n"/>
      <c r="V1602" s="5" t="n"/>
      <c r="W1602" s="5" t="n"/>
      <c r="X1602" s="5" t="n"/>
      <c r="Y1602" s="5" t="n"/>
      <c r="Z1602" s="5" t="n"/>
      <c r="AA1602" s="5" t="n"/>
      <c r="AB1602" s="5" t="n"/>
    </row>
    <row r="1603" ht="15.75" customHeight="1" s="79">
      <c r="A1603" s="5" t="n"/>
      <c r="B1603" s="5" t="n"/>
      <c r="C1603" s="5" t="n"/>
      <c r="D1603" s="5" t="n"/>
      <c r="E1603" s="5" t="n"/>
      <c r="F1603" s="5" t="n"/>
      <c r="G1603" s="5" t="n"/>
      <c r="H1603" s="5" t="n"/>
      <c r="I1603" s="5" t="n"/>
      <c r="J1603" s="5" t="n"/>
      <c r="K1603" s="5" t="n"/>
      <c r="L1603" s="5" t="n"/>
      <c r="M1603" s="5" t="n"/>
      <c r="N1603" s="5" t="n"/>
      <c r="O1603" s="5" t="n"/>
      <c r="P1603" s="5" t="n"/>
      <c r="Q1603" s="5" t="n"/>
      <c r="R1603" s="5" t="n"/>
      <c r="S1603" s="5" t="n"/>
      <c r="T1603" s="5" t="n"/>
      <c r="U1603" s="5" t="n"/>
      <c r="V1603" s="5" t="n"/>
      <c r="W1603" s="5" t="n"/>
      <c r="X1603" s="5" t="n"/>
      <c r="Y1603" s="5" t="n"/>
      <c r="Z1603" s="5" t="n"/>
      <c r="AA1603" s="5" t="n"/>
      <c r="AB1603" s="5" t="n"/>
    </row>
    <row r="1604" ht="15.75" customHeight="1" s="79">
      <c r="A1604" s="5" t="n"/>
      <c r="B1604" s="5" t="n"/>
      <c r="C1604" s="5" t="n"/>
      <c r="D1604" s="5" t="n"/>
      <c r="E1604" s="5" t="n"/>
      <c r="F1604" s="5" t="n"/>
      <c r="G1604" s="5" t="n"/>
      <c r="H1604" s="5" t="n"/>
      <c r="I1604" s="5" t="n"/>
      <c r="J1604" s="5" t="n"/>
      <c r="K1604" s="5" t="n"/>
      <c r="L1604" s="5" t="n"/>
      <c r="M1604" s="5" t="n"/>
      <c r="N1604" s="5" t="n"/>
      <c r="O1604" s="5" t="n"/>
      <c r="P1604" s="5" t="n"/>
      <c r="Q1604" s="5" t="n"/>
      <c r="R1604" s="5" t="n"/>
      <c r="S1604" s="5" t="n"/>
      <c r="T1604" s="5" t="n"/>
      <c r="U1604" s="5" t="n"/>
      <c r="V1604" s="5" t="n"/>
      <c r="W1604" s="5" t="n"/>
      <c r="X1604" s="5" t="n"/>
      <c r="Y1604" s="5" t="n"/>
      <c r="Z1604" s="5" t="n"/>
      <c r="AA1604" s="5" t="n"/>
      <c r="AB1604" s="5" t="n"/>
    </row>
    <row r="1605" ht="15.75" customHeight="1" s="79">
      <c r="A1605" s="5" t="n"/>
      <c r="B1605" s="5" t="n"/>
      <c r="C1605" s="5" t="n"/>
      <c r="D1605" s="5" t="n"/>
      <c r="E1605" s="5" t="n"/>
      <c r="F1605" s="5" t="n"/>
      <c r="G1605" s="5" t="n"/>
      <c r="H1605" s="5" t="n"/>
      <c r="I1605" s="5" t="n"/>
      <c r="J1605" s="5" t="n"/>
      <c r="K1605" s="5" t="n"/>
      <c r="L1605" s="5" t="n"/>
      <c r="M1605" s="5" t="n"/>
      <c r="N1605" s="5" t="n"/>
      <c r="O1605" s="5" t="n"/>
      <c r="P1605" s="5" t="n"/>
      <c r="Q1605" s="5" t="n"/>
      <c r="R1605" s="5" t="n"/>
      <c r="S1605" s="5" t="n"/>
      <c r="T1605" s="5" t="n"/>
      <c r="U1605" s="5" t="n"/>
      <c r="V1605" s="5" t="n"/>
      <c r="W1605" s="5" t="n"/>
      <c r="X1605" s="5" t="n"/>
      <c r="Y1605" s="5" t="n"/>
      <c r="Z1605" s="5" t="n"/>
      <c r="AA1605" s="5" t="n"/>
      <c r="AB1605" s="5" t="n"/>
    </row>
    <row r="1606" ht="15.75" customHeight="1" s="79">
      <c r="A1606" s="5" t="n"/>
      <c r="B1606" s="5" t="n"/>
      <c r="C1606" s="5" t="n"/>
      <c r="D1606" s="5" t="n"/>
      <c r="E1606" s="5" t="n"/>
      <c r="F1606" s="5" t="n"/>
      <c r="G1606" s="5" t="n"/>
      <c r="H1606" s="5" t="n"/>
      <c r="I1606" s="5" t="n"/>
      <c r="J1606" s="5" t="n"/>
      <c r="K1606" s="5" t="n"/>
      <c r="L1606" s="5" t="n"/>
      <c r="M1606" s="5" t="n"/>
      <c r="N1606" s="5" t="n"/>
      <c r="O1606" s="5" t="n"/>
      <c r="P1606" s="5" t="n"/>
      <c r="Q1606" s="5" t="n"/>
      <c r="R1606" s="5" t="n"/>
      <c r="S1606" s="5" t="n"/>
      <c r="T1606" s="5" t="n"/>
      <c r="U1606" s="5" t="n"/>
      <c r="V1606" s="5" t="n"/>
      <c r="W1606" s="5" t="n"/>
      <c r="X1606" s="5" t="n"/>
      <c r="Y1606" s="5" t="n"/>
      <c r="Z1606" s="5" t="n"/>
      <c r="AA1606" s="5" t="n"/>
      <c r="AB1606" s="5" t="n"/>
    </row>
    <row r="1607" ht="15.75" customHeight="1" s="79">
      <c r="A1607" s="5" t="n"/>
      <c r="B1607" s="5" t="n"/>
      <c r="C1607" s="5" t="n"/>
      <c r="D1607" s="5" t="n"/>
      <c r="E1607" s="5" t="n"/>
      <c r="F1607" s="5" t="n"/>
      <c r="G1607" s="5" t="n"/>
      <c r="H1607" s="5" t="n"/>
      <c r="I1607" s="5" t="n"/>
      <c r="J1607" s="5" t="n"/>
      <c r="K1607" s="5" t="n"/>
      <c r="L1607" s="5" t="n"/>
      <c r="M1607" s="5" t="n"/>
      <c r="N1607" s="5" t="n"/>
      <c r="O1607" s="5" t="n"/>
      <c r="P1607" s="5" t="n"/>
      <c r="Q1607" s="5" t="n"/>
      <c r="R1607" s="5" t="n"/>
      <c r="S1607" s="5" t="n"/>
      <c r="T1607" s="5" t="n"/>
      <c r="U1607" s="5" t="n"/>
      <c r="V1607" s="5" t="n"/>
      <c r="W1607" s="5" t="n"/>
      <c r="X1607" s="5" t="n"/>
      <c r="Y1607" s="5" t="n"/>
      <c r="Z1607" s="5" t="n"/>
      <c r="AA1607" s="5" t="n"/>
      <c r="AB1607" s="5" t="n"/>
    </row>
    <row r="1608" ht="15.75" customHeight="1" s="79">
      <c r="A1608" s="5" t="n"/>
      <c r="B1608" s="5" t="n"/>
      <c r="C1608" s="5" t="n"/>
      <c r="D1608" s="5" t="n"/>
      <c r="E1608" s="5" t="n"/>
      <c r="F1608" s="5" t="n"/>
      <c r="G1608" s="5" t="n"/>
      <c r="H1608" s="5" t="n"/>
      <c r="I1608" s="5" t="n"/>
      <c r="J1608" s="5" t="n"/>
      <c r="K1608" s="5" t="n"/>
      <c r="L1608" s="5" t="n"/>
      <c r="M1608" s="5" t="n"/>
      <c r="N1608" s="5" t="n"/>
      <c r="O1608" s="5" t="n"/>
      <c r="P1608" s="5" t="n"/>
      <c r="Q1608" s="5" t="n"/>
      <c r="R1608" s="5" t="n"/>
      <c r="S1608" s="5" t="n"/>
      <c r="T1608" s="5" t="n"/>
      <c r="U1608" s="5" t="n"/>
      <c r="V1608" s="5" t="n"/>
      <c r="W1608" s="5" t="n"/>
      <c r="X1608" s="5" t="n"/>
      <c r="Y1608" s="5" t="n"/>
      <c r="Z1608" s="5" t="n"/>
      <c r="AA1608" s="5" t="n"/>
      <c r="AB1608" s="5" t="n"/>
    </row>
    <row r="1609" ht="15.75" customHeight="1" s="79">
      <c r="A1609" s="5" t="n"/>
      <c r="B1609" s="5" t="n"/>
      <c r="C1609" s="5" t="n"/>
      <c r="D1609" s="5" t="n"/>
      <c r="E1609" s="5" t="n"/>
      <c r="F1609" s="5" t="n"/>
      <c r="G1609" s="5" t="n"/>
      <c r="H1609" s="5" t="n"/>
      <c r="I1609" s="5" t="n"/>
      <c r="J1609" s="5" t="n"/>
      <c r="K1609" s="5" t="n"/>
      <c r="L1609" s="5" t="n"/>
      <c r="M1609" s="5" t="n"/>
      <c r="N1609" s="5" t="n"/>
      <c r="O1609" s="5" t="n"/>
      <c r="P1609" s="5" t="n"/>
      <c r="Q1609" s="5" t="n"/>
      <c r="R1609" s="5" t="n"/>
      <c r="S1609" s="5" t="n"/>
      <c r="T1609" s="5" t="n"/>
      <c r="U1609" s="5" t="n"/>
      <c r="V1609" s="5" t="n"/>
      <c r="W1609" s="5" t="n"/>
      <c r="X1609" s="5" t="n"/>
      <c r="Y1609" s="5" t="n"/>
      <c r="Z1609" s="5" t="n"/>
      <c r="AA1609" s="5" t="n"/>
      <c r="AB1609" s="5" t="n"/>
    </row>
    <row r="1610" ht="15.75" customHeight="1" s="79">
      <c r="A1610" s="5" t="n"/>
      <c r="B1610" s="5" t="n"/>
      <c r="C1610" s="5" t="n"/>
      <c r="D1610" s="5" t="n"/>
      <c r="E1610" s="5" t="n"/>
      <c r="F1610" s="5" t="n"/>
      <c r="G1610" s="5" t="n"/>
      <c r="H1610" s="5" t="n"/>
      <c r="I1610" s="5" t="n"/>
      <c r="J1610" s="5" t="n"/>
      <c r="K1610" s="5" t="n"/>
      <c r="L1610" s="5" t="n"/>
      <c r="M1610" s="5" t="n"/>
      <c r="N1610" s="5" t="n"/>
      <c r="O1610" s="5" t="n"/>
      <c r="P1610" s="5" t="n"/>
      <c r="Q1610" s="5" t="n"/>
      <c r="R1610" s="5" t="n"/>
      <c r="S1610" s="5" t="n"/>
      <c r="T1610" s="5" t="n"/>
      <c r="U1610" s="5" t="n"/>
      <c r="V1610" s="5" t="n"/>
      <c r="W1610" s="5" t="n"/>
      <c r="X1610" s="5" t="n"/>
      <c r="Y1610" s="5" t="n"/>
      <c r="Z1610" s="5" t="n"/>
      <c r="AA1610" s="5" t="n"/>
      <c r="AB1610" s="5" t="n"/>
    </row>
    <row r="1611" ht="15.75" customHeight="1" s="79">
      <c r="A1611" s="5" t="n"/>
      <c r="B1611" s="5" t="n"/>
      <c r="C1611" s="5" t="n"/>
      <c r="D1611" s="5" t="n"/>
      <c r="E1611" s="5" t="n"/>
      <c r="F1611" s="5" t="n"/>
      <c r="G1611" s="5" t="n"/>
      <c r="H1611" s="5" t="n"/>
      <c r="I1611" s="5" t="n"/>
      <c r="J1611" s="5" t="n"/>
      <c r="K1611" s="5" t="n"/>
      <c r="L1611" s="5" t="n"/>
      <c r="M1611" s="5" t="n"/>
      <c r="N1611" s="5" t="n"/>
      <c r="O1611" s="5" t="n"/>
      <c r="P1611" s="5" t="n"/>
      <c r="Q1611" s="5" t="n"/>
      <c r="R1611" s="5" t="n"/>
      <c r="S1611" s="5" t="n"/>
      <c r="T1611" s="5" t="n"/>
      <c r="U1611" s="5" t="n"/>
      <c r="V1611" s="5" t="n"/>
      <c r="W1611" s="5" t="n"/>
      <c r="X1611" s="5" t="n"/>
      <c r="Y1611" s="5" t="n"/>
      <c r="Z1611" s="5" t="n"/>
      <c r="AA1611" s="5" t="n"/>
      <c r="AB1611" s="5" t="n"/>
    </row>
    <row r="1612" ht="15.75" customHeight="1" s="79">
      <c r="A1612" s="5" t="n"/>
      <c r="B1612" s="5" t="n"/>
      <c r="C1612" s="5" t="n"/>
      <c r="D1612" s="5" t="n"/>
      <c r="E1612" s="5" t="n"/>
      <c r="F1612" s="5" t="n"/>
      <c r="G1612" s="5" t="n"/>
      <c r="H1612" s="5" t="n"/>
      <c r="I1612" s="5" t="n"/>
      <c r="J1612" s="5" t="n"/>
      <c r="K1612" s="5" t="n"/>
      <c r="L1612" s="5" t="n"/>
      <c r="M1612" s="5" t="n"/>
      <c r="N1612" s="5" t="n"/>
      <c r="O1612" s="5" t="n"/>
      <c r="P1612" s="5" t="n"/>
      <c r="Q1612" s="5" t="n"/>
      <c r="R1612" s="5" t="n"/>
      <c r="S1612" s="5" t="n"/>
      <c r="T1612" s="5" t="n"/>
      <c r="U1612" s="5" t="n"/>
      <c r="V1612" s="5" t="n"/>
      <c r="W1612" s="5" t="n"/>
      <c r="X1612" s="5" t="n"/>
      <c r="Y1612" s="5" t="n"/>
      <c r="Z1612" s="5" t="n"/>
      <c r="AA1612" s="5" t="n"/>
      <c r="AB1612" s="5" t="n"/>
    </row>
    <row r="1613" ht="15.75" customHeight="1" s="79">
      <c r="A1613" s="5" t="n"/>
      <c r="B1613" s="5" t="n"/>
      <c r="C1613" s="5" t="n"/>
      <c r="D1613" s="5" t="n"/>
      <c r="E1613" s="5" t="n"/>
      <c r="F1613" s="5" t="n"/>
      <c r="G1613" s="5" t="n"/>
      <c r="H1613" s="5" t="n"/>
      <c r="I1613" s="5" t="n"/>
      <c r="J1613" s="5" t="n"/>
      <c r="K1613" s="5" t="n"/>
      <c r="L1613" s="5" t="n"/>
      <c r="M1613" s="5" t="n"/>
      <c r="N1613" s="5" t="n"/>
      <c r="O1613" s="5" t="n"/>
      <c r="P1613" s="5" t="n"/>
      <c r="Q1613" s="5" t="n"/>
      <c r="R1613" s="5" t="n"/>
      <c r="S1613" s="5" t="n"/>
      <c r="T1613" s="5" t="n"/>
      <c r="U1613" s="5" t="n"/>
      <c r="V1613" s="5" t="n"/>
      <c r="W1613" s="5" t="n"/>
      <c r="X1613" s="5" t="n"/>
      <c r="Y1613" s="5" t="n"/>
      <c r="Z1613" s="5" t="n"/>
      <c r="AA1613" s="5" t="n"/>
      <c r="AB1613" s="5" t="n"/>
    </row>
    <row r="1614" ht="15.75" customHeight="1" s="79">
      <c r="A1614" s="5" t="n"/>
      <c r="B1614" s="5" t="n"/>
      <c r="C1614" s="5" t="n"/>
      <c r="D1614" s="5" t="n"/>
      <c r="E1614" s="5" t="n"/>
      <c r="F1614" s="5" t="n"/>
      <c r="G1614" s="5" t="n"/>
      <c r="H1614" s="5" t="n"/>
      <c r="I1614" s="5" t="n"/>
      <c r="J1614" s="5" t="n"/>
      <c r="K1614" s="5" t="n"/>
      <c r="L1614" s="5" t="n"/>
      <c r="M1614" s="5" t="n"/>
      <c r="N1614" s="5" t="n"/>
      <c r="O1614" s="5" t="n"/>
      <c r="P1614" s="5" t="n"/>
      <c r="Q1614" s="5" t="n"/>
      <c r="R1614" s="5" t="n"/>
      <c r="S1614" s="5" t="n"/>
      <c r="T1614" s="5" t="n"/>
      <c r="U1614" s="5" t="n"/>
      <c r="V1614" s="5" t="n"/>
      <c r="W1614" s="5" t="n"/>
      <c r="X1614" s="5" t="n"/>
      <c r="Y1614" s="5" t="n"/>
      <c r="Z1614" s="5" t="n"/>
      <c r="AA1614" s="5" t="n"/>
      <c r="AB1614" s="5" t="n"/>
    </row>
    <row r="1615" ht="15.75" customHeight="1" s="79">
      <c r="A1615" s="5" t="n"/>
      <c r="B1615" s="5" t="n"/>
      <c r="C1615" s="5" t="n"/>
      <c r="D1615" s="5" t="n"/>
      <c r="E1615" s="5" t="n"/>
      <c r="F1615" s="5" t="n"/>
      <c r="G1615" s="5" t="n"/>
      <c r="H1615" s="5" t="n"/>
      <c r="I1615" s="5" t="n"/>
      <c r="J1615" s="5" t="n"/>
      <c r="K1615" s="5" t="n"/>
      <c r="L1615" s="5" t="n"/>
      <c r="M1615" s="5" t="n"/>
      <c r="N1615" s="5" t="n"/>
      <c r="O1615" s="5" t="n"/>
      <c r="P1615" s="5" t="n"/>
      <c r="Q1615" s="5" t="n"/>
      <c r="R1615" s="5" t="n"/>
      <c r="S1615" s="5" t="n"/>
      <c r="T1615" s="5" t="n"/>
      <c r="U1615" s="5" t="n"/>
      <c r="V1615" s="5" t="n"/>
      <c r="W1615" s="5" t="n"/>
      <c r="X1615" s="5" t="n"/>
      <c r="Y1615" s="5" t="n"/>
      <c r="Z1615" s="5" t="n"/>
      <c r="AA1615" s="5" t="n"/>
      <c r="AB1615" s="5" t="n"/>
    </row>
    <row r="1616" ht="15.75" customHeight="1" s="79">
      <c r="A1616" s="5" t="n"/>
      <c r="B1616" s="5" t="n"/>
      <c r="C1616" s="5" t="n"/>
      <c r="D1616" s="5" t="n"/>
      <c r="E1616" s="5" t="n"/>
      <c r="F1616" s="5" t="n"/>
      <c r="G1616" s="5" t="n"/>
      <c r="H1616" s="5" t="n"/>
      <c r="I1616" s="5" t="n"/>
      <c r="J1616" s="5" t="n"/>
      <c r="K1616" s="5" t="n"/>
      <c r="L1616" s="5" t="n"/>
      <c r="M1616" s="5" t="n"/>
      <c r="N1616" s="5" t="n"/>
      <c r="O1616" s="5" t="n"/>
      <c r="P1616" s="5" t="n"/>
      <c r="Q1616" s="5" t="n"/>
      <c r="R1616" s="5" t="n"/>
      <c r="S1616" s="5" t="n"/>
      <c r="T1616" s="5" t="n"/>
      <c r="U1616" s="5" t="n"/>
      <c r="V1616" s="5" t="n"/>
      <c r="W1616" s="5" t="n"/>
      <c r="X1616" s="5" t="n"/>
      <c r="Y1616" s="5" t="n"/>
      <c r="Z1616" s="5" t="n"/>
      <c r="AA1616" s="5" t="n"/>
      <c r="AB1616" s="5" t="n"/>
    </row>
    <row r="1617" ht="15.75" customHeight="1" s="79">
      <c r="A1617" s="5" t="n"/>
      <c r="B1617" s="5" t="n"/>
      <c r="C1617" s="5" t="n"/>
      <c r="D1617" s="5" t="n"/>
      <c r="E1617" s="5" t="n"/>
      <c r="F1617" s="5" t="n"/>
      <c r="G1617" s="5" t="n"/>
      <c r="H1617" s="5" t="n"/>
      <c r="I1617" s="5" t="n"/>
      <c r="J1617" s="5" t="n"/>
      <c r="K1617" s="5" t="n"/>
      <c r="L1617" s="5" t="n"/>
      <c r="M1617" s="5" t="n"/>
      <c r="N1617" s="5" t="n"/>
      <c r="O1617" s="5" t="n"/>
      <c r="P1617" s="5" t="n"/>
      <c r="Q1617" s="5" t="n"/>
      <c r="R1617" s="5" t="n"/>
      <c r="S1617" s="5" t="n"/>
      <c r="T1617" s="5" t="n"/>
      <c r="U1617" s="5" t="n"/>
      <c r="V1617" s="5" t="n"/>
      <c r="W1617" s="5" t="n"/>
      <c r="X1617" s="5" t="n"/>
      <c r="Y1617" s="5" t="n"/>
      <c r="Z1617" s="5" t="n"/>
      <c r="AA1617" s="5" t="n"/>
      <c r="AB1617" s="5" t="n"/>
    </row>
    <row r="1618" ht="15.75" customHeight="1" s="79">
      <c r="A1618" s="5" t="n"/>
      <c r="B1618" s="5" t="n"/>
      <c r="C1618" s="5" t="n"/>
      <c r="D1618" s="5" t="n"/>
      <c r="E1618" s="5" t="n"/>
      <c r="F1618" s="5" t="n"/>
      <c r="G1618" s="5" t="n"/>
      <c r="H1618" s="5" t="n"/>
      <c r="I1618" s="5" t="n"/>
      <c r="J1618" s="5" t="n"/>
      <c r="K1618" s="5" t="n"/>
      <c r="L1618" s="5" t="n"/>
      <c r="M1618" s="5" t="n"/>
      <c r="N1618" s="5" t="n"/>
      <c r="O1618" s="5" t="n"/>
      <c r="P1618" s="5" t="n"/>
      <c r="Q1618" s="5" t="n"/>
      <c r="R1618" s="5" t="n"/>
      <c r="S1618" s="5" t="n"/>
      <c r="T1618" s="5" t="n"/>
      <c r="U1618" s="5" t="n"/>
      <c r="V1618" s="5" t="n"/>
      <c r="W1618" s="5" t="n"/>
      <c r="X1618" s="5" t="n"/>
      <c r="Y1618" s="5" t="n"/>
      <c r="Z1618" s="5" t="n"/>
      <c r="AA1618" s="5" t="n"/>
      <c r="AB1618" s="5" t="n"/>
    </row>
    <row r="1619" ht="15.75" customHeight="1" s="79">
      <c r="A1619" s="5" t="n"/>
      <c r="B1619" s="5" t="n"/>
      <c r="C1619" s="5" t="n"/>
      <c r="D1619" s="5" t="n"/>
      <c r="E1619" s="5" t="n"/>
      <c r="F1619" s="5" t="n"/>
      <c r="G1619" s="5" t="n"/>
      <c r="H1619" s="5" t="n"/>
      <c r="I1619" s="5" t="n"/>
      <c r="J1619" s="5" t="n"/>
      <c r="K1619" s="5" t="n"/>
      <c r="L1619" s="5" t="n"/>
      <c r="M1619" s="5" t="n"/>
      <c r="N1619" s="5" t="n"/>
      <c r="O1619" s="5" t="n"/>
      <c r="P1619" s="5" t="n"/>
      <c r="Q1619" s="5" t="n"/>
      <c r="R1619" s="5" t="n"/>
      <c r="S1619" s="5" t="n"/>
      <c r="T1619" s="5" t="n"/>
      <c r="U1619" s="5" t="n"/>
      <c r="V1619" s="5" t="n"/>
      <c r="W1619" s="5" t="n"/>
      <c r="X1619" s="5" t="n"/>
      <c r="Y1619" s="5" t="n"/>
      <c r="Z1619" s="5" t="n"/>
      <c r="AA1619" s="5" t="n"/>
      <c r="AB1619" s="5" t="n"/>
    </row>
    <row r="1620" ht="15.75" customHeight="1" s="79">
      <c r="A1620" s="5" t="n"/>
      <c r="B1620" s="5" t="n"/>
      <c r="C1620" s="5" t="n"/>
      <c r="D1620" s="5" t="n"/>
      <c r="E1620" s="5" t="n"/>
      <c r="F1620" s="5" t="n"/>
      <c r="G1620" s="5" t="n"/>
      <c r="H1620" s="5" t="n"/>
      <c r="I1620" s="5" t="n"/>
      <c r="J1620" s="5" t="n"/>
      <c r="K1620" s="5" t="n"/>
      <c r="L1620" s="5" t="n"/>
      <c r="M1620" s="5" t="n"/>
      <c r="N1620" s="5" t="n"/>
      <c r="O1620" s="5" t="n"/>
      <c r="P1620" s="5" t="n"/>
      <c r="Q1620" s="5" t="n"/>
      <c r="R1620" s="5" t="n"/>
      <c r="S1620" s="5" t="n"/>
      <c r="T1620" s="5" t="n"/>
      <c r="U1620" s="5" t="n"/>
      <c r="V1620" s="5" t="n"/>
      <c r="W1620" s="5" t="n"/>
      <c r="X1620" s="5" t="n"/>
      <c r="Y1620" s="5" t="n"/>
      <c r="Z1620" s="5" t="n"/>
      <c r="AA1620" s="5" t="n"/>
      <c r="AB1620" s="5" t="n"/>
    </row>
    <row r="1621" ht="15.75" customHeight="1" s="79">
      <c r="A1621" s="5" t="n"/>
      <c r="B1621" s="5" t="n"/>
      <c r="C1621" s="5" t="n"/>
      <c r="D1621" s="5" t="n"/>
      <c r="E1621" s="5" t="n"/>
      <c r="F1621" s="5" t="n"/>
      <c r="G1621" s="5" t="n"/>
      <c r="H1621" s="5" t="n"/>
      <c r="I1621" s="5" t="n"/>
      <c r="J1621" s="5" t="n"/>
      <c r="K1621" s="5" t="n"/>
      <c r="L1621" s="5" t="n"/>
      <c r="M1621" s="5" t="n"/>
      <c r="N1621" s="5" t="n"/>
      <c r="O1621" s="5" t="n"/>
      <c r="P1621" s="5" t="n"/>
      <c r="Q1621" s="5" t="n"/>
      <c r="R1621" s="5" t="n"/>
      <c r="S1621" s="5" t="n"/>
      <c r="T1621" s="5" t="n"/>
      <c r="U1621" s="5" t="n"/>
      <c r="V1621" s="5" t="n"/>
      <c r="W1621" s="5" t="n"/>
      <c r="X1621" s="5" t="n"/>
      <c r="Y1621" s="5" t="n"/>
      <c r="Z1621" s="5" t="n"/>
      <c r="AA1621" s="5" t="n"/>
      <c r="AB1621" s="5" t="n"/>
    </row>
    <row r="1622" ht="15.75" customHeight="1" s="79">
      <c r="A1622" s="5" t="n"/>
      <c r="B1622" s="5" t="n"/>
      <c r="C1622" s="5" t="n"/>
      <c r="D1622" s="5" t="n"/>
      <c r="E1622" s="5" t="n"/>
      <c r="F1622" s="5" t="n"/>
      <c r="G1622" s="5" t="n"/>
      <c r="H1622" s="5" t="n"/>
      <c r="I1622" s="5" t="n"/>
      <c r="J1622" s="5" t="n"/>
      <c r="K1622" s="5" t="n"/>
      <c r="L1622" s="5" t="n"/>
      <c r="M1622" s="5" t="n"/>
      <c r="N1622" s="5" t="n"/>
      <c r="O1622" s="5" t="n"/>
      <c r="P1622" s="5" t="n"/>
      <c r="Q1622" s="5" t="n"/>
      <c r="R1622" s="5" t="n"/>
      <c r="S1622" s="5" t="n"/>
      <c r="T1622" s="5" t="n"/>
      <c r="U1622" s="5" t="n"/>
      <c r="V1622" s="5" t="n"/>
      <c r="W1622" s="5" t="n"/>
      <c r="X1622" s="5" t="n"/>
      <c r="Y1622" s="5" t="n"/>
      <c r="Z1622" s="5" t="n"/>
      <c r="AA1622" s="5" t="n"/>
      <c r="AB1622" s="5" t="n"/>
    </row>
    <row r="1623" ht="15.75" customHeight="1" s="79">
      <c r="A1623" s="5" t="n"/>
      <c r="B1623" s="5" t="n"/>
      <c r="C1623" s="5" t="n"/>
      <c r="D1623" s="5" t="n"/>
      <c r="E1623" s="5" t="n"/>
      <c r="F1623" s="5" t="n"/>
      <c r="G1623" s="5" t="n"/>
      <c r="H1623" s="5" t="n"/>
      <c r="I1623" s="5" t="n"/>
      <c r="J1623" s="5" t="n"/>
      <c r="K1623" s="5" t="n"/>
      <c r="L1623" s="5" t="n"/>
      <c r="M1623" s="5" t="n"/>
      <c r="N1623" s="5" t="n"/>
      <c r="O1623" s="5" t="n"/>
      <c r="P1623" s="5" t="n"/>
      <c r="Q1623" s="5" t="n"/>
      <c r="R1623" s="5" t="n"/>
      <c r="S1623" s="5" t="n"/>
      <c r="T1623" s="5" t="n"/>
      <c r="U1623" s="5" t="n"/>
      <c r="V1623" s="5" t="n"/>
      <c r="W1623" s="5" t="n"/>
      <c r="X1623" s="5" t="n"/>
      <c r="Y1623" s="5" t="n"/>
      <c r="Z1623" s="5" t="n"/>
      <c r="AA1623" s="5" t="n"/>
      <c r="AB1623" s="5" t="n"/>
    </row>
    <row r="1624" ht="30" customHeight="1" s="79">
      <c r="A1624" s="34" t="inlineStr">
        <is>
          <t>Segment</t>
        </is>
      </c>
      <c r="B1624" s="34" t="inlineStr">
        <is>
          <t>Funded $</t>
        </is>
      </c>
      <c r="C1624" s="34" t="inlineStr">
        <is>
          <t>Collected $</t>
        </is>
      </c>
      <c r="D1624" s="34" t="inlineStr">
        <is>
          <t>Net profit / loss $</t>
        </is>
      </c>
      <c r="E1624" s="34" t="inlineStr">
        <is>
          <t>Commission $</t>
        </is>
      </c>
      <c r="F1624" s="34" t="inlineStr">
        <is>
          <t>Principal lost $</t>
        </is>
      </c>
      <c r="G1624" s="34" t="inlineStr">
        <is>
          <t>Principal default exposure - removed: 100% or 0% by status definition</t>
        </is>
      </c>
      <c r="H1624" s="34" t="inlineStr">
        <is>
          <t>Recovery rate</t>
        </is>
      </c>
      <c r="I1624" s="34" t="inlineStr">
        <is>
          <t>Return on funded capital (%)</t>
        </is>
      </c>
      <c r="J1624" s="34" t="inlineStr">
        <is>
          <t>Deals</t>
        </is>
      </c>
      <c r="K1624" s="34" t="inlineStr">
        <is>
          <t>Share of funded dollars</t>
        </is>
      </c>
      <c r="L1624" s="34" t="inlineStr">
        <is>
          <t>Avg deal size</t>
        </is>
      </c>
      <c r="M1624" s="34" t="inlineStr">
        <is>
          <t>Avg expected term (business days)</t>
        </is>
      </c>
      <c r="N1624" s="34" t="inlineStr">
        <is>
          <t>Avg expected term (payments)</t>
        </is>
      </c>
      <c r="O1624" s="34" t="inlineStr">
        <is>
          <t>Avg days on book, defaulted</t>
        </is>
      </c>
      <c r="P1624" s="34" t="inlineStr">
        <is>
          <t>Avg days to close</t>
        </is>
      </c>
      <c r="Q1624" s="34" t="inlineStr">
        <is>
          <t>% of deals that were renewals</t>
        </is>
      </c>
      <c r="R1624" s="34" t="inlineStr">
        <is>
          <t>% of funded dollars from renewals</t>
        </is>
      </c>
      <c r="S1624" s="34" t="inlineStr">
        <is>
          <t>Book default exposure</t>
        </is>
      </c>
      <c r="T1624" s="34" t="inlineStr">
        <is>
          <t>Book recovery</t>
        </is>
      </c>
      <c r="U1624" s="34" t="inlineStr">
        <is>
          <t>Book return on funded capital</t>
        </is>
      </c>
      <c r="V1624" s="34" t="inlineStr">
        <is>
          <t>Default rate (#) - removed: 100% or 0% by status definition</t>
        </is>
      </c>
      <c r="W1624" s="5" t="n"/>
      <c r="X1624" s="5" t="n"/>
      <c r="Y1624" s="5" t="n"/>
      <c r="Z1624" s="5" t="n"/>
      <c r="AA1624" s="5" t="n"/>
      <c r="AB1624" s="5" t="n"/>
    </row>
    <row r="1625" ht="15.75" customHeight="1" s="79">
      <c r="A1625" s="5">
        <f>IFERROR(Calc!$A$234,"")</f>
        <v/>
      </c>
      <c r="B1625" s="20">
        <f>IFERROR(Calc!B234,"")</f>
        <v/>
      </c>
      <c r="C1625" s="20">
        <f>IFERROR(Calc!C234,"")</f>
        <v/>
      </c>
      <c r="D1625" s="20">
        <f>IFERROR(Calc!D234,"")</f>
        <v/>
      </c>
      <c r="E1625" s="20">
        <f>IFERROR(Calc!E234,"")</f>
        <v/>
      </c>
      <c r="F1625" s="20">
        <f>IFERROR(Calc!F234,"")</f>
        <v/>
      </c>
      <c r="G1625" s="21" t="n"/>
      <c r="H1625" s="21">
        <f>IFERROR(Calc!H234,"")</f>
        <v/>
      </c>
      <c r="I1625" s="21">
        <f>IFERROR(Calc!I234,"")</f>
        <v/>
      </c>
      <c r="J1625" s="17">
        <f>IFERROR(Calc!J234,"")</f>
        <v/>
      </c>
      <c r="K1625" s="21">
        <f>IFERROR(Calc!K234,"")</f>
        <v/>
      </c>
      <c r="L1625" s="20">
        <f>IFERROR(Calc!L234,"")</f>
        <v/>
      </c>
      <c r="M1625" s="17">
        <f>IFERROR(Calc!M234,"")</f>
        <v/>
      </c>
      <c r="N1625" s="17">
        <f>IFERROR(Calc!N234,"")</f>
        <v/>
      </c>
      <c r="O1625" s="17">
        <f>IFERROR(Calc!O234,"")</f>
        <v/>
      </c>
      <c r="P1625" s="17">
        <f>IFERROR(Calc!P234,"")</f>
        <v/>
      </c>
      <c r="Q1625" s="21">
        <f>IFERROR(Calc!Q234,"")</f>
        <v/>
      </c>
      <c r="R1625" s="21">
        <f>IFERROR(Calc!R234,"")</f>
        <v/>
      </c>
      <c r="S1625" s="21">
        <f>IFERROR(Calc!S234,"")</f>
        <v/>
      </c>
      <c r="T1625" s="21">
        <f>IFERROR(Calc!T234,"")</f>
        <v/>
      </c>
      <c r="U1625" s="21">
        <f>IFERROR(Calc!U234,"")</f>
        <v/>
      </c>
      <c r="V1625" s="21" t="n"/>
      <c r="W1625" s="5" t="n"/>
      <c r="X1625" s="5" t="n"/>
      <c r="Y1625" s="5" t="n"/>
      <c r="Z1625" s="5" t="n"/>
      <c r="AA1625" s="5" t="n"/>
      <c r="AB1625" s="5" t="n"/>
    </row>
    <row r="1626" ht="15.75" customHeight="1" s="79">
      <c r="A1626" s="5">
        <f>IFERROR(Calc!$A$235,"")</f>
        <v/>
      </c>
      <c r="B1626" s="20">
        <f>IFERROR(Calc!B235,"")</f>
        <v/>
      </c>
      <c r="C1626" s="20">
        <f>IFERROR(Calc!C235,"")</f>
        <v/>
      </c>
      <c r="D1626" s="20">
        <f>IFERROR(Calc!D235,"")</f>
        <v/>
      </c>
      <c r="E1626" s="20">
        <f>IFERROR(Calc!E235,"")</f>
        <v/>
      </c>
      <c r="F1626" s="20">
        <f>IFERROR(Calc!F235,"")</f>
        <v/>
      </c>
      <c r="G1626" s="21" t="n"/>
      <c r="H1626" s="21">
        <f>IFERROR(Calc!H235,"")</f>
        <v/>
      </c>
      <c r="I1626" s="21">
        <f>IFERROR(Calc!I235,"")</f>
        <v/>
      </c>
      <c r="J1626" s="17">
        <f>IFERROR(Calc!J235,"")</f>
        <v/>
      </c>
      <c r="K1626" s="21">
        <f>IFERROR(Calc!K235,"")</f>
        <v/>
      </c>
      <c r="L1626" s="20">
        <f>IFERROR(Calc!L235,"")</f>
        <v/>
      </c>
      <c r="M1626" s="17">
        <f>IFERROR(Calc!M235,"")</f>
        <v/>
      </c>
      <c r="N1626" s="17">
        <f>IFERROR(Calc!N235,"")</f>
        <v/>
      </c>
      <c r="O1626" s="17">
        <f>IFERROR(Calc!O235,"")</f>
        <v/>
      </c>
      <c r="P1626" s="17">
        <f>IFERROR(Calc!P235,"")</f>
        <v/>
      </c>
      <c r="Q1626" s="21">
        <f>IFERROR(Calc!Q235,"")</f>
        <v/>
      </c>
      <c r="R1626" s="21">
        <f>IFERROR(Calc!R235,"")</f>
        <v/>
      </c>
      <c r="S1626" s="21">
        <f>IFERROR(Calc!S235,"")</f>
        <v/>
      </c>
      <c r="T1626" s="21">
        <f>IFERROR(Calc!T235,"")</f>
        <v/>
      </c>
      <c r="U1626" s="21">
        <f>IFERROR(Calc!U235,"")</f>
        <v/>
      </c>
      <c r="V1626" s="21" t="n"/>
      <c r="W1626" s="5" t="n"/>
      <c r="X1626" s="5" t="n"/>
      <c r="Y1626" s="5" t="n"/>
      <c r="Z1626" s="5" t="n"/>
      <c r="AA1626" s="5" t="n"/>
      <c r="AB1626" s="5" t="n"/>
    </row>
    <row r="1627" ht="15.75" customHeight="1" s="79">
      <c r="A1627" s="5">
        <f>IFERROR(Calc!$A$236,"")</f>
        <v/>
      </c>
      <c r="B1627" s="20">
        <f>IFERROR(Calc!B236,"")</f>
        <v/>
      </c>
      <c r="C1627" s="20">
        <f>IFERROR(Calc!C236,"")</f>
        <v/>
      </c>
      <c r="D1627" s="20">
        <f>IFERROR(Calc!D236,"")</f>
        <v/>
      </c>
      <c r="E1627" s="20">
        <f>IFERROR(Calc!E236,"")</f>
        <v/>
      </c>
      <c r="F1627" s="20">
        <f>IFERROR(Calc!F236,"")</f>
        <v/>
      </c>
      <c r="G1627" s="21" t="n"/>
      <c r="H1627" s="21">
        <f>IFERROR(Calc!H236,"")</f>
        <v/>
      </c>
      <c r="I1627" s="21">
        <f>IFERROR(Calc!I236,"")</f>
        <v/>
      </c>
      <c r="J1627" s="17">
        <f>IFERROR(Calc!J236,"")</f>
        <v/>
      </c>
      <c r="K1627" s="21">
        <f>IFERROR(Calc!K236,"")</f>
        <v/>
      </c>
      <c r="L1627" s="20">
        <f>IFERROR(Calc!L236,"")</f>
        <v/>
      </c>
      <c r="M1627" s="17">
        <f>IFERROR(Calc!M236,"")</f>
        <v/>
      </c>
      <c r="N1627" s="17">
        <f>IFERROR(Calc!N236,"")</f>
        <v/>
      </c>
      <c r="O1627" s="17">
        <f>IFERROR(Calc!O236,"")</f>
        <v/>
      </c>
      <c r="P1627" s="17">
        <f>IFERROR(Calc!P236,"")</f>
        <v/>
      </c>
      <c r="Q1627" s="21">
        <f>IFERROR(Calc!Q236,"")</f>
        <v/>
      </c>
      <c r="R1627" s="21">
        <f>IFERROR(Calc!R236,"")</f>
        <v/>
      </c>
      <c r="S1627" s="21">
        <f>IFERROR(Calc!S236,"")</f>
        <v/>
      </c>
      <c r="T1627" s="21">
        <f>IFERROR(Calc!T236,"")</f>
        <v/>
      </c>
      <c r="U1627" s="21">
        <f>IFERROR(Calc!U236,"")</f>
        <v/>
      </c>
      <c r="V1627" s="21" t="n"/>
      <c r="W1627" s="5" t="n"/>
      <c r="X1627" s="5" t="n"/>
      <c r="Y1627" s="5" t="n"/>
      <c r="Z1627" s="5" t="n"/>
      <c r="AA1627" s="5" t="n"/>
      <c r="AB1627" s="5" t="n"/>
    </row>
    <row r="1628" ht="15.75" customHeight="1" s="79">
      <c r="A1628" s="5">
        <f>IFERROR(Calc!$A$237,"")</f>
        <v/>
      </c>
      <c r="B1628" s="20">
        <f>IFERROR(Calc!B237,"")</f>
        <v/>
      </c>
      <c r="C1628" s="20">
        <f>IFERROR(Calc!C237,"")</f>
        <v/>
      </c>
      <c r="D1628" s="20">
        <f>IFERROR(Calc!D237,"")</f>
        <v/>
      </c>
      <c r="E1628" s="20">
        <f>IFERROR(Calc!E237,"")</f>
        <v/>
      </c>
      <c r="F1628" s="20">
        <f>IFERROR(Calc!F237,"")</f>
        <v/>
      </c>
      <c r="G1628" s="21" t="n"/>
      <c r="H1628" s="21">
        <f>IFERROR(Calc!H237,"")</f>
        <v/>
      </c>
      <c r="I1628" s="21">
        <f>IFERROR(Calc!I237,"")</f>
        <v/>
      </c>
      <c r="J1628" s="17">
        <f>IFERROR(Calc!J237,"")</f>
        <v/>
      </c>
      <c r="K1628" s="21">
        <f>IFERROR(Calc!K237,"")</f>
        <v/>
      </c>
      <c r="L1628" s="20">
        <f>IFERROR(Calc!L237,"")</f>
        <v/>
      </c>
      <c r="M1628" s="17">
        <f>IFERROR(Calc!M237,"")</f>
        <v/>
      </c>
      <c r="N1628" s="17">
        <f>IFERROR(Calc!N237,"")</f>
        <v/>
      </c>
      <c r="O1628" s="17">
        <f>IFERROR(Calc!O237,"")</f>
        <v/>
      </c>
      <c r="P1628" s="17">
        <f>IFERROR(Calc!P237,"")</f>
        <v/>
      </c>
      <c r="Q1628" s="21">
        <f>IFERROR(Calc!Q237,"")</f>
        <v/>
      </c>
      <c r="R1628" s="21">
        <f>IFERROR(Calc!R237,"")</f>
        <v/>
      </c>
      <c r="S1628" s="21">
        <f>IFERROR(Calc!S237,"")</f>
        <v/>
      </c>
      <c r="T1628" s="21">
        <f>IFERROR(Calc!T237,"")</f>
        <v/>
      </c>
      <c r="U1628" s="21">
        <f>IFERROR(Calc!U237,"")</f>
        <v/>
      </c>
      <c r="V1628" s="21" t="n"/>
      <c r="W1628" s="5" t="n"/>
      <c r="X1628" s="5" t="n"/>
      <c r="Y1628" s="5" t="n"/>
      <c r="Z1628" s="5" t="n"/>
      <c r="AA1628" s="5" t="n"/>
      <c r="AB1628" s="5" t="n"/>
    </row>
    <row r="1629" ht="15.75" customHeight="1" s="79">
      <c r="A1629" s="5">
        <f>IFERROR(Calc!$A$238,"")</f>
        <v/>
      </c>
      <c r="B1629" s="20">
        <f>IFERROR(Calc!B238,"")</f>
        <v/>
      </c>
      <c r="C1629" s="20">
        <f>IFERROR(Calc!C238,"")</f>
        <v/>
      </c>
      <c r="D1629" s="20">
        <f>IFERROR(Calc!D238,"")</f>
        <v/>
      </c>
      <c r="E1629" s="20">
        <f>IFERROR(Calc!E238,"")</f>
        <v/>
      </c>
      <c r="F1629" s="20">
        <f>IFERROR(Calc!F238,"")</f>
        <v/>
      </c>
      <c r="G1629" s="21" t="n"/>
      <c r="H1629" s="21">
        <f>IFERROR(Calc!H238,"")</f>
        <v/>
      </c>
      <c r="I1629" s="21">
        <f>IFERROR(Calc!I238,"")</f>
        <v/>
      </c>
      <c r="J1629" s="17">
        <f>IFERROR(Calc!J238,"")</f>
        <v/>
      </c>
      <c r="K1629" s="21">
        <f>IFERROR(Calc!K238,"")</f>
        <v/>
      </c>
      <c r="L1629" s="20">
        <f>IFERROR(Calc!L238,"")</f>
        <v/>
      </c>
      <c r="M1629" s="17">
        <f>IFERROR(Calc!M238,"")</f>
        <v/>
      </c>
      <c r="N1629" s="17">
        <f>IFERROR(Calc!N238,"")</f>
        <v/>
      </c>
      <c r="O1629" s="17">
        <f>IFERROR(Calc!O238,"")</f>
        <v/>
      </c>
      <c r="P1629" s="17">
        <f>IFERROR(Calc!P238,"")</f>
        <v/>
      </c>
      <c r="Q1629" s="21">
        <f>IFERROR(Calc!Q238,"")</f>
        <v/>
      </c>
      <c r="R1629" s="21">
        <f>IFERROR(Calc!R238,"")</f>
        <v/>
      </c>
      <c r="S1629" s="21">
        <f>IFERROR(Calc!S238,"")</f>
        <v/>
      </c>
      <c r="T1629" s="21">
        <f>IFERROR(Calc!T238,"")</f>
        <v/>
      </c>
      <c r="U1629" s="21">
        <f>IFERROR(Calc!U238,"")</f>
        <v/>
      </c>
      <c r="V1629" s="21" t="n"/>
      <c r="W1629" s="5" t="n"/>
      <c r="X1629" s="5" t="n"/>
      <c r="Y1629" s="5" t="n"/>
      <c r="Z1629" s="5" t="n"/>
      <c r="AA1629" s="5" t="n"/>
      <c r="AB1629" s="5" t="n"/>
    </row>
    <row r="1630" ht="15.75" customHeight="1" s="79">
      <c r="A1630" s="5">
        <f>IFERROR(Calc!$A$239,"")</f>
        <v/>
      </c>
      <c r="B1630" s="20">
        <f>IFERROR(Calc!B239,"")</f>
        <v/>
      </c>
      <c r="C1630" s="20">
        <f>IFERROR(Calc!C239,"")</f>
        <v/>
      </c>
      <c r="D1630" s="20">
        <f>IFERROR(Calc!D239,"")</f>
        <v/>
      </c>
      <c r="E1630" s="20">
        <f>IFERROR(Calc!E239,"")</f>
        <v/>
      </c>
      <c r="F1630" s="20">
        <f>IFERROR(Calc!F239,"")</f>
        <v/>
      </c>
      <c r="G1630" s="21" t="n"/>
      <c r="H1630" s="21">
        <f>IFERROR(Calc!H239,"")</f>
        <v/>
      </c>
      <c r="I1630" s="21">
        <f>IFERROR(Calc!I239,"")</f>
        <v/>
      </c>
      <c r="J1630" s="17">
        <f>IFERROR(Calc!J239,"")</f>
        <v/>
      </c>
      <c r="K1630" s="21">
        <f>IFERROR(Calc!K239,"")</f>
        <v/>
      </c>
      <c r="L1630" s="20">
        <f>IFERROR(Calc!L239,"")</f>
        <v/>
      </c>
      <c r="M1630" s="17">
        <f>IFERROR(Calc!M239,"")</f>
        <v/>
      </c>
      <c r="N1630" s="17">
        <f>IFERROR(Calc!N239,"")</f>
        <v/>
      </c>
      <c r="O1630" s="17">
        <f>IFERROR(Calc!O239,"")</f>
        <v/>
      </c>
      <c r="P1630" s="17">
        <f>IFERROR(Calc!P239,"")</f>
        <v/>
      </c>
      <c r="Q1630" s="21">
        <f>IFERROR(Calc!Q239,"")</f>
        <v/>
      </c>
      <c r="R1630" s="21">
        <f>IFERROR(Calc!R239,"")</f>
        <v/>
      </c>
      <c r="S1630" s="21">
        <f>IFERROR(Calc!S239,"")</f>
        <v/>
      </c>
      <c r="T1630" s="21">
        <f>IFERROR(Calc!T239,"")</f>
        <v/>
      </c>
      <c r="U1630" s="21">
        <f>IFERROR(Calc!U239,"")</f>
        <v/>
      </c>
      <c r="V1630" s="21" t="n"/>
      <c r="W1630" s="5" t="n"/>
      <c r="X1630" s="5" t="n"/>
      <c r="Y1630" s="5" t="n"/>
      <c r="Z1630" s="5" t="n"/>
      <c r="AA1630" s="5" t="n"/>
      <c r="AB1630" s="5" t="n"/>
    </row>
    <row r="1631" ht="15.75" customHeight="1" s="79">
      <c r="A1631" s="5">
        <f>IFERROR(Calc!$A$240,"")</f>
        <v/>
      </c>
      <c r="B1631" s="20">
        <f>IFERROR(Calc!B240,"")</f>
        <v/>
      </c>
      <c r="C1631" s="20">
        <f>IFERROR(Calc!C240,"")</f>
        <v/>
      </c>
      <c r="D1631" s="20">
        <f>IFERROR(Calc!D240,"")</f>
        <v/>
      </c>
      <c r="E1631" s="20">
        <f>IFERROR(Calc!E240,"")</f>
        <v/>
      </c>
      <c r="F1631" s="20">
        <f>IFERROR(Calc!F240,"")</f>
        <v/>
      </c>
      <c r="G1631" s="21" t="n"/>
      <c r="H1631" s="21">
        <f>IFERROR(Calc!H240,"")</f>
        <v/>
      </c>
      <c r="I1631" s="21">
        <f>IFERROR(Calc!I240,"")</f>
        <v/>
      </c>
      <c r="J1631" s="17">
        <f>IFERROR(Calc!J240,"")</f>
        <v/>
      </c>
      <c r="K1631" s="21">
        <f>IFERROR(Calc!K240,"")</f>
        <v/>
      </c>
      <c r="L1631" s="20">
        <f>IFERROR(Calc!L240,"")</f>
        <v/>
      </c>
      <c r="M1631" s="17">
        <f>IFERROR(Calc!M240,"")</f>
        <v/>
      </c>
      <c r="N1631" s="17">
        <f>IFERROR(Calc!N240,"")</f>
        <v/>
      </c>
      <c r="O1631" s="17">
        <f>IFERROR(Calc!O240,"")</f>
        <v/>
      </c>
      <c r="P1631" s="17">
        <f>IFERROR(Calc!P240,"")</f>
        <v/>
      </c>
      <c r="Q1631" s="21">
        <f>IFERROR(Calc!Q240,"")</f>
        <v/>
      </c>
      <c r="R1631" s="21">
        <f>IFERROR(Calc!R240,"")</f>
        <v/>
      </c>
      <c r="S1631" s="21">
        <f>IFERROR(Calc!S240,"")</f>
        <v/>
      </c>
      <c r="T1631" s="21">
        <f>IFERROR(Calc!T240,"")</f>
        <v/>
      </c>
      <c r="U1631" s="21">
        <f>IFERROR(Calc!U240,"")</f>
        <v/>
      </c>
      <c r="V1631" s="21" t="n"/>
      <c r="W1631" s="5" t="n"/>
      <c r="X1631" s="5" t="n"/>
      <c r="Y1631" s="5" t="n"/>
      <c r="Z1631" s="5" t="n"/>
      <c r="AA1631" s="5" t="n"/>
      <c r="AB1631" s="5" t="n"/>
    </row>
    <row r="1632" ht="15.75" customHeight="1" s="79">
      <c r="A1632" s="5">
        <f>IFERROR(Calc!$A$241,"")</f>
        <v/>
      </c>
      <c r="B1632" s="20">
        <f>IFERROR(Calc!B241,"")</f>
        <v/>
      </c>
      <c r="C1632" s="20">
        <f>IFERROR(Calc!C241,"")</f>
        <v/>
      </c>
      <c r="D1632" s="20">
        <f>IFERROR(Calc!D241,"")</f>
        <v/>
      </c>
      <c r="E1632" s="20">
        <f>IFERROR(Calc!E241,"")</f>
        <v/>
      </c>
      <c r="F1632" s="20">
        <f>IFERROR(Calc!F241,"")</f>
        <v/>
      </c>
      <c r="G1632" s="21" t="n"/>
      <c r="H1632" s="21">
        <f>IFERROR(Calc!H241,"")</f>
        <v/>
      </c>
      <c r="I1632" s="21">
        <f>IFERROR(Calc!I241,"")</f>
        <v/>
      </c>
      <c r="J1632" s="17">
        <f>IFERROR(Calc!J241,"")</f>
        <v/>
      </c>
      <c r="K1632" s="21">
        <f>IFERROR(Calc!K241,"")</f>
        <v/>
      </c>
      <c r="L1632" s="20">
        <f>IFERROR(Calc!L241,"")</f>
        <v/>
      </c>
      <c r="M1632" s="17">
        <f>IFERROR(Calc!M241,"")</f>
        <v/>
      </c>
      <c r="N1632" s="17">
        <f>IFERROR(Calc!N241,"")</f>
        <v/>
      </c>
      <c r="O1632" s="17">
        <f>IFERROR(Calc!O241,"")</f>
        <v/>
      </c>
      <c r="P1632" s="17">
        <f>IFERROR(Calc!P241,"")</f>
        <v/>
      </c>
      <c r="Q1632" s="21">
        <f>IFERROR(Calc!Q241,"")</f>
        <v/>
      </c>
      <c r="R1632" s="21">
        <f>IFERROR(Calc!R241,"")</f>
        <v/>
      </c>
      <c r="S1632" s="21">
        <f>IFERROR(Calc!S241,"")</f>
        <v/>
      </c>
      <c r="T1632" s="21">
        <f>IFERROR(Calc!T241,"")</f>
        <v/>
      </c>
      <c r="U1632" s="21">
        <f>IFERROR(Calc!U241,"")</f>
        <v/>
      </c>
      <c r="V1632" s="21" t="n"/>
      <c r="W1632" s="5" t="n"/>
      <c r="X1632" s="5" t="n"/>
      <c r="Y1632" s="5" t="n"/>
      <c r="Z1632" s="5" t="n"/>
      <c r="AA1632" s="5" t="n"/>
      <c r="AB1632" s="5" t="n"/>
    </row>
    <row r="1633" ht="15.75" customHeight="1" s="79">
      <c r="A1633" s="5">
        <f>IFERROR(Calc!$A$242,"")</f>
        <v/>
      </c>
      <c r="B1633" s="20">
        <f>IFERROR(Calc!B242,"")</f>
        <v/>
      </c>
      <c r="C1633" s="20">
        <f>IFERROR(Calc!C242,"")</f>
        <v/>
      </c>
      <c r="D1633" s="20">
        <f>IFERROR(Calc!D242,"")</f>
        <v/>
      </c>
      <c r="E1633" s="20">
        <f>IFERROR(Calc!E242,"")</f>
        <v/>
      </c>
      <c r="F1633" s="20">
        <f>IFERROR(Calc!F242,"")</f>
        <v/>
      </c>
      <c r="G1633" s="21" t="n"/>
      <c r="H1633" s="21">
        <f>IFERROR(Calc!H242,"")</f>
        <v/>
      </c>
      <c r="I1633" s="21">
        <f>IFERROR(Calc!I242,"")</f>
        <v/>
      </c>
      <c r="J1633" s="17">
        <f>IFERROR(Calc!J242,"")</f>
        <v/>
      </c>
      <c r="K1633" s="21">
        <f>IFERROR(Calc!K242,"")</f>
        <v/>
      </c>
      <c r="L1633" s="20">
        <f>IFERROR(Calc!L242,"")</f>
        <v/>
      </c>
      <c r="M1633" s="17">
        <f>IFERROR(Calc!M242,"")</f>
        <v/>
      </c>
      <c r="N1633" s="17">
        <f>IFERROR(Calc!N242,"")</f>
        <v/>
      </c>
      <c r="O1633" s="17">
        <f>IFERROR(Calc!O242,"")</f>
        <v/>
      </c>
      <c r="P1633" s="17">
        <f>IFERROR(Calc!P242,"")</f>
        <v/>
      </c>
      <c r="Q1633" s="21">
        <f>IFERROR(Calc!Q242,"")</f>
        <v/>
      </c>
      <c r="R1633" s="21">
        <f>IFERROR(Calc!R242,"")</f>
        <v/>
      </c>
      <c r="S1633" s="21">
        <f>IFERROR(Calc!S242,"")</f>
        <v/>
      </c>
      <c r="T1633" s="21">
        <f>IFERROR(Calc!T242,"")</f>
        <v/>
      </c>
      <c r="U1633" s="21">
        <f>IFERROR(Calc!U242,"")</f>
        <v/>
      </c>
      <c r="V1633" s="21" t="n"/>
      <c r="W1633" s="5" t="n"/>
      <c r="X1633" s="5" t="n"/>
      <c r="Y1633" s="5" t="n"/>
      <c r="Z1633" s="5" t="n"/>
      <c r="AA1633" s="5" t="n"/>
      <c r="AB1633" s="5" t="n"/>
    </row>
    <row r="1634" ht="15.75" customHeight="1" s="79">
      <c r="A1634" s="5">
        <f>IFERROR(Calc!$A$243,"")</f>
        <v/>
      </c>
      <c r="B1634" s="20">
        <f>IFERROR(Calc!B243,"")</f>
        <v/>
      </c>
      <c r="C1634" s="20">
        <f>IFERROR(Calc!C243,"")</f>
        <v/>
      </c>
      <c r="D1634" s="20">
        <f>IFERROR(Calc!D243,"")</f>
        <v/>
      </c>
      <c r="E1634" s="20">
        <f>IFERROR(Calc!E243,"")</f>
        <v/>
      </c>
      <c r="F1634" s="20">
        <f>IFERROR(Calc!F243,"")</f>
        <v/>
      </c>
      <c r="G1634" s="21" t="n"/>
      <c r="H1634" s="21">
        <f>IFERROR(Calc!H243,"")</f>
        <v/>
      </c>
      <c r="I1634" s="21">
        <f>IFERROR(Calc!I243,"")</f>
        <v/>
      </c>
      <c r="J1634" s="17">
        <f>IFERROR(Calc!J243,"")</f>
        <v/>
      </c>
      <c r="K1634" s="21">
        <f>IFERROR(Calc!K243,"")</f>
        <v/>
      </c>
      <c r="L1634" s="20">
        <f>IFERROR(Calc!L243,"")</f>
        <v/>
      </c>
      <c r="M1634" s="17">
        <f>IFERROR(Calc!M243,"")</f>
        <v/>
      </c>
      <c r="N1634" s="17">
        <f>IFERROR(Calc!N243,"")</f>
        <v/>
      </c>
      <c r="O1634" s="17">
        <f>IFERROR(Calc!O243,"")</f>
        <v/>
      </c>
      <c r="P1634" s="17">
        <f>IFERROR(Calc!P243,"")</f>
        <v/>
      </c>
      <c r="Q1634" s="21">
        <f>IFERROR(Calc!Q243,"")</f>
        <v/>
      </c>
      <c r="R1634" s="21">
        <f>IFERROR(Calc!R243,"")</f>
        <v/>
      </c>
      <c r="S1634" s="21">
        <f>IFERROR(Calc!S243,"")</f>
        <v/>
      </c>
      <c r="T1634" s="21">
        <f>IFERROR(Calc!T243,"")</f>
        <v/>
      </c>
      <c r="U1634" s="21">
        <f>IFERROR(Calc!U243,"")</f>
        <v/>
      </c>
      <c r="V1634" s="21" t="n"/>
      <c r="W1634" s="5" t="n"/>
      <c r="X1634" s="5" t="n"/>
      <c r="Y1634" s="5" t="n"/>
      <c r="Z1634" s="5" t="n"/>
      <c r="AA1634" s="5" t="n"/>
      <c r="AB1634" s="5" t="n"/>
    </row>
    <row r="1635" ht="15.75" customHeight="1" s="79">
      <c r="A1635" s="5">
        <f>IFERROR(Calc!$A$244,"")</f>
        <v/>
      </c>
      <c r="B1635" s="20">
        <f>IFERROR(Calc!B244,"")</f>
        <v/>
      </c>
      <c r="C1635" s="20">
        <f>IFERROR(Calc!C244,"")</f>
        <v/>
      </c>
      <c r="D1635" s="20">
        <f>IFERROR(Calc!D244,"")</f>
        <v/>
      </c>
      <c r="E1635" s="20">
        <f>IFERROR(Calc!E244,"")</f>
        <v/>
      </c>
      <c r="F1635" s="20">
        <f>IFERROR(Calc!F244,"")</f>
        <v/>
      </c>
      <c r="G1635" s="21" t="n"/>
      <c r="H1635" s="21">
        <f>IFERROR(Calc!H244,"")</f>
        <v/>
      </c>
      <c r="I1635" s="21">
        <f>IFERROR(Calc!I244,"")</f>
        <v/>
      </c>
      <c r="J1635" s="17">
        <f>IFERROR(Calc!J244,"")</f>
        <v/>
      </c>
      <c r="K1635" s="21">
        <f>IFERROR(Calc!K244,"")</f>
        <v/>
      </c>
      <c r="L1635" s="20">
        <f>IFERROR(Calc!L244,"")</f>
        <v/>
      </c>
      <c r="M1635" s="17">
        <f>IFERROR(Calc!M244,"")</f>
        <v/>
      </c>
      <c r="N1635" s="17">
        <f>IFERROR(Calc!N244,"")</f>
        <v/>
      </c>
      <c r="O1635" s="17">
        <f>IFERROR(Calc!O244,"")</f>
        <v/>
      </c>
      <c r="P1635" s="17">
        <f>IFERROR(Calc!P244,"")</f>
        <v/>
      </c>
      <c r="Q1635" s="21">
        <f>IFERROR(Calc!Q244,"")</f>
        <v/>
      </c>
      <c r="R1635" s="21">
        <f>IFERROR(Calc!R244,"")</f>
        <v/>
      </c>
      <c r="S1635" s="21">
        <f>IFERROR(Calc!S244,"")</f>
        <v/>
      </c>
      <c r="T1635" s="21">
        <f>IFERROR(Calc!T244,"")</f>
        <v/>
      </c>
      <c r="U1635" s="21">
        <f>IFERROR(Calc!U244,"")</f>
        <v/>
      </c>
      <c r="V1635" s="21" t="n"/>
      <c r="W1635" s="5" t="n"/>
      <c r="X1635" s="5" t="n"/>
      <c r="Y1635" s="5" t="n"/>
      <c r="Z1635" s="5" t="n"/>
      <c r="AA1635" s="5" t="n"/>
      <c r="AB1635" s="5" t="n"/>
    </row>
    <row r="1636" ht="15.75" customHeight="1" s="79">
      <c r="A1636" s="5" t="n"/>
      <c r="B1636" s="5" t="n"/>
      <c r="C1636" s="5" t="n"/>
      <c r="D1636" s="5" t="n"/>
      <c r="E1636" s="5" t="n"/>
      <c r="F1636" s="5" t="n"/>
      <c r="G1636" s="5" t="n"/>
      <c r="H1636" s="5" t="n"/>
      <c r="I1636" s="5" t="n"/>
      <c r="J1636" s="5" t="n"/>
      <c r="K1636" s="5" t="n"/>
      <c r="L1636" s="5" t="n"/>
      <c r="M1636" s="5" t="n"/>
      <c r="N1636" s="5" t="n"/>
      <c r="O1636" s="5" t="n"/>
      <c r="P1636" s="5" t="n"/>
      <c r="Q1636" s="5" t="n"/>
      <c r="R1636" s="5" t="n"/>
      <c r="S1636" s="5" t="n"/>
      <c r="T1636" s="5" t="n"/>
      <c r="U1636" s="5" t="n"/>
      <c r="V1636" s="5" t="n"/>
      <c r="W1636" s="5" t="n"/>
      <c r="X1636" s="5" t="n"/>
      <c r="Y1636" s="5" t="n"/>
      <c r="Z1636" s="5" t="n"/>
      <c r="AA1636" s="5" t="n"/>
      <c r="AB1636" s="5" t="n"/>
    </row>
    <row r="1637" ht="15.75" customHeight="1" s="79">
      <c r="A1637" s="5" t="n"/>
      <c r="B1637" s="5" t="n"/>
      <c r="C1637" s="5" t="n"/>
      <c r="D1637" s="5" t="n"/>
      <c r="E1637" s="5" t="n"/>
      <c r="F1637" s="5" t="n"/>
      <c r="G1637" s="5" t="n"/>
      <c r="H1637" s="5" t="n"/>
      <c r="I1637" s="5" t="n"/>
      <c r="J1637" s="5" t="n"/>
      <c r="K1637" s="5" t="n"/>
      <c r="L1637" s="5" t="n"/>
      <c r="M1637" s="5" t="n"/>
      <c r="N1637" s="5" t="n"/>
      <c r="O1637" s="5" t="n"/>
      <c r="P1637" s="5" t="n"/>
      <c r="Q1637" s="5" t="n"/>
      <c r="R1637" s="5" t="n"/>
      <c r="S1637" s="5" t="n"/>
      <c r="T1637" s="5" t="n"/>
      <c r="U1637" s="5" t="n"/>
      <c r="V1637" s="5" t="n"/>
      <c r="W1637" s="5" t="n"/>
      <c r="X1637" s="5" t="n"/>
      <c r="Y1637" s="5" t="n"/>
      <c r="Z1637" s="5" t="n"/>
      <c r="AA1637" s="5" t="n"/>
      <c r="AB1637" s="5" t="n"/>
    </row>
    <row r="1638" ht="15.75" customHeight="1" s="79">
      <c r="A1638" s="5" t="n"/>
      <c r="B1638" s="5" t="n"/>
      <c r="C1638" s="5" t="n"/>
      <c r="D1638" s="5" t="n"/>
      <c r="E1638" s="5" t="n"/>
      <c r="F1638" s="5" t="n"/>
      <c r="G1638" s="5" t="n"/>
      <c r="H1638" s="5" t="n"/>
      <c r="I1638" s="5" t="n"/>
      <c r="J1638" s="5" t="n"/>
      <c r="K1638" s="5" t="n"/>
      <c r="L1638" s="5" t="n"/>
      <c r="M1638" s="5" t="n"/>
      <c r="N1638" s="5" t="n"/>
      <c r="O1638" s="5" t="n"/>
      <c r="P1638" s="5" t="n"/>
      <c r="Q1638" s="5" t="n"/>
      <c r="R1638" s="5" t="n"/>
      <c r="S1638" s="5" t="n"/>
      <c r="T1638" s="5" t="n"/>
      <c r="U1638" s="5" t="n"/>
      <c r="V1638" s="5" t="n"/>
      <c r="W1638" s="5" t="n"/>
      <c r="X1638" s="5" t="n"/>
      <c r="Y1638" s="5" t="n"/>
      <c r="Z1638" s="5" t="n"/>
      <c r="AA1638" s="5" t="n"/>
      <c r="AB1638" s="5" t="n"/>
    </row>
    <row r="1639" ht="15.75" customHeight="1" s="79">
      <c r="A1639" s="43" t="inlineStr">
        <is>
          <t>PAYMENT FREQUENCY</t>
        </is>
      </c>
      <c r="B1639" s="5" t="n"/>
      <c r="C1639" s="5" t="n"/>
      <c r="D1639" s="5" t="n"/>
      <c r="E1639" s="5" t="n"/>
      <c r="F1639" s="5" t="n"/>
      <c r="G1639" s="5" t="n"/>
      <c r="H1639" s="5" t="n"/>
      <c r="I1639" s="5" t="n"/>
      <c r="J1639" s="5" t="n"/>
      <c r="K1639" s="5" t="n"/>
      <c r="L1639" s="5" t="n"/>
      <c r="M1639" s="5" t="n"/>
      <c r="N1639" s="5" t="n"/>
      <c r="O1639" s="5" t="n"/>
      <c r="P1639" s="5" t="n"/>
      <c r="Q1639" s="5" t="n"/>
      <c r="R1639" s="5" t="n"/>
      <c r="S1639" s="5" t="n"/>
      <c r="T1639" s="5" t="n"/>
      <c r="U1639" s="5" t="n"/>
      <c r="V1639" s="5" t="n"/>
      <c r="W1639" s="5" t="n"/>
      <c r="X1639" s="5" t="n"/>
      <c r="Y1639" s="5" t="n"/>
      <c r="Z1639" s="5" t="n"/>
      <c r="AA1639" s="5" t="n"/>
      <c r="AB1639" s="5" t="n"/>
    </row>
    <row r="1640" ht="66" customHeight="1" s="79">
      <c r="A1640" s="72" t="inlineStr">
        <is>
          <t>No difference once size and term are held constant. Ignore it.</t>
        </is>
      </c>
      <c r="T1640" s="72" t="n"/>
      <c r="U1640" s="72" t="n"/>
      <c r="V1640" s="72" t="n"/>
      <c r="W1640" s="72" t="n"/>
      <c r="X1640" s="72" t="n"/>
      <c r="Y1640" s="72" t="n"/>
      <c r="Z1640" s="72" t="n"/>
      <c r="AA1640" s="72" t="n"/>
      <c r="AB1640" s="5" t="n"/>
    </row>
    <row r="1641" ht="15.75" customHeight="1" s="79">
      <c r="A1641" s="5" t="n"/>
      <c r="B1641" s="5" t="n"/>
      <c r="C1641" s="5" t="n"/>
      <c r="D1641" s="5" t="n"/>
      <c r="E1641" s="5" t="n"/>
      <c r="F1641" s="5" t="n"/>
      <c r="G1641" s="5" t="n"/>
      <c r="H1641" s="5" t="n"/>
      <c r="I1641" s="5" t="n"/>
      <c r="J1641" s="5" t="n"/>
      <c r="K1641" s="5" t="n"/>
      <c r="L1641" s="5" t="n"/>
      <c r="M1641" s="5" t="n"/>
      <c r="N1641" s="5" t="n"/>
      <c r="O1641" s="5" t="n"/>
      <c r="P1641" s="5" t="n"/>
      <c r="Q1641" s="5" t="n"/>
      <c r="R1641" s="5" t="n"/>
      <c r="S1641" s="5" t="n"/>
      <c r="T1641" s="5" t="n"/>
      <c r="U1641" s="5" t="n"/>
      <c r="V1641" s="5" t="n"/>
      <c r="W1641" s="5" t="n"/>
      <c r="X1641" s="5" t="n"/>
      <c r="Y1641" s="5" t="n"/>
      <c r="Z1641" s="5" t="n"/>
      <c r="AA1641" s="5" t="n"/>
      <c r="AB1641" s="5" t="n"/>
    </row>
    <row r="1642" ht="15.75" customHeight="1" s="79">
      <c r="A1642" s="5" t="n"/>
      <c r="B1642" s="5" t="n"/>
      <c r="C1642" s="5" t="n"/>
      <c r="D1642" s="5" t="n"/>
      <c r="E1642" s="5" t="n"/>
      <c r="F1642" s="5" t="n"/>
      <c r="G1642" s="5" t="n"/>
      <c r="H1642" s="5" t="n"/>
      <c r="I1642" s="5" t="n"/>
      <c r="J1642" s="5" t="n"/>
      <c r="K1642" s="5" t="n"/>
      <c r="L1642" s="5" t="n"/>
      <c r="M1642" s="5" t="n"/>
      <c r="N1642" s="5" t="n"/>
      <c r="O1642" s="5" t="n"/>
      <c r="P1642" s="5" t="n"/>
      <c r="Q1642" s="5" t="n"/>
      <c r="R1642" s="5" t="n"/>
      <c r="S1642" s="5" t="n"/>
      <c r="T1642" s="5" t="n"/>
      <c r="U1642" s="5" t="n"/>
      <c r="V1642" s="5" t="n"/>
      <c r="W1642" s="5" t="n"/>
      <c r="X1642" s="5" t="n"/>
      <c r="Y1642" s="5" t="n"/>
      <c r="Z1642" s="5" t="n"/>
      <c r="AA1642" s="5" t="n"/>
      <c r="AB1642" s="5" t="n"/>
    </row>
    <row r="1643" ht="15.75" customHeight="1" s="79">
      <c r="A1643" s="5" t="n"/>
      <c r="B1643" s="5" t="n"/>
      <c r="C1643" s="5" t="n"/>
      <c r="D1643" s="5" t="n"/>
      <c r="E1643" s="5" t="n"/>
      <c r="F1643" s="5" t="n"/>
      <c r="G1643" s="5" t="n"/>
      <c r="H1643" s="5" t="n"/>
      <c r="I1643" s="5" t="n"/>
      <c r="J1643" s="5" t="n"/>
      <c r="K1643" s="5" t="n"/>
      <c r="L1643" s="5" t="n"/>
      <c r="M1643" s="5" t="n"/>
      <c r="N1643" s="5" t="n"/>
      <c r="O1643" s="5" t="n"/>
      <c r="P1643" s="5" t="n"/>
      <c r="Q1643" s="5" t="n"/>
      <c r="R1643" s="5" t="n"/>
      <c r="S1643" s="5" t="n"/>
      <c r="T1643" s="5" t="n"/>
      <c r="U1643" s="5" t="n"/>
      <c r="V1643" s="5" t="n"/>
      <c r="W1643" s="5" t="n"/>
      <c r="X1643" s="5" t="n"/>
      <c r="Y1643" s="5" t="n"/>
      <c r="Z1643" s="5" t="n"/>
      <c r="AA1643" s="5" t="n"/>
      <c r="AB1643" s="5" t="n"/>
    </row>
    <row r="1644" ht="15.75" customHeight="1" s="79">
      <c r="A1644" s="5" t="n"/>
      <c r="B1644" s="5" t="n"/>
      <c r="C1644" s="5" t="n"/>
      <c r="D1644" s="5" t="n"/>
      <c r="E1644" s="5" t="n"/>
      <c r="F1644" s="5" t="n"/>
      <c r="G1644" s="5" t="n"/>
      <c r="H1644" s="5" t="n"/>
      <c r="I1644" s="5" t="n"/>
      <c r="J1644" s="5" t="n"/>
      <c r="K1644" s="5" t="n"/>
      <c r="L1644" s="5" t="n"/>
      <c r="M1644" s="5" t="n"/>
      <c r="N1644" s="5" t="n"/>
      <c r="O1644" s="5" t="n"/>
      <c r="P1644" s="5" t="n"/>
      <c r="Q1644" s="5" t="n"/>
      <c r="R1644" s="5" t="n"/>
      <c r="S1644" s="5" t="n"/>
      <c r="T1644" s="5" t="n"/>
      <c r="U1644" s="5" t="n"/>
      <c r="V1644" s="5" t="n"/>
      <c r="W1644" s="5" t="n"/>
      <c r="X1644" s="5" t="n"/>
      <c r="Y1644" s="5" t="n"/>
      <c r="Z1644" s="5" t="n"/>
      <c r="AA1644" s="5" t="n"/>
      <c r="AB1644" s="5" t="n"/>
    </row>
    <row r="1645" ht="15.75" customHeight="1" s="79">
      <c r="A1645" s="5" t="n"/>
      <c r="B1645" s="5" t="n"/>
      <c r="C1645" s="5" t="n"/>
      <c r="D1645" s="5" t="n"/>
      <c r="E1645" s="5" t="n"/>
      <c r="F1645" s="5" t="n"/>
      <c r="G1645" s="5" t="n"/>
      <c r="H1645" s="5" t="n"/>
      <c r="I1645" s="5" t="n"/>
      <c r="J1645" s="5" t="n"/>
      <c r="K1645" s="5" t="n"/>
      <c r="L1645" s="5" t="n"/>
      <c r="M1645" s="5" t="n"/>
      <c r="N1645" s="5" t="n"/>
      <c r="O1645" s="5" t="n"/>
      <c r="P1645" s="5" t="n"/>
      <c r="Q1645" s="5" t="n"/>
      <c r="R1645" s="5" t="n"/>
      <c r="S1645" s="5" t="n"/>
      <c r="T1645" s="5" t="n"/>
      <c r="U1645" s="5" t="n"/>
      <c r="V1645" s="5" t="n"/>
      <c r="W1645" s="5" t="n"/>
      <c r="X1645" s="5" t="n"/>
      <c r="Y1645" s="5" t="n"/>
      <c r="Z1645" s="5" t="n"/>
      <c r="AA1645" s="5" t="n"/>
      <c r="AB1645" s="5" t="n"/>
    </row>
    <row r="1646" ht="15.75" customHeight="1" s="79">
      <c r="A1646" s="5" t="n"/>
      <c r="B1646" s="5" t="n"/>
      <c r="C1646" s="5" t="n"/>
      <c r="D1646" s="5" t="n"/>
      <c r="E1646" s="5" t="n"/>
      <c r="F1646" s="5" t="n"/>
      <c r="G1646" s="5" t="n"/>
      <c r="H1646" s="5" t="n"/>
      <c r="I1646" s="5" t="n"/>
      <c r="J1646" s="5" t="n"/>
      <c r="K1646" s="5" t="n"/>
      <c r="L1646" s="5" t="n"/>
      <c r="M1646" s="5" t="n"/>
      <c r="N1646" s="5" t="n"/>
      <c r="O1646" s="5" t="n"/>
      <c r="P1646" s="5" t="n"/>
      <c r="Q1646" s="5" t="n"/>
      <c r="R1646" s="5" t="n"/>
      <c r="S1646" s="5" t="n"/>
      <c r="T1646" s="5" t="n"/>
      <c r="U1646" s="5" t="n"/>
      <c r="V1646" s="5" t="n"/>
      <c r="W1646" s="5" t="n"/>
      <c r="X1646" s="5" t="n"/>
      <c r="Y1646" s="5" t="n"/>
      <c r="Z1646" s="5" t="n"/>
      <c r="AA1646" s="5" t="n"/>
      <c r="AB1646" s="5" t="n"/>
    </row>
    <row r="1647" ht="15.75" customHeight="1" s="79">
      <c r="A1647" s="5" t="n"/>
      <c r="B1647" s="5" t="n"/>
      <c r="C1647" s="5" t="n"/>
      <c r="D1647" s="5" t="n"/>
      <c r="E1647" s="5" t="n"/>
      <c r="F1647" s="5" t="n"/>
      <c r="G1647" s="5" t="n"/>
      <c r="H1647" s="5" t="n"/>
      <c r="I1647" s="5" t="n"/>
      <c r="J1647" s="5" t="n"/>
      <c r="K1647" s="5" t="n"/>
      <c r="L1647" s="5" t="n"/>
      <c r="M1647" s="5" t="n"/>
      <c r="N1647" s="5" t="n"/>
      <c r="O1647" s="5" t="n"/>
      <c r="P1647" s="5" t="n"/>
      <c r="Q1647" s="5" t="n"/>
      <c r="R1647" s="5" t="n"/>
      <c r="S1647" s="5" t="n"/>
      <c r="T1647" s="5" t="n"/>
      <c r="U1647" s="5" t="n"/>
      <c r="V1647" s="5" t="n"/>
      <c r="W1647" s="5" t="n"/>
      <c r="X1647" s="5" t="n"/>
      <c r="Y1647" s="5" t="n"/>
      <c r="Z1647" s="5" t="n"/>
      <c r="AA1647" s="5" t="n"/>
      <c r="AB1647" s="5" t="n"/>
    </row>
    <row r="1648" ht="15.75" customHeight="1" s="79">
      <c r="A1648" s="5" t="n"/>
      <c r="B1648" s="5" t="n"/>
      <c r="C1648" s="5" t="n"/>
      <c r="D1648" s="5" t="n"/>
      <c r="E1648" s="5" t="n"/>
      <c r="F1648" s="5" t="n"/>
      <c r="G1648" s="5" t="n"/>
      <c r="H1648" s="5" t="n"/>
      <c r="I1648" s="5" t="n"/>
      <c r="J1648" s="5" t="n"/>
      <c r="K1648" s="5" t="n"/>
      <c r="L1648" s="5" t="n"/>
      <c r="M1648" s="5" t="n"/>
      <c r="N1648" s="5" t="n"/>
      <c r="O1648" s="5" t="n"/>
      <c r="P1648" s="5" t="n"/>
      <c r="Q1648" s="5" t="n"/>
      <c r="R1648" s="5" t="n"/>
      <c r="S1648" s="5" t="n"/>
      <c r="T1648" s="5" t="n"/>
      <c r="U1648" s="5" t="n"/>
      <c r="V1648" s="5" t="n"/>
      <c r="W1648" s="5" t="n"/>
      <c r="X1648" s="5" t="n"/>
      <c r="Y1648" s="5" t="n"/>
      <c r="Z1648" s="5" t="n"/>
      <c r="AA1648" s="5" t="n"/>
      <c r="AB1648" s="5" t="n"/>
    </row>
    <row r="1649" ht="15.75" customHeight="1" s="79">
      <c r="A1649" s="5" t="n"/>
      <c r="B1649" s="5" t="n"/>
      <c r="C1649" s="5" t="n"/>
      <c r="D1649" s="5" t="n"/>
      <c r="E1649" s="5" t="n"/>
      <c r="F1649" s="5" t="n"/>
      <c r="G1649" s="5" t="n"/>
      <c r="H1649" s="5" t="n"/>
      <c r="I1649" s="5" t="n"/>
      <c r="J1649" s="5" t="n"/>
      <c r="K1649" s="5" t="n"/>
      <c r="L1649" s="5" t="n"/>
      <c r="M1649" s="5" t="n"/>
      <c r="N1649" s="5" t="n"/>
      <c r="O1649" s="5" t="n"/>
      <c r="P1649" s="5" t="n"/>
      <c r="Q1649" s="5" t="n"/>
      <c r="R1649" s="5" t="n"/>
      <c r="S1649" s="5" t="n"/>
      <c r="T1649" s="5" t="n"/>
      <c r="U1649" s="5" t="n"/>
      <c r="V1649" s="5" t="n"/>
      <c r="W1649" s="5" t="n"/>
      <c r="X1649" s="5" t="n"/>
      <c r="Y1649" s="5" t="n"/>
      <c r="Z1649" s="5" t="n"/>
      <c r="AA1649" s="5" t="n"/>
      <c r="AB1649" s="5" t="n"/>
    </row>
    <row r="1650" ht="15.75" customHeight="1" s="79">
      <c r="A1650" s="5" t="n"/>
      <c r="B1650" s="5" t="n"/>
      <c r="C1650" s="5" t="n"/>
      <c r="D1650" s="5" t="n"/>
      <c r="E1650" s="5" t="n"/>
      <c r="F1650" s="5" t="n"/>
      <c r="G1650" s="5" t="n"/>
      <c r="H1650" s="5" t="n"/>
      <c r="I1650" s="5" t="n"/>
      <c r="J1650" s="5" t="n"/>
      <c r="K1650" s="5" t="n"/>
      <c r="L1650" s="5" t="n"/>
      <c r="M1650" s="5" t="n"/>
      <c r="N1650" s="5" t="n"/>
      <c r="O1650" s="5" t="n"/>
      <c r="P1650" s="5" t="n"/>
      <c r="Q1650" s="5" t="n"/>
      <c r="R1650" s="5" t="n"/>
      <c r="S1650" s="5" t="n"/>
      <c r="T1650" s="5" t="n"/>
      <c r="U1650" s="5" t="n"/>
      <c r="V1650" s="5" t="n"/>
      <c r="W1650" s="5" t="n"/>
      <c r="X1650" s="5" t="n"/>
      <c r="Y1650" s="5" t="n"/>
      <c r="Z1650" s="5" t="n"/>
      <c r="AA1650" s="5" t="n"/>
      <c r="AB1650" s="5" t="n"/>
    </row>
    <row r="1651" ht="15.75" customHeight="1" s="79">
      <c r="A1651" s="5" t="n"/>
      <c r="B1651" s="5" t="n"/>
      <c r="C1651" s="5" t="n"/>
      <c r="D1651" s="5" t="n"/>
      <c r="E1651" s="5" t="n"/>
      <c r="F1651" s="5" t="n"/>
      <c r="G1651" s="5" t="n"/>
      <c r="H1651" s="5" t="n"/>
      <c r="I1651" s="5" t="n"/>
      <c r="J1651" s="5" t="n"/>
      <c r="K1651" s="5" t="n"/>
      <c r="L1651" s="5" t="n"/>
      <c r="M1651" s="5" t="n"/>
      <c r="N1651" s="5" t="n"/>
      <c r="O1651" s="5" t="n"/>
      <c r="P1651" s="5" t="n"/>
      <c r="Q1651" s="5" t="n"/>
      <c r="R1651" s="5" t="n"/>
      <c r="S1651" s="5" t="n"/>
      <c r="T1651" s="5" t="n"/>
      <c r="U1651" s="5" t="n"/>
      <c r="V1651" s="5" t="n"/>
      <c r="W1651" s="5" t="n"/>
      <c r="X1651" s="5" t="n"/>
      <c r="Y1651" s="5" t="n"/>
      <c r="Z1651" s="5" t="n"/>
      <c r="AA1651" s="5" t="n"/>
      <c r="AB1651" s="5" t="n"/>
    </row>
    <row r="1652" ht="15.75" customHeight="1" s="79">
      <c r="A1652" s="5" t="n"/>
      <c r="B1652" s="5" t="n"/>
      <c r="C1652" s="5" t="n"/>
      <c r="D1652" s="5" t="n"/>
      <c r="E1652" s="5" t="n"/>
      <c r="F1652" s="5" t="n"/>
      <c r="G1652" s="5" t="n"/>
      <c r="H1652" s="5" t="n"/>
      <c r="I1652" s="5" t="n"/>
      <c r="J1652" s="5" t="n"/>
      <c r="K1652" s="5" t="n"/>
      <c r="L1652" s="5" t="n"/>
      <c r="M1652" s="5" t="n"/>
      <c r="N1652" s="5" t="n"/>
      <c r="O1652" s="5" t="n"/>
      <c r="P1652" s="5" t="n"/>
      <c r="Q1652" s="5" t="n"/>
      <c r="R1652" s="5" t="n"/>
      <c r="S1652" s="5" t="n"/>
      <c r="T1652" s="5" t="n"/>
      <c r="U1652" s="5" t="n"/>
      <c r="V1652" s="5" t="n"/>
      <c r="W1652" s="5" t="n"/>
      <c r="X1652" s="5" t="n"/>
      <c r="Y1652" s="5" t="n"/>
      <c r="Z1652" s="5" t="n"/>
      <c r="AA1652" s="5" t="n"/>
      <c r="AB1652" s="5" t="n"/>
    </row>
    <row r="1653" ht="15.75" customHeight="1" s="79">
      <c r="A1653" s="5" t="n"/>
      <c r="B1653" s="5" t="n"/>
      <c r="C1653" s="5" t="n"/>
      <c r="D1653" s="5" t="n"/>
      <c r="E1653" s="5" t="n"/>
      <c r="F1653" s="5" t="n"/>
      <c r="G1653" s="5" t="n"/>
      <c r="H1653" s="5" t="n"/>
      <c r="I1653" s="5" t="n"/>
      <c r="J1653" s="5" t="n"/>
      <c r="K1653" s="5" t="n"/>
      <c r="L1653" s="5" t="n"/>
      <c r="M1653" s="5" t="n"/>
      <c r="N1653" s="5" t="n"/>
      <c r="O1653" s="5" t="n"/>
      <c r="P1653" s="5" t="n"/>
      <c r="Q1653" s="5" t="n"/>
      <c r="R1653" s="5" t="n"/>
      <c r="S1653" s="5" t="n"/>
      <c r="T1653" s="5" t="n"/>
      <c r="U1653" s="5" t="n"/>
      <c r="V1653" s="5" t="n"/>
      <c r="W1653" s="5" t="n"/>
      <c r="X1653" s="5" t="n"/>
      <c r="Y1653" s="5" t="n"/>
      <c r="Z1653" s="5" t="n"/>
      <c r="AA1653" s="5" t="n"/>
      <c r="AB1653" s="5" t="n"/>
    </row>
    <row r="1654" ht="15.75" customHeight="1" s="79">
      <c r="A1654" s="5" t="n"/>
      <c r="B1654" s="5" t="n"/>
      <c r="C1654" s="5" t="n"/>
      <c r="D1654" s="5" t="n"/>
      <c r="E1654" s="5" t="n"/>
      <c r="F1654" s="5" t="n"/>
      <c r="G1654" s="5" t="n"/>
      <c r="H1654" s="5" t="n"/>
      <c r="I1654" s="5" t="n"/>
      <c r="J1654" s="5" t="n"/>
      <c r="K1654" s="5" t="n"/>
      <c r="L1654" s="5" t="n"/>
      <c r="M1654" s="5" t="n"/>
      <c r="N1654" s="5" t="n"/>
      <c r="O1654" s="5" t="n"/>
      <c r="P1654" s="5" t="n"/>
      <c r="Q1654" s="5" t="n"/>
      <c r="R1654" s="5" t="n"/>
      <c r="S1654" s="5" t="n"/>
      <c r="T1654" s="5" t="n"/>
      <c r="U1654" s="5" t="n"/>
      <c r="V1654" s="5" t="n"/>
      <c r="W1654" s="5" t="n"/>
      <c r="X1654" s="5" t="n"/>
      <c r="Y1654" s="5" t="n"/>
      <c r="Z1654" s="5" t="n"/>
      <c r="AA1654" s="5" t="n"/>
      <c r="AB1654" s="5" t="n"/>
    </row>
    <row r="1655" ht="15.75" customHeight="1" s="79">
      <c r="A1655" s="5" t="n"/>
      <c r="B1655" s="5" t="n"/>
      <c r="C1655" s="5" t="n"/>
      <c r="D1655" s="5" t="n"/>
      <c r="E1655" s="5" t="n"/>
      <c r="F1655" s="5" t="n"/>
      <c r="G1655" s="5" t="n"/>
      <c r="H1655" s="5" t="n"/>
      <c r="I1655" s="5" t="n"/>
      <c r="J1655" s="5" t="n"/>
      <c r="K1655" s="5" t="n"/>
      <c r="L1655" s="5" t="n"/>
      <c r="M1655" s="5" t="n"/>
      <c r="N1655" s="5" t="n"/>
      <c r="O1655" s="5" t="n"/>
      <c r="P1655" s="5" t="n"/>
      <c r="Q1655" s="5" t="n"/>
      <c r="R1655" s="5" t="n"/>
      <c r="S1655" s="5" t="n"/>
      <c r="T1655" s="5" t="n"/>
      <c r="U1655" s="5" t="n"/>
      <c r="V1655" s="5" t="n"/>
      <c r="W1655" s="5" t="n"/>
      <c r="X1655" s="5" t="n"/>
      <c r="Y1655" s="5" t="n"/>
      <c r="Z1655" s="5" t="n"/>
      <c r="AA1655" s="5" t="n"/>
      <c r="AB1655" s="5" t="n"/>
    </row>
    <row r="1656" ht="15.75" customHeight="1" s="79">
      <c r="A1656" s="5" t="n"/>
      <c r="B1656" s="5" t="n"/>
      <c r="C1656" s="5" t="n"/>
      <c r="D1656" s="5" t="n"/>
      <c r="E1656" s="5" t="n"/>
      <c r="F1656" s="5" t="n"/>
      <c r="G1656" s="5" t="n"/>
      <c r="H1656" s="5" t="n"/>
      <c r="I1656" s="5" t="n"/>
      <c r="J1656" s="5" t="n"/>
      <c r="K1656" s="5" t="n"/>
      <c r="L1656" s="5" t="n"/>
      <c r="M1656" s="5" t="n"/>
      <c r="N1656" s="5" t="n"/>
      <c r="O1656" s="5" t="n"/>
      <c r="P1656" s="5" t="n"/>
      <c r="Q1656" s="5" t="n"/>
      <c r="R1656" s="5" t="n"/>
      <c r="S1656" s="5" t="n"/>
      <c r="T1656" s="5" t="n"/>
      <c r="U1656" s="5" t="n"/>
      <c r="V1656" s="5" t="n"/>
      <c r="W1656" s="5" t="n"/>
      <c r="X1656" s="5" t="n"/>
      <c r="Y1656" s="5" t="n"/>
      <c r="Z1656" s="5" t="n"/>
      <c r="AA1656" s="5" t="n"/>
      <c r="AB1656" s="5" t="n"/>
    </row>
    <row r="1657" ht="15.75" customHeight="1" s="79">
      <c r="A1657" s="5" t="n"/>
      <c r="B1657" s="5" t="n"/>
      <c r="C1657" s="5" t="n"/>
      <c r="D1657" s="5" t="n"/>
      <c r="E1657" s="5" t="n"/>
      <c r="F1657" s="5" t="n"/>
      <c r="G1657" s="5" t="n"/>
      <c r="H1657" s="5" t="n"/>
      <c r="I1657" s="5" t="n"/>
      <c r="J1657" s="5" t="n"/>
      <c r="K1657" s="5" t="n"/>
      <c r="L1657" s="5" t="n"/>
      <c r="M1657" s="5" t="n"/>
      <c r="N1657" s="5" t="n"/>
      <c r="O1657" s="5" t="n"/>
      <c r="P1657" s="5" t="n"/>
      <c r="Q1657" s="5" t="n"/>
      <c r="R1657" s="5" t="n"/>
      <c r="S1657" s="5" t="n"/>
      <c r="T1657" s="5" t="n"/>
      <c r="U1657" s="5" t="n"/>
      <c r="V1657" s="5" t="n"/>
      <c r="W1657" s="5" t="n"/>
      <c r="X1657" s="5" t="n"/>
      <c r="Y1657" s="5" t="n"/>
      <c r="Z1657" s="5" t="n"/>
      <c r="AA1657" s="5" t="n"/>
      <c r="AB1657" s="5" t="n"/>
    </row>
    <row r="1658" ht="15.75" customHeight="1" s="79">
      <c r="A1658" s="5" t="n"/>
      <c r="B1658" s="5" t="n"/>
      <c r="C1658" s="5" t="n"/>
      <c r="D1658" s="5" t="n"/>
      <c r="E1658" s="5" t="n"/>
      <c r="F1658" s="5" t="n"/>
      <c r="G1658" s="5" t="n"/>
      <c r="H1658" s="5" t="n"/>
      <c r="I1658" s="5" t="n"/>
      <c r="J1658" s="5" t="n"/>
      <c r="K1658" s="5" t="n"/>
      <c r="L1658" s="5" t="n"/>
      <c r="M1658" s="5" t="n"/>
      <c r="N1658" s="5" t="n"/>
      <c r="O1658" s="5" t="n"/>
      <c r="P1658" s="5" t="n"/>
      <c r="Q1658" s="5" t="n"/>
      <c r="R1658" s="5" t="n"/>
      <c r="S1658" s="5" t="n"/>
      <c r="T1658" s="5" t="n"/>
      <c r="U1658" s="5" t="n"/>
      <c r="V1658" s="5" t="n"/>
      <c r="W1658" s="5" t="n"/>
      <c r="X1658" s="5" t="n"/>
      <c r="Y1658" s="5" t="n"/>
      <c r="Z1658" s="5" t="n"/>
      <c r="AA1658" s="5" t="n"/>
      <c r="AB1658" s="5" t="n"/>
    </row>
    <row r="1659" ht="15.75" customHeight="1" s="79">
      <c r="A1659" s="5" t="n"/>
      <c r="B1659" s="5" t="n"/>
      <c r="C1659" s="5" t="n"/>
      <c r="D1659" s="5" t="n"/>
      <c r="E1659" s="5" t="n"/>
      <c r="F1659" s="5" t="n"/>
      <c r="G1659" s="5" t="n"/>
      <c r="H1659" s="5" t="n"/>
      <c r="I1659" s="5" t="n"/>
      <c r="J1659" s="5" t="n"/>
      <c r="K1659" s="5" t="n"/>
      <c r="L1659" s="5" t="n"/>
      <c r="M1659" s="5" t="n"/>
      <c r="N1659" s="5" t="n"/>
      <c r="O1659" s="5" t="n"/>
      <c r="P1659" s="5" t="n"/>
      <c r="Q1659" s="5" t="n"/>
      <c r="R1659" s="5" t="n"/>
      <c r="S1659" s="5" t="n"/>
      <c r="T1659" s="5" t="n"/>
      <c r="U1659" s="5" t="n"/>
      <c r="V1659" s="5" t="n"/>
      <c r="W1659" s="5" t="n"/>
      <c r="X1659" s="5" t="n"/>
      <c r="Y1659" s="5" t="n"/>
      <c r="Z1659" s="5" t="n"/>
      <c r="AA1659" s="5" t="n"/>
      <c r="AB1659" s="5" t="n"/>
    </row>
    <row r="1660" ht="15.75" customHeight="1" s="79">
      <c r="A1660" s="5" t="n"/>
      <c r="B1660" s="5" t="n"/>
      <c r="C1660" s="5" t="n"/>
      <c r="D1660" s="5" t="n"/>
      <c r="E1660" s="5" t="n"/>
      <c r="F1660" s="5" t="n"/>
      <c r="G1660" s="5" t="n"/>
      <c r="H1660" s="5" t="n"/>
      <c r="I1660" s="5" t="n"/>
      <c r="J1660" s="5" t="n"/>
      <c r="K1660" s="5" t="n"/>
      <c r="L1660" s="5" t="n"/>
      <c r="M1660" s="5" t="n"/>
      <c r="N1660" s="5" t="n"/>
      <c r="O1660" s="5" t="n"/>
      <c r="P1660" s="5" t="n"/>
      <c r="Q1660" s="5" t="n"/>
      <c r="R1660" s="5" t="n"/>
      <c r="S1660" s="5" t="n"/>
      <c r="T1660" s="5" t="n"/>
      <c r="U1660" s="5" t="n"/>
      <c r="V1660" s="5" t="n"/>
      <c r="W1660" s="5" t="n"/>
      <c r="X1660" s="5" t="n"/>
      <c r="Y1660" s="5" t="n"/>
      <c r="Z1660" s="5" t="n"/>
      <c r="AA1660" s="5" t="n"/>
      <c r="AB1660" s="5" t="n"/>
    </row>
    <row r="1661" ht="15.75" customHeight="1" s="79">
      <c r="A1661" s="5" t="n"/>
      <c r="B1661" s="5" t="n"/>
      <c r="C1661" s="5" t="n"/>
      <c r="D1661" s="5" t="n"/>
      <c r="E1661" s="5" t="n"/>
      <c r="F1661" s="5" t="n"/>
      <c r="G1661" s="5" t="n"/>
      <c r="H1661" s="5" t="n"/>
      <c r="I1661" s="5" t="n"/>
      <c r="J1661" s="5" t="n"/>
      <c r="K1661" s="5" t="n"/>
      <c r="L1661" s="5" t="n"/>
      <c r="M1661" s="5" t="n"/>
      <c r="N1661" s="5" t="n"/>
      <c r="O1661" s="5" t="n"/>
      <c r="P1661" s="5" t="n"/>
      <c r="Q1661" s="5" t="n"/>
      <c r="R1661" s="5" t="n"/>
      <c r="S1661" s="5" t="n"/>
      <c r="T1661" s="5" t="n"/>
      <c r="U1661" s="5" t="n"/>
      <c r="V1661" s="5" t="n"/>
      <c r="W1661" s="5" t="n"/>
      <c r="X1661" s="5" t="n"/>
      <c r="Y1661" s="5" t="n"/>
      <c r="Z1661" s="5" t="n"/>
      <c r="AA1661" s="5" t="n"/>
      <c r="AB1661" s="5" t="n"/>
    </row>
    <row r="1662" ht="15.75" customHeight="1" s="79">
      <c r="A1662" s="5" t="n"/>
      <c r="B1662" s="5" t="n"/>
      <c r="C1662" s="5" t="n"/>
      <c r="D1662" s="5" t="n"/>
      <c r="E1662" s="5" t="n"/>
      <c r="F1662" s="5" t="n"/>
      <c r="G1662" s="5" t="n"/>
      <c r="H1662" s="5" t="n"/>
      <c r="I1662" s="5" t="n"/>
      <c r="J1662" s="5" t="n"/>
      <c r="K1662" s="5" t="n"/>
      <c r="L1662" s="5" t="n"/>
      <c r="M1662" s="5" t="n"/>
      <c r="N1662" s="5" t="n"/>
      <c r="O1662" s="5" t="n"/>
      <c r="P1662" s="5" t="n"/>
      <c r="Q1662" s="5" t="n"/>
      <c r="R1662" s="5" t="n"/>
      <c r="S1662" s="5" t="n"/>
      <c r="T1662" s="5" t="n"/>
      <c r="U1662" s="5" t="n"/>
      <c r="V1662" s="5" t="n"/>
      <c r="W1662" s="5" t="n"/>
      <c r="X1662" s="5" t="n"/>
      <c r="Y1662" s="5" t="n"/>
      <c r="Z1662" s="5" t="n"/>
      <c r="AA1662" s="5" t="n"/>
      <c r="AB1662" s="5" t="n"/>
    </row>
    <row r="1663" ht="15.75" customHeight="1" s="79">
      <c r="A1663" s="5" t="n"/>
      <c r="B1663" s="5" t="n"/>
      <c r="C1663" s="5" t="n"/>
      <c r="D1663" s="5" t="n"/>
      <c r="E1663" s="5" t="n"/>
      <c r="F1663" s="5" t="n"/>
      <c r="G1663" s="5" t="n"/>
      <c r="H1663" s="5" t="n"/>
      <c r="I1663" s="5" t="n"/>
      <c r="J1663" s="5" t="n"/>
      <c r="K1663" s="5" t="n"/>
      <c r="L1663" s="5" t="n"/>
      <c r="M1663" s="5" t="n"/>
      <c r="N1663" s="5" t="n"/>
      <c r="O1663" s="5" t="n"/>
      <c r="P1663" s="5" t="n"/>
      <c r="Q1663" s="5" t="n"/>
      <c r="R1663" s="5" t="n"/>
      <c r="S1663" s="5" t="n"/>
      <c r="T1663" s="5" t="n"/>
      <c r="U1663" s="5" t="n"/>
      <c r="V1663" s="5" t="n"/>
      <c r="W1663" s="5" t="n"/>
      <c r="X1663" s="5" t="n"/>
      <c r="Y1663" s="5" t="n"/>
      <c r="Z1663" s="5" t="n"/>
      <c r="AA1663" s="5" t="n"/>
      <c r="AB1663" s="5" t="n"/>
    </row>
    <row r="1664" ht="15.75" customHeight="1" s="79">
      <c r="A1664" s="5" t="n"/>
      <c r="B1664" s="5" t="n"/>
      <c r="C1664" s="5" t="n"/>
      <c r="D1664" s="5" t="n"/>
      <c r="E1664" s="5" t="n"/>
      <c r="F1664" s="5" t="n"/>
      <c r="G1664" s="5" t="n"/>
      <c r="H1664" s="5" t="n"/>
      <c r="I1664" s="5" t="n"/>
      <c r="J1664" s="5" t="n"/>
      <c r="K1664" s="5" t="n"/>
      <c r="L1664" s="5" t="n"/>
      <c r="M1664" s="5" t="n"/>
      <c r="N1664" s="5" t="n"/>
      <c r="O1664" s="5" t="n"/>
      <c r="P1664" s="5" t="n"/>
      <c r="Q1664" s="5" t="n"/>
      <c r="R1664" s="5" t="n"/>
      <c r="S1664" s="5" t="n"/>
      <c r="T1664" s="5" t="n"/>
      <c r="U1664" s="5" t="n"/>
      <c r="V1664" s="5" t="n"/>
      <c r="W1664" s="5" t="n"/>
      <c r="X1664" s="5" t="n"/>
      <c r="Y1664" s="5" t="n"/>
      <c r="Z1664" s="5" t="n"/>
      <c r="AA1664" s="5" t="n"/>
      <c r="AB1664" s="5" t="n"/>
    </row>
    <row r="1665" ht="15.75" customHeight="1" s="79">
      <c r="A1665" s="5" t="n"/>
      <c r="B1665" s="5" t="n"/>
      <c r="C1665" s="5" t="n"/>
      <c r="D1665" s="5" t="n"/>
      <c r="E1665" s="5" t="n"/>
      <c r="F1665" s="5" t="n"/>
      <c r="G1665" s="5" t="n"/>
      <c r="H1665" s="5" t="n"/>
      <c r="I1665" s="5" t="n"/>
      <c r="J1665" s="5" t="n"/>
      <c r="K1665" s="5" t="n"/>
      <c r="L1665" s="5" t="n"/>
      <c r="M1665" s="5" t="n"/>
      <c r="N1665" s="5" t="n"/>
      <c r="O1665" s="5" t="n"/>
      <c r="P1665" s="5" t="n"/>
      <c r="Q1665" s="5" t="n"/>
      <c r="R1665" s="5" t="n"/>
      <c r="S1665" s="5" t="n"/>
      <c r="T1665" s="5" t="n"/>
      <c r="U1665" s="5" t="n"/>
      <c r="V1665" s="5" t="n"/>
      <c r="W1665" s="5" t="n"/>
      <c r="X1665" s="5" t="n"/>
      <c r="Y1665" s="5" t="n"/>
      <c r="Z1665" s="5" t="n"/>
      <c r="AA1665" s="5" t="n"/>
      <c r="AB1665" s="5" t="n"/>
    </row>
    <row r="1666" ht="15.75" customHeight="1" s="79">
      <c r="A1666" s="5" t="n"/>
      <c r="B1666" s="5" t="n"/>
      <c r="C1666" s="5" t="n"/>
      <c r="D1666" s="5" t="n"/>
      <c r="E1666" s="5" t="n"/>
      <c r="F1666" s="5" t="n"/>
      <c r="G1666" s="5" t="n"/>
      <c r="H1666" s="5" t="n"/>
      <c r="I1666" s="5" t="n"/>
      <c r="J1666" s="5" t="n"/>
      <c r="K1666" s="5" t="n"/>
      <c r="L1666" s="5" t="n"/>
      <c r="M1666" s="5" t="n"/>
      <c r="N1666" s="5" t="n"/>
      <c r="O1666" s="5" t="n"/>
      <c r="P1666" s="5" t="n"/>
      <c r="Q1666" s="5" t="n"/>
      <c r="R1666" s="5" t="n"/>
      <c r="S1666" s="5" t="n"/>
      <c r="T1666" s="5" t="n"/>
      <c r="U1666" s="5" t="n"/>
      <c r="V1666" s="5" t="n"/>
      <c r="W1666" s="5" t="n"/>
      <c r="X1666" s="5" t="n"/>
      <c r="Y1666" s="5" t="n"/>
      <c r="Z1666" s="5" t="n"/>
      <c r="AA1666" s="5" t="n"/>
      <c r="AB1666" s="5" t="n"/>
    </row>
    <row r="1667" ht="15.75" customHeight="1" s="79">
      <c r="A1667" s="5" t="n"/>
      <c r="B1667" s="5" t="n"/>
      <c r="C1667" s="5" t="n"/>
      <c r="D1667" s="5" t="n"/>
      <c r="E1667" s="5" t="n"/>
      <c r="F1667" s="5" t="n"/>
      <c r="G1667" s="5" t="n"/>
      <c r="H1667" s="5" t="n"/>
      <c r="I1667" s="5" t="n"/>
      <c r="J1667" s="5" t="n"/>
      <c r="K1667" s="5" t="n"/>
      <c r="L1667" s="5" t="n"/>
      <c r="M1667" s="5" t="n"/>
      <c r="N1667" s="5" t="n"/>
      <c r="O1667" s="5" t="n"/>
      <c r="P1667" s="5" t="n"/>
      <c r="Q1667" s="5" t="n"/>
      <c r="R1667" s="5" t="n"/>
      <c r="S1667" s="5" t="n"/>
      <c r="T1667" s="5" t="n"/>
      <c r="U1667" s="5" t="n"/>
      <c r="V1667" s="5" t="n"/>
      <c r="W1667" s="5" t="n"/>
      <c r="X1667" s="5" t="n"/>
      <c r="Y1667" s="5" t="n"/>
      <c r="Z1667" s="5" t="n"/>
      <c r="AA1667" s="5" t="n"/>
      <c r="AB1667" s="5" t="n"/>
    </row>
    <row r="1668" ht="15.75" customHeight="1" s="79">
      <c r="A1668" s="5" t="n"/>
      <c r="B1668" s="5" t="n"/>
      <c r="C1668" s="5" t="n"/>
      <c r="D1668" s="5" t="n"/>
      <c r="E1668" s="5" t="n"/>
      <c r="F1668" s="5" t="n"/>
      <c r="G1668" s="5" t="n"/>
      <c r="H1668" s="5" t="n"/>
      <c r="I1668" s="5" t="n"/>
      <c r="J1668" s="5" t="n"/>
      <c r="K1668" s="5" t="n"/>
      <c r="L1668" s="5" t="n"/>
      <c r="M1668" s="5" t="n"/>
      <c r="N1668" s="5" t="n"/>
      <c r="O1668" s="5" t="n"/>
      <c r="P1668" s="5" t="n"/>
      <c r="Q1668" s="5" t="n"/>
      <c r="R1668" s="5" t="n"/>
      <c r="S1668" s="5" t="n"/>
      <c r="T1668" s="5" t="n"/>
      <c r="U1668" s="5" t="n"/>
      <c r="V1668" s="5" t="n"/>
      <c r="W1668" s="5" t="n"/>
      <c r="X1668" s="5" t="n"/>
      <c r="Y1668" s="5" t="n"/>
      <c r="Z1668" s="5" t="n"/>
      <c r="AA1668" s="5" t="n"/>
      <c r="AB1668" s="5" t="n"/>
    </row>
    <row r="1669" ht="15.75" customHeight="1" s="79">
      <c r="A1669" s="5" t="n"/>
      <c r="B1669" s="5" t="n"/>
      <c r="C1669" s="5" t="n"/>
      <c r="D1669" s="5" t="n"/>
      <c r="E1669" s="5" t="n"/>
      <c r="F1669" s="5" t="n"/>
      <c r="G1669" s="5" t="n"/>
      <c r="H1669" s="5" t="n"/>
      <c r="I1669" s="5" t="n"/>
      <c r="J1669" s="5" t="n"/>
      <c r="K1669" s="5" t="n"/>
      <c r="L1669" s="5" t="n"/>
      <c r="M1669" s="5" t="n"/>
      <c r="N1669" s="5" t="n"/>
      <c r="O1669" s="5" t="n"/>
      <c r="P1669" s="5" t="n"/>
      <c r="Q1669" s="5" t="n"/>
      <c r="R1669" s="5" t="n"/>
      <c r="S1669" s="5" t="n"/>
      <c r="T1669" s="5" t="n"/>
      <c r="U1669" s="5" t="n"/>
      <c r="V1669" s="5" t="n"/>
      <c r="W1669" s="5" t="n"/>
      <c r="X1669" s="5" t="n"/>
      <c r="Y1669" s="5" t="n"/>
      <c r="Z1669" s="5" t="n"/>
      <c r="AA1669" s="5" t="n"/>
      <c r="AB1669" s="5" t="n"/>
    </row>
    <row r="1670" ht="15.75" customHeight="1" s="79">
      <c r="A1670" s="5" t="n"/>
      <c r="B1670" s="5" t="n"/>
      <c r="C1670" s="5" t="n"/>
      <c r="D1670" s="5" t="n"/>
      <c r="E1670" s="5" t="n"/>
      <c r="F1670" s="5" t="n"/>
      <c r="G1670" s="5" t="n"/>
      <c r="H1670" s="5" t="n"/>
      <c r="I1670" s="5" t="n"/>
      <c r="J1670" s="5" t="n"/>
      <c r="K1670" s="5" t="n"/>
      <c r="L1670" s="5" t="n"/>
      <c r="M1670" s="5" t="n"/>
      <c r="N1670" s="5" t="n"/>
      <c r="O1670" s="5" t="n"/>
      <c r="P1670" s="5" t="n"/>
      <c r="Q1670" s="5" t="n"/>
      <c r="R1670" s="5" t="n"/>
      <c r="S1670" s="5" t="n"/>
      <c r="T1670" s="5" t="n"/>
      <c r="U1670" s="5" t="n"/>
      <c r="V1670" s="5" t="n"/>
      <c r="W1670" s="5" t="n"/>
      <c r="X1670" s="5" t="n"/>
      <c r="Y1670" s="5" t="n"/>
      <c r="Z1670" s="5" t="n"/>
      <c r="AA1670" s="5" t="n"/>
      <c r="AB1670" s="5" t="n"/>
    </row>
    <row r="1671" ht="15.75" customHeight="1" s="79">
      <c r="A1671" s="5" t="n"/>
      <c r="B1671" s="5" t="n"/>
      <c r="C1671" s="5" t="n"/>
      <c r="D1671" s="5" t="n"/>
      <c r="E1671" s="5" t="n"/>
      <c r="F1671" s="5" t="n"/>
      <c r="G1671" s="5" t="n"/>
      <c r="H1671" s="5" t="n"/>
      <c r="I1671" s="5" t="n"/>
      <c r="J1671" s="5" t="n"/>
      <c r="K1671" s="5" t="n"/>
      <c r="L1671" s="5" t="n"/>
      <c r="M1671" s="5" t="n"/>
      <c r="N1671" s="5" t="n"/>
      <c r="O1671" s="5" t="n"/>
      <c r="P1671" s="5" t="n"/>
      <c r="Q1671" s="5" t="n"/>
      <c r="R1671" s="5" t="n"/>
      <c r="S1671" s="5" t="n"/>
      <c r="T1671" s="5" t="n"/>
      <c r="U1671" s="5" t="n"/>
      <c r="V1671" s="5" t="n"/>
      <c r="W1671" s="5" t="n"/>
      <c r="X1671" s="5" t="n"/>
      <c r="Y1671" s="5" t="n"/>
      <c r="Z1671" s="5" t="n"/>
      <c r="AA1671" s="5" t="n"/>
      <c r="AB1671" s="5" t="n"/>
    </row>
    <row r="1672" ht="15.75" customHeight="1" s="79">
      <c r="A1672" s="5" t="n"/>
      <c r="B1672" s="5" t="n"/>
      <c r="C1672" s="5" t="n"/>
      <c r="D1672" s="5" t="n"/>
      <c r="E1672" s="5" t="n"/>
      <c r="F1672" s="5" t="n"/>
      <c r="G1672" s="5" t="n"/>
      <c r="H1672" s="5" t="n"/>
      <c r="I1672" s="5" t="n"/>
      <c r="J1672" s="5" t="n"/>
      <c r="K1672" s="5" t="n"/>
      <c r="L1672" s="5" t="n"/>
      <c r="M1672" s="5" t="n"/>
      <c r="N1672" s="5" t="n"/>
      <c r="O1672" s="5" t="n"/>
      <c r="P1672" s="5" t="n"/>
      <c r="Q1672" s="5" t="n"/>
      <c r="R1672" s="5" t="n"/>
      <c r="S1672" s="5" t="n"/>
      <c r="T1672" s="5" t="n"/>
      <c r="U1672" s="5" t="n"/>
      <c r="V1672" s="5" t="n"/>
      <c r="W1672" s="5" t="n"/>
      <c r="X1672" s="5" t="n"/>
      <c r="Y1672" s="5" t="n"/>
      <c r="Z1672" s="5" t="n"/>
      <c r="AA1672" s="5" t="n"/>
      <c r="AB1672" s="5" t="n"/>
    </row>
    <row r="1673" ht="15.75" customHeight="1" s="79">
      <c r="A1673" s="5" t="n"/>
      <c r="B1673" s="5" t="n"/>
      <c r="C1673" s="5" t="n"/>
      <c r="D1673" s="5" t="n"/>
      <c r="E1673" s="5" t="n"/>
      <c r="F1673" s="5" t="n"/>
      <c r="G1673" s="5" t="n"/>
      <c r="H1673" s="5" t="n"/>
      <c r="I1673" s="5" t="n"/>
      <c r="J1673" s="5" t="n"/>
      <c r="K1673" s="5" t="n"/>
      <c r="L1673" s="5" t="n"/>
      <c r="M1673" s="5" t="n"/>
      <c r="N1673" s="5" t="n"/>
      <c r="O1673" s="5" t="n"/>
      <c r="P1673" s="5" t="n"/>
      <c r="Q1673" s="5" t="n"/>
      <c r="R1673" s="5" t="n"/>
      <c r="S1673" s="5" t="n"/>
      <c r="T1673" s="5" t="n"/>
      <c r="U1673" s="5" t="n"/>
      <c r="V1673" s="5" t="n"/>
      <c r="W1673" s="5" t="n"/>
      <c r="X1673" s="5" t="n"/>
      <c r="Y1673" s="5" t="n"/>
      <c r="Z1673" s="5" t="n"/>
      <c r="AA1673" s="5" t="n"/>
      <c r="AB1673" s="5" t="n"/>
    </row>
    <row r="1674" ht="15.75" customHeight="1" s="79">
      <c r="A1674" s="5" t="n"/>
      <c r="B1674" s="5" t="n"/>
      <c r="C1674" s="5" t="n"/>
      <c r="D1674" s="5" t="n"/>
      <c r="E1674" s="5" t="n"/>
      <c r="F1674" s="5" t="n"/>
      <c r="G1674" s="5" t="n"/>
      <c r="H1674" s="5" t="n"/>
      <c r="I1674" s="5" t="n"/>
      <c r="J1674" s="5" t="n"/>
      <c r="K1674" s="5" t="n"/>
      <c r="L1674" s="5" t="n"/>
      <c r="M1674" s="5" t="n"/>
      <c r="N1674" s="5" t="n"/>
      <c r="O1674" s="5" t="n"/>
      <c r="P1674" s="5" t="n"/>
      <c r="Q1674" s="5" t="n"/>
      <c r="R1674" s="5" t="n"/>
      <c r="S1674" s="5" t="n"/>
      <c r="T1674" s="5" t="n"/>
      <c r="U1674" s="5" t="n"/>
      <c r="V1674" s="5" t="n"/>
      <c r="W1674" s="5" t="n"/>
      <c r="X1674" s="5" t="n"/>
      <c r="Y1674" s="5" t="n"/>
      <c r="Z1674" s="5" t="n"/>
      <c r="AA1674" s="5" t="n"/>
      <c r="AB1674" s="5" t="n"/>
    </row>
    <row r="1675" ht="15.75" customHeight="1" s="79">
      <c r="A1675" s="5" t="n"/>
      <c r="B1675" s="5" t="n"/>
      <c r="C1675" s="5" t="n"/>
      <c r="D1675" s="5" t="n"/>
      <c r="E1675" s="5" t="n"/>
      <c r="F1675" s="5" t="n"/>
      <c r="G1675" s="5" t="n"/>
      <c r="H1675" s="5" t="n"/>
      <c r="I1675" s="5" t="n"/>
      <c r="J1675" s="5" t="n"/>
      <c r="K1675" s="5" t="n"/>
      <c r="L1675" s="5" t="n"/>
      <c r="M1675" s="5" t="n"/>
      <c r="N1675" s="5" t="n"/>
      <c r="O1675" s="5" t="n"/>
      <c r="P1675" s="5" t="n"/>
      <c r="Q1675" s="5" t="n"/>
      <c r="R1675" s="5" t="n"/>
      <c r="S1675" s="5" t="n"/>
      <c r="T1675" s="5" t="n"/>
      <c r="U1675" s="5" t="n"/>
      <c r="V1675" s="5" t="n"/>
      <c r="W1675" s="5" t="n"/>
      <c r="X1675" s="5" t="n"/>
      <c r="Y1675" s="5" t="n"/>
      <c r="Z1675" s="5" t="n"/>
      <c r="AA1675" s="5" t="n"/>
      <c r="AB1675" s="5" t="n"/>
    </row>
    <row r="1676" ht="15.75" customHeight="1" s="79">
      <c r="A1676" s="5" t="n"/>
      <c r="B1676" s="5" t="n"/>
      <c r="C1676" s="5" t="n"/>
      <c r="D1676" s="5" t="n"/>
      <c r="E1676" s="5" t="n"/>
      <c r="F1676" s="5" t="n"/>
      <c r="G1676" s="5" t="n"/>
      <c r="H1676" s="5" t="n"/>
      <c r="I1676" s="5" t="n"/>
      <c r="J1676" s="5" t="n"/>
      <c r="K1676" s="5" t="n"/>
      <c r="L1676" s="5" t="n"/>
      <c r="M1676" s="5" t="n"/>
      <c r="N1676" s="5" t="n"/>
      <c r="O1676" s="5" t="n"/>
      <c r="P1676" s="5" t="n"/>
      <c r="Q1676" s="5" t="n"/>
      <c r="R1676" s="5" t="n"/>
      <c r="S1676" s="5" t="n"/>
      <c r="T1676" s="5" t="n"/>
      <c r="U1676" s="5" t="n"/>
      <c r="V1676" s="5" t="n"/>
      <c r="W1676" s="5" t="n"/>
      <c r="X1676" s="5" t="n"/>
      <c r="Y1676" s="5" t="n"/>
      <c r="Z1676" s="5" t="n"/>
      <c r="AA1676" s="5" t="n"/>
      <c r="AB1676" s="5" t="n"/>
    </row>
    <row r="1677" ht="15.75" customHeight="1" s="79">
      <c r="A1677" s="5" t="n"/>
      <c r="B1677" s="5" t="n"/>
      <c r="C1677" s="5" t="n"/>
      <c r="D1677" s="5" t="n"/>
      <c r="E1677" s="5" t="n"/>
      <c r="F1677" s="5" t="n"/>
      <c r="G1677" s="5" t="n"/>
      <c r="H1677" s="5" t="n"/>
      <c r="I1677" s="5" t="n"/>
      <c r="J1677" s="5" t="n"/>
      <c r="K1677" s="5" t="n"/>
      <c r="L1677" s="5" t="n"/>
      <c r="M1677" s="5" t="n"/>
      <c r="N1677" s="5" t="n"/>
      <c r="O1677" s="5" t="n"/>
      <c r="P1677" s="5" t="n"/>
      <c r="Q1677" s="5" t="n"/>
      <c r="R1677" s="5" t="n"/>
      <c r="S1677" s="5" t="n"/>
      <c r="T1677" s="5" t="n"/>
      <c r="U1677" s="5" t="n"/>
      <c r="V1677" s="5" t="n"/>
      <c r="W1677" s="5" t="n"/>
      <c r="X1677" s="5" t="n"/>
      <c r="Y1677" s="5" t="n"/>
      <c r="Z1677" s="5" t="n"/>
      <c r="AA1677" s="5" t="n"/>
      <c r="AB1677" s="5" t="n"/>
    </row>
    <row r="1678" ht="15.75" customHeight="1" s="79">
      <c r="A1678" s="5" t="n"/>
      <c r="B1678" s="5" t="n"/>
      <c r="C1678" s="5" t="n"/>
      <c r="D1678" s="5" t="n"/>
      <c r="E1678" s="5" t="n"/>
      <c r="F1678" s="5" t="n"/>
      <c r="G1678" s="5" t="n"/>
      <c r="H1678" s="5" t="n"/>
      <c r="I1678" s="5" t="n"/>
      <c r="J1678" s="5" t="n"/>
      <c r="K1678" s="5" t="n"/>
      <c r="L1678" s="5" t="n"/>
      <c r="M1678" s="5" t="n"/>
      <c r="N1678" s="5" t="n"/>
      <c r="O1678" s="5" t="n"/>
      <c r="P1678" s="5" t="n"/>
      <c r="Q1678" s="5" t="n"/>
      <c r="R1678" s="5" t="n"/>
      <c r="S1678" s="5" t="n"/>
      <c r="T1678" s="5" t="n"/>
      <c r="U1678" s="5" t="n"/>
      <c r="V1678" s="5" t="n"/>
      <c r="W1678" s="5" t="n"/>
      <c r="X1678" s="5" t="n"/>
      <c r="Y1678" s="5" t="n"/>
      <c r="Z1678" s="5" t="n"/>
      <c r="AA1678" s="5" t="n"/>
      <c r="AB1678" s="5" t="n"/>
    </row>
    <row r="1679" ht="15.75" customHeight="1" s="79">
      <c r="A1679" s="5" t="n"/>
      <c r="B1679" s="5" t="n"/>
      <c r="C1679" s="5" t="n"/>
      <c r="D1679" s="5" t="n"/>
      <c r="E1679" s="5" t="n"/>
      <c r="F1679" s="5" t="n"/>
      <c r="G1679" s="5" t="n"/>
      <c r="H1679" s="5" t="n"/>
      <c r="I1679" s="5" t="n"/>
      <c r="J1679" s="5" t="n"/>
      <c r="K1679" s="5" t="n"/>
      <c r="L1679" s="5" t="n"/>
      <c r="M1679" s="5" t="n"/>
      <c r="N1679" s="5" t="n"/>
      <c r="O1679" s="5" t="n"/>
      <c r="P1679" s="5" t="n"/>
      <c r="Q1679" s="5" t="n"/>
      <c r="R1679" s="5" t="n"/>
      <c r="S1679" s="5" t="n"/>
      <c r="T1679" s="5" t="n"/>
      <c r="U1679" s="5" t="n"/>
      <c r="V1679" s="5" t="n"/>
      <c r="W1679" s="5" t="n"/>
      <c r="X1679" s="5" t="n"/>
      <c r="Y1679" s="5" t="n"/>
      <c r="Z1679" s="5" t="n"/>
      <c r="AA1679" s="5" t="n"/>
      <c r="AB1679" s="5" t="n"/>
    </row>
    <row r="1680" ht="15.75" customHeight="1" s="79">
      <c r="A1680" s="5" t="n"/>
      <c r="B1680" s="5" t="n"/>
      <c r="C1680" s="5" t="n"/>
      <c r="D1680" s="5" t="n"/>
      <c r="E1680" s="5" t="n"/>
      <c r="F1680" s="5" t="n"/>
      <c r="G1680" s="5" t="n"/>
      <c r="H1680" s="5" t="n"/>
      <c r="I1680" s="5" t="n"/>
      <c r="J1680" s="5" t="n"/>
      <c r="K1680" s="5" t="n"/>
      <c r="L1680" s="5" t="n"/>
      <c r="M1680" s="5" t="n"/>
      <c r="N1680" s="5" t="n"/>
      <c r="O1680" s="5" t="n"/>
      <c r="P1680" s="5" t="n"/>
      <c r="Q1680" s="5" t="n"/>
      <c r="R1680" s="5" t="n"/>
      <c r="S1680" s="5" t="n"/>
      <c r="T1680" s="5" t="n"/>
      <c r="U1680" s="5" t="n"/>
      <c r="V1680" s="5" t="n"/>
      <c r="W1680" s="5" t="n"/>
      <c r="X1680" s="5" t="n"/>
      <c r="Y1680" s="5" t="n"/>
      <c r="Z1680" s="5" t="n"/>
      <c r="AA1680" s="5" t="n"/>
      <c r="AB1680" s="5" t="n"/>
    </row>
    <row r="1681" ht="15.75" customHeight="1" s="79">
      <c r="A1681" s="5" t="n"/>
      <c r="B1681" s="5" t="n"/>
      <c r="C1681" s="5" t="n"/>
      <c r="D1681" s="5" t="n"/>
      <c r="E1681" s="5" t="n"/>
      <c r="F1681" s="5" t="n"/>
      <c r="G1681" s="5" t="n"/>
      <c r="H1681" s="5" t="n"/>
      <c r="I1681" s="5" t="n"/>
      <c r="J1681" s="5" t="n"/>
      <c r="K1681" s="5" t="n"/>
      <c r="L1681" s="5" t="n"/>
      <c r="M1681" s="5" t="n"/>
      <c r="N1681" s="5" t="n"/>
      <c r="O1681" s="5" t="n"/>
      <c r="P1681" s="5" t="n"/>
      <c r="Q1681" s="5" t="n"/>
      <c r="R1681" s="5" t="n"/>
      <c r="S1681" s="5" t="n"/>
      <c r="T1681" s="5" t="n"/>
      <c r="U1681" s="5" t="n"/>
      <c r="V1681" s="5" t="n"/>
      <c r="W1681" s="5" t="n"/>
      <c r="X1681" s="5" t="n"/>
      <c r="Y1681" s="5" t="n"/>
      <c r="Z1681" s="5" t="n"/>
      <c r="AA1681" s="5" t="n"/>
      <c r="AB1681" s="5" t="n"/>
    </row>
    <row r="1682" ht="15.75" customHeight="1" s="79">
      <c r="A1682" s="5" t="n"/>
      <c r="B1682" s="5" t="n"/>
      <c r="C1682" s="5" t="n"/>
      <c r="D1682" s="5" t="n"/>
      <c r="E1682" s="5" t="n"/>
      <c r="F1682" s="5" t="n"/>
      <c r="G1682" s="5" t="n"/>
      <c r="H1682" s="5" t="n"/>
      <c r="I1682" s="5" t="n"/>
      <c r="J1682" s="5" t="n"/>
      <c r="K1682" s="5" t="n"/>
      <c r="L1682" s="5" t="n"/>
      <c r="M1682" s="5" t="n"/>
      <c r="N1682" s="5" t="n"/>
      <c r="O1682" s="5" t="n"/>
      <c r="P1682" s="5" t="n"/>
      <c r="Q1682" s="5" t="n"/>
      <c r="R1682" s="5" t="n"/>
      <c r="S1682" s="5" t="n"/>
      <c r="T1682" s="5" t="n"/>
      <c r="U1682" s="5" t="n"/>
      <c r="V1682" s="5" t="n"/>
      <c r="W1682" s="5" t="n"/>
      <c r="X1682" s="5" t="n"/>
      <c r="Y1682" s="5" t="n"/>
      <c r="Z1682" s="5" t="n"/>
      <c r="AA1682" s="5" t="n"/>
      <c r="AB1682" s="5" t="n"/>
    </row>
    <row r="1683" ht="15.75" customHeight="1" s="79">
      <c r="A1683" s="5" t="n"/>
      <c r="B1683" s="5" t="n"/>
      <c r="C1683" s="5" t="n"/>
      <c r="D1683" s="5" t="n"/>
      <c r="E1683" s="5" t="n"/>
      <c r="F1683" s="5" t="n"/>
      <c r="G1683" s="5" t="n"/>
      <c r="H1683" s="5" t="n"/>
      <c r="I1683" s="5" t="n"/>
      <c r="J1683" s="5" t="n"/>
      <c r="K1683" s="5" t="n"/>
      <c r="L1683" s="5" t="n"/>
      <c r="M1683" s="5" t="n"/>
      <c r="N1683" s="5" t="n"/>
      <c r="O1683" s="5" t="n"/>
      <c r="P1683" s="5" t="n"/>
      <c r="Q1683" s="5" t="n"/>
      <c r="R1683" s="5" t="n"/>
      <c r="S1683" s="5" t="n"/>
      <c r="T1683" s="5" t="n"/>
      <c r="U1683" s="5" t="n"/>
      <c r="V1683" s="5" t="n"/>
      <c r="W1683" s="5" t="n"/>
      <c r="X1683" s="5" t="n"/>
      <c r="Y1683" s="5" t="n"/>
      <c r="Z1683" s="5" t="n"/>
      <c r="AA1683" s="5" t="n"/>
      <c r="AB1683" s="5" t="n"/>
    </row>
    <row r="1684" ht="15.75" customHeight="1" s="79">
      <c r="A1684" s="5" t="n"/>
      <c r="B1684" s="5" t="n"/>
      <c r="C1684" s="5" t="n"/>
      <c r="D1684" s="5" t="n"/>
      <c r="E1684" s="5" t="n"/>
      <c r="F1684" s="5" t="n"/>
      <c r="G1684" s="5" t="n"/>
      <c r="H1684" s="5" t="n"/>
      <c r="I1684" s="5" t="n"/>
      <c r="J1684" s="5" t="n"/>
      <c r="K1684" s="5" t="n"/>
      <c r="L1684" s="5" t="n"/>
      <c r="M1684" s="5" t="n"/>
      <c r="N1684" s="5" t="n"/>
      <c r="O1684" s="5" t="n"/>
      <c r="P1684" s="5" t="n"/>
      <c r="Q1684" s="5" t="n"/>
      <c r="R1684" s="5" t="n"/>
      <c r="S1684" s="5" t="n"/>
      <c r="T1684" s="5" t="n"/>
      <c r="U1684" s="5" t="n"/>
      <c r="V1684" s="5" t="n"/>
      <c r="W1684" s="5" t="n"/>
      <c r="X1684" s="5" t="n"/>
      <c r="Y1684" s="5" t="n"/>
      <c r="Z1684" s="5" t="n"/>
      <c r="AA1684" s="5" t="n"/>
      <c r="AB1684" s="5" t="n"/>
    </row>
    <row r="1685" ht="15.75" customHeight="1" s="79">
      <c r="A1685" s="5" t="n"/>
      <c r="B1685" s="5" t="n"/>
      <c r="C1685" s="5" t="n"/>
      <c r="D1685" s="5" t="n"/>
      <c r="E1685" s="5" t="n"/>
      <c r="F1685" s="5" t="n"/>
      <c r="G1685" s="5" t="n"/>
      <c r="H1685" s="5" t="n"/>
      <c r="I1685" s="5" t="n"/>
      <c r="J1685" s="5" t="n"/>
      <c r="K1685" s="5" t="n"/>
      <c r="L1685" s="5" t="n"/>
      <c r="M1685" s="5" t="n"/>
      <c r="N1685" s="5" t="n"/>
      <c r="O1685" s="5" t="n"/>
      <c r="P1685" s="5" t="n"/>
      <c r="Q1685" s="5" t="n"/>
      <c r="R1685" s="5" t="n"/>
      <c r="S1685" s="5" t="n"/>
      <c r="T1685" s="5" t="n"/>
      <c r="U1685" s="5" t="n"/>
      <c r="V1685" s="5" t="n"/>
      <c r="W1685" s="5" t="n"/>
      <c r="X1685" s="5" t="n"/>
      <c r="Y1685" s="5" t="n"/>
      <c r="Z1685" s="5" t="n"/>
      <c r="AA1685" s="5" t="n"/>
      <c r="AB1685" s="5" t="n"/>
    </row>
    <row r="1686" ht="15.75" customHeight="1" s="79">
      <c r="A1686" s="5" t="n"/>
      <c r="B1686" s="5" t="n"/>
      <c r="C1686" s="5" t="n"/>
      <c r="D1686" s="5" t="n"/>
      <c r="E1686" s="5" t="n"/>
      <c r="F1686" s="5" t="n"/>
      <c r="G1686" s="5" t="n"/>
      <c r="H1686" s="5" t="n"/>
      <c r="I1686" s="5" t="n"/>
      <c r="J1686" s="5" t="n"/>
      <c r="K1686" s="5" t="n"/>
      <c r="L1686" s="5" t="n"/>
      <c r="M1686" s="5" t="n"/>
      <c r="N1686" s="5" t="n"/>
      <c r="O1686" s="5" t="n"/>
      <c r="P1686" s="5" t="n"/>
      <c r="Q1686" s="5" t="n"/>
      <c r="R1686" s="5" t="n"/>
      <c r="S1686" s="5" t="n"/>
      <c r="T1686" s="5" t="n"/>
      <c r="U1686" s="5" t="n"/>
      <c r="V1686" s="5" t="n"/>
      <c r="W1686" s="5" t="n"/>
      <c r="X1686" s="5" t="n"/>
      <c r="Y1686" s="5" t="n"/>
      <c r="Z1686" s="5" t="n"/>
      <c r="AA1686" s="5" t="n"/>
      <c r="AB1686" s="5" t="n"/>
    </row>
    <row r="1687" ht="15.75" customHeight="1" s="79">
      <c r="A1687" s="5" t="n"/>
      <c r="B1687" s="5" t="n"/>
      <c r="C1687" s="5" t="n"/>
      <c r="D1687" s="5" t="n"/>
      <c r="E1687" s="5" t="n"/>
      <c r="F1687" s="5" t="n"/>
      <c r="G1687" s="5" t="n"/>
      <c r="H1687" s="5" t="n"/>
      <c r="I1687" s="5" t="n"/>
      <c r="J1687" s="5" t="n"/>
      <c r="K1687" s="5" t="n"/>
      <c r="L1687" s="5" t="n"/>
      <c r="M1687" s="5" t="n"/>
      <c r="N1687" s="5" t="n"/>
      <c r="O1687" s="5" t="n"/>
      <c r="P1687" s="5" t="n"/>
      <c r="Q1687" s="5" t="n"/>
      <c r="R1687" s="5" t="n"/>
      <c r="S1687" s="5" t="n"/>
      <c r="T1687" s="5" t="n"/>
      <c r="U1687" s="5" t="n"/>
      <c r="V1687" s="5" t="n"/>
      <c r="W1687" s="5" t="n"/>
      <c r="X1687" s="5" t="n"/>
      <c r="Y1687" s="5" t="n"/>
      <c r="Z1687" s="5" t="n"/>
      <c r="AA1687" s="5" t="n"/>
      <c r="AB1687" s="5" t="n"/>
    </row>
    <row r="1688" ht="15.75" customHeight="1" s="79">
      <c r="A1688" s="5" t="n"/>
      <c r="B1688" s="5" t="n"/>
      <c r="C1688" s="5" t="n"/>
      <c r="D1688" s="5" t="n"/>
      <c r="E1688" s="5" t="n"/>
      <c r="F1688" s="5" t="n"/>
      <c r="G1688" s="5" t="n"/>
      <c r="H1688" s="5" t="n"/>
      <c r="I1688" s="5" t="n"/>
      <c r="J1688" s="5" t="n"/>
      <c r="K1688" s="5" t="n"/>
      <c r="L1688" s="5" t="n"/>
      <c r="M1688" s="5" t="n"/>
      <c r="N1688" s="5" t="n"/>
      <c r="O1688" s="5" t="n"/>
      <c r="P1688" s="5" t="n"/>
      <c r="Q1688" s="5" t="n"/>
      <c r="R1688" s="5" t="n"/>
      <c r="S1688" s="5" t="n"/>
      <c r="T1688" s="5" t="n"/>
      <c r="U1688" s="5" t="n"/>
      <c r="V1688" s="5" t="n"/>
      <c r="W1688" s="5" t="n"/>
      <c r="X1688" s="5" t="n"/>
      <c r="Y1688" s="5" t="n"/>
      <c r="Z1688" s="5" t="n"/>
      <c r="AA1688" s="5" t="n"/>
      <c r="AB1688" s="5" t="n"/>
    </row>
    <row r="1689" ht="15.75" customHeight="1" s="79">
      <c r="A1689" s="5" t="n"/>
      <c r="B1689" s="5" t="n"/>
      <c r="C1689" s="5" t="n"/>
      <c r="D1689" s="5" t="n"/>
      <c r="E1689" s="5" t="n"/>
      <c r="F1689" s="5" t="n"/>
      <c r="G1689" s="5" t="n"/>
      <c r="H1689" s="5" t="n"/>
      <c r="I1689" s="5" t="n"/>
      <c r="J1689" s="5" t="n"/>
      <c r="K1689" s="5" t="n"/>
      <c r="L1689" s="5" t="n"/>
      <c r="M1689" s="5" t="n"/>
      <c r="N1689" s="5" t="n"/>
      <c r="O1689" s="5" t="n"/>
      <c r="P1689" s="5" t="n"/>
      <c r="Q1689" s="5" t="n"/>
      <c r="R1689" s="5" t="n"/>
      <c r="S1689" s="5" t="n"/>
      <c r="T1689" s="5" t="n"/>
      <c r="U1689" s="5" t="n"/>
      <c r="V1689" s="5" t="n"/>
      <c r="W1689" s="5" t="n"/>
      <c r="X1689" s="5" t="n"/>
      <c r="Y1689" s="5" t="n"/>
      <c r="Z1689" s="5" t="n"/>
      <c r="AA1689" s="5" t="n"/>
      <c r="AB1689" s="5" t="n"/>
    </row>
    <row r="1690" ht="15.75" customHeight="1" s="79">
      <c r="A1690" s="5" t="n"/>
      <c r="B1690" s="5" t="n"/>
      <c r="C1690" s="5" t="n"/>
      <c r="D1690" s="5" t="n"/>
      <c r="E1690" s="5" t="n"/>
      <c r="F1690" s="5" t="n"/>
      <c r="G1690" s="5" t="n"/>
      <c r="H1690" s="5" t="n"/>
      <c r="I1690" s="5" t="n"/>
      <c r="J1690" s="5" t="n"/>
      <c r="K1690" s="5" t="n"/>
      <c r="L1690" s="5" t="n"/>
      <c r="M1690" s="5" t="n"/>
      <c r="N1690" s="5" t="n"/>
      <c r="O1690" s="5" t="n"/>
      <c r="P1690" s="5" t="n"/>
      <c r="Q1690" s="5" t="n"/>
      <c r="R1690" s="5" t="n"/>
      <c r="S1690" s="5" t="n"/>
      <c r="T1690" s="5" t="n"/>
      <c r="U1690" s="5" t="n"/>
      <c r="V1690" s="5" t="n"/>
      <c r="W1690" s="5" t="n"/>
      <c r="X1690" s="5" t="n"/>
      <c r="Y1690" s="5" t="n"/>
      <c r="Z1690" s="5" t="n"/>
      <c r="AA1690" s="5" t="n"/>
      <c r="AB1690" s="5" t="n"/>
    </row>
    <row r="1691" ht="15.75" customHeight="1" s="79">
      <c r="A1691" s="5" t="n"/>
      <c r="B1691" s="5" t="n"/>
      <c r="C1691" s="5" t="n"/>
      <c r="D1691" s="5" t="n"/>
      <c r="E1691" s="5" t="n"/>
      <c r="F1691" s="5" t="n"/>
      <c r="G1691" s="5" t="n"/>
      <c r="H1691" s="5" t="n"/>
      <c r="I1691" s="5" t="n"/>
      <c r="J1691" s="5" t="n"/>
      <c r="K1691" s="5" t="n"/>
      <c r="L1691" s="5" t="n"/>
      <c r="M1691" s="5" t="n"/>
      <c r="N1691" s="5" t="n"/>
      <c r="O1691" s="5" t="n"/>
      <c r="P1691" s="5" t="n"/>
      <c r="Q1691" s="5" t="n"/>
      <c r="R1691" s="5" t="n"/>
      <c r="S1691" s="5" t="n"/>
      <c r="T1691" s="5" t="n"/>
      <c r="U1691" s="5" t="n"/>
      <c r="V1691" s="5" t="n"/>
      <c r="W1691" s="5" t="n"/>
      <c r="X1691" s="5" t="n"/>
      <c r="Y1691" s="5" t="n"/>
      <c r="Z1691" s="5" t="n"/>
      <c r="AA1691" s="5" t="n"/>
      <c r="AB1691" s="5" t="n"/>
    </row>
    <row r="1692" ht="15.75" customHeight="1" s="79">
      <c r="A1692" s="5" t="n"/>
      <c r="B1692" s="5" t="n"/>
      <c r="C1692" s="5" t="n"/>
      <c r="D1692" s="5" t="n"/>
      <c r="E1692" s="5" t="n"/>
      <c r="F1692" s="5" t="n"/>
      <c r="G1692" s="5" t="n"/>
      <c r="H1692" s="5" t="n"/>
      <c r="I1692" s="5" t="n"/>
      <c r="J1692" s="5" t="n"/>
      <c r="K1692" s="5" t="n"/>
      <c r="L1692" s="5" t="n"/>
      <c r="M1692" s="5" t="n"/>
      <c r="N1692" s="5" t="n"/>
      <c r="O1692" s="5" t="n"/>
      <c r="P1692" s="5" t="n"/>
      <c r="Q1692" s="5" t="n"/>
      <c r="R1692" s="5" t="n"/>
      <c r="S1692" s="5" t="n"/>
      <c r="T1692" s="5" t="n"/>
      <c r="U1692" s="5" t="n"/>
      <c r="V1692" s="5" t="n"/>
      <c r="W1692" s="5" t="n"/>
      <c r="X1692" s="5" t="n"/>
      <c r="Y1692" s="5" t="n"/>
      <c r="Z1692" s="5" t="n"/>
      <c r="AA1692" s="5" t="n"/>
      <c r="AB1692" s="5" t="n"/>
    </row>
    <row r="1693" ht="15.75" customHeight="1" s="79">
      <c r="A1693" s="5" t="n"/>
      <c r="B1693" s="5" t="n"/>
      <c r="C1693" s="5" t="n"/>
      <c r="D1693" s="5" t="n"/>
      <c r="E1693" s="5" t="n"/>
      <c r="F1693" s="5" t="n"/>
      <c r="G1693" s="5" t="n"/>
      <c r="H1693" s="5" t="n"/>
      <c r="I1693" s="5" t="n"/>
      <c r="J1693" s="5" t="n"/>
      <c r="K1693" s="5" t="n"/>
      <c r="L1693" s="5" t="n"/>
      <c r="M1693" s="5" t="n"/>
      <c r="N1693" s="5" t="n"/>
      <c r="O1693" s="5" t="n"/>
      <c r="P1693" s="5" t="n"/>
      <c r="Q1693" s="5" t="n"/>
      <c r="R1693" s="5" t="n"/>
      <c r="S1693" s="5" t="n"/>
      <c r="T1693" s="5" t="n"/>
      <c r="U1693" s="5" t="n"/>
      <c r="V1693" s="5" t="n"/>
      <c r="W1693" s="5" t="n"/>
      <c r="X1693" s="5" t="n"/>
      <c r="Y1693" s="5" t="n"/>
      <c r="Z1693" s="5" t="n"/>
      <c r="AA1693" s="5" t="n"/>
      <c r="AB1693" s="5" t="n"/>
    </row>
    <row r="1694" ht="15.75" customHeight="1" s="79">
      <c r="A1694" s="5" t="n"/>
      <c r="B1694" s="5" t="n"/>
      <c r="C1694" s="5" t="n"/>
      <c r="D1694" s="5" t="n"/>
      <c r="E1694" s="5" t="n"/>
      <c r="F1694" s="5" t="n"/>
      <c r="G1694" s="5" t="n"/>
      <c r="H1694" s="5" t="n"/>
      <c r="I1694" s="5" t="n"/>
      <c r="J1694" s="5" t="n"/>
      <c r="K1694" s="5" t="n"/>
      <c r="L1694" s="5" t="n"/>
      <c r="M1694" s="5" t="n"/>
      <c r="N1694" s="5" t="n"/>
      <c r="O1694" s="5" t="n"/>
      <c r="P1694" s="5" t="n"/>
      <c r="Q1694" s="5" t="n"/>
      <c r="R1694" s="5" t="n"/>
      <c r="S1694" s="5" t="n"/>
      <c r="T1694" s="5" t="n"/>
      <c r="U1694" s="5" t="n"/>
      <c r="V1694" s="5" t="n"/>
      <c r="W1694" s="5" t="n"/>
      <c r="X1694" s="5" t="n"/>
      <c r="Y1694" s="5" t="n"/>
      <c r="Z1694" s="5" t="n"/>
      <c r="AA1694" s="5" t="n"/>
      <c r="AB1694" s="5" t="n"/>
    </row>
    <row r="1695" ht="15.75" customHeight="1" s="79">
      <c r="A1695" s="5" t="n"/>
      <c r="B1695" s="5" t="n"/>
      <c r="C1695" s="5" t="n"/>
      <c r="D1695" s="5" t="n"/>
      <c r="E1695" s="5" t="n"/>
      <c r="F1695" s="5" t="n"/>
      <c r="G1695" s="5" t="n"/>
      <c r="H1695" s="5" t="n"/>
      <c r="I1695" s="5" t="n"/>
      <c r="J1695" s="5" t="n"/>
      <c r="K1695" s="5" t="n"/>
      <c r="L1695" s="5" t="n"/>
      <c r="M1695" s="5" t="n"/>
      <c r="N1695" s="5" t="n"/>
      <c r="O1695" s="5" t="n"/>
      <c r="P1695" s="5" t="n"/>
      <c r="Q1695" s="5" t="n"/>
      <c r="R1695" s="5" t="n"/>
      <c r="S1695" s="5" t="n"/>
      <c r="T1695" s="5" t="n"/>
      <c r="U1695" s="5" t="n"/>
      <c r="V1695" s="5" t="n"/>
      <c r="W1695" s="5" t="n"/>
      <c r="X1695" s="5" t="n"/>
      <c r="Y1695" s="5" t="n"/>
      <c r="Z1695" s="5" t="n"/>
      <c r="AA1695" s="5" t="n"/>
      <c r="AB1695" s="5" t="n"/>
    </row>
    <row r="1696" ht="15.75" customHeight="1" s="79">
      <c r="A1696" s="5" t="n"/>
      <c r="B1696" s="5" t="n"/>
      <c r="C1696" s="5" t="n"/>
      <c r="D1696" s="5" t="n"/>
      <c r="E1696" s="5" t="n"/>
      <c r="F1696" s="5" t="n"/>
      <c r="G1696" s="5" t="n"/>
      <c r="H1696" s="5" t="n"/>
      <c r="I1696" s="5" t="n"/>
      <c r="J1696" s="5" t="n"/>
      <c r="K1696" s="5" t="n"/>
      <c r="L1696" s="5" t="n"/>
      <c r="M1696" s="5" t="n"/>
      <c r="N1696" s="5" t="n"/>
      <c r="O1696" s="5" t="n"/>
      <c r="P1696" s="5" t="n"/>
      <c r="Q1696" s="5" t="n"/>
      <c r="R1696" s="5" t="n"/>
      <c r="S1696" s="5" t="n"/>
      <c r="T1696" s="5" t="n"/>
      <c r="U1696" s="5" t="n"/>
      <c r="V1696" s="5" t="n"/>
      <c r="W1696" s="5" t="n"/>
      <c r="X1696" s="5" t="n"/>
      <c r="Y1696" s="5" t="n"/>
      <c r="Z1696" s="5" t="n"/>
      <c r="AA1696" s="5" t="n"/>
      <c r="AB1696" s="5" t="n"/>
    </row>
    <row r="1697" ht="15.75" customHeight="1" s="79">
      <c r="A1697" s="5" t="n"/>
      <c r="B1697" s="5" t="n"/>
      <c r="C1697" s="5" t="n"/>
      <c r="D1697" s="5" t="n"/>
      <c r="E1697" s="5" t="n"/>
      <c r="F1697" s="5" t="n"/>
      <c r="G1697" s="5" t="n"/>
      <c r="H1697" s="5" t="n"/>
      <c r="I1697" s="5" t="n"/>
      <c r="J1697" s="5" t="n"/>
      <c r="K1697" s="5" t="n"/>
      <c r="L1697" s="5" t="n"/>
      <c r="M1697" s="5" t="n"/>
      <c r="N1697" s="5" t="n"/>
      <c r="O1697" s="5" t="n"/>
      <c r="P1697" s="5" t="n"/>
      <c r="Q1697" s="5" t="n"/>
      <c r="R1697" s="5" t="n"/>
      <c r="S1697" s="5" t="n"/>
      <c r="T1697" s="5" t="n"/>
      <c r="U1697" s="5" t="n"/>
      <c r="V1697" s="5" t="n"/>
      <c r="W1697" s="5" t="n"/>
      <c r="X1697" s="5" t="n"/>
      <c r="Y1697" s="5" t="n"/>
      <c r="Z1697" s="5" t="n"/>
      <c r="AA1697" s="5" t="n"/>
      <c r="AB1697" s="5" t="n"/>
    </row>
    <row r="1698" ht="15.75" customHeight="1" s="79">
      <c r="A1698" s="5" t="n"/>
      <c r="B1698" s="5" t="n"/>
      <c r="C1698" s="5" t="n"/>
      <c r="D1698" s="5" t="n"/>
      <c r="E1698" s="5" t="n"/>
      <c r="F1698" s="5" t="n"/>
      <c r="G1698" s="5" t="n"/>
      <c r="H1698" s="5" t="n"/>
      <c r="I1698" s="5" t="n"/>
      <c r="J1698" s="5" t="n"/>
      <c r="K1698" s="5" t="n"/>
      <c r="L1698" s="5" t="n"/>
      <c r="M1698" s="5" t="n"/>
      <c r="N1698" s="5" t="n"/>
      <c r="O1698" s="5" t="n"/>
      <c r="P1698" s="5" t="n"/>
      <c r="Q1698" s="5" t="n"/>
      <c r="R1698" s="5" t="n"/>
      <c r="S1698" s="5" t="n"/>
      <c r="T1698" s="5" t="n"/>
      <c r="U1698" s="5" t="n"/>
      <c r="V1698" s="5" t="n"/>
      <c r="W1698" s="5" t="n"/>
      <c r="X1698" s="5" t="n"/>
      <c r="Y1698" s="5" t="n"/>
      <c r="Z1698" s="5" t="n"/>
      <c r="AA1698" s="5" t="n"/>
      <c r="AB1698" s="5" t="n"/>
    </row>
    <row r="1699" ht="15.75" customHeight="1" s="79">
      <c r="A1699" s="5" t="n"/>
      <c r="B1699" s="5" t="n"/>
      <c r="C1699" s="5" t="n"/>
      <c r="D1699" s="5" t="n"/>
      <c r="E1699" s="5" t="n"/>
      <c r="F1699" s="5" t="n"/>
      <c r="G1699" s="5" t="n"/>
      <c r="H1699" s="5" t="n"/>
      <c r="I1699" s="5" t="n"/>
      <c r="J1699" s="5" t="n"/>
      <c r="K1699" s="5" t="n"/>
      <c r="L1699" s="5" t="n"/>
      <c r="M1699" s="5" t="n"/>
      <c r="N1699" s="5" t="n"/>
      <c r="O1699" s="5" t="n"/>
      <c r="P1699" s="5" t="n"/>
      <c r="Q1699" s="5" t="n"/>
      <c r="R1699" s="5" t="n"/>
      <c r="S1699" s="5" t="n"/>
      <c r="T1699" s="5" t="n"/>
      <c r="U1699" s="5" t="n"/>
      <c r="V1699" s="5" t="n"/>
      <c r="W1699" s="5" t="n"/>
      <c r="X1699" s="5" t="n"/>
      <c r="Y1699" s="5" t="n"/>
      <c r="Z1699" s="5" t="n"/>
      <c r="AA1699" s="5" t="n"/>
      <c r="AB1699" s="5" t="n"/>
    </row>
    <row r="1700" ht="15.75" customHeight="1" s="79">
      <c r="A1700" s="5" t="n"/>
      <c r="B1700" s="5" t="n"/>
      <c r="C1700" s="5" t="n"/>
      <c r="D1700" s="5" t="n"/>
      <c r="E1700" s="5" t="n"/>
      <c r="F1700" s="5" t="n"/>
      <c r="G1700" s="5" t="n"/>
      <c r="H1700" s="5" t="n"/>
      <c r="I1700" s="5" t="n"/>
      <c r="J1700" s="5" t="n"/>
      <c r="K1700" s="5" t="n"/>
      <c r="L1700" s="5" t="n"/>
      <c r="M1700" s="5" t="n"/>
      <c r="N1700" s="5" t="n"/>
      <c r="O1700" s="5" t="n"/>
      <c r="P1700" s="5" t="n"/>
      <c r="Q1700" s="5" t="n"/>
      <c r="R1700" s="5" t="n"/>
      <c r="S1700" s="5" t="n"/>
      <c r="T1700" s="5" t="n"/>
      <c r="U1700" s="5" t="n"/>
      <c r="V1700" s="5" t="n"/>
      <c r="W1700" s="5" t="n"/>
      <c r="X1700" s="5" t="n"/>
      <c r="Y1700" s="5" t="n"/>
      <c r="Z1700" s="5" t="n"/>
      <c r="AA1700" s="5" t="n"/>
      <c r="AB1700" s="5" t="n"/>
    </row>
    <row r="1701" ht="15.75" customHeight="1" s="79">
      <c r="A1701" s="5" t="n"/>
      <c r="B1701" s="5" t="n"/>
      <c r="C1701" s="5" t="n"/>
      <c r="D1701" s="5" t="n"/>
      <c r="E1701" s="5" t="n"/>
      <c r="F1701" s="5" t="n"/>
      <c r="G1701" s="5" t="n"/>
      <c r="H1701" s="5" t="n"/>
      <c r="I1701" s="5" t="n"/>
      <c r="J1701" s="5" t="n"/>
      <c r="K1701" s="5" t="n"/>
      <c r="L1701" s="5" t="n"/>
      <c r="M1701" s="5" t="n"/>
      <c r="N1701" s="5" t="n"/>
      <c r="O1701" s="5" t="n"/>
      <c r="P1701" s="5" t="n"/>
      <c r="Q1701" s="5" t="n"/>
      <c r="R1701" s="5" t="n"/>
      <c r="S1701" s="5" t="n"/>
      <c r="T1701" s="5" t="n"/>
      <c r="U1701" s="5" t="n"/>
      <c r="V1701" s="5" t="n"/>
      <c r="W1701" s="5" t="n"/>
      <c r="X1701" s="5" t="n"/>
      <c r="Y1701" s="5" t="n"/>
      <c r="Z1701" s="5" t="n"/>
      <c r="AA1701" s="5" t="n"/>
      <c r="AB1701" s="5" t="n"/>
    </row>
    <row r="1702" ht="15.75" customHeight="1" s="79">
      <c r="A1702" s="5" t="n"/>
      <c r="B1702" s="5" t="n"/>
      <c r="C1702" s="5" t="n"/>
      <c r="D1702" s="5" t="n"/>
      <c r="E1702" s="5" t="n"/>
      <c r="F1702" s="5" t="n"/>
      <c r="G1702" s="5" t="n"/>
      <c r="H1702" s="5" t="n"/>
      <c r="I1702" s="5" t="n"/>
      <c r="J1702" s="5" t="n"/>
      <c r="K1702" s="5" t="n"/>
      <c r="L1702" s="5" t="n"/>
      <c r="M1702" s="5" t="n"/>
      <c r="N1702" s="5" t="n"/>
      <c r="O1702" s="5" t="n"/>
      <c r="P1702" s="5" t="n"/>
      <c r="Q1702" s="5" t="n"/>
      <c r="R1702" s="5" t="n"/>
      <c r="S1702" s="5" t="n"/>
      <c r="T1702" s="5" t="n"/>
      <c r="U1702" s="5" t="n"/>
      <c r="V1702" s="5" t="n"/>
      <c r="W1702" s="5" t="n"/>
      <c r="X1702" s="5" t="n"/>
      <c r="Y1702" s="5" t="n"/>
      <c r="Z1702" s="5" t="n"/>
      <c r="AA1702" s="5" t="n"/>
      <c r="AB1702" s="5" t="n"/>
    </row>
    <row r="1703" ht="15.75" customHeight="1" s="79">
      <c r="A1703" s="5" t="n"/>
      <c r="B1703" s="5" t="n"/>
      <c r="C1703" s="5" t="n"/>
      <c r="D1703" s="5" t="n"/>
      <c r="E1703" s="5" t="n"/>
      <c r="F1703" s="5" t="n"/>
      <c r="G1703" s="5" t="n"/>
      <c r="H1703" s="5" t="n"/>
      <c r="I1703" s="5" t="n"/>
      <c r="J1703" s="5" t="n"/>
      <c r="K1703" s="5" t="n"/>
      <c r="L1703" s="5" t="n"/>
      <c r="M1703" s="5" t="n"/>
      <c r="N1703" s="5" t="n"/>
      <c r="O1703" s="5" t="n"/>
      <c r="P1703" s="5" t="n"/>
      <c r="Q1703" s="5" t="n"/>
      <c r="R1703" s="5" t="n"/>
      <c r="S1703" s="5" t="n"/>
      <c r="T1703" s="5" t="n"/>
      <c r="U1703" s="5" t="n"/>
      <c r="V1703" s="5" t="n"/>
      <c r="W1703" s="5" t="n"/>
      <c r="X1703" s="5" t="n"/>
      <c r="Y1703" s="5" t="n"/>
      <c r="Z1703" s="5" t="n"/>
      <c r="AA1703" s="5" t="n"/>
      <c r="AB1703" s="5" t="n"/>
    </row>
    <row r="1704" ht="15.75" customHeight="1" s="79">
      <c r="A1704" s="5" t="n"/>
      <c r="B1704" s="5" t="n"/>
      <c r="C1704" s="5" t="n"/>
      <c r="D1704" s="5" t="n"/>
      <c r="E1704" s="5" t="n"/>
      <c r="F1704" s="5" t="n"/>
      <c r="G1704" s="5" t="n"/>
      <c r="H1704" s="5" t="n"/>
      <c r="I1704" s="5" t="n"/>
      <c r="J1704" s="5" t="n"/>
      <c r="K1704" s="5" t="n"/>
      <c r="L1704" s="5" t="n"/>
      <c r="M1704" s="5" t="n"/>
      <c r="N1704" s="5" t="n"/>
      <c r="O1704" s="5" t="n"/>
      <c r="P1704" s="5" t="n"/>
      <c r="Q1704" s="5" t="n"/>
      <c r="R1704" s="5" t="n"/>
      <c r="S1704" s="5" t="n"/>
      <c r="T1704" s="5" t="n"/>
      <c r="U1704" s="5" t="n"/>
      <c r="V1704" s="5" t="n"/>
      <c r="W1704" s="5" t="n"/>
      <c r="X1704" s="5" t="n"/>
      <c r="Y1704" s="5" t="n"/>
      <c r="Z1704" s="5" t="n"/>
      <c r="AA1704" s="5" t="n"/>
      <c r="AB1704" s="5" t="n"/>
    </row>
    <row r="1705" ht="15.75" customHeight="1" s="79">
      <c r="A1705" s="5" t="n"/>
      <c r="B1705" s="5" t="n"/>
      <c r="C1705" s="5" t="n"/>
      <c r="D1705" s="5" t="n"/>
      <c r="E1705" s="5" t="n"/>
      <c r="F1705" s="5" t="n"/>
      <c r="G1705" s="5" t="n"/>
      <c r="H1705" s="5" t="n"/>
      <c r="I1705" s="5" t="n"/>
      <c r="J1705" s="5" t="n"/>
      <c r="K1705" s="5" t="n"/>
      <c r="L1705" s="5" t="n"/>
      <c r="M1705" s="5" t="n"/>
      <c r="N1705" s="5" t="n"/>
      <c r="O1705" s="5" t="n"/>
      <c r="P1705" s="5" t="n"/>
      <c r="Q1705" s="5" t="n"/>
      <c r="R1705" s="5" t="n"/>
      <c r="S1705" s="5" t="n"/>
      <c r="T1705" s="5" t="n"/>
      <c r="U1705" s="5" t="n"/>
      <c r="V1705" s="5" t="n"/>
      <c r="W1705" s="5" t="n"/>
      <c r="X1705" s="5" t="n"/>
      <c r="Y1705" s="5" t="n"/>
      <c r="Z1705" s="5" t="n"/>
      <c r="AA1705" s="5" t="n"/>
      <c r="AB1705" s="5" t="n"/>
    </row>
    <row r="1706" ht="15.75" customHeight="1" s="79">
      <c r="A1706" s="5" t="n"/>
      <c r="B1706" s="5" t="n"/>
      <c r="C1706" s="5" t="n"/>
      <c r="D1706" s="5" t="n"/>
      <c r="E1706" s="5" t="n"/>
      <c r="F1706" s="5" t="n"/>
      <c r="G1706" s="5" t="n"/>
      <c r="H1706" s="5" t="n"/>
      <c r="I1706" s="5" t="n"/>
      <c r="J1706" s="5" t="n"/>
      <c r="K1706" s="5" t="n"/>
      <c r="L1706" s="5" t="n"/>
      <c r="M1706" s="5" t="n"/>
      <c r="N1706" s="5" t="n"/>
      <c r="O1706" s="5" t="n"/>
      <c r="P1706" s="5" t="n"/>
      <c r="Q1706" s="5" t="n"/>
      <c r="R1706" s="5" t="n"/>
      <c r="S1706" s="5" t="n"/>
      <c r="T1706" s="5" t="n"/>
      <c r="U1706" s="5" t="n"/>
      <c r="V1706" s="5" t="n"/>
      <c r="W1706" s="5" t="n"/>
      <c r="X1706" s="5" t="n"/>
      <c r="Y1706" s="5" t="n"/>
      <c r="Z1706" s="5" t="n"/>
      <c r="AA1706" s="5" t="n"/>
      <c r="AB1706" s="5" t="n"/>
    </row>
    <row r="1707" ht="15.75" customHeight="1" s="79">
      <c r="A1707" s="5" t="n"/>
      <c r="B1707" s="5" t="n"/>
      <c r="C1707" s="5" t="n"/>
      <c r="D1707" s="5" t="n"/>
      <c r="E1707" s="5" t="n"/>
      <c r="F1707" s="5" t="n"/>
      <c r="G1707" s="5" t="n"/>
      <c r="H1707" s="5" t="n"/>
      <c r="I1707" s="5" t="n"/>
      <c r="J1707" s="5" t="n"/>
      <c r="K1707" s="5" t="n"/>
      <c r="L1707" s="5" t="n"/>
      <c r="M1707" s="5" t="n"/>
      <c r="N1707" s="5" t="n"/>
      <c r="O1707" s="5" t="n"/>
      <c r="P1707" s="5" t="n"/>
      <c r="Q1707" s="5" t="n"/>
      <c r="R1707" s="5" t="n"/>
      <c r="S1707" s="5" t="n"/>
      <c r="T1707" s="5" t="n"/>
      <c r="U1707" s="5" t="n"/>
      <c r="V1707" s="5" t="n"/>
      <c r="W1707" s="5" t="n"/>
      <c r="X1707" s="5" t="n"/>
      <c r="Y1707" s="5" t="n"/>
      <c r="Z1707" s="5" t="n"/>
      <c r="AA1707" s="5" t="n"/>
      <c r="AB1707" s="5" t="n"/>
    </row>
    <row r="1708" ht="15.75" customHeight="1" s="79">
      <c r="A1708" s="5" t="n"/>
      <c r="B1708" s="5" t="n"/>
      <c r="C1708" s="5" t="n"/>
      <c r="D1708" s="5" t="n"/>
      <c r="E1708" s="5" t="n"/>
      <c r="F1708" s="5" t="n"/>
      <c r="G1708" s="5" t="n"/>
      <c r="H1708" s="5" t="n"/>
      <c r="I1708" s="5" t="n"/>
      <c r="J1708" s="5" t="n"/>
      <c r="K1708" s="5" t="n"/>
      <c r="L1708" s="5" t="n"/>
      <c r="M1708" s="5" t="n"/>
      <c r="N1708" s="5" t="n"/>
      <c r="O1708" s="5" t="n"/>
      <c r="P1708" s="5" t="n"/>
      <c r="Q1708" s="5" t="n"/>
      <c r="R1708" s="5" t="n"/>
      <c r="S1708" s="5" t="n"/>
      <c r="T1708" s="5" t="n"/>
      <c r="U1708" s="5" t="n"/>
      <c r="V1708" s="5" t="n"/>
      <c r="W1708" s="5" t="n"/>
      <c r="X1708" s="5" t="n"/>
      <c r="Y1708" s="5" t="n"/>
      <c r="Z1708" s="5" t="n"/>
      <c r="AA1708" s="5" t="n"/>
      <c r="AB1708" s="5" t="n"/>
    </row>
    <row r="1709" ht="15.75" customHeight="1" s="79">
      <c r="A1709" s="5" t="n"/>
      <c r="B1709" s="5" t="n"/>
      <c r="C1709" s="5" t="n"/>
      <c r="D1709" s="5" t="n"/>
      <c r="E1709" s="5" t="n"/>
      <c r="F1709" s="5" t="n"/>
      <c r="G1709" s="5" t="n"/>
      <c r="H1709" s="5" t="n"/>
      <c r="I1709" s="5" t="n"/>
      <c r="J1709" s="5" t="n"/>
      <c r="K1709" s="5" t="n"/>
      <c r="L1709" s="5" t="n"/>
      <c r="M1709" s="5" t="n"/>
      <c r="N1709" s="5" t="n"/>
      <c r="O1709" s="5" t="n"/>
      <c r="P1709" s="5" t="n"/>
      <c r="Q1709" s="5" t="n"/>
      <c r="R1709" s="5" t="n"/>
      <c r="S1709" s="5" t="n"/>
      <c r="T1709" s="5" t="n"/>
      <c r="U1709" s="5" t="n"/>
      <c r="V1709" s="5" t="n"/>
      <c r="W1709" s="5" t="n"/>
      <c r="X1709" s="5" t="n"/>
      <c r="Y1709" s="5" t="n"/>
      <c r="Z1709" s="5" t="n"/>
      <c r="AA1709" s="5" t="n"/>
      <c r="AB1709" s="5" t="n"/>
    </row>
    <row r="1710" ht="15.75" customHeight="1" s="79">
      <c r="A1710" s="5" t="n"/>
      <c r="B1710" s="5" t="n"/>
      <c r="C1710" s="5" t="n"/>
      <c r="D1710" s="5" t="n"/>
      <c r="E1710" s="5" t="n"/>
      <c r="F1710" s="5" t="n"/>
      <c r="G1710" s="5" t="n"/>
      <c r="H1710" s="5" t="n"/>
      <c r="I1710" s="5" t="n"/>
      <c r="J1710" s="5" t="n"/>
      <c r="K1710" s="5" t="n"/>
      <c r="L1710" s="5" t="n"/>
      <c r="M1710" s="5" t="n"/>
      <c r="N1710" s="5" t="n"/>
      <c r="O1710" s="5" t="n"/>
      <c r="P1710" s="5" t="n"/>
      <c r="Q1710" s="5" t="n"/>
      <c r="R1710" s="5" t="n"/>
      <c r="S1710" s="5" t="n"/>
      <c r="T1710" s="5" t="n"/>
      <c r="U1710" s="5" t="n"/>
      <c r="V1710" s="5" t="n"/>
      <c r="W1710" s="5" t="n"/>
      <c r="X1710" s="5" t="n"/>
      <c r="Y1710" s="5" t="n"/>
      <c r="Z1710" s="5" t="n"/>
      <c r="AA1710" s="5" t="n"/>
      <c r="AB1710" s="5" t="n"/>
    </row>
    <row r="1711" ht="15.75" customHeight="1" s="79">
      <c r="A1711" s="5" t="n"/>
      <c r="B1711" s="5" t="n"/>
      <c r="C1711" s="5" t="n"/>
      <c r="D1711" s="5" t="n"/>
      <c r="E1711" s="5" t="n"/>
      <c r="F1711" s="5" t="n"/>
      <c r="G1711" s="5" t="n"/>
      <c r="H1711" s="5" t="n"/>
      <c r="I1711" s="5" t="n"/>
      <c r="J1711" s="5" t="n"/>
      <c r="K1711" s="5" t="n"/>
      <c r="L1711" s="5" t="n"/>
      <c r="M1711" s="5" t="n"/>
      <c r="N1711" s="5" t="n"/>
      <c r="O1711" s="5" t="n"/>
      <c r="P1711" s="5" t="n"/>
      <c r="Q1711" s="5" t="n"/>
      <c r="R1711" s="5" t="n"/>
      <c r="S1711" s="5" t="n"/>
      <c r="T1711" s="5" t="n"/>
      <c r="U1711" s="5" t="n"/>
      <c r="V1711" s="5" t="n"/>
      <c r="W1711" s="5" t="n"/>
      <c r="X1711" s="5" t="n"/>
      <c r="Y1711" s="5" t="n"/>
      <c r="Z1711" s="5" t="n"/>
      <c r="AA1711" s="5" t="n"/>
      <c r="AB1711" s="5" t="n"/>
    </row>
    <row r="1712" ht="15.75" customHeight="1" s="79">
      <c r="A1712" s="5" t="n"/>
      <c r="B1712" s="5" t="n"/>
      <c r="C1712" s="5" t="n"/>
      <c r="D1712" s="5" t="n"/>
      <c r="E1712" s="5" t="n"/>
      <c r="F1712" s="5" t="n"/>
      <c r="G1712" s="5" t="n"/>
      <c r="H1712" s="5" t="n"/>
      <c r="I1712" s="5" t="n"/>
      <c r="J1712" s="5" t="n"/>
      <c r="K1712" s="5" t="n"/>
      <c r="L1712" s="5" t="n"/>
      <c r="M1712" s="5" t="n"/>
      <c r="N1712" s="5" t="n"/>
      <c r="O1712" s="5" t="n"/>
      <c r="P1712" s="5" t="n"/>
      <c r="Q1712" s="5" t="n"/>
      <c r="R1712" s="5" t="n"/>
      <c r="S1712" s="5" t="n"/>
      <c r="T1712" s="5" t="n"/>
      <c r="U1712" s="5" t="n"/>
      <c r="V1712" s="5" t="n"/>
      <c r="W1712" s="5" t="n"/>
      <c r="X1712" s="5" t="n"/>
      <c r="Y1712" s="5" t="n"/>
      <c r="Z1712" s="5" t="n"/>
      <c r="AA1712" s="5" t="n"/>
      <c r="AB1712" s="5" t="n"/>
    </row>
    <row r="1713" ht="15.75" customHeight="1" s="79">
      <c r="A1713" s="5" t="n"/>
      <c r="B1713" s="5" t="n"/>
      <c r="C1713" s="5" t="n"/>
      <c r="D1713" s="5" t="n"/>
      <c r="E1713" s="5" t="n"/>
      <c r="F1713" s="5" t="n"/>
      <c r="G1713" s="5" t="n"/>
      <c r="H1713" s="5" t="n"/>
      <c r="I1713" s="5" t="n"/>
      <c r="J1713" s="5" t="n"/>
      <c r="K1713" s="5" t="n"/>
      <c r="L1713" s="5" t="n"/>
      <c r="M1713" s="5" t="n"/>
      <c r="N1713" s="5" t="n"/>
      <c r="O1713" s="5" t="n"/>
      <c r="P1713" s="5" t="n"/>
      <c r="Q1713" s="5" t="n"/>
      <c r="R1713" s="5" t="n"/>
      <c r="S1713" s="5" t="n"/>
      <c r="T1713" s="5" t="n"/>
      <c r="U1713" s="5" t="n"/>
      <c r="V1713" s="5" t="n"/>
      <c r="W1713" s="5" t="n"/>
      <c r="X1713" s="5" t="n"/>
      <c r="Y1713" s="5" t="n"/>
      <c r="Z1713" s="5" t="n"/>
      <c r="AA1713" s="5" t="n"/>
      <c r="AB1713" s="5" t="n"/>
    </row>
    <row r="1714" ht="15.75" customHeight="1" s="79">
      <c r="A1714" s="5" t="n"/>
      <c r="B1714" s="5" t="n"/>
      <c r="C1714" s="5" t="n"/>
      <c r="D1714" s="5" t="n"/>
      <c r="E1714" s="5" t="n"/>
      <c r="F1714" s="5" t="n"/>
      <c r="G1714" s="5" t="n"/>
      <c r="H1714" s="5" t="n"/>
      <c r="I1714" s="5" t="n"/>
      <c r="J1714" s="5" t="n"/>
      <c r="K1714" s="5" t="n"/>
      <c r="L1714" s="5" t="n"/>
      <c r="M1714" s="5" t="n"/>
      <c r="N1714" s="5" t="n"/>
      <c r="O1714" s="5" t="n"/>
      <c r="P1714" s="5" t="n"/>
      <c r="Q1714" s="5" t="n"/>
      <c r="R1714" s="5" t="n"/>
      <c r="S1714" s="5" t="n"/>
      <c r="T1714" s="5" t="n"/>
      <c r="U1714" s="5" t="n"/>
      <c r="V1714" s="5" t="n"/>
      <c r="W1714" s="5" t="n"/>
      <c r="X1714" s="5" t="n"/>
      <c r="Y1714" s="5" t="n"/>
      <c r="Z1714" s="5" t="n"/>
      <c r="AA1714" s="5" t="n"/>
      <c r="AB1714" s="5" t="n"/>
    </row>
    <row r="1715" ht="15.75" customHeight="1" s="79">
      <c r="A1715" s="5" t="n"/>
      <c r="B1715" s="5" t="n"/>
      <c r="C1715" s="5" t="n"/>
      <c r="D1715" s="5" t="n"/>
      <c r="E1715" s="5" t="n"/>
      <c r="F1715" s="5" t="n"/>
      <c r="G1715" s="5" t="n"/>
      <c r="H1715" s="5" t="n"/>
      <c r="I1715" s="5" t="n"/>
      <c r="J1715" s="5" t="n"/>
      <c r="K1715" s="5" t="n"/>
      <c r="L1715" s="5" t="n"/>
      <c r="M1715" s="5" t="n"/>
      <c r="N1715" s="5" t="n"/>
      <c r="O1715" s="5" t="n"/>
      <c r="P1715" s="5" t="n"/>
      <c r="Q1715" s="5" t="n"/>
      <c r="R1715" s="5" t="n"/>
      <c r="S1715" s="5" t="n"/>
      <c r="T1715" s="5" t="n"/>
      <c r="U1715" s="5" t="n"/>
      <c r="V1715" s="5" t="n"/>
      <c r="W1715" s="5" t="n"/>
      <c r="X1715" s="5" t="n"/>
      <c r="Y1715" s="5" t="n"/>
      <c r="Z1715" s="5" t="n"/>
      <c r="AA1715" s="5" t="n"/>
      <c r="AB1715" s="5" t="n"/>
    </row>
    <row r="1716" ht="15.75" customHeight="1" s="79">
      <c r="A1716" s="5" t="n"/>
      <c r="B1716" s="5" t="n"/>
      <c r="C1716" s="5" t="n"/>
      <c r="D1716" s="5" t="n"/>
      <c r="E1716" s="5" t="n"/>
      <c r="F1716" s="5" t="n"/>
      <c r="G1716" s="5" t="n"/>
      <c r="H1716" s="5" t="n"/>
      <c r="I1716" s="5" t="n"/>
      <c r="J1716" s="5" t="n"/>
      <c r="K1716" s="5" t="n"/>
      <c r="L1716" s="5" t="n"/>
      <c r="M1716" s="5" t="n"/>
      <c r="N1716" s="5" t="n"/>
      <c r="O1716" s="5" t="n"/>
      <c r="P1716" s="5" t="n"/>
      <c r="Q1716" s="5" t="n"/>
      <c r="R1716" s="5" t="n"/>
      <c r="S1716" s="5" t="n"/>
      <c r="T1716" s="5" t="n"/>
      <c r="U1716" s="5" t="n"/>
      <c r="V1716" s="5" t="n"/>
      <c r="W1716" s="5" t="n"/>
      <c r="X1716" s="5" t="n"/>
      <c r="Y1716" s="5" t="n"/>
      <c r="Z1716" s="5" t="n"/>
      <c r="AA1716" s="5" t="n"/>
      <c r="AB1716" s="5" t="n"/>
    </row>
    <row r="1717" ht="15.75" customHeight="1" s="79">
      <c r="A1717" s="5" t="n"/>
      <c r="B1717" s="5" t="n"/>
      <c r="C1717" s="5" t="n"/>
      <c r="D1717" s="5" t="n"/>
      <c r="E1717" s="5" t="n"/>
      <c r="F1717" s="5" t="n"/>
      <c r="G1717" s="5" t="n"/>
      <c r="H1717" s="5" t="n"/>
      <c r="I1717" s="5" t="n"/>
      <c r="J1717" s="5" t="n"/>
      <c r="K1717" s="5" t="n"/>
      <c r="L1717" s="5" t="n"/>
      <c r="M1717" s="5" t="n"/>
      <c r="N1717" s="5" t="n"/>
      <c r="O1717" s="5" t="n"/>
      <c r="P1717" s="5" t="n"/>
      <c r="Q1717" s="5" t="n"/>
      <c r="R1717" s="5" t="n"/>
      <c r="S1717" s="5" t="n"/>
      <c r="T1717" s="5" t="n"/>
      <c r="U1717" s="5" t="n"/>
      <c r="V1717" s="5" t="n"/>
      <c r="W1717" s="5" t="n"/>
      <c r="X1717" s="5" t="n"/>
      <c r="Y1717" s="5" t="n"/>
      <c r="Z1717" s="5" t="n"/>
      <c r="AA1717" s="5" t="n"/>
      <c r="AB1717" s="5" t="n"/>
    </row>
    <row r="1718" ht="15.75" customHeight="1" s="79">
      <c r="A1718" s="5" t="n"/>
      <c r="B1718" s="5" t="n"/>
      <c r="C1718" s="5" t="n"/>
      <c r="D1718" s="5" t="n"/>
      <c r="E1718" s="5" t="n"/>
      <c r="F1718" s="5" t="n"/>
      <c r="G1718" s="5" t="n"/>
      <c r="H1718" s="5" t="n"/>
      <c r="I1718" s="5" t="n"/>
      <c r="J1718" s="5" t="n"/>
      <c r="K1718" s="5" t="n"/>
      <c r="L1718" s="5" t="n"/>
      <c r="M1718" s="5" t="n"/>
      <c r="N1718" s="5" t="n"/>
      <c r="O1718" s="5" t="n"/>
      <c r="P1718" s="5" t="n"/>
      <c r="Q1718" s="5" t="n"/>
      <c r="R1718" s="5" t="n"/>
      <c r="S1718" s="5" t="n"/>
      <c r="T1718" s="5" t="n"/>
      <c r="U1718" s="5" t="n"/>
      <c r="V1718" s="5" t="n"/>
      <c r="W1718" s="5" t="n"/>
      <c r="X1718" s="5" t="n"/>
      <c r="Y1718" s="5" t="n"/>
      <c r="Z1718" s="5" t="n"/>
      <c r="AA1718" s="5" t="n"/>
      <c r="AB1718" s="5" t="n"/>
    </row>
    <row r="1719" ht="15.75" customHeight="1" s="79">
      <c r="A1719" s="5" t="n"/>
      <c r="B1719" s="5" t="n"/>
      <c r="C1719" s="5" t="n"/>
      <c r="D1719" s="5" t="n"/>
      <c r="E1719" s="5" t="n"/>
      <c r="F1719" s="5" t="n"/>
      <c r="G1719" s="5" t="n"/>
      <c r="H1719" s="5" t="n"/>
      <c r="I1719" s="5" t="n"/>
      <c r="J1719" s="5" t="n"/>
      <c r="K1719" s="5" t="n"/>
      <c r="L1719" s="5" t="n"/>
      <c r="M1719" s="5" t="n"/>
      <c r="N1719" s="5" t="n"/>
      <c r="O1719" s="5" t="n"/>
      <c r="P1719" s="5" t="n"/>
      <c r="Q1719" s="5" t="n"/>
      <c r="R1719" s="5" t="n"/>
      <c r="S1719" s="5" t="n"/>
      <c r="T1719" s="5" t="n"/>
      <c r="U1719" s="5" t="n"/>
      <c r="V1719" s="5" t="n"/>
      <c r="W1719" s="5" t="n"/>
      <c r="X1719" s="5" t="n"/>
      <c r="Y1719" s="5" t="n"/>
      <c r="Z1719" s="5" t="n"/>
      <c r="AA1719" s="5" t="n"/>
      <c r="AB1719" s="5" t="n"/>
    </row>
    <row r="1720" ht="15.75" customHeight="1" s="79">
      <c r="A1720" s="5" t="n"/>
      <c r="B1720" s="5" t="n"/>
      <c r="C1720" s="5" t="n"/>
      <c r="D1720" s="5" t="n"/>
      <c r="E1720" s="5" t="n"/>
      <c r="F1720" s="5" t="n"/>
      <c r="G1720" s="5" t="n"/>
      <c r="H1720" s="5" t="n"/>
      <c r="I1720" s="5" t="n"/>
      <c r="J1720" s="5" t="n"/>
      <c r="K1720" s="5" t="n"/>
      <c r="L1720" s="5" t="n"/>
      <c r="M1720" s="5" t="n"/>
      <c r="N1720" s="5" t="n"/>
      <c r="O1720" s="5" t="n"/>
      <c r="P1720" s="5" t="n"/>
      <c r="Q1720" s="5" t="n"/>
      <c r="R1720" s="5" t="n"/>
      <c r="S1720" s="5" t="n"/>
      <c r="T1720" s="5" t="n"/>
      <c r="U1720" s="5" t="n"/>
      <c r="V1720" s="5" t="n"/>
      <c r="W1720" s="5" t="n"/>
      <c r="X1720" s="5" t="n"/>
      <c r="Y1720" s="5" t="n"/>
      <c r="Z1720" s="5" t="n"/>
      <c r="AA1720" s="5" t="n"/>
      <c r="AB1720" s="5" t="n"/>
    </row>
    <row r="1721" ht="15.75" customHeight="1" s="79">
      <c r="A1721" s="5" t="n"/>
      <c r="B1721" s="5" t="n"/>
      <c r="C1721" s="5" t="n"/>
      <c r="D1721" s="5" t="n"/>
      <c r="E1721" s="5" t="n"/>
      <c r="F1721" s="5" t="n"/>
      <c r="G1721" s="5" t="n"/>
      <c r="H1721" s="5" t="n"/>
      <c r="I1721" s="5" t="n"/>
      <c r="J1721" s="5" t="n"/>
      <c r="K1721" s="5" t="n"/>
      <c r="L1721" s="5" t="n"/>
      <c r="M1721" s="5" t="n"/>
      <c r="N1721" s="5" t="n"/>
      <c r="O1721" s="5" t="n"/>
      <c r="P1721" s="5" t="n"/>
      <c r="Q1721" s="5" t="n"/>
      <c r="R1721" s="5" t="n"/>
      <c r="S1721" s="5" t="n"/>
      <c r="T1721" s="5" t="n"/>
      <c r="U1721" s="5" t="n"/>
      <c r="V1721" s="5" t="n"/>
      <c r="W1721" s="5" t="n"/>
      <c r="X1721" s="5" t="n"/>
      <c r="Y1721" s="5" t="n"/>
      <c r="Z1721" s="5" t="n"/>
      <c r="AA1721" s="5" t="n"/>
      <c r="AB1721" s="5" t="n"/>
    </row>
    <row r="1722" ht="15.75" customHeight="1" s="79">
      <c r="A1722" s="5" t="n"/>
      <c r="B1722" s="5" t="n"/>
      <c r="C1722" s="5" t="n"/>
      <c r="D1722" s="5" t="n"/>
      <c r="E1722" s="5" t="n"/>
      <c r="F1722" s="5" t="n"/>
      <c r="G1722" s="5" t="n"/>
      <c r="H1722" s="5" t="n"/>
      <c r="I1722" s="5" t="n"/>
      <c r="J1722" s="5" t="n"/>
      <c r="K1722" s="5" t="n"/>
      <c r="L1722" s="5" t="n"/>
      <c r="M1722" s="5" t="n"/>
      <c r="N1722" s="5" t="n"/>
      <c r="O1722" s="5" t="n"/>
      <c r="P1722" s="5" t="n"/>
      <c r="Q1722" s="5" t="n"/>
      <c r="R1722" s="5" t="n"/>
      <c r="S1722" s="5" t="n"/>
      <c r="T1722" s="5" t="n"/>
      <c r="U1722" s="5" t="n"/>
      <c r="V1722" s="5" t="n"/>
      <c r="W1722" s="5" t="n"/>
      <c r="X1722" s="5" t="n"/>
      <c r="Y1722" s="5" t="n"/>
      <c r="Z1722" s="5" t="n"/>
      <c r="AA1722" s="5" t="n"/>
      <c r="AB1722" s="5" t="n"/>
    </row>
    <row r="1723" ht="15.75" customHeight="1" s="79">
      <c r="A1723" s="5" t="n"/>
      <c r="B1723" s="5" t="n"/>
      <c r="C1723" s="5" t="n"/>
      <c r="D1723" s="5" t="n"/>
      <c r="E1723" s="5" t="n"/>
      <c r="F1723" s="5" t="n"/>
      <c r="G1723" s="5" t="n"/>
      <c r="H1723" s="5" t="n"/>
      <c r="I1723" s="5" t="n"/>
      <c r="J1723" s="5" t="n"/>
      <c r="K1723" s="5" t="n"/>
      <c r="L1723" s="5" t="n"/>
      <c r="M1723" s="5" t="n"/>
      <c r="N1723" s="5" t="n"/>
      <c r="O1723" s="5" t="n"/>
      <c r="P1723" s="5" t="n"/>
      <c r="Q1723" s="5" t="n"/>
      <c r="R1723" s="5" t="n"/>
      <c r="S1723" s="5" t="n"/>
      <c r="T1723" s="5" t="n"/>
      <c r="U1723" s="5" t="n"/>
      <c r="V1723" s="5" t="n"/>
      <c r="W1723" s="5" t="n"/>
      <c r="X1723" s="5" t="n"/>
      <c r="Y1723" s="5" t="n"/>
      <c r="Z1723" s="5" t="n"/>
      <c r="AA1723" s="5" t="n"/>
      <c r="AB1723" s="5" t="n"/>
    </row>
    <row r="1724" ht="15.75" customHeight="1" s="79">
      <c r="A1724" s="5" t="n"/>
      <c r="B1724" s="5" t="n"/>
      <c r="C1724" s="5" t="n"/>
      <c r="D1724" s="5" t="n"/>
      <c r="E1724" s="5" t="n"/>
      <c r="F1724" s="5" t="n"/>
      <c r="G1724" s="5" t="n"/>
      <c r="H1724" s="5" t="n"/>
      <c r="I1724" s="5" t="n"/>
      <c r="J1724" s="5" t="n"/>
      <c r="K1724" s="5" t="n"/>
      <c r="L1724" s="5" t="n"/>
      <c r="M1724" s="5" t="n"/>
      <c r="N1724" s="5" t="n"/>
      <c r="O1724" s="5" t="n"/>
      <c r="P1724" s="5" t="n"/>
      <c r="Q1724" s="5" t="n"/>
      <c r="R1724" s="5" t="n"/>
      <c r="S1724" s="5" t="n"/>
      <c r="T1724" s="5" t="n"/>
      <c r="U1724" s="5" t="n"/>
      <c r="V1724" s="5" t="n"/>
      <c r="W1724" s="5" t="n"/>
      <c r="X1724" s="5" t="n"/>
      <c r="Y1724" s="5" t="n"/>
      <c r="Z1724" s="5" t="n"/>
      <c r="AA1724" s="5" t="n"/>
      <c r="AB1724" s="5" t="n"/>
    </row>
    <row r="1725" ht="15.75" customHeight="1" s="79">
      <c r="A1725" s="5" t="n"/>
      <c r="B1725" s="5" t="n"/>
      <c r="C1725" s="5" t="n"/>
      <c r="D1725" s="5" t="n"/>
      <c r="E1725" s="5" t="n"/>
      <c r="F1725" s="5" t="n"/>
      <c r="G1725" s="5" t="n"/>
      <c r="H1725" s="5" t="n"/>
      <c r="I1725" s="5" t="n"/>
      <c r="J1725" s="5" t="n"/>
      <c r="K1725" s="5" t="n"/>
      <c r="L1725" s="5" t="n"/>
      <c r="M1725" s="5" t="n"/>
      <c r="N1725" s="5" t="n"/>
      <c r="O1725" s="5" t="n"/>
      <c r="P1725" s="5" t="n"/>
      <c r="Q1725" s="5" t="n"/>
      <c r="R1725" s="5" t="n"/>
      <c r="S1725" s="5" t="n"/>
      <c r="T1725" s="5" t="n"/>
      <c r="U1725" s="5" t="n"/>
      <c r="V1725" s="5" t="n"/>
      <c r="W1725" s="5" t="n"/>
      <c r="X1725" s="5" t="n"/>
      <c r="Y1725" s="5" t="n"/>
      <c r="Z1725" s="5" t="n"/>
      <c r="AA1725" s="5" t="n"/>
      <c r="AB1725" s="5" t="n"/>
    </row>
    <row r="1726" ht="15.75" customHeight="1" s="79">
      <c r="A1726" s="5" t="n"/>
      <c r="B1726" s="5" t="n"/>
      <c r="C1726" s="5" t="n"/>
      <c r="D1726" s="5" t="n"/>
      <c r="E1726" s="5" t="n"/>
      <c r="F1726" s="5" t="n"/>
      <c r="G1726" s="5" t="n"/>
      <c r="H1726" s="5" t="n"/>
      <c r="I1726" s="5" t="n"/>
      <c r="J1726" s="5" t="n"/>
      <c r="K1726" s="5" t="n"/>
      <c r="L1726" s="5" t="n"/>
      <c r="M1726" s="5" t="n"/>
      <c r="N1726" s="5" t="n"/>
      <c r="O1726" s="5" t="n"/>
      <c r="P1726" s="5" t="n"/>
      <c r="Q1726" s="5" t="n"/>
      <c r="R1726" s="5" t="n"/>
      <c r="S1726" s="5" t="n"/>
      <c r="T1726" s="5" t="n"/>
      <c r="U1726" s="5" t="n"/>
      <c r="V1726" s="5" t="n"/>
      <c r="W1726" s="5" t="n"/>
      <c r="X1726" s="5" t="n"/>
      <c r="Y1726" s="5" t="n"/>
      <c r="Z1726" s="5" t="n"/>
      <c r="AA1726" s="5" t="n"/>
      <c r="AB1726" s="5" t="n"/>
    </row>
    <row r="1727" ht="15.75" customHeight="1" s="79">
      <c r="A1727" s="5" t="n"/>
      <c r="B1727" s="5" t="n"/>
      <c r="C1727" s="5" t="n"/>
      <c r="D1727" s="5" t="n"/>
      <c r="E1727" s="5" t="n"/>
      <c r="F1727" s="5" t="n"/>
      <c r="G1727" s="5" t="n"/>
      <c r="H1727" s="5" t="n"/>
      <c r="I1727" s="5" t="n"/>
      <c r="J1727" s="5" t="n"/>
      <c r="K1727" s="5" t="n"/>
      <c r="L1727" s="5" t="n"/>
      <c r="M1727" s="5" t="n"/>
      <c r="N1727" s="5" t="n"/>
      <c r="O1727" s="5" t="n"/>
      <c r="P1727" s="5" t="n"/>
      <c r="Q1727" s="5" t="n"/>
      <c r="R1727" s="5" t="n"/>
      <c r="S1727" s="5" t="n"/>
      <c r="T1727" s="5" t="n"/>
      <c r="U1727" s="5" t="n"/>
      <c r="V1727" s="5" t="n"/>
      <c r="W1727" s="5" t="n"/>
      <c r="X1727" s="5" t="n"/>
      <c r="Y1727" s="5" t="n"/>
      <c r="Z1727" s="5" t="n"/>
      <c r="AA1727" s="5" t="n"/>
      <c r="AB1727" s="5" t="n"/>
    </row>
    <row r="1728" ht="15.75" customHeight="1" s="79">
      <c r="A1728" s="5" t="n"/>
      <c r="B1728" s="5" t="n"/>
      <c r="C1728" s="5" t="n"/>
      <c r="D1728" s="5" t="n"/>
      <c r="E1728" s="5" t="n"/>
      <c r="F1728" s="5" t="n"/>
      <c r="G1728" s="5" t="n"/>
      <c r="H1728" s="5" t="n"/>
      <c r="I1728" s="5" t="n"/>
      <c r="J1728" s="5" t="n"/>
      <c r="K1728" s="5" t="n"/>
      <c r="L1728" s="5" t="n"/>
      <c r="M1728" s="5" t="n"/>
      <c r="N1728" s="5" t="n"/>
      <c r="O1728" s="5" t="n"/>
      <c r="P1728" s="5" t="n"/>
      <c r="Q1728" s="5" t="n"/>
      <c r="R1728" s="5" t="n"/>
      <c r="S1728" s="5" t="n"/>
      <c r="T1728" s="5" t="n"/>
      <c r="U1728" s="5" t="n"/>
      <c r="V1728" s="5" t="n"/>
      <c r="W1728" s="5" t="n"/>
      <c r="X1728" s="5" t="n"/>
      <c r="Y1728" s="5" t="n"/>
      <c r="Z1728" s="5" t="n"/>
      <c r="AA1728" s="5" t="n"/>
      <c r="AB1728" s="5" t="n"/>
    </row>
    <row r="1729" ht="15.75" customHeight="1" s="79">
      <c r="A1729" s="5" t="n"/>
      <c r="B1729" s="5" t="n"/>
      <c r="C1729" s="5" t="n"/>
      <c r="D1729" s="5" t="n"/>
      <c r="E1729" s="5" t="n"/>
      <c r="F1729" s="5" t="n"/>
      <c r="G1729" s="5" t="n"/>
      <c r="H1729" s="5" t="n"/>
      <c r="I1729" s="5" t="n"/>
      <c r="J1729" s="5" t="n"/>
      <c r="K1729" s="5" t="n"/>
      <c r="L1729" s="5" t="n"/>
      <c r="M1729" s="5" t="n"/>
      <c r="N1729" s="5" t="n"/>
      <c r="O1729" s="5" t="n"/>
      <c r="P1729" s="5" t="n"/>
      <c r="Q1729" s="5" t="n"/>
      <c r="R1729" s="5" t="n"/>
      <c r="S1729" s="5" t="n"/>
      <c r="T1729" s="5" t="n"/>
      <c r="U1729" s="5" t="n"/>
      <c r="V1729" s="5" t="n"/>
      <c r="W1729" s="5" t="n"/>
      <c r="X1729" s="5" t="n"/>
      <c r="Y1729" s="5" t="n"/>
      <c r="Z1729" s="5" t="n"/>
      <c r="AA1729" s="5" t="n"/>
      <c r="AB1729" s="5" t="n"/>
    </row>
    <row r="1730" ht="15.75" customHeight="1" s="79">
      <c r="A1730" s="5" t="n"/>
      <c r="B1730" s="5" t="n"/>
      <c r="C1730" s="5" t="n"/>
      <c r="D1730" s="5" t="n"/>
      <c r="E1730" s="5" t="n"/>
      <c r="F1730" s="5" t="n"/>
      <c r="G1730" s="5" t="n"/>
      <c r="H1730" s="5" t="n"/>
      <c r="I1730" s="5" t="n"/>
      <c r="J1730" s="5" t="n"/>
      <c r="K1730" s="5" t="n"/>
      <c r="L1730" s="5" t="n"/>
      <c r="M1730" s="5" t="n"/>
      <c r="N1730" s="5" t="n"/>
      <c r="O1730" s="5" t="n"/>
      <c r="P1730" s="5" t="n"/>
      <c r="Q1730" s="5" t="n"/>
      <c r="R1730" s="5" t="n"/>
      <c r="S1730" s="5" t="n"/>
      <c r="T1730" s="5" t="n"/>
      <c r="U1730" s="5" t="n"/>
      <c r="V1730" s="5" t="n"/>
      <c r="W1730" s="5" t="n"/>
      <c r="X1730" s="5" t="n"/>
      <c r="Y1730" s="5" t="n"/>
      <c r="Z1730" s="5" t="n"/>
      <c r="AA1730" s="5" t="n"/>
      <c r="AB1730" s="5" t="n"/>
    </row>
    <row r="1731" ht="15.75" customHeight="1" s="79">
      <c r="A1731" s="5" t="n"/>
      <c r="B1731" s="5" t="n"/>
      <c r="C1731" s="5" t="n"/>
      <c r="D1731" s="5" t="n"/>
      <c r="E1731" s="5" t="n"/>
      <c r="F1731" s="5" t="n"/>
      <c r="G1731" s="5" t="n"/>
      <c r="H1731" s="5" t="n"/>
      <c r="I1731" s="5" t="n"/>
      <c r="J1731" s="5" t="n"/>
      <c r="K1731" s="5" t="n"/>
      <c r="L1731" s="5" t="n"/>
      <c r="M1731" s="5" t="n"/>
      <c r="N1731" s="5" t="n"/>
      <c r="O1731" s="5" t="n"/>
      <c r="P1731" s="5" t="n"/>
      <c r="Q1731" s="5" t="n"/>
      <c r="R1731" s="5" t="n"/>
      <c r="S1731" s="5" t="n"/>
      <c r="T1731" s="5" t="n"/>
      <c r="U1731" s="5" t="n"/>
      <c r="V1731" s="5" t="n"/>
      <c r="W1731" s="5" t="n"/>
      <c r="X1731" s="5" t="n"/>
      <c r="Y1731" s="5" t="n"/>
      <c r="Z1731" s="5" t="n"/>
      <c r="AA1731" s="5" t="n"/>
      <c r="AB1731" s="5" t="n"/>
    </row>
    <row r="1732" ht="15.75" customHeight="1" s="79">
      <c r="A1732" s="5" t="n"/>
      <c r="B1732" s="5" t="n"/>
      <c r="C1732" s="5" t="n"/>
      <c r="D1732" s="5" t="n"/>
      <c r="E1732" s="5" t="n"/>
      <c r="F1732" s="5" t="n"/>
      <c r="G1732" s="5" t="n"/>
      <c r="H1732" s="5" t="n"/>
      <c r="I1732" s="5" t="n"/>
      <c r="J1732" s="5" t="n"/>
      <c r="K1732" s="5" t="n"/>
      <c r="L1732" s="5" t="n"/>
      <c r="M1732" s="5" t="n"/>
      <c r="N1732" s="5" t="n"/>
      <c r="O1732" s="5" t="n"/>
      <c r="P1732" s="5" t="n"/>
      <c r="Q1732" s="5" t="n"/>
      <c r="R1732" s="5" t="n"/>
      <c r="S1732" s="5" t="n"/>
      <c r="T1732" s="5" t="n"/>
      <c r="U1732" s="5" t="n"/>
      <c r="V1732" s="5" t="n"/>
      <c r="W1732" s="5" t="n"/>
      <c r="X1732" s="5" t="n"/>
      <c r="Y1732" s="5" t="n"/>
      <c r="Z1732" s="5" t="n"/>
      <c r="AA1732" s="5" t="n"/>
      <c r="AB1732" s="5" t="n"/>
    </row>
    <row r="1733" ht="15.75" customHeight="1" s="79">
      <c r="A1733" s="5" t="n"/>
      <c r="B1733" s="5" t="n"/>
      <c r="C1733" s="5" t="n"/>
      <c r="D1733" s="5" t="n"/>
      <c r="E1733" s="5" t="n"/>
      <c r="F1733" s="5" t="n"/>
      <c r="G1733" s="5" t="n"/>
      <c r="H1733" s="5" t="n"/>
      <c r="I1733" s="5" t="n"/>
      <c r="J1733" s="5" t="n"/>
      <c r="K1733" s="5" t="n"/>
      <c r="L1733" s="5" t="n"/>
      <c r="M1733" s="5" t="n"/>
      <c r="N1733" s="5" t="n"/>
      <c r="O1733" s="5" t="n"/>
      <c r="P1733" s="5" t="n"/>
      <c r="Q1733" s="5" t="n"/>
      <c r="R1733" s="5" t="n"/>
      <c r="S1733" s="5" t="n"/>
      <c r="T1733" s="5" t="n"/>
      <c r="U1733" s="5" t="n"/>
      <c r="V1733" s="5" t="n"/>
      <c r="W1733" s="5" t="n"/>
      <c r="X1733" s="5" t="n"/>
      <c r="Y1733" s="5" t="n"/>
      <c r="Z1733" s="5" t="n"/>
      <c r="AA1733" s="5" t="n"/>
      <c r="AB1733" s="5" t="n"/>
    </row>
    <row r="1734" ht="15.75" customHeight="1" s="79">
      <c r="A1734" s="5" t="n"/>
      <c r="B1734" s="5" t="n"/>
      <c r="C1734" s="5" t="n"/>
      <c r="D1734" s="5" t="n"/>
      <c r="E1734" s="5" t="n"/>
      <c r="F1734" s="5" t="n"/>
      <c r="G1734" s="5" t="n"/>
      <c r="H1734" s="5" t="n"/>
      <c r="I1734" s="5" t="n"/>
      <c r="J1734" s="5" t="n"/>
      <c r="K1734" s="5" t="n"/>
      <c r="L1734" s="5" t="n"/>
      <c r="M1734" s="5" t="n"/>
      <c r="N1734" s="5" t="n"/>
      <c r="O1734" s="5" t="n"/>
      <c r="P1734" s="5" t="n"/>
      <c r="Q1734" s="5" t="n"/>
      <c r="R1734" s="5" t="n"/>
      <c r="S1734" s="5" t="n"/>
      <c r="T1734" s="5" t="n"/>
      <c r="U1734" s="5" t="n"/>
      <c r="V1734" s="5" t="n"/>
      <c r="W1734" s="5" t="n"/>
      <c r="X1734" s="5" t="n"/>
      <c r="Y1734" s="5" t="n"/>
      <c r="Z1734" s="5" t="n"/>
      <c r="AA1734" s="5" t="n"/>
      <c r="AB1734" s="5" t="n"/>
    </row>
    <row r="1735" ht="15.75" customHeight="1" s="79">
      <c r="A1735" s="5" t="n"/>
      <c r="B1735" s="5" t="n"/>
      <c r="C1735" s="5" t="n"/>
      <c r="D1735" s="5" t="n"/>
      <c r="E1735" s="5" t="n"/>
      <c r="F1735" s="5" t="n"/>
      <c r="G1735" s="5" t="n"/>
      <c r="H1735" s="5" t="n"/>
      <c r="I1735" s="5" t="n"/>
      <c r="J1735" s="5" t="n"/>
      <c r="K1735" s="5" t="n"/>
      <c r="L1735" s="5" t="n"/>
      <c r="M1735" s="5" t="n"/>
      <c r="N1735" s="5" t="n"/>
      <c r="O1735" s="5" t="n"/>
      <c r="P1735" s="5" t="n"/>
      <c r="Q1735" s="5" t="n"/>
      <c r="R1735" s="5" t="n"/>
      <c r="S1735" s="5" t="n"/>
      <c r="T1735" s="5" t="n"/>
      <c r="U1735" s="5" t="n"/>
      <c r="V1735" s="5" t="n"/>
      <c r="W1735" s="5" t="n"/>
      <c r="X1735" s="5" t="n"/>
      <c r="Y1735" s="5" t="n"/>
      <c r="Z1735" s="5" t="n"/>
      <c r="AA1735" s="5" t="n"/>
      <c r="AB1735" s="5" t="n"/>
    </row>
    <row r="1736" ht="15.75" customHeight="1" s="79">
      <c r="A1736" s="5" t="n"/>
      <c r="B1736" s="5" t="n"/>
      <c r="C1736" s="5" t="n"/>
      <c r="D1736" s="5" t="n"/>
      <c r="E1736" s="5" t="n"/>
      <c r="F1736" s="5" t="n"/>
      <c r="G1736" s="5" t="n"/>
      <c r="H1736" s="5" t="n"/>
      <c r="I1736" s="5" t="n"/>
      <c r="J1736" s="5" t="n"/>
      <c r="K1736" s="5" t="n"/>
      <c r="L1736" s="5" t="n"/>
      <c r="M1736" s="5" t="n"/>
      <c r="N1736" s="5" t="n"/>
      <c r="O1736" s="5" t="n"/>
      <c r="P1736" s="5" t="n"/>
      <c r="Q1736" s="5" t="n"/>
      <c r="R1736" s="5" t="n"/>
      <c r="S1736" s="5" t="n"/>
      <c r="T1736" s="5" t="n"/>
      <c r="U1736" s="5" t="n"/>
      <c r="V1736" s="5" t="n"/>
      <c r="W1736" s="5" t="n"/>
      <c r="X1736" s="5" t="n"/>
      <c r="Y1736" s="5" t="n"/>
      <c r="Z1736" s="5" t="n"/>
      <c r="AA1736" s="5" t="n"/>
      <c r="AB1736" s="5" t="n"/>
    </row>
    <row r="1737" ht="15.75" customHeight="1" s="79">
      <c r="A1737" s="5" t="n"/>
      <c r="B1737" s="5" t="n"/>
      <c r="C1737" s="5" t="n"/>
      <c r="D1737" s="5" t="n"/>
      <c r="E1737" s="5" t="n"/>
      <c r="F1737" s="5" t="n"/>
      <c r="G1737" s="5" t="n"/>
      <c r="H1737" s="5" t="n"/>
      <c r="I1737" s="5" t="n"/>
      <c r="J1737" s="5" t="n"/>
      <c r="K1737" s="5" t="n"/>
      <c r="L1737" s="5" t="n"/>
      <c r="M1737" s="5" t="n"/>
      <c r="N1737" s="5" t="n"/>
      <c r="O1737" s="5" t="n"/>
      <c r="P1737" s="5" t="n"/>
      <c r="Q1737" s="5" t="n"/>
      <c r="R1737" s="5" t="n"/>
      <c r="S1737" s="5" t="n"/>
      <c r="T1737" s="5" t="n"/>
      <c r="U1737" s="5" t="n"/>
      <c r="V1737" s="5" t="n"/>
      <c r="W1737" s="5" t="n"/>
      <c r="X1737" s="5" t="n"/>
      <c r="Y1737" s="5" t="n"/>
      <c r="Z1737" s="5" t="n"/>
      <c r="AA1737" s="5" t="n"/>
      <c r="AB1737" s="5" t="n"/>
    </row>
    <row r="1738" ht="15.75" customHeight="1" s="79">
      <c r="A1738" s="5" t="n"/>
      <c r="B1738" s="5" t="n"/>
      <c r="C1738" s="5" t="n"/>
      <c r="D1738" s="5" t="n"/>
      <c r="E1738" s="5" t="n"/>
      <c r="F1738" s="5" t="n"/>
      <c r="G1738" s="5" t="n"/>
      <c r="H1738" s="5" t="n"/>
      <c r="I1738" s="5" t="n"/>
      <c r="J1738" s="5" t="n"/>
      <c r="K1738" s="5" t="n"/>
      <c r="L1738" s="5" t="n"/>
      <c r="M1738" s="5" t="n"/>
      <c r="N1738" s="5" t="n"/>
      <c r="O1738" s="5" t="n"/>
      <c r="P1738" s="5" t="n"/>
      <c r="Q1738" s="5" t="n"/>
      <c r="R1738" s="5" t="n"/>
      <c r="S1738" s="5" t="n"/>
      <c r="T1738" s="5" t="n"/>
      <c r="U1738" s="5" t="n"/>
      <c r="V1738" s="5" t="n"/>
      <c r="W1738" s="5" t="n"/>
      <c r="X1738" s="5" t="n"/>
      <c r="Y1738" s="5" t="n"/>
      <c r="Z1738" s="5" t="n"/>
      <c r="AA1738" s="5" t="n"/>
      <c r="AB1738" s="5" t="n"/>
    </row>
    <row r="1739" ht="15.75" customHeight="1" s="79">
      <c r="A1739" s="5" t="n"/>
      <c r="B1739" s="5" t="n"/>
      <c r="C1739" s="5" t="n"/>
      <c r="D1739" s="5" t="n"/>
      <c r="E1739" s="5" t="n"/>
      <c r="F1739" s="5" t="n"/>
      <c r="G1739" s="5" t="n"/>
      <c r="H1739" s="5" t="n"/>
      <c r="I1739" s="5" t="n"/>
      <c r="J1739" s="5" t="n"/>
      <c r="K1739" s="5" t="n"/>
      <c r="L1739" s="5" t="n"/>
      <c r="M1739" s="5" t="n"/>
      <c r="N1739" s="5" t="n"/>
      <c r="O1739" s="5" t="n"/>
      <c r="P1739" s="5" t="n"/>
      <c r="Q1739" s="5" t="n"/>
      <c r="R1739" s="5" t="n"/>
      <c r="S1739" s="5" t="n"/>
      <c r="T1739" s="5" t="n"/>
      <c r="U1739" s="5" t="n"/>
      <c r="V1739" s="5" t="n"/>
      <c r="W1739" s="5" t="n"/>
      <c r="X1739" s="5" t="n"/>
      <c r="Y1739" s="5" t="n"/>
      <c r="Z1739" s="5" t="n"/>
      <c r="AA1739" s="5" t="n"/>
      <c r="AB1739" s="5" t="n"/>
    </row>
    <row r="1740" ht="15.75" customHeight="1" s="79">
      <c r="A1740" s="5" t="n"/>
      <c r="B1740" s="5" t="n"/>
      <c r="C1740" s="5" t="n"/>
      <c r="D1740" s="5" t="n"/>
      <c r="E1740" s="5" t="n"/>
      <c r="F1740" s="5" t="n"/>
      <c r="G1740" s="5" t="n"/>
      <c r="H1740" s="5" t="n"/>
      <c r="I1740" s="5" t="n"/>
      <c r="J1740" s="5" t="n"/>
      <c r="K1740" s="5" t="n"/>
      <c r="L1740" s="5" t="n"/>
      <c r="M1740" s="5" t="n"/>
      <c r="N1740" s="5" t="n"/>
      <c r="O1740" s="5" t="n"/>
      <c r="P1740" s="5" t="n"/>
      <c r="Q1740" s="5" t="n"/>
      <c r="R1740" s="5" t="n"/>
      <c r="S1740" s="5" t="n"/>
      <c r="T1740" s="5" t="n"/>
      <c r="U1740" s="5" t="n"/>
      <c r="V1740" s="5" t="n"/>
      <c r="W1740" s="5" t="n"/>
      <c r="X1740" s="5" t="n"/>
      <c r="Y1740" s="5" t="n"/>
      <c r="Z1740" s="5" t="n"/>
      <c r="AA1740" s="5" t="n"/>
      <c r="AB1740" s="5" t="n"/>
    </row>
    <row r="1741" ht="15.75" customHeight="1" s="79">
      <c r="A1741" s="5" t="n"/>
      <c r="B1741" s="5" t="n"/>
      <c r="C1741" s="5" t="n"/>
      <c r="D1741" s="5" t="n"/>
      <c r="E1741" s="5" t="n"/>
      <c r="F1741" s="5" t="n"/>
      <c r="G1741" s="5" t="n"/>
      <c r="H1741" s="5" t="n"/>
      <c r="I1741" s="5" t="n"/>
      <c r="J1741" s="5" t="n"/>
      <c r="K1741" s="5" t="n"/>
      <c r="L1741" s="5" t="n"/>
      <c r="M1741" s="5" t="n"/>
      <c r="N1741" s="5" t="n"/>
      <c r="O1741" s="5" t="n"/>
      <c r="P1741" s="5" t="n"/>
      <c r="Q1741" s="5" t="n"/>
      <c r="R1741" s="5" t="n"/>
      <c r="S1741" s="5" t="n"/>
      <c r="T1741" s="5" t="n"/>
      <c r="U1741" s="5" t="n"/>
      <c r="V1741" s="5" t="n"/>
      <c r="W1741" s="5" t="n"/>
      <c r="X1741" s="5" t="n"/>
      <c r="Y1741" s="5" t="n"/>
      <c r="Z1741" s="5" t="n"/>
      <c r="AA1741" s="5" t="n"/>
      <c r="AB1741" s="5" t="n"/>
    </row>
    <row r="1742" ht="15.75" customHeight="1" s="79">
      <c r="A1742" s="5" t="n"/>
      <c r="B1742" s="5" t="n"/>
      <c r="C1742" s="5" t="n"/>
      <c r="D1742" s="5" t="n"/>
      <c r="E1742" s="5" t="n"/>
      <c r="F1742" s="5" t="n"/>
      <c r="G1742" s="5" t="n"/>
      <c r="H1742" s="5" t="n"/>
      <c r="I1742" s="5" t="n"/>
      <c r="J1742" s="5" t="n"/>
      <c r="K1742" s="5" t="n"/>
      <c r="L1742" s="5" t="n"/>
      <c r="M1742" s="5" t="n"/>
      <c r="N1742" s="5" t="n"/>
      <c r="O1742" s="5" t="n"/>
      <c r="P1742" s="5" t="n"/>
      <c r="Q1742" s="5" t="n"/>
      <c r="R1742" s="5" t="n"/>
      <c r="S1742" s="5" t="n"/>
      <c r="T1742" s="5" t="n"/>
      <c r="U1742" s="5" t="n"/>
      <c r="V1742" s="5" t="n"/>
      <c r="W1742" s="5" t="n"/>
      <c r="X1742" s="5" t="n"/>
      <c r="Y1742" s="5" t="n"/>
      <c r="Z1742" s="5" t="n"/>
      <c r="AA1742" s="5" t="n"/>
      <c r="AB1742" s="5" t="n"/>
    </row>
    <row r="1743" ht="15.75" customHeight="1" s="79">
      <c r="A1743" s="5" t="n"/>
      <c r="B1743" s="5" t="n"/>
      <c r="C1743" s="5" t="n"/>
      <c r="D1743" s="5" t="n"/>
      <c r="E1743" s="5" t="n"/>
      <c r="F1743" s="5" t="n"/>
      <c r="G1743" s="5" t="n"/>
      <c r="H1743" s="5" t="n"/>
      <c r="I1743" s="5" t="n"/>
      <c r="J1743" s="5" t="n"/>
      <c r="K1743" s="5" t="n"/>
      <c r="L1743" s="5" t="n"/>
      <c r="M1743" s="5" t="n"/>
      <c r="N1743" s="5" t="n"/>
      <c r="O1743" s="5" t="n"/>
      <c r="P1743" s="5" t="n"/>
      <c r="Q1743" s="5" t="n"/>
      <c r="R1743" s="5" t="n"/>
      <c r="S1743" s="5" t="n"/>
      <c r="T1743" s="5" t="n"/>
      <c r="U1743" s="5" t="n"/>
      <c r="V1743" s="5" t="n"/>
      <c r="W1743" s="5" t="n"/>
      <c r="X1743" s="5" t="n"/>
      <c r="Y1743" s="5" t="n"/>
      <c r="Z1743" s="5" t="n"/>
      <c r="AA1743" s="5" t="n"/>
      <c r="AB1743" s="5" t="n"/>
    </row>
    <row r="1744" ht="15.75" customHeight="1" s="79">
      <c r="A1744" s="5" t="n"/>
      <c r="B1744" s="5" t="n"/>
      <c r="C1744" s="5" t="n"/>
      <c r="D1744" s="5" t="n"/>
      <c r="E1744" s="5" t="n"/>
      <c r="F1744" s="5" t="n"/>
      <c r="G1744" s="5" t="n"/>
      <c r="H1744" s="5" t="n"/>
      <c r="I1744" s="5" t="n"/>
      <c r="J1744" s="5" t="n"/>
      <c r="K1744" s="5" t="n"/>
      <c r="L1744" s="5" t="n"/>
      <c r="M1744" s="5" t="n"/>
      <c r="N1744" s="5" t="n"/>
      <c r="O1744" s="5" t="n"/>
      <c r="P1744" s="5" t="n"/>
      <c r="Q1744" s="5" t="n"/>
      <c r="R1744" s="5" t="n"/>
      <c r="S1744" s="5" t="n"/>
      <c r="T1744" s="5" t="n"/>
      <c r="U1744" s="5" t="n"/>
      <c r="V1744" s="5" t="n"/>
      <c r="W1744" s="5" t="n"/>
      <c r="X1744" s="5" t="n"/>
      <c r="Y1744" s="5" t="n"/>
      <c r="Z1744" s="5" t="n"/>
      <c r="AA1744" s="5" t="n"/>
      <c r="AB1744" s="5" t="n"/>
    </row>
    <row r="1745" ht="15.75" customHeight="1" s="79">
      <c r="A1745" s="5" t="n"/>
      <c r="B1745" s="5" t="n"/>
      <c r="C1745" s="5" t="n"/>
      <c r="D1745" s="5" t="n"/>
      <c r="E1745" s="5" t="n"/>
      <c r="F1745" s="5" t="n"/>
      <c r="G1745" s="5" t="n"/>
      <c r="H1745" s="5" t="n"/>
      <c r="I1745" s="5" t="n"/>
      <c r="J1745" s="5" t="n"/>
      <c r="K1745" s="5" t="n"/>
      <c r="L1745" s="5" t="n"/>
      <c r="M1745" s="5" t="n"/>
      <c r="N1745" s="5" t="n"/>
      <c r="O1745" s="5" t="n"/>
      <c r="P1745" s="5" t="n"/>
      <c r="Q1745" s="5" t="n"/>
      <c r="R1745" s="5" t="n"/>
      <c r="S1745" s="5" t="n"/>
      <c r="T1745" s="5" t="n"/>
      <c r="U1745" s="5" t="n"/>
      <c r="V1745" s="5" t="n"/>
      <c r="W1745" s="5" t="n"/>
      <c r="X1745" s="5" t="n"/>
      <c r="Y1745" s="5" t="n"/>
      <c r="Z1745" s="5" t="n"/>
      <c r="AA1745" s="5" t="n"/>
      <c r="AB1745" s="5" t="n"/>
    </row>
    <row r="1746" ht="15.75" customHeight="1" s="79">
      <c r="A1746" s="5" t="n"/>
      <c r="B1746" s="5" t="n"/>
      <c r="C1746" s="5" t="n"/>
      <c r="D1746" s="5" t="n"/>
      <c r="E1746" s="5" t="n"/>
      <c r="F1746" s="5" t="n"/>
      <c r="G1746" s="5" t="n"/>
      <c r="H1746" s="5" t="n"/>
      <c r="I1746" s="5" t="n"/>
      <c r="J1746" s="5" t="n"/>
      <c r="K1746" s="5" t="n"/>
      <c r="L1746" s="5" t="n"/>
      <c r="M1746" s="5" t="n"/>
      <c r="N1746" s="5" t="n"/>
      <c r="O1746" s="5" t="n"/>
      <c r="P1746" s="5" t="n"/>
      <c r="Q1746" s="5" t="n"/>
      <c r="R1746" s="5" t="n"/>
      <c r="S1746" s="5" t="n"/>
      <c r="T1746" s="5" t="n"/>
      <c r="U1746" s="5" t="n"/>
      <c r="V1746" s="5" t="n"/>
      <c r="W1746" s="5" t="n"/>
      <c r="X1746" s="5" t="n"/>
      <c r="Y1746" s="5" t="n"/>
      <c r="Z1746" s="5" t="n"/>
      <c r="AA1746" s="5" t="n"/>
      <c r="AB1746" s="5" t="n"/>
    </row>
    <row r="1747" ht="15.75" customHeight="1" s="79">
      <c r="A1747" s="5" t="n"/>
      <c r="B1747" s="5" t="n"/>
      <c r="C1747" s="5" t="n"/>
      <c r="D1747" s="5" t="n"/>
      <c r="E1747" s="5" t="n"/>
      <c r="F1747" s="5" t="n"/>
      <c r="G1747" s="5" t="n"/>
      <c r="H1747" s="5" t="n"/>
      <c r="I1747" s="5" t="n"/>
      <c r="J1747" s="5" t="n"/>
      <c r="K1747" s="5" t="n"/>
      <c r="L1747" s="5" t="n"/>
      <c r="M1747" s="5" t="n"/>
      <c r="N1747" s="5" t="n"/>
      <c r="O1747" s="5" t="n"/>
      <c r="P1747" s="5" t="n"/>
      <c r="Q1747" s="5" t="n"/>
      <c r="R1747" s="5" t="n"/>
      <c r="S1747" s="5" t="n"/>
      <c r="T1747" s="5" t="n"/>
      <c r="U1747" s="5" t="n"/>
      <c r="V1747" s="5" t="n"/>
      <c r="W1747" s="5" t="n"/>
      <c r="X1747" s="5" t="n"/>
      <c r="Y1747" s="5" t="n"/>
      <c r="Z1747" s="5" t="n"/>
      <c r="AA1747" s="5" t="n"/>
      <c r="AB1747" s="5" t="n"/>
    </row>
    <row r="1748" ht="15.75" customHeight="1" s="79">
      <c r="A1748" s="5" t="n"/>
      <c r="B1748" s="5" t="n"/>
      <c r="C1748" s="5" t="n"/>
      <c r="D1748" s="5" t="n"/>
      <c r="E1748" s="5" t="n"/>
      <c r="F1748" s="5" t="n"/>
      <c r="G1748" s="5" t="n"/>
      <c r="H1748" s="5" t="n"/>
      <c r="I1748" s="5" t="n"/>
      <c r="J1748" s="5" t="n"/>
      <c r="K1748" s="5" t="n"/>
      <c r="L1748" s="5" t="n"/>
      <c r="M1748" s="5" t="n"/>
      <c r="N1748" s="5" t="n"/>
      <c r="O1748" s="5" t="n"/>
      <c r="P1748" s="5" t="n"/>
      <c r="Q1748" s="5" t="n"/>
      <c r="R1748" s="5" t="n"/>
      <c r="S1748" s="5" t="n"/>
      <c r="T1748" s="5" t="n"/>
      <c r="U1748" s="5" t="n"/>
      <c r="V1748" s="5" t="n"/>
      <c r="W1748" s="5" t="n"/>
      <c r="X1748" s="5" t="n"/>
      <c r="Y1748" s="5" t="n"/>
      <c r="Z1748" s="5" t="n"/>
      <c r="AA1748" s="5" t="n"/>
      <c r="AB1748" s="5" t="n"/>
    </row>
    <row r="1749" ht="15.75" customHeight="1" s="79">
      <c r="A1749" s="5" t="n"/>
      <c r="B1749" s="5" t="n"/>
      <c r="C1749" s="5" t="n"/>
      <c r="D1749" s="5" t="n"/>
      <c r="E1749" s="5" t="n"/>
      <c r="F1749" s="5" t="n"/>
      <c r="G1749" s="5" t="n"/>
      <c r="H1749" s="5" t="n"/>
      <c r="I1749" s="5" t="n"/>
      <c r="J1749" s="5" t="n"/>
      <c r="K1749" s="5" t="n"/>
      <c r="L1749" s="5" t="n"/>
      <c r="M1749" s="5" t="n"/>
      <c r="N1749" s="5" t="n"/>
      <c r="O1749" s="5" t="n"/>
      <c r="P1749" s="5" t="n"/>
      <c r="Q1749" s="5" t="n"/>
      <c r="R1749" s="5" t="n"/>
      <c r="S1749" s="5" t="n"/>
      <c r="T1749" s="5" t="n"/>
      <c r="U1749" s="5" t="n"/>
      <c r="V1749" s="5" t="n"/>
      <c r="W1749" s="5" t="n"/>
      <c r="X1749" s="5" t="n"/>
      <c r="Y1749" s="5" t="n"/>
      <c r="Z1749" s="5" t="n"/>
      <c r="AA1749" s="5" t="n"/>
      <c r="AB1749" s="5" t="n"/>
    </row>
    <row r="1750" ht="15.75" customHeight="1" s="79">
      <c r="A1750" s="5" t="n"/>
      <c r="B1750" s="5" t="n"/>
      <c r="C1750" s="5" t="n"/>
      <c r="D1750" s="5" t="n"/>
      <c r="E1750" s="5" t="n"/>
      <c r="F1750" s="5" t="n"/>
      <c r="G1750" s="5" t="n"/>
      <c r="H1750" s="5" t="n"/>
      <c r="I1750" s="5" t="n"/>
      <c r="J1750" s="5" t="n"/>
      <c r="K1750" s="5" t="n"/>
      <c r="L1750" s="5" t="n"/>
      <c r="M1750" s="5" t="n"/>
      <c r="N1750" s="5" t="n"/>
      <c r="O1750" s="5" t="n"/>
      <c r="P1750" s="5" t="n"/>
      <c r="Q1750" s="5" t="n"/>
      <c r="R1750" s="5" t="n"/>
      <c r="S1750" s="5" t="n"/>
      <c r="T1750" s="5" t="n"/>
      <c r="U1750" s="5" t="n"/>
      <c r="V1750" s="5" t="n"/>
      <c r="W1750" s="5" t="n"/>
      <c r="X1750" s="5" t="n"/>
      <c r="Y1750" s="5" t="n"/>
      <c r="Z1750" s="5" t="n"/>
      <c r="AA1750" s="5" t="n"/>
      <c r="AB1750" s="5" t="n"/>
    </row>
    <row r="1751" ht="15.75" customHeight="1" s="79">
      <c r="A1751" s="5" t="n"/>
      <c r="B1751" s="5" t="n"/>
      <c r="C1751" s="5" t="n"/>
      <c r="D1751" s="5" t="n"/>
      <c r="E1751" s="5" t="n"/>
      <c r="F1751" s="5" t="n"/>
      <c r="G1751" s="5" t="n"/>
      <c r="H1751" s="5" t="n"/>
      <c r="I1751" s="5" t="n"/>
      <c r="J1751" s="5" t="n"/>
      <c r="K1751" s="5" t="n"/>
      <c r="L1751" s="5" t="n"/>
      <c r="M1751" s="5" t="n"/>
      <c r="N1751" s="5" t="n"/>
      <c r="O1751" s="5" t="n"/>
      <c r="P1751" s="5" t="n"/>
      <c r="Q1751" s="5" t="n"/>
      <c r="R1751" s="5" t="n"/>
      <c r="S1751" s="5" t="n"/>
      <c r="T1751" s="5" t="n"/>
      <c r="U1751" s="5" t="n"/>
      <c r="V1751" s="5" t="n"/>
      <c r="W1751" s="5" t="n"/>
      <c r="X1751" s="5" t="n"/>
      <c r="Y1751" s="5" t="n"/>
      <c r="Z1751" s="5" t="n"/>
      <c r="AA1751" s="5" t="n"/>
      <c r="AB1751" s="5" t="n"/>
    </row>
    <row r="1752" ht="15.75" customHeight="1" s="79">
      <c r="A1752" s="5" t="n"/>
      <c r="B1752" s="5" t="n"/>
      <c r="C1752" s="5" t="n"/>
      <c r="D1752" s="5" t="n"/>
      <c r="E1752" s="5" t="n"/>
      <c r="F1752" s="5" t="n"/>
      <c r="G1752" s="5" t="n"/>
      <c r="H1752" s="5" t="n"/>
      <c r="I1752" s="5" t="n"/>
      <c r="J1752" s="5" t="n"/>
      <c r="K1752" s="5" t="n"/>
      <c r="L1752" s="5" t="n"/>
      <c r="M1752" s="5" t="n"/>
      <c r="N1752" s="5" t="n"/>
      <c r="O1752" s="5" t="n"/>
      <c r="P1752" s="5" t="n"/>
      <c r="Q1752" s="5" t="n"/>
      <c r="R1752" s="5" t="n"/>
      <c r="S1752" s="5" t="n"/>
      <c r="T1752" s="5" t="n"/>
      <c r="U1752" s="5" t="n"/>
      <c r="V1752" s="5" t="n"/>
      <c r="W1752" s="5" t="n"/>
      <c r="X1752" s="5" t="n"/>
      <c r="Y1752" s="5" t="n"/>
      <c r="Z1752" s="5" t="n"/>
      <c r="AA1752" s="5" t="n"/>
      <c r="AB1752" s="5" t="n"/>
    </row>
    <row r="1753" ht="15.75" customHeight="1" s="79">
      <c r="A1753" s="5" t="n"/>
      <c r="B1753" s="5" t="n"/>
      <c r="C1753" s="5" t="n"/>
      <c r="D1753" s="5" t="n"/>
      <c r="E1753" s="5" t="n"/>
      <c r="F1753" s="5" t="n"/>
      <c r="G1753" s="5" t="n"/>
      <c r="H1753" s="5" t="n"/>
      <c r="I1753" s="5" t="n"/>
      <c r="J1753" s="5" t="n"/>
      <c r="K1753" s="5" t="n"/>
      <c r="L1753" s="5" t="n"/>
      <c r="M1753" s="5" t="n"/>
      <c r="N1753" s="5" t="n"/>
      <c r="O1753" s="5" t="n"/>
      <c r="P1753" s="5" t="n"/>
      <c r="Q1753" s="5" t="n"/>
      <c r="R1753" s="5" t="n"/>
      <c r="S1753" s="5" t="n"/>
      <c r="T1753" s="5" t="n"/>
      <c r="U1753" s="5" t="n"/>
      <c r="V1753" s="5" t="n"/>
      <c r="W1753" s="5" t="n"/>
      <c r="X1753" s="5" t="n"/>
      <c r="Y1753" s="5" t="n"/>
      <c r="Z1753" s="5" t="n"/>
      <c r="AA1753" s="5" t="n"/>
      <c r="AB1753" s="5" t="n"/>
    </row>
    <row r="1754" ht="15.75" customHeight="1" s="79">
      <c r="A1754" s="5" t="n"/>
      <c r="B1754" s="5" t="n"/>
      <c r="C1754" s="5" t="n"/>
      <c r="D1754" s="5" t="n"/>
      <c r="E1754" s="5" t="n"/>
      <c r="F1754" s="5" t="n"/>
      <c r="G1754" s="5" t="n"/>
      <c r="H1754" s="5" t="n"/>
      <c r="I1754" s="5" t="n"/>
      <c r="J1754" s="5" t="n"/>
      <c r="K1754" s="5" t="n"/>
      <c r="L1754" s="5" t="n"/>
      <c r="M1754" s="5" t="n"/>
      <c r="N1754" s="5" t="n"/>
      <c r="O1754" s="5" t="n"/>
      <c r="P1754" s="5" t="n"/>
      <c r="Q1754" s="5" t="n"/>
      <c r="R1754" s="5" t="n"/>
      <c r="S1754" s="5" t="n"/>
      <c r="T1754" s="5" t="n"/>
      <c r="U1754" s="5" t="n"/>
      <c r="V1754" s="5" t="n"/>
      <c r="W1754" s="5" t="n"/>
      <c r="X1754" s="5" t="n"/>
      <c r="Y1754" s="5" t="n"/>
      <c r="Z1754" s="5" t="n"/>
      <c r="AA1754" s="5" t="n"/>
      <c r="AB1754" s="5" t="n"/>
    </row>
    <row r="1755" ht="15.75" customHeight="1" s="79">
      <c r="A1755" s="5" t="n"/>
      <c r="B1755" s="5" t="n"/>
      <c r="C1755" s="5" t="n"/>
      <c r="D1755" s="5" t="n"/>
      <c r="E1755" s="5" t="n"/>
      <c r="F1755" s="5" t="n"/>
      <c r="G1755" s="5" t="n"/>
      <c r="H1755" s="5" t="n"/>
      <c r="I1755" s="5" t="n"/>
      <c r="J1755" s="5" t="n"/>
      <c r="K1755" s="5" t="n"/>
      <c r="L1755" s="5" t="n"/>
      <c r="M1755" s="5" t="n"/>
      <c r="N1755" s="5" t="n"/>
      <c r="O1755" s="5" t="n"/>
      <c r="P1755" s="5" t="n"/>
      <c r="Q1755" s="5" t="n"/>
      <c r="R1755" s="5" t="n"/>
      <c r="S1755" s="5" t="n"/>
      <c r="T1755" s="5" t="n"/>
      <c r="U1755" s="5" t="n"/>
      <c r="V1755" s="5" t="n"/>
      <c r="W1755" s="5" t="n"/>
      <c r="X1755" s="5" t="n"/>
      <c r="Y1755" s="5" t="n"/>
      <c r="Z1755" s="5" t="n"/>
      <c r="AA1755" s="5" t="n"/>
      <c r="AB1755" s="5" t="n"/>
    </row>
    <row r="1756" ht="15.75" customHeight="1" s="79">
      <c r="A1756" s="5" t="n"/>
      <c r="B1756" s="5" t="n"/>
      <c r="C1756" s="5" t="n"/>
      <c r="D1756" s="5" t="n"/>
      <c r="E1756" s="5" t="n"/>
      <c r="F1756" s="5" t="n"/>
      <c r="G1756" s="5" t="n"/>
      <c r="H1756" s="5" t="n"/>
      <c r="I1756" s="5" t="n"/>
      <c r="J1756" s="5" t="n"/>
      <c r="K1756" s="5" t="n"/>
      <c r="L1756" s="5" t="n"/>
      <c r="M1756" s="5" t="n"/>
      <c r="N1756" s="5" t="n"/>
      <c r="O1756" s="5" t="n"/>
      <c r="P1756" s="5" t="n"/>
      <c r="Q1756" s="5" t="n"/>
      <c r="R1756" s="5" t="n"/>
      <c r="S1756" s="5" t="n"/>
      <c r="T1756" s="5" t="n"/>
      <c r="U1756" s="5" t="n"/>
      <c r="V1756" s="5" t="n"/>
      <c r="W1756" s="5" t="n"/>
      <c r="X1756" s="5" t="n"/>
      <c r="Y1756" s="5" t="n"/>
      <c r="Z1756" s="5" t="n"/>
      <c r="AA1756" s="5" t="n"/>
      <c r="AB1756" s="5" t="n"/>
    </row>
    <row r="1757" ht="15.75" customHeight="1" s="79">
      <c r="A1757" s="5" t="n"/>
      <c r="B1757" s="5" t="n"/>
      <c r="C1757" s="5" t="n"/>
      <c r="D1757" s="5" t="n"/>
      <c r="E1757" s="5" t="n"/>
      <c r="F1757" s="5" t="n"/>
      <c r="G1757" s="5" t="n"/>
      <c r="H1757" s="5" t="n"/>
      <c r="I1757" s="5" t="n"/>
      <c r="J1757" s="5" t="n"/>
      <c r="K1757" s="5" t="n"/>
      <c r="L1757" s="5" t="n"/>
      <c r="M1757" s="5" t="n"/>
      <c r="N1757" s="5" t="n"/>
      <c r="O1757" s="5" t="n"/>
      <c r="P1757" s="5" t="n"/>
      <c r="Q1757" s="5" t="n"/>
      <c r="R1757" s="5" t="n"/>
      <c r="S1757" s="5" t="n"/>
      <c r="T1757" s="5" t="n"/>
      <c r="U1757" s="5" t="n"/>
      <c r="V1757" s="5" t="n"/>
      <c r="W1757" s="5" t="n"/>
      <c r="X1757" s="5" t="n"/>
      <c r="Y1757" s="5" t="n"/>
      <c r="Z1757" s="5" t="n"/>
      <c r="AA1757" s="5" t="n"/>
      <c r="AB1757" s="5" t="n"/>
    </row>
    <row r="1758" ht="15.75" customHeight="1" s="79">
      <c r="A1758" s="5" t="n"/>
      <c r="B1758" s="5" t="n"/>
      <c r="C1758" s="5" t="n"/>
      <c r="D1758" s="5" t="n"/>
      <c r="E1758" s="5" t="n"/>
      <c r="F1758" s="5" t="n"/>
      <c r="G1758" s="5" t="n"/>
      <c r="H1758" s="5" t="n"/>
      <c r="I1758" s="5" t="n"/>
      <c r="J1758" s="5" t="n"/>
      <c r="K1758" s="5" t="n"/>
      <c r="L1758" s="5" t="n"/>
      <c r="M1758" s="5" t="n"/>
      <c r="N1758" s="5" t="n"/>
      <c r="O1758" s="5" t="n"/>
      <c r="P1758" s="5" t="n"/>
      <c r="Q1758" s="5" t="n"/>
      <c r="R1758" s="5" t="n"/>
      <c r="S1758" s="5" t="n"/>
      <c r="T1758" s="5" t="n"/>
      <c r="U1758" s="5" t="n"/>
      <c r="V1758" s="5" t="n"/>
      <c r="W1758" s="5" t="n"/>
      <c r="X1758" s="5" t="n"/>
      <c r="Y1758" s="5" t="n"/>
      <c r="Z1758" s="5" t="n"/>
      <c r="AA1758" s="5" t="n"/>
      <c r="AB1758" s="5" t="n"/>
    </row>
    <row r="1759" ht="15.75" customHeight="1" s="79">
      <c r="A1759" s="5" t="n"/>
      <c r="B1759" s="5" t="n"/>
      <c r="C1759" s="5" t="n"/>
      <c r="D1759" s="5" t="n"/>
      <c r="E1759" s="5" t="n"/>
      <c r="F1759" s="5" t="n"/>
      <c r="G1759" s="5" t="n"/>
      <c r="H1759" s="5" t="n"/>
      <c r="I1759" s="5" t="n"/>
      <c r="J1759" s="5" t="n"/>
      <c r="K1759" s="5" t="n"/>
      <c r="L1759" s="5" t="n"/>
      <c r="M1759" s="5" t="n"/>
      <c r="N1759" s="5" t="n"/>
      <c r="O1759" s="5" t="n"/>
      <c r="P1759" s="5" t="n"/>
      <c r="Q1759" s="5" t="n"/>
      <c r="R1759" s="5" t="n"/>
      <c r="S1759" s="5" t="n"/>
      <c r="T1759" s="5" t="n"/>
      <c r="U1759" s="5" t="n"/>
      <c r="V1759" s="5" t="n"/>
      <c r="W1759" s="5" t="n"/>
      <c r="X1759" s="5" t="n"/>
      <c r="Y1759" s="5" t="n"/>
      <c r="Z1759" s="5" t="n"/>
      <c r="AA1759" s="5" t="n"/>
      <c r="AB1759" s="5" t="n"/>
    </row>
    <row r="1760" ht="15.75" customHeight="1" s="79">
      <c r="A1760" s="5" t="n"/>
      <c r="B1760" s="5" t="n"/>
      <c r="C1760" s="5" t="n"/>
      <c r="D1760" s="5" t="n"/>
      <c r="E1760" s="5" t="n"/>
      <c r="F1760" s="5" t="n"/>
      <c r="G1760" s="5" t="n"/>
      <c r="H1760" s="5" t="n"/>
      <c r="I1760" s="5" t="n"/>
      <c r="J1760" s="5" t="n"/>
      <c r="K1760" s="5" t="n"/>
      <c r="L1760" s="5" t="n"/>
      <c r="M1760" s="5" t="n"/>
      <c r="N1760" s="5" t="n"/>
      <c r="O1760" s="5" t="n"/>
      <c r="P1760" s="5" t="n"/>
      <c r="Q1760" s="5" t="n"/>
      <c r="R1760" s="5" t="n"/>
      <c r="S1760" s="5" t="n"/>
      <c r="T1760" s="5" t="n"/>
      <c r="U1760" s="5" t="n"/>
      <c r="V1760" s="5" t="n"/>
      <c r="W1760" s="5" t="n"/>
      <c r="X1760" s="5" t="n"/>
      <c r="Y1760" s="5" t="n"/>
      <c r="Z1760" s="5" t="n"/>
      <c r="AA1760" s="5" t="n"/>
      <c r="AB1760" s="5" t="n"/>
    </row>
    <row r="1761" ht="15.75" customHeight="1" s="79">
      <c r="A1761" s="5" t="n"/>
      <c r="B1761" s="5" t="n"/>
      <c r="C1761" s="5" t="n"/>
      <c r="D1761" s="5" t="n"/>
      <c r="E1761" s="5" t="n"/>
      <c r="F1761" s="5" t="n"/>
      <c r="G1761" s="5" t="n"/>
      <c r="H1761" s="5" t="n"/>
      <c r="I1761" s="5" t="n"/>
      <c r="J1761" s="5" t="n"/>
      <c r="K1761" s="5" t="n"/>
      <c r="L1761" s="5" t="n"/>
      <c r="M1761" s="5" t="n"/>
      <c r="N1761" s="5" t="n"/>
      <c r="O1761" s="5" t="n"/>
      <c r="P1761" s="5" t="n"/>
      <c r="Q1761" s="5" t="n"/>
      <c r="R1761" s="5" t="n"/>
      <c r="S1761" s="5" t="n"/>
      <c r="T1761" s="5" t="n"/>
      <c r="U1761" s="5" t="n"/>
      <c r="V1761" s="5" t="n"/>
      <c r="W1761" s="5" t="n"/>
      <c r="X1761" s="5" t="n"/>
      <c r="Y1761" s="5" t="n"/>
      <c r="Z1761" s="5" t="n"/>
      <c r="AA1761" s="5" t="n"/>
      <c r="AB1761" s="5" t="n"/>
    </row>
    <row r="1762" ht="15.75" customHeight="1" s="79">
      <c r="A1762" s="5" t="n"/>
      <c r="B1762" s="5" t="n"/>
      <c r="C1762" s="5" t="n"/>
      <c r="D1762" s="5" t="n"/>
      <c r="E1762" s="5" t="n"/>
      <c r="F1762" s="5" t="n"/>
      <c r="G1762" s="5" t="n"/>
      <c r="H1762" s="5" t="n"/>
      <c r="I1762" s="5" t="n"/>
      <c r="J1762" s="5" t="n"/>
      <c r="K1762" s="5" t="n"/>
      <c r="L1762" s="5" t="n"/>
      <c r="M1762" s="5" t="n"/>
      <c r="N1762" s="5" t="n"/>
      <c r="O1762" s="5" t="n"/>
      <c r="P1762" s="5" t="n"/>
      <c r="Q1762" s="5" t="n"/>
      <c r="R1762" s="5" t="n"/>
      <c r="S1762" s="5" t="n"/>
      <c r="T1762" s="5" t="n"/>
      <c r="U1762" s="5" t="n"/>
      <c r="V1762" s="5" t="n"/>
      <c r="W1762" s="5" t="n"/>
      <c r="X1762" s="5" t="n"/>
      <c r="Y1762" s="5" t="n"/>
      <c r="Z1762" s="5" t="n"/>
      <c r="AA1762" s="5" t="n"/>
      <c r="AB1762" s="5" t="n"/>
    </row>
    <row r="1763" ht="15.75" customHeight="1" s="79">
      <c r="A1763" s="5" t="n"/>
      <c r="B1763" s="5" t="n"/>
      <c r="C1763" s="5" t="n"/>
      <c r="D1763" s="5" t="n"/>
      <c r="E1763" s="5" t="n"/>
      <c r="F1763" s="5" t="n"/>
      <c r="G1763" s="5" t="n"/>
      <c r="H1763" s="5" t="n"/>
      <c r="I1763" s="5" t="n"/>
      <c r="J1763" s="5" t="n"/>
      <c r="K1763" s="5" t="n"/>
      <c r="L1763" s="5" t="n"/>
      <c r="M1763" s="5" t="n"/>
      <c r="N1763" s="5" t="n"/>
      <c r="O1763" s="5" t="n"/>
      <c r="P1763" s="5" t="n"/>
      <c r="Q1763" s="5" t="n"/>
      <c r="R1763" s="5" t="n"/>
      <c r="S1763" s="5" t="n"/>
      <c r="T1763" s="5" t="n"/>
      <c r="U1763" s="5" t="n"/>
      <c r="V1763" s="5" t="n"/>
      <c r="W1763" s="5" t="n"/>
      <c r="X1763" s="5" t="n"/>
      <c r="Y1763" s="5" t="n"/>
      <c r="Z1763" s="5" t="n"/>
      <c r="AA1763" s="5" t="n"/>
      <c r="AB1763" s="5" t="n"/>
    </row>
    <row r="1764" ht="15.75" customHeight="1" s="79">
      <c r="A1764" s="5" t="n"/>
      <c r="B1764" s="5" t="n"/>
      <c r="C1764" s="5" t="n"/>
      <c r="D1764" s="5" t="n"/>
      <c r="E1764" s="5" t="n"/>
      <c r="F1764" s="5" t="n"/>
      <c r="G1764" s="5" t="n"/>
      <c r="H1764" s="5" t="n"/>
      <c r="I1764" s="5" t="n"/>
      <c r="J1764" s="5" t="n"/>
      <c r="K1764" s="5" t="n"/>
      <c r="L1764" s="5" t="n"/>
      <c r="M1764" s="5" t="n"/>
      <c r="N1764" s="5" t="n"/>
      <c r="O1764" s="5" t="n"/>
      <c r="P1764" s="5" t="n"/>
      <c r="Q1764" s="5" t="n"/>
      <c r="R1764" s="5" t="n"/>
      <c r="S1764" s="5" t="n"/>
      <c r="T1764" s="5" t="n"/>
      <c r="U1764" s="5" t="n"/>
      <c r="V1764" s="5" t="n"/>
      <c r="W1764" s="5" t="n"/>
      <c r="X1764" s="5" t="n"/>
      <c r="Y1764" s="5" t="n"/>
      <c r="Z1764" s="5" t="n"/>
      <c r="AA1764" s="5" t="n"/>
      <c r="AB1764" s="5" t="n"/>
    </row>
    <row r="1765" ht="15.75" customHeight="1" s="79">
      <c r="A1765" s="5" t="n"/>
      <c r="B1765" s="5" t="n"/>
      <c r="C1765" s="5" t="n"/>
      <c r="D1765" s="5" t="n"/>
      <c r="E1765" s="5" t="n"/>
      <c r="F1765" s="5" t="n"/>
      <c r="G1765" s="5" t="n"/>
      <c r="H1765" s="5" t="n"/>
      <c r="I1765" s="5" t="n"/>
      <c r="J1765" s="5" t="n"/>
      <c r="K1765" s="5" t="n"/>
      <c r="L1765" s="5" t="n"/>
      <c r="M1765" s="5" t="n"/>
      <c r="N1765" s="5" t="n"/>
      <c r="O1765" s="5" t="n"/>
      <c r="P1765" s="5" t="n"/>
      <c r="Q1765" s="5" t="n"/>
      <c r="R1765" s="5" t="n"/>
      <c r="S1765" s="5" t="n"/>
      <c r="T1765" s="5" t="n"/>
      <c r="U1765" s="5" t="n"/>
      <c r="V1765" s="5" t="n"/>
      <c r="W1765" s="5" t="n"/>
      <c r="X1765" s="5" t="n"/>
      <c r="Y1765" s="5" t="n"/>
      <c r="Z1765" s="5" t="n"/>
      <c r="AA1765" s="5" t="n"/>
      <c r="AB1765" s="5" t="n"/>
    </row>
    <row r="1766" ht="15.75" customHeight="1" s="79">
      <c r="A1766" s="5" t="n"/>
      <c r="B1766" s="5" t="n"/>
      <c r="C1766" s="5" t="n"/>
      <c r="D1766" s="5" t="n"/>
      <c r="E1766" s="5" t="n"/>
      <c r="F1766" s="5" t="n"/>
      <c r="G1766" s="5" t="n"/>
      <c r="H1766" s="5" t="n"/>
      <c r="I1766" s="5" t="n"/>
      <c r="J1766" s="5" t="n"/>
      <c r="K1766" s="5" t="n"/>
      <c r="L1766" s="5" t="n"/>
      <c r="M1766" s="5" t="n"/>
      <c r="N1766" s="5" t="n"/>
      <c r="O1766" s="5" t="n"/>
      <c r="P1766" s="5" t="n"/>
      <c r="Q1766" s="5" t="n"/>
      <c r="R1766" s="5" t="n"/>
      <c r="S1766" s="5" t="n"/>
      <c r="T1766" s="5" t="n"/>
      <c r="U1766" s="5" t="n"/>
      <c r="V1766" s="5" t="n"/>
      <c r="W1766" s="5" t="n"/>
      <c r="X1766" s="5" t="n"/>
      <c r="Y1766" s="5" t="n"/>
      <c r="Z1766" s="5" t="n"/>
      <c r="AA1766" s="5" t="n"/>
      <c r="AB1766" s="5" t="n"/>
    </row>
    <row r="1767" ht="30" customHeight="1" s="79">
      <c r="A1767" s="34" t="inlineStr">
        <is>
          <t>Segment</t>
        </is>
      </c>
      <c r="B1767" s="34" t="inlineStr">
        <is>
          <t>Funded $</t>
        </is>
      </c>
      <c r="C1767" s="34" t="inlineStr">
        <is>
          <t>Collected $</t>
        </is>
      </c>
      <c r="D1767" s="34" t="inlineStr">
        <is>
          <t>Net profit / loss $</t>
        </is>
      </c>
      <c r="E1767" s="34" t="inlineStr">
        <is>
          <t>Commission $</t>
        </is>
      </c>
      <c r="F1767" s="34" t="inlineStr">
        <is>
          <t>Principal lost $</t>
        </is>
      </c>
      <c r="G1767" s="34" t="inlineStr">
        <is>
          <t>Principal default exposure</t>
        </is>
      </c>
      <c r="H1767" s="34" t="inlineStr">
        <is>
          <t>Recovery rate</t>
        </is>
      </c>
      <c r="I1767" s="34" t="inlineStr">
        <is>
          <t>Return on funded capital (%)</t>
        </is>
      </c>
      <c r="J1767" s="34" t="inlineStr">
        <is>
          <t>Deals</t>
        </is>
      </c>
      <c r="K1767" s="34" t="inlineStr">
        <is>
          <t>Share of funded dollars</t>
        </is>
      </c>
      <c r="L1767" s="34" t="inlineStr">
        <is>
          <t>Avg deal size</t>
        </is>
      </c>
      <c r="M1767" s="34" t="inlineStr">
        <is>
          <t>Avg expected term (business days)</t>
        </is>
      </c>
      <c r="N1767" s="34" t="inlineStr">
        <is>
          <t>Avg expected term (payments)</t>
        </is>
      </c>
      <c r="O1767" s="34" t="inlineStr">
        <is>
          <t>Avg days on book, defaulted</t>
        </is>
      </c>
      <c r="P1767" s="34" t="inlineStr">
        <is>
          <t>Avg days to close</t>
        </is>
      </c>
      <c r="Q1767" s="34" t="inlineStr">
        <is>
          <t>% of deals that were renewals</t>
        </is>
      </c>
      <c r="R1767" s="34" t="inlineStr">
        <is>
          <t>% of funded dollars from renewals</t>
        </is>
      </c>
      <c r="S1767" s="34" t="inlineStr">
        <is>
          <t>Book default exposure</t>
        </is>
      </c>
      <c r="T1767" s="34" t="inlineStr">
        <is>
          <t>Book recovery</t>
        </is>
      </c>
      <c r="U1767" s="34" t="inlineStr">
        <is>
          <t>Book return on funded capital</t>
        </is>
      </c>
      <c r="V1767" s="34" t="inlineStr">
        <is>
          <t>Default rate (#)</t>
        </is>
      </c>
      <c r="W1767" s="5" t="n"/>
      <c r="X1767" s="5" t="n"/>
      <c r="Y1767" s="5" t="n"/>
      <c r="Z1767" s="5" t="n"/>
      <c r="AA1767" s="5" t="n"/>
      <c r="AB1767" s="5" t="n"/>
    </row>
    <row r="1768" ht="15.75" customHeight="1" s="79">
      <c r="A1768" s="5">
        <f>IFERROR(Calc!$A$249,"")</f>
        <v/>
      </c>
      <c r="B1768" s="20">
        <f>IFERROR(Calc!B249,"")</f>
        <v/>
      </c>
      <c r="C1768" s="20">
        <f>IFERROR(Calc!C249,"")</f>
        <v/>
      </c>
      <c r="D1768" s="20">
        <f>IFERROR(Calc!D249,"")</f>
        <v/>
      </c>
      <c r="E1768" s="20">
        <f>IFERROR(Calc!E249,"")</f>
        <v/>
      </c>
      <c r="F1768" s="20">
        <f>IFERROR(Calc!F249,"")</f>
        <v/>
      </c>
      <c r="G1768" s="21">
        <f>IFERROR(Calc!G249,"")</f>
        <v/>
      </c>
      <c r="H1768" s="21">
        <f>IFERROR(Calc!H249,"")</f>
        <v/>
      </c>
      <c r="I1768" s="21">
        <f>IFERROR(Calc!I249,"")</f>
        <v/>
      </c>
      <c r="J1768" s="17">
        <f>IFERROR(Calc!J249,"")</f>
        <v/>
      </c>
      <c r="K1768" s="21">
        <f>IFERROR(Calc!K249,"")</f>
        <v/>
      </c>
      <c r="L1768" s="20">
        <f>IFERROR(Calc!L249,"")</f>
        <v/>
      </c>
      <c r="M1768" s="17">
        <f>IFERROR(Calc!M249,"")</f>
        <v/>
      </c>
      <c r="N1768" s="17">
        <f>IFERROR(Calc!N249,"")</f>
        <v/>
      </c>
      <c r="O1768" s="17">
        <f>IFERROR(Calc!O249,"")</f>
        <v/>
      </c>
      <c r="P1768" s="17">
        <f>IFERROR(Calc!P249,"")</f>
        <v/>
      </c>
      <c r="Q1768" s="21">
        <f>IFERROR(Calc!Q249,"")</f>
        <v/>
      </c>
      <c r="R1768" s="21">
        <f>IFERROR(Calc!R249,"")</f>
        <v/>
      </c>
      <c r="S1768" s="21">
        <f>IFERROR(Calc!S249,"")</f>
        <v/>
      </c>
      <c r="T1768" s="21">
        <f>IFERROR(Calc!T249,"")</f>
        <v/>
      </c>
      <c r="U1768" s="21">
        <f>IFERROR(Calc!U249,"")</f>
        <v/>
      </c>
      <c r="V1768" s="21">
        <f>IFERROR(Calc!V249,"")</f>
        <v/>
      </c>
      <c r="W1768" s="5" t="n"/>
      <c r="X1768" s="5" t="n"/>
      <c r="Y1768" s="5" t="n"/>
      <c r="Z1768" s="5" t="n"/>
      <c r="AA1768" s="5" t="n"/>
      <c r="AB1768" s="5" t="n"/>
    </row>
    <row r="1769" ht="15.75" customHeight="1" s="79">
      <c r="A1769" s="5">
        <f>IFERROR(Calc!$A$250,"")</f>
        <v/>
      </c>
      <c r="B1769" s="20">
        <f>IFERROR(Calc!B250,"")</f>
        <v/>
      </c>
      <c r="C1769" s="20">
        <f>IFERROR(Calc!C250,"")</f>
        <v/>
      </c>
      <c r="D1769" s="20">
        <f>IFERROR(Calc!D250,"")</f>
        <v/>
      </c>
      <c r="E1769" s="20">
        <f>IFERROR(Calc!E250,"")</f>
        <v/>
      </c>
      <c r="F1769" s="20">
        <f>IFERROR(Calc!F250,"")</f>
        <v/>
      </c>
      <c r="G1769" s="21">
        <f>IFERROR(Calc!G250,"")</f>
        <v/>
      </c>
      <c r="H1769" s="21">
        <f>IFERROR(Calc!H250,"")</f>
        <v/>
      </c>
      <c r="I1769" s="21">
        <f>IFERROR(Calc!I250,"")</f>
        <v/>
      </c>
      <c r="J1769" s="17">
        <f>IFERROR(Calc!J250,"")</f>
        <v/>
      </c>
      <c r="K1769" s="21">
        <f>IFERROR(Calc!K250,"")</f>
        <v/>
      </c>
      <c r="L1769" s="20">
        <f>IFERROR(Calc!L250,"")</f>
        <v/>
      </c>
      <c r="M1769" s="17">
        <f>IFERROR(Calc!M250,"")</f>
        <v/>
      </c>
      <c r="N1769" s="17">
        <f>IFERROR(Calc!N250,"")</f>
        <v/>
      </c>
      <c r="O1769" s="17">
        <f>IFERROR(Calc!O250,"")</f>
        <v/>
      </c>
      <c r="P1769" s="17">
        <f>IFERROR(Calc!P250,"")</f>
        <v/>
      </c>
      <c r="Q1769" s="21">
        <f>IFERROR(Calc!Q250,"")</f>
        <v/>
      </c>
      <c r="R1769" s="21">
        <f>IFERROR(Calc!R250,"")</f>
        <v/>
      </c>
      <c r="S1769" s="21">
        <f>IFERROR(Calc!S250,"")</f>
        <v/>
      </c>
      <c r="T1769" s="21">
        <f>IFERROR(Calc!T250,"")</f>
        <v/>
      </c>
      <c r="U1769" s="21">
        <f>IFERROR(Calc!U250,"")</f>
        <v/>
      </c>
      <c r="V1769" s="21">
        <f>IFERROR(Calc!V250,"")</f>
        <v/>
      </c>
      <c r="W1769" s="5" t="n"/>
      <c r="X1769" s="5" t="n"/>
      <c r="Y1769" s="5" t="n"/>
      <c r="Z1769" s="5" t="n"/>
      <c r="AA1769" s="5" t="n"/>
      <c r="AB1769" s="5" t="n"/>
    </row>
  </sheetData>
  <mergeCells count="14">
    <mergeCell ref="A1089:AA1089"/>
    <mergeCell ref="A493:Q493"/>
    <mergeCell ref="A1325:Q1325"/>
    <mergeCell ref="A1572:S1572"/>
    <mergeCell ref="A1463:AA1463"/>
    <mergeCell ref="A331:AA331"/>
    <mergeCell ref="A946:AA946"/>
    <mergeCell ref="A834:S834"/>
    <mergeCell ref="A169:AA169"/>
    <mergeCell ref="A721:AA721"/>
    <mergeCell ref="A608:S608"/>
    <mergeCell ref="A1640:S1640"/>
    <mergeCell ref="A1212:AA1212"/>
    <mergeCell ref="A7:S7"/>
  </mergeCells>
  <hyperlinks>
    <hyperlink ref="B3" location="'Visual Metrics'!A6" display="Industry"/>
    <hyperlink ref="D3" location="'Visual Metrics'!A168" display="State"/>
    <hyperlink ref="F3" location="'Visual Metrics'!A330" display="ISO"/>
    <hyperlink ref="H3" location="'Visual Metrics'!A492" display="Position"/>
    <hyperlink ref="J3" location="'Visual Metrics'!A607" display="Deal size"/>
    <hyperlink ref="L3" location="'Visual Metrics'!A720" display="Factor bucket"/>
    <hyperlink ref="N3" location="'Visual Metrics'!A833" display="Term length"/>
    <hyperlink ref="P3" location="'Visual Metrics'!A945" display="Funding month"/>
    <hyperlink ref="R3" location="'Visual Metrics'!A1088" display="Funding quarter"/>
    <hyperlink ref="T3" location="'Visual Metrics'!A1211" display="Funding year"/>
    <hyperlink ref="V3" location="'Visual Metrics'!A1324" display="Advance to revenue"/>
    <hyperlink ref="X3" location="'Visual Metrics'!A1462" display="New vs renewal"/>
    <hyperlink ref="Z3" location="'Visual Metrics'!A1571" display="Status"/>
    <hyperlink ref="AB3" location="'Visual Metrics'!A1639" display="Payment frequency"/>
  </hyperlinks>
  <pageMargins left="0.75" right="0.75" top="1" bottom="1" header="0" footer="0"/>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E111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3" customWidth="1" style="79" min="1" max="1"/>
    <col width="24" customWidth="1" style="79" min="2" max="2"/>
    <col width="26" customWidth="1" style="79" min="3" max="3"/>
    <col width="20" customWidth="1" style="79" min="4" max="4"/>
    <col width="11" customWidth="1" style="79" min="5" max="6"/>
    <col width="9" customWidth="1" style="79" min="7" max="7"/>
    <col width="8" customWidth="1" style="79" min="8" max="8"/>
    <col width="30" customWidth="1" style="79" min="9" max="9"/>
    <col width="7" customWidth="1" style="79" min="10" max="10"/>
    <col width="8" customWidth="1" style="79" min="11" max="12"/>
    <col width="24" customWidth="1" style="79" min="13" max="13"/>
    <col width="13" customWidth="1" style="79" min="14" max="14"/>
    <col width="8" customWidth="1" style="79" min="15" max="15"/>
    <col width="11" customWidth="1" style="79" min="16" max="20"/>
    <col width="9" customWidth="1" style="79" min="21" max="21"/>
    <col width="11" customWidth="1" style="79" min="22" max="22"/>
    <col width="12" customWidth="1" style="79" min="23" max="23"/>
    <col width="10" customWidth="1" style="79" min="24" max="24"/>
    <col width="11" customWidth="1" style="79" min="25" max="25"/>
    <col width="10" customWidth="1" style="79" min="26" max="26"/>
    <col width="11" customWidth="1" style="79" min="27" max="27"/>
    <col width="13" customWidth="1" style="79" min="28" max="28"/>
    <col width="11" customWidth="1" style="79" min="29" max="29"/>
    <col width="15" customWidth="1" style="79" min="30" max="30"/>
    <col width="16" customWidth="1" style="79" min="31" max="33"/>
    <col width="9" customWidth="1" style="79" min="34" max="35"/>
    <col width="11" customWidth="1" style="79" min="36" max="36"/>
    <col width="9" customWidth="1" style="79" min="37" max="37"/>
    <col width="7" customWidth="1" style="79" min="38" max="38"/>
    <col width="12" customWidth="1" style="79" min="39" max="40"/>
    <col width="13" customWidth="1" style="79" min="41" max="42"/>
    <col width="11" customWidth="1" style="79" min="43" max="43"/>
    <col width="10" customWidth="1" style="79" min="44" max="44"/>
    <col width="16" customWidth="1" style="79" min="45" max="45"/>
    <col width="12" customWidth="1" style="79" min="46" max="46"/>
    <col width="13" customWidth="1" style="79" min="47" max="49"/>
    <col width="15" customWidth="1" style="79" min="50" max="50"/>
    <col width="26" customWidth="1" style="79" min="51" max="51"/>
    <col width="10" customWidth="1" style="79" min="52" max="53"/>
    <col width="8" customWidth="1" style="79" min="54" max="54"/>
  </cols>
  <sheetData>
    <row r="1" ht="33.75" customHeight="1" s="79">
      <c r="A1" s="34" t="inlineStr">
        <is>
          <t>Contract ID</t>
        </is>
      </c>
      <c r="B1" s="34" t="inlineStr">
        <is>
          <t>DBA</t>
        </is>
      </c>
      <c r="C1" s="34" t="inlineStr">
        <is>
          <t>Legal name</t>
        </is>
      </c>
      <c r="D1" s="34" t="inlineStr">
        <is>
          <t>Status</t>
        </is>
      </c>
      <c r="E1" s="34" t="inlineStr">
        <is>
          <t>Start date</t>
        </is>
      </c>
      <c r="F1" s="34" t="inlineStr">
        <is>
          <t>Last active</t>
        </is>
      </c>
      <c r="G1" s="34" t="inlineStr">
        <is>
          <t>Position</t>
        </is>
      </c>
      <c r="H1" s="34" t="inlineStr">
        <is>
          <t>SIC</t>
        </is>
      </c>
      <c r="I1" s="34" t="inlineStr">
        <is>
          <t>SIC description</t>
        </is>
      </c>
      <c r="J1" s="34" t="inlineStr">
        <is>
          <t>SIC2</t>
        </is>
      </c>
      <c r="K1" s="34" t="inlineStr">
        <is>
          <t>MCC</t>
        </is>
      </c>
      <c r="L1" s="34" t="inlineStr">
        <is>
          <t>State</t>
        </is>
      </c>
      <c r="M1" s="34" t="inlineStr">
        <is>
          <t>ISO</t>
        </is>
      </c>
      <c r="N1" s="34" t="inlineStr">
        <is>
          <t>New or renewal</t>
        </is>
      </c>
      <c r="O1" s="34" t="inlineStr">
        <is>
          <t>Factor</t>
        </is>
      </c>
      <c r="P1" s="34" t="inlineStr">
        <is>
          <t>Advance</t>
        </is>
      </c>
      <c r="Q1" s="34" t="inlineStr">
        <is>
          <t>Commission</t>
        </is>
      </c>
      <c r="R1" s="34" t="inlineStr">
        <is>
          <t>Payback</t>
        </is>
      </c>
      <c r="S1" s="34" t="inlineStr">
        <is>
          <t>Collected</t>
        </is>
      </c>
      <c r="T1" s="34" t="inlineStr">
        <is>
          <t>Balance</t>
        </is>
      </c>
      <c r="U1" s="34" t="inlineStr">
        <is>
          <t>% paid</t>
        </is>
      </c>
      <c r="V1" s="34" t="inlineStr">
        <is>
          <t>Exp dur (raw)</t>
        </is>
      </c>
      <c r="W1" s="34" t="inlineStr">
        <is>
          <t>Days since pmt</t>
        </is>
      </c>
      <c r="X1" s="34" t="inlineStr">
        <is>
          <t>NSF count</t>
        </is>
      </c>
      <c r="Y1" s="34" t="inlineStr">
        <is>
          <t>Avg rev/mo</t>
        </is>
      </c>
      <c r="Z1" s="34" t="inlineStr">
        <is>
          <t>Holdback %</t>
        </is>
      </c>
      <c r="AA1" s="34" t="inlineStr">
        <is>
          <t>Biz start</t>
        </is>
      </c>
      <c r="AB1" s="11" t="inlineStr">
        <is>
          <t>Unit of raw duration</t>
        </is>
      </c>
      <c r="AC1" s="11" t="inlineStr">
        <is>
          <t>Pay frequency</t>
        </is>
      </c>
      <c r="AD1" s="11" t="inlineStr">
        <is>
          <t>Expected term (payments)</t>
        </is>
      </c>
      <c r="AE1" s="11" t="inlineStr">
        <is>
          <t>Expected term (business days)</t>
        </is>
      </c>
      <c r="AF1" s="11" t="inlineStr">
        <is>
          <t>Actual days on book (calendar)</t>
        </is>
      </c>
      <c r="AG1" s="11" t="inlineStr">
        <is>
          <t>Actual days on book (business)</t>
        </is>
      </c>
      <c r="AH1" s="11" t="inlineStr">
        <is>
          <t>Default</t>
        </is>
      </c>
      <c r="AI1" s="11" t="inlineStr">
        <is>
          <t>Resolved</t>
        </is>
      </c>
      <c r="AJ1" s="11" t="inlineStr">
        <is>
          <t xml:space="preserve">Closed </t>
        </is>
      </c>
      <c r="AK1" s="11" t="inlineStr">
        <is>
          <t>In scope</t>
        </is>
      </c>
      <c r="AL1" s="11" t="inlineStr">
        <is>
          <t>All</t>
        </is>
      </c>
      <c r="AM1" s="11" t="inlineStr">
        <is>
          <t>Net cash</t>
        </is>
      </c>
      <c r="AN1" s="11" t="inlineStr">
        <is>
          <t>Principal lost</t>
        </is>
      </c>
      <c r="AO1" s="11" t="inlineStr">
        <is>
          <t>Collected %</t>
        </is>
      </c>
      <c r="AP1" s="11" t="inlineStr">
        <is>
          <t>Advance / revenue</t>
        </is>
      </c>
      <c r="AQ1" s="11" t="inlineStr">
        <is>
          <t>Has revenue</t>
        </is>
      </c>
      <c r="AR1" s="11" t="inlineStr">
        <is>
          <t>Never paid</t>
        </is>
      </c>
      <c r="AS1" s="11" t="inlineStr">
        <is>
          <t>Days on book (defaulted deals)</t>
        </is>
      </c>
      <c r="AT1" s="11" t="inlineStr">
        <is>
          <t>Days to close</t>
        </is>
      </c>
      <c r="AU1" s="11" t="inlineStr">
        <is>
          <t>Size bucket</t>
        </is>
      </c>
      <c r="AV1" s="11" t="inlineStr">
        <is>
          <t>Factor bucket</t>
        </is>
      </c>
      <c r="AW1" s="11" t="inlineStr">
        <is>
          <t>Term bucket</t>
        </is>
      </c>
      <c r="AX1" s="11" t="inlineStr">
        <is>
          <t>Adv/rev bucket</t>
        </is>
      </c>
      <c r="AY1" s="11" t="inlineStr">
        <is>
          <t>Industry</t>
        </is>
      </c>
      <c r="AZ1" s="11" t="inlineStr">
        <is>
          <t>Quarter</t>
        </is>
      </c>
      <c r="BA1" s="11" t="inlineStr">
        <is>
          <t>Month</t>
        </is>
      </c>
      <c r="BB1" s="11" t="inlineStr">
        <is>
          <t>Year</t>
        </is>
      </c>
      <c r="BC1" s="92" t="inlineStr">
        <is>
          <t>Age at as-of (business days)</t>
        </is>
      </c>
      <c r="BD1" s="92" t="inlineStr">
        <is>
          <t>Terminal outcome?</t>
        </is>
      </c>
      <c r="BE1" s="95" t="inlineStr">
        <is>
          <t>Seasoned</t>
        </is>
      </c>
    </row>
    <row r="2" ht="15" customHeight="1" s="79">
      <c r="A2" s="5" t="inlineStr">
        <is>
          <t>5674142980</t>
        </is>
      </c>
      <c r="B2" s="5" t="inlineStr">
        <is>
          <t>The rustic charm bar and grill</t>
        </is>
      </c>
      <c r="C2" s="5" t="inlineStr">
        <is>
          <t>The rustic charm LLC</t>
        </is>
      </c>
      <c r="D2" s="5" t="inlineStr">
        <is>
          <t>Legal</t>
        </is>
      </c>
      <c r="E2" s="16" t="n">
        <v>45616</v>
      </c>
      <c r="F2" s="16" t="n">
        <v>46118</v>
      </c>
      <c r="G2" s="17" t="n">
        <v>1</v>
      </c>
      <c r="H2" s="5" t="inlineStr">
        <is>
          <t>5813</t>
        </is>
      </c>
      <c r="I2" s="5" t="inlineStr">
        <is>
          <t>Drinking Places (Alcoholic Beverages)</t>
        </is>
      </c>
      <c r="J2" s="5" t="inlineStr">
        <is>
          <t>58</t>
        </is>
      </c>
      <c r="K2" s="5" t="n">
        <v>5813</v>
      </c>
      <c r="L2" s="5" t="inlineStr">
        <is>
          <t>CO</t>
        </is>
      </c>
      <c r="M2" s="5" t="inlineStr">
        <is>
          <t>GREYSTONE</t>
        </is>
      </c>
      <c r="N2" s="5" t="inlineStr">
        <is>
          <t>New Deal</t>
        </is>
      </c>
      <c r="O2" s="19" t="n">
        <v>1.49</v>
      </c>
      <c r="P2" s="20" t="n">
        <v>15000</v>
      </c>
      <c r="Q2" s="20" t="n">
        <v>2100</v>
      </c>
      <c r="R2" s="20" t="n">
        <v>22350</v>
      </c>
      <c r="S2" s="20" t="n">
        <v>16835.64</v>
      </c>
      <c r="T2" s="20" t="n">
        <v>5514.36</v>
      </c>
      <c r="U2" s="21" t="n">
        <v>0.753272483221476</v>
      </c>
      <c r="V2" s="22" t="n">
        <v>2.754</v>
      </c>
      <c r="W2" s="17" t="n">
        <v>135</v>
      </c>
      <c r="X2" s="17" t="n">
        <v>5</v>
      </c>
      <c r="Y2" s="5" t="n"/>
      <c r="Z2" s="21" t="n">
        <v>0.05</v>
      </c>
      <c r="AA2" s="16" t="n">
        <v>44701</v>
      </c>
      <c r="AB2" s="5">
        <f>IF(V2="","",IF(V2&lt;12,"Months","Weeks"))</f>
        <v/>
      </c>
      <c r="AC2" s="5">
        <f>IF(AB2="","",IF(AB2="Months","Daily","Weekly"))</f>
        <v/>
      </c>
      <c r="AD2" s="17">
        <f>IF(V2="","",IF(AC2="Daily",V2*Controls!$B$13,V2))</f>
        <v/>
      </c>
      <c r="AE2" s="17">
        <f>IF(V2="","",IF(AC2="Daily",V2*Controls!$B$13,V2*Controls!$B$12))</f>
        <v/>
      </c>
      <c r="AF2" s="17">
        <f>IF(OR(E2="",F2=""),"",F2-E2)</f>
        <v/>
      </c>
      <c r="AG2" s="17">
        <f>IF(OR(E2="",F2=""),"",NETWORKDAYS(E2,F2,Ref!$F$4:$F$47))</f>
        <v/>
      </c>
      <c r="AH2" s="39">
        <f>IF(IFERROR(VLOOKUP(D2,Controls!$A$25:$D$35,2,FALSE()),"No")="Yes",1,0)</f>
        <v/>
      </c>
      <c r="AI2" s="39">
        <f>IF(IFERROR(VLOOKUP(D2,Controls!$A$25:$D$35,3,FALSE()),"No")="Yes",1,0)</f>
        <v/>
      </c>
      <c r="AJ2" s="39">
        <f>IF(IFERROR(VLOOKUP(D2,Controls!$A$25:$D$35,4,FALSE()),"No")="Yes",1,0)</f>
        <v/>
      </c>
      <c r="AK2" s="96">
        <f>IF(AND($E2&gt;=Controls!$B$5,$E2&lt;=Controls!$B$6,OR(Controls!$E$9&lt;&gt;"Y",$BE2=1)),1,0)</f>
        <v/>
      </c>
      <c r="AL2" s="39">
        <f>1</f>
        <v/>
      </c>
      <c r="AM2" s="20">
        <f>S2-P2</f>
        <v/>
      </c>
      <c r="AN2" s="20">
        <f>IF(AH2=1,MAX(0,P2-S2),0)</f>
        <v/>
      </c>
      <c r="AO2" s="21">
        <f>IFERROR(S2/P2,"")</f>
        <v/>
      </c>
      <c r="AP2" s="22">
        <f>IF(Y2="","",P2/Y2)</f>
        <v/>
      </c>
      <c r="AQ2" s="39">
        <f>IF(Y2="",0,1)</f>
        <v/>
      </c>
      <c r="AR2" s="39">
        <f>IF(S2&lt;=0,1,0)</f>
        <v/>
      </c>
      <c r="AS2" s="17">
        <f>IF(AH2=1,AG2,"")</f>
        <v/>
      </c>
      <c r="AT2" s="17">
        <f>IF(AND(AH2=0,AJ2=1),AG2,"")</f>
        <v/>
      </c>
      <c r="AU2" s="5">
        <f>IF(P2&lt;10000,"Under $10K",IF(P2&lt;20000,"$10-20K",IF(P2&lt;30000,"$20-30K",IF(P2&lt;50000,"$30-50K",IF(P2&lt;100000,"$50-100K","$100K+")))))</f>
        <v/>
      </c>
      <c r="AV2" s="5">
        <f>IF(O2&lt;=1.35,"1.35 and under",IF(O2&lt;=1.42,"1.36-1.42",IF(O2&lt;=1.45,"1.43-1.45",IF(O2&lt;1.49,"1.46-1.48",IF(O2&lt;=1.49,"1.49","Above 1.49")))))</f>
        <v/>
      </c>
      <c r="AW2" s="5">
        <f>IF(AE2="","",IF(AE2&lt;60,"Under 60",IF(AE2&lt;90,"60-89",IF(AE2&lt;120,"90-119",IF(AE2&lt;150,"120-149","150+")))))</f>
        <v/>
      </c>
      <c r="AX2" s="5">
        <f>IF(AP2="","No revenue data",IF(AP2&lt;0.15,"Under 0.15x",IF(AP2&lt;0.3,"0.15-0.30x",IF(AP2&lt;0.5,"0.30-0.50x",IF(AP2&lt;1,"0.50-1.00x","1.00x+")))))</f>
        <v/>
      </c>
      <c r="AY2" s="5">
        <f>IF(J2="","No SIC",IFERROR(VLOOKUP(J2,Ref!$A$4:$C$67,2,FALSE()),"Unclassified"))</f>
        <v/>
      </c>
      <c r="AZ2" s="5">
        <f>IF(E2="","",TEXT(E2,"YYYY")&amp;"-Q"&amp;ROUNDUP(MONTH(E2)/3,0))</f>
        <v/>
      </c>
      <c r="BA2" s="5">
        <f>IF(E2="","",TEXT(E2,"YYYY-MM"))</f>
        <v/>
      </c>
      <c r="BB2" s="5">
        <f>IF(E2="","",TEXT(E2,"YYYY"))</f>
        <v/>
      </c>
      <c r="BC2" s="92">
        <f>IF($E2="","",NETWORKDAYS($E2,Controls!$B$9,Ref!$F$4:$F$47))</f>
        <v/>
      </c>
      <c r="BD2" s="92">
        <f>IF(OR($AH2=1,$AJ2=1),1,0)</f>
        <v/>
      </c>
      <c r="BE2" s="95">
        <f>IF(OR($BD2=1,AND($AE2&lt;&gt;"",$BC2&gt;=Controls!$B$10*$AE2)),1,0)</f>
        <v/>
      </c>
    </row>
    <row r="3" ht="15" customHeight="1" s="79">
      <c r="A3" s="5" t="inlineStr">
        <is>
          <t>5674143732</t>
        </is>
      </c>
      <c r="B3" s="5" t="inlineStr">
        <is>
          <t>GUADALUPE CASTANEDA</t>
        </is>
      </c>
      <c r="C3" s="5" t="inlineStr">
        <is>
          <t>GUADALUPE CASTANEDA</t>
        </is>
      </c>
      <c r="D3" s="5" t="inlineStr">
        <is>
          <t>Written-Off</t>
        </is>
      </c>
      <c r="E3" s="16" t="n">
        <v>45625</v>
      </c>
      <c r="F3" s="16" t="n">
        <v>45786</v>
      </c>
      <c r="G3" s="17" t="n">
        <v>3</v>
      </c>
      <c r="H3" s="5" t="inlineStr">
        <is>
          <t>1442</t>
        </is>
      </c>
      <c r="I3" s="5" t="inlineStr">
        <is>
          <t>Construction Sand and Gravel Mining</t>
        </is>
      </c>
      <c r="J3" s="5" t="inlineStr">
        <is>
          <t>14</t>
        </is>
      </c>
      <c r="K3" s="5" t="n">
        <v>5039</v>
      </c>
      <c r="L3" s="5" t="inlineStr">
        <is>
          <t>CA</t>
        </is>
      </c>
      <c r="M3" s="5" t="inlineStr">
        <is>
          <t>BFA 3</t>
        </is>
      </c>
      <c r="N3" s="5" t="inlineStr">
        <is>
          <t>New Deal</t>
        </is>
      </c>
      <c r="O3" s="19" t="n">
        <v>1.49</v>
      </c>
      <c r="P3" s="20" t="n">
        <v>5000</v>
      </c>
      <c r="Q3" s="20" t="n">
        <v>700</v>
      </c>
      <c r="R3" s="20" t="n">
        <v>7450</v>
      </c>
      <c r="S3" s="20" t="n">
        <v>6305.98</v>
      </c>
      <c r="T3" s="20" t="n">
        <v>1144.02</v>
      </c>
      <c r="U3" s="21" t="n">
        <v>0.846440268456376</v>
      </c>
      <c r="V3" s="22" t="n">
        <v>2.623</v>
      </c>
      <c r="W3" s="17" t="n">
        <v>467</v>
      </c>
      <c r="X3" s="17" t="n">
        <v>24</v>
      </c>
      <c r="Y3" s="5" t="n"/>
      <c r="Z3" s="21" t="n">
        <v>0.12</v>
      </c>
      <c r="AA3" s="16" t="n">
        <v>34575</v>
      </c>
      <c r="AB3" s="5">
        <f>IF(V3="","",IF(V3&lt;12,"Months","Weeks"))</f>
        <v/>
      </c>
      <c r="AC3" s="5">
        <f>IF(AB3="","",IF(AB3="Months","Daily","Weekly"))</f>
        <v/>
      </c>
      <c r="AD3" s="17">
        <f>IF(V3="","",IF(AC3="Daily",V3*Controls!$B$13,V3))</f>
        <v/>
      </c>
      <c r="AE3" s="17">
        <f>IF(V3="","",IF(AC3="Daily",V3*Controls!$B$13,V3*Controls!$B$12))</f>
        <v/>
      </c>
      <c r="AF3" s="17">
        <f>IF(OR(E3="",F3=""),"",F3-E3)</f>
        <v/>
      </c>
      <c r="AG3" s="17">
        <f>IF(OR(E3="",F3=""),"",NETWORKDAYS(E3,F3,Ref!$F$4:$F$47))</f>
        <v/>
      </c>
      <c r="AH3" s="39">
        <f>IF(IFERROR(VLOOKUP(D3,Controls!$A$25:$D$35,2,FALSE()),"No")="Yes",1,0)</f>
        <v/>
      </c>
      <c r="AI3" s="39">
        <f>IF(IFERROR(VLOOKUP(D3,Controls!$A$25:$D$35,3,FALSE()),"No")="Yes",1,0)</f>
        <v/>
      </c>
      <c r="AJ3" s="39">
        <f>IF(IFERROR(VLOOKUP(D3,Controls!$A$25:$D$35,4,FALSE()),"No")="Yes",1,0)</f>
        <v/>
      </c>
      <c r="AK3" s="96">
        <f>IF(AND($E3&gt;=Controls!$B$5,$E3&lt;=Controls!$B$6,OR(Controls!$E$9&lt;&gt;"Y",$BE3=1)),1,0)</f>
        <v/>
      </c>
      <c r="AL3" s="39">
        <f>1</f>
        <v/>
      </c>
      <c r="AM3" s="20">
        <f>S3-P3</f>
        <v/>
      </c>
      <c r="AN3" s="20">
        <f>IF(AH3=1,MAX(0,P3-S3),0)</f>
        <v/>
      </c>
      <c r="AO3" s="21">
        <f>IFERROR(S3/P3,"")</f>
        <v/>
      </c>
      <c r="AP3" s="22">
        <f>IF(Y3="","",P3/Y3)</f>
        <v/>
      </c>
      <c r="AQ3" s="39">
        <f>IF(Y3="",0,1)</f>
        <v/>
      </c>
      <c r="AR3" s="39">
        <f>IF(S3&lt;=0,1,0)</f>
        <v/>
      </c>
      <c r="AS3" s="17">
        <f>IF(AH3=1,AG3,"")</f>
        <v/>
      </c>
      <c r="AT3" s="17">
        <f>IF(AND(AH3=0,AJ3=1),AG3,"")</f>
        <v/>
      </c>
      <c r="AU3" s="5">
        <f>IF(P3&lt;10000,"Under $10K",IF(P3&lt;20000,"$10-20K",IF(P3&lt;30000,"$20-30K",IF(P3&lt;50000,"$30-50K",IF(P3&lt;100000,"$50-100K","$100K+")))))</f>
        <v/>
      </c>
      <c r="AV3" s="5">
        <f>IF(O3&lt;=1.35,"1.35 and under",IF(O3&lt;=1.42,"1.36-1.42",IF(O3&lt;=1.45,"1.43-1.45",IF(O3&lt;1.49,"1.46-1.48",IF(O3&lt;=1.49,"1.49","Above 1.49")))))</f>
        <v/>
      </c>
      <c r="AW3" s="5">
        <f>IF(AE3="","",IF(AE3&lt;60,"Under 60",IF(AE3&lt;90,"60-89",IF(AE3&lt;120,"90-119",IF(AE3&lt;150,"120-149","150+")))))</f>
        <v/>
      </c>
      <c r="AX3" s="5">
        <f>IF(AP3="","No revenue data",IF(AP3&lt;0.15,"Under 0.15x",IF(AP3&lt;0.3,"0.15-0.30x",IF(AP3&lt;0.5,"0.30-0.50x",IF(AP3&lt;1,"0.50-1.00x","1.00x+")))))</f>
        <v/>
      </c>
      <c r="AY3" s="5">
        <f>IF(J3="","No SIC",IFERROR(VLOOKUP(J3,Ref!$A$4:$C$67,2,FALSE()),"Unclassified"))</f>
        <v/>
      </c>
      <c r="AZ3" s="5">
        <f>IF(E3="","",TEXT(E3,"YYYY")&amp;"-Q"&amp;ROUNDUP(MONTH(E3)/3,0))</f>
        <v/>
      </c>
      <c r="BA3" s="5">
        <f>IF(E3="","",TEXT(E3,"YYYY-MM"))</f>
        <v/>
      </c>
      <c r="BB3" s="5">
        <f>IF(E3="","",TEXT(E3,"YYYY"))</f>
        <v/>
      </c>
      <c r="BC3" s="97">
        <f>IF($E3="","",NETWORKDAYS($E3,Controls!$B$9,Ref!$F$4:$F$47))</f>
        <v/>
      </c>
      <c r="BD3" s="92">
        <f>IF(OR($AH3=1,$AJ3=1),1,0)</f>
        <v/>
      </c>
      <c r="BE3" s="95">
        <f>IF(OR($BD3=1,AND($AE3&lt;&gt;"",$BC3&gt;=Controls!$B$10*$AE3)),1,0)</f>
        <v/>
      </c>
    </row>
    <row r="4" ht="15" customHeight="1" s="79">
      <c r="A4" s="5" t="inlineStr">
        <is>
          <t>5674144092</t>
        </is>
      </c>
      <c r="B4" s="5" t="inlineStr">
        <is>
          <t>DALE JOHNSON SOLE MBR</t>
        </is>
      </c>
      <c r="C4" s="5" t="inlineStr">
        <is>
          <t>LEVEL 4 TRANSPORT LLC</t>
        </is>
      </c>
      <c r="D4" s="5" t="inlineStr">
        <is>
          <t>Legal</t>
        </is>
      </c>
      <c r="E4" s="16" t="n">
        <v>45630</v>
      </c>
      <c r="F4" s="16" t="n">
        <v>45666</v>
      </c>
      <c r="G4" s="17" t="n">
        <v>2</v>
      </c>
      <c r="H4" s="5" t="inlineStr">
        <is>
          <t>4213</t>
        </is>
      </c>
      <c r="I4" s="5" t="inlineStr">
        <is>
          <t>General Freight Trucking, Long-Distance, Truckload</t>
        </is>
      </c>
      <c r="J4" s="5" t="inlineStr">
        <is>
          <t>42</t>
        </is>
      </c>
      <c r="K4" s="5" t="n">
        <v>4214</v>
      </c>
      <c r="L4" s="5" t="inlineStr">
        <is>
          <t>CA</t>
        </is>
      </c>
      <c r="M4" s="5" t="inlineStr">
        <is>
          <t>Liberty Bell Capital</t>
        </is>
      </c>
      <c r="N4" s="5" t="inlineStr">
        <is>
          <t>New Deal</t>
        </is>
      </c>
      <c r="O4" s="19" t="n">
        <v>1.49</v>
      </c>
      <c r="P4" s="20" t="n">
        <v>10000</v>
      </c>
      <c r="Q4" s="20" t="n">
        <v>0</v>
      </c>
      <c r="R4" s="20" t="n">
        <v>14900</v>
      </c>
      <c r="S4" s="20" t="n">
        <v>2421.25</v>
      </c>
      <c r="T4" s="20" t="n">
        <v>12478.75</v>
      </c>
      <c r="U4" s="21" t="n">
        <v>0.1625</v>
      </c>
      <c r="V4" s="22" t="n">
        <v>2.623</v>
      </c>
      <c r="W4" s="17" t="n">
        <v>604</v>
      </c>
      <c r="X4" s="17" t="n">
        <v>5</v>
      </c>
      <c r="Y4" s="5" t="n"/>
      <c r="Z4" s="21" t="n">
        <v>0.07000000000000001</v>
      </c>
      <c r="AA4" s="16" t="n">
        <v>43873</v>
      </c>
      <c r="AB4" s="5">
        <f>IF(V4="","",IF(V4&lt;12,"Months","Weeks"))</f>
        <v/>
      </c>
      <c r="AC4" s="5">
        <f>IF(AB4="","",IF(AB4="Months","Daily","Weekly"))</f>
        <v/>
      </c>
      <c r="AD4" s="17">
        <f>IF(V4="","",IF(AC4="Daily",V4*Controls!$B$13,V4))</f>
        <v/>
      </c>
      <c r="AE4" s="17">
        <f>IF(V4="","",IF(AC4="Daily",V4*Controls!$B$13,V4*Controls!$B$12))</f>
        <v/>
      </c>
      <c r="AF4" s="17">
        <f>IF(OR(E4="",F4=""),"",F4-E4)</f>
        <v/>
      </c>
      <c r="AG4" s="17">
        <f>IF(OR(E4="",F4=""),"",NETWORKDAYS(E4,F4,Ref!$F$4:$F$47))</f>
        <v/>
      </c>
      <c r="AH4" s="39">
        <f>IF(IFERROR(VLOOKUP(D4,Controls!$A$25:$D$35,2,FALSE()),"No")="Yes",1,0)</f>
        <v/>
      </c>
      <c r="AI4" s="39">
        <f>IF(IFERROR(VLOOKUP(D4,Controls!$A$25:$D$35,3,FALSE()),"No")="Yes",1,0)</f>
        <v/>
      </c>
      <c r="AJ4" s="39">
        <f>IF(IFERROR(VLOOKUP(D4,Controls!$A$25:$D$35,4,FALSE()),"No")="Yes",1,0)</f>
        <v/>
      </c>
      <c r="AK4" s="96">
        <f>IF(AND($E4&gt;=Controls!$B$5,$E4&lt;=Controls!$B$6,OR(Controls!$E$9&lt;&gt;"Y",$BE4=1)),1,0)</f>
        <v/>
      </c>
      <c r="AL4" s="39">
        <f>1</f>
        <v/>
      </c>
      <c r="AM4" s="20">
        <f>S4-P4</f>
        <v/>
      </c>
      <c r="AN4" s="20">
        <f>IF(AH4=1,MAX(0,P4-S4),0)</f>
        <v/>
      </c>
      <c r="AO4" s="21">
        <f>IFERROR(S4/P4,"")</f>
        <v/>
      </c>
      <c r="AP4" s="22">
        <f>IF(Y4="","",P4/Y4)</f>
        <v/>
      </c>
      <c r="AQ4" s="39">
        <f>IF(Y4="",0,1)</f>
        <v/>
      </c>
      <c r="AR4" s="39">
        <f>IF(S4&lt;=0,1,0)</f>
        <v/>
      </c>
      <c r="AS4" s="17">
        <f>IF(AH4=1,AG4,"")</f>
        <v/>
      </c>
      <c r="AT4" s="17">
        <f>IF(AND(AH4=0,AJ4=1),AG4,"")</f>
        <v/>
      </c>
      <c r="AU4" s="5">
        <f>IF(P4&lt;10000,"Under $10K",IF(P4&lt;20000,"$10-20K",IF(P4&lt;30000,"$20-30K",IF(P4&lt;50000,"$30-50K",IF(P4&lt;100000,"$50-100K","$100K+")))))</f>
        <v/>
      </c>
      <c r="AV4" s="5">
        <f>IF(O4&lt;=1.35,"1.35 and under",IF(O4&lt;=1.42,"1.36-1.42",IF(O4&lt;=1.45,"1.43-1.45",IF(O4&lt;1.49,"1.46-1.48",IF(O4&lt;=1.49,"1.49","Above 1.49")))))</f>
        <v/>
      </c>
      <c r="AW4" s="5">
        <f>IF(AE4="","",IF(AE4&lt;60,"Under 60",IF(AE4&lt;90,"60-89",IF(AE4&lt;120,"90-119",IF(AE4&lt;150,"120-149","150+")))))</f>
        <v/>
      </c>
      <c r="AX4" s="5">
        <f>IF(AP4="","No revenue data",IF(AP4&lt;0.15,"Under 0.15x",IF(AP4&lt;0.3,"0.15-0.30x",IF(AP4&lt;0.5,"0.30-0.50x",IF(AP4&lt;1,"0.50-1.00x","1.00x+")))))</f>
        <v/>
      </c>
      <c r="AY4" s="5">
        <f>IF(J4="","No SIC",IFERROR(VLOOKUP(J4,Ref!$A$4:$C$67,2,FALSE()),"Unclassified"))</f>
        <v/>
      </c>
      <c r="AZ4" s="5">
        <f>IF(E4="","",TEXT(E4,"YYYY")&amp;"-Q"&amp;ROUNDUP(MONTH(E4)/3,0))</f>
        <v/>
      </c>
      <c r="BA4" s="5">
        <f>IF(E4="","",TEXT(E4,"YYYY-MM"))</f>
        <v/>
      </c>
      <c r="BB4" s="5">
        <f>IF(E4="","",TEXT(E4,"YYYY"))</f>
        <v/>
      </c>
      <c r="BC4" s="98">
        <f>IF($E4="","",NETWORKDAYS($E4,Controls!$B$9,Ref!$F$4:$F$47))</f>
        <v/>
      </c>
      <c r="BD4" s="92">
        <f>IF(OR($AH4=1,$AJ4=1),1,0)</f>
        <v/>
      </c>
      <c r="BE4" s="95">
        <f>IF(OR($BD4=1,AND($AE4&lt;&gt;"",$BC4&gt;=Controls!$B$10*$AE4)),1,0)</f>
        <v/>
      </c>
    </row>
    <row r="5" ht="15" customHeight="1" s="79">
      <c r="A5" s="5" t="inlineStr">
        <is>
          <t>5674144406</t>
        </is>
      </c>
      <c r="B5" s="5" t="inlineStr">
        <is>
          <t>Lupotec</t>
        </is>
      </c>
      <c r="C5" s="5" t="inlineStr">
        <is>
          <t>LUPOTEC INC</t>
        </is>
      </c>
      <c r="D5" s="5" t="inlineStr">
        <is>
          <t>Legal</t>
        </is>
      </c>
      <c r="E5" s="16" t="n">
        <v>45632</v>
      </c>
      <c r="F5" s="16" t="n">
        <v>45666</v>
      </c>
      <c r="G5" s="17" t="n">
        <v>2</v>
      </c>
      <c r="H5" s="5" t="inlineStr">
        <is>
          <t>2821</t>
        </is>
      </c>
      <c r="I5" s="5" t="inlineStr">
        <is>
          <t>Plastics Material and Resin Mfg.</t>
        </is>
      </c>
      <c r="J5" s="5" t="inlineStr">
        <is>
          <t>28</t>
        </is>
      </c>
      <c r="K5" s="5" t="n">
        <v>5039</v>
      </c>
      <c r="L5" s="5" t="inlineStr">
        <is>
          <t>CA</t>
        </is>
      </c>
      <c r="M5" s="5" t="inlineStr">
        <is>
          <t>Fidelity Funding</t>
        </is>
      </c>
      <c r="N5" s="5" t="inlineStr">
        <is>
          <t>New Deal</t>
        </is>
      </c>
      <c r="O5" s="19" t="n">
        <v>1.49</v>
      </c>
      <c r="P5" s="20" t="n">
        <v>20000</v>
      </c>
      <c r="Q5" s="20" t="n">
        <v>0</v>
      </c>
      <c r="R5" s="20" t="n">
        <v>29800</v>
      </c>
      <c r="S5" s="20" t="n">
        <v>3140</v>
      </c>
      <c r="T5" s="20" t="n">
        <v>26660</v>
      </c>
      <c r="U5" s="21" t="n">
        <v>0.105369127516779</v>
      </c>
      <c r="V5" s="22" t="n">
        <v>3.279</v>
      </c>
      <c r="W5" s="17" t="n">
        <v>593</v>
      </c>
      <c r="X5" s="17" t="n">
        <v>6</v>
      </c>
      <c r="Y5" s="5" t="n"/>
      <c r="Z5" s="21" t="n">
        <v>0.09</v>
      </c>
      <c r="AA5" s="16" t="n">
        <v>44539</v>
      </c>
      <c r="AB5" s="5">
        <f>IF(V5="","",IF(V5&lt;12,"Months","Weeks"))</f>
        <v/>
      </c>
      <c r="AC5" s="5">
        <f>IF(AB5="","",IF(AB5="Months","Daily","Weekly"))</f>
        <v/>
      </c>
      <c r="AD5" s="17">
        <f>IF(V5="","",IF(AC5="Daily",V5*Controls!$B$13,V5))</f>
        <v/>
      </c>
      <c r="AE5" s="17">
        <f>IF(V5="","",IF(AC5="Daily",V5*Controls!$B$13,V5*Controls!$B$12))</f>
        <v/>
      </c>
      <c r="AF5" s="17">
        <f>IF(OR(E5="",F5=""),"",F5-E5)</f>
        <v/>
      </c>
      <c r="AG5" s="17">
        <f>IF(OR(E5="",F5=""),"",NETWORKDAYS(E5,F5,Ref!$F$4:$F$47))</f>
        <v/>
      </c>
      <c r="AH5" s="39">
        <f>IF(IFERROR(VLOOKUP(D5,Controls!$A$25:$D$35,2,FALSE()),"No")="Yes",1,0)</f>
        <v/>
      </c>
      <c r="AI5" s="39">
        <f>IF(IFERROR(VLOOKUP(D5,Controls!$A$25:$D$35,3,FALSE()),"No")="Yes",1,0)</f>
        <v/>
      </c>
      <c r="AJ5" s="39">
        <f>IF(IFERROR(VLOOKUP(D5,Controls!$A$25:$D$35,4,FALSE()),"No")="Yes",1,0)</f>
        <v/>
      </c>
      <c r="AK5" s="96">
        <f>IF(AND($E5&gt;=Controls!$B$5,$E5&lt;=Controls!$B$6,OR(Controls!$E$9&lt;&gt;"Y",$BE5=1)),1,0)</f>
        <v/>
      </c>
      <c r="AL5" s="39">
        <f>1</f>
        <v/>
      </c>
      <c r="AM5" s="20">
        <f>S5-P5</f>
        <v/>
      </c>
      <c r="AN5" s="20">
        <f>IF(AH5=1,MAX(0,P5-S5),0)</f>
        <v/>
      </c>
      <c r="AO5" s="21">
        <f>IFERROR(S5/P5,"")</f>
        <v/>
      </c>
      <c r="AP5" s="22">
        <f>IF(Y5="","",P5/Y5)</f>
        <v/>
      </c>
      <c r="AQ5" s="39">
        <f>IF(Y5="",0,1)</f>
        <v/>
      </c>
      <c r="AR5" s="39">
        <f>IF(S5&lt;=0,1,0)</f>
        <v/>
      </c>
      <c r="AS5" s="17">
        <f>IF(AH5=1,AG5,"")</f>
        <v/>
      </c>
      <c r="AT5" s="17">
        <f>IF(AND(AH5=0,AJ5=1),AG5,"")</f>
        <v/>
      </c>
      <c r="AU5" s="5">
        <f>IF(P5&lt;10000,"Under $10K",IF(P5&lt;20000,"$10-20K",IF(P5&lt;30000,"$20-30K",IF(P5&lt;50000,"$30-50K",IF(P5&lt;100000,"$50-100K","$100K+")))))</f>
        <v/>
      </c>
      <c r="AV5" s="5">
        <f>IF(O5&lt;=1.35,"1.35 and under",IF(O5&lt;=1.42,"1.36-1.42",IF(O5&lt;=1.45,"1.43-1.45",IF(O5&lt;1.49,"1.46-1.48",IF(O5&lt;=1.49,"1.49","Above 1.49")))))</f>
        <v/>
      </c>
      <c r="AW5" s="5">
        <f>IF(AE5="","",IF(AE5&lt;60,"Under 60",IF(AE5&lt;90,"60-89",IF(AE5&lt;120,"90-119",IF(AE5&lt;150,"120-149","150+")))))</f>
        <v/>
      </c>
      <c r="AX5" s="5">
        <f>IF(AP5="","No revenue data",IF(AP5&lt;0.15,"Under 0.15x",IF(AP5&lt;0.3,"0.15-0.30x",IF(AP5&lt;0.5,"0.30-0.50x",IF(AP5&lt;1,"0.50-1.00x","1.00x+")))))</f>
        <v/>
      </c>
      <c r="AY5" s="5">
        <f>IF(J5="","No SIC",IFERROR(VLOOKUP(J5,Ref!$A$4:$C$67,2,FALSE()),"Unclassified"))</f>
        <v/>
      </c>
      <c r="AZ5" s="5">
        <f>IF(E5="","",TEXT(E5,"YYYY")&amp;"-Q"&amp;ROUNDUP(MONTH(E5)/3,0))</f>
        <v/>
      </c>
      <c r="BA5" s="5">
        <f>IF(E5="","",TEXT(E5,"YYYY-MM"))</f>
        <v/>
      </c>
      <c r="BB5" s="5">
        <f>IF(E5="","",TEXT(E5,"YYYY"))</f>
        <v/>
      </c>
      <c r="BC5" s="98">
        <f>IF($E5="","",NETWORKDAYS($E5,Controls!$B$9,Ref!$F$4:$F$47))</f>
        <v/>
      </c>
      <c r="BD5" s="92">
        <f>IF(OR($AH5=1,$AJ5=1),1,0)</f>
        <v/>
      </c>
      <c r="BE5" s="95">
        <f>IF(OR($BD5=1,AND($AE5&lt;&gt;"",$BC5&gt;=Controls!$B$10*$AE5)),1,0)</f>
        <v/>
      </c>
    </row>
    <row r="6" ht="15" customHeight="1" s="79">
      <c r="A6" s="5" t="inlineStr">
        <is>
          <t>5674144409</t>
        </is>
      </c>
      <c r="B6" s="5" t="inlineStr">
        <is>
          <t>AWK ENGINEERING &amp; TRADING LLC</t>
        </is>
      </c>
      <c r="C6" s="5" t="inlineStr">
        <is>
          <t>AWK ENGINEERING &amp; TRADING LLC</t>
        </is>
      </c>
      <c r="D6" s="5" t="inlineStr">
        <is>
          <t>Legal</t>
        </is>
      </c>
      <c r="E6" s="16" t="n">
        <v>45632</v>
      </c>
      <c r="F6" s="16" t="n">
        <v>45707</v>
      </c>
      <c r="G6" s="17" t="n">
        <v>3</v>
      </c>
      <c r="H6" s="5" t="inlineStr">
        <is>
          <t>8711</t>
        </is>
      </c>
      <c r="I6" s="5" t="inlineStr">
        <is>
          <t>Engineering Services</t>
        </is>
      </c>
      <c r="J6" s="5" t="inlineStr">
        <is>
          <t>87</t>
        </is>
      </c>
      <c r="K6" s="5" t="n">
        <v>8911</v>
      </c>
      <c r="L6" s="5" t="inlineStr">
        <is>
          <t>CA</t>
        </is>
      </c>
      <c r="M6" s="5" t="inlineStr">
        <is>
          <t>J Capital Solutions</t>
        </is>
      </c>
      <c r="N6" s="5" t="inlineStr">
        <is>
          <t>New Deal</t>
        </is>
      </c>
      <c r="O6" s="19" t="n">
        <v>1.49</v>
      </c>
      <c r="P6" s="20" t="n">
        <v>6000</v>
      </c>
      <c r="Q6" s="20" t="n">
        <v>840</v>
      </c>
      <c r="R6" s="20" t="n">
        <v>8940</v>
      </c>
      <c r="S6" s="20" t="n">
        <v>2136.24</v>
      </c>
      <c r="T6" s="20" t="n">
        <v>6803.76</v>
      </c>
      <c r="U6" s="21" t="n">
        <v>0.238953020134228</v>
      </c>
      <c r="V6" s="22" t="n">
        <v>3.705</v>
      </c>
      <c r="W6" s="17" t="n">
        <v>581</v>
      </c>
      <c r="X6" s="17" t="n">
        <v>12</v>
      </c>
      <c r="Y6" s="5" t="n"/>
      <c r="Z6" s="21" t="n">
        <v>0.04</v>
      </c>
      <c r="AA6" s="16" t="n">
        <v>44471</v>
      </c>
      <c r="AB6" s="5">
        <f>IF(V6="","",IF(V6&lt;12,"Months","Weeks"))</f>
        <v/>
      </c>
      <c r="AC6" s="5">
        <f>IF(AB6="","",IF(AB6="Months","Daily","Weekly"))</f>
        <v/>
      </c>
      <c r="AD6" s="17">
        <f>IF(V6="","",IF(AC6="Daily",V6*Controls!$B$13,V6))</f>
        <v/>
      </c>
      <c r="AE6" s="17">
        <f>IF(V6="","",IF(AC6="Daily",V6*Controls!$B$13,V6*Controls!$B$12))</f>
        <v/>
      </c>
      <c r="AF6" s="17">
        <f>IF(OR(E6="",F6=""),"",F6-E6)</f>
        <v/>
      </c>
      <c r="AG6" s="17">
        <f>IF(OR(E6="",F6=""),"",NETWORKDAYS(E6,F6,Ref!$F$4:$F$47))</f>
        <v/>
      </c>
      <c r="AH6" s="39">
        <f>IF(IFERROR(VLOOKUP(D6,Controls!$A$25:$D$35,2,FALSE()),"No")="Yes",1,0)</f>
        <v/>
      </c>
      <c r="AI6" s="39">
        <f>IF(IFERROR(VLOOKUP(D6,Controls!$A$25:$D$35,3,FALSE()),"No")="Yes",1,0)</f>
        <v/>
      </c>
      <c r="AJ6" s="39">
        <f>IF(IFERROR(VLOOKUP(D6,Controls!$A$25:$D$35,4,FALSE()),"No")="Yes",1,0)</f>
        <v/>
      </c>
      <c r="AK6" s="96">
        <f>IF(AND($E6&gt;=Controls!$B$5,$E6&lt;=Controls!$B$6,OR(Controls!$E$9&lt;&gt;"Y",$BE6=1)),1,0)</f>
        <v/>
      </c>
      <c r="AL6" s="39">
        <f>1</f>
        <v/>
      </c>
      <c r="AM6" s="20">
        <f>S6-P6</f>
        <v/>
      </c>
      <c r="AN6" s="20">
        <f>IF(AH6=1,MAX(0,P6-S6),0)</f>
        <v/>
      </c>
      <c r="AO6" s="21">
        <f>IFERROR(S6/P6,"")</f>
        <v/>
      </c>
      <c r="AP6" s="22">
        <f>IF(Y6="","",P6/Y6)</f>
        <v/>
      </c>
      <c r="AQ6" s="39">
        <f>IF(Y6="",0,1)</f>
        <v/>
      </c>
      <c r="AR6" s="39">
        <f>IF(S6&lt;=0,1,0)</f>
        <v/>
      </c>
      <c r="AS6" s="17">
        <f>IF(AH6=1,AG6,"")</f>
        <v/>
      </c>
      <c r="AT6" s="17">
        <f>IF(AND(AH6=0,AJ6=1),AG6,"")</f>
        <v/>
      </c>
      <c r="AU6" s="5">
        <f>IF(P6&lt;10000,"Under $10K",IF(P6&lt;20000,"$10-20K",IF(P6&lt;30000,"$20-30K",IF(P6&lt;50000,"$30-50K",IF(P6&lt;100000,"$50-100K","$100K+")))))</f>
        <v/>
      </c>
      <c r="AV6" s="5">
        <f>IF(O6&lt;=1.35,"1.35 and under",IF(O6&lt;=1.42,"1.36-1.42",IF(O6&lt;=1.45,"1.43-1.45",IF(O6&lt;1.49,"1.46-1.48",IF(O6&lt;=1.49,"1.49","Above 1.49")))))</f>
        <v/>
      </c>
      <c r="AW6" s="5">
        <f>IF(AE6="","",IF(AE6&lt;60,"Under 60",IF(AE6&lt;90,"60-89",IF(AE6&lt;120,"90-119",IF(AE6&lt;150,"120-149","150+")))))</f>
        <v/>
      </c>
      <c r="AX6" s="5">
        <f>IF(AP6="","No revenue data",IF(AP6&lt;0.15,"Under 0.15x",IF(AP6&lt;0.3,"0.15-0.30x",IF(AP6&lt;0.5,"0.30-0.50x",IF(AP6&lt;1,"0.50-1.00x","1.00x+")))))</f>
        <v/>
      </c>
      <c r="AY6" s="5">
        <f>IF(J6="","No SIC",IFERROR(VLOOKUP(J6,Ref!$A$4:$C$67,2,FALSE()),"Unclassified"))</f>
        <v/>
      </c>
      <c r="AZ6" s="5">
        <f>IF(E6="","",TEXT(E6,"YYYY")&amp;"-Q"&amp;ROUNDUP(MONTH(E6)/3,0))</f>
        <v/>
      </c>
      <c r="BA6" s="5">
        <f>IF(E6="","",TEXT(E6,"YYYY-MM"))</f>
        <v/>
      </c>
      <c r="BB6" s="5">
        <f>IF(E6="","",TEXT(E6,"YYYY"))</f>
        <v/>
      </c>
      <c r="BC6" s="97">
        <f>IF($E6="","",NETWORKDAYS($E6,Controls!$B$9,Ref!$F$4:$F$47))</f>
        <v/>
      </c>
      <c r="BD6" s="92">
        <f>IF(OR($AH6=1,$AJ6=1),1,0)</f>
        <v/>
      </c>
      <c r="BE6" s="95">
        <f>IF(OR($BD6=1,AND($AE6&lt;&gt;"",$BC6&gt;=Controls!$B$10*$AE6)),1,0)</f>
        <v/>
      </c>
    </row>
    <row r="7" ht="15" customHeight="1" s="79">
      <c r="A7" s="5" t="inlineStr">
        <is>
          <t>5674145076</t>
        </is>
      </c>
      <c r="B7" s="5" t="inlineStr">
        <is>
          <t>GLOBAL RESEARCH CONSULTANTS, LLC</t>
        </is>
      </c>
      <c r="C7" s="5" t="inlineStr">
        <is>
          <t>GLOBAL RESEARCH CONSULTANTS, LLC</t>
        </is>
      </c>
      <c r="D7" s="5" t="inlineStr">
        <is>
          <t>Closed</t>
        </is>
      </c>
      <c r="E7" s="16" t="n">
        <v>45638</v>
      </c>
      <c r="F7" s="16" t="n">
        <v>45755</v>
      </c>
      <c r="G7" s="17" t="n">
        <v>2</v>
      </c>
      <c r="H7" s="5" t="inlineStr">
        <is>
          <t>8748</t>
        </is>
      </c>
      <c r="I7" s="5" t="inlineStr">
        <is>
          <t>Other Management Consulting Services</t>
        </is>
      </c>
      <c r="J7" s="5" t="inlineStr">
        <is>
          <t>87</t>
        </is>
      </c>
      <c r="K7" s="5" t="n">
        <v>7392</v>
      </c>
      <c r="L7" s="5" t="inlineStr">
        <is>
          <t>GA</t>
        </is>
      </c>
      <c r="M7" s="5" t="inlineStr">
        <is>
          <t>Secure Capital Solutions 7</t>
        </is>
      </c>
      <c r="N7" s="5" t="inlineStr">
        <is>
          <t>New Deal</t>
        </is>
      </c>
      <c r="O7" s="19" t="n">
        <v>1.49</v>
      </c>
      <c r="P7" s="20" t="n">
        <v>5000</v>
      </c>
      <c r="Q7" s="20" t="n">
        <v>700</v>
      </c>
      <c r="R7" s="20" t="n">
        <v>7450</v>
      </c>
      <c r="S7" s="20" t="n">
        <v>7450</v>
      </c>
      <c r="T7" s="20" t="n">
        <v>0</v>
      </c>
      <c r="U7" s="21" t="n">
        <v>1</v>
      </c>
      <c r="V7" s="22" t="n">
        <v>2.538</v>
      </c>
      <c r="W7" s="17" t="n">
        <v>498</v>
      </c>
      <c r="X7" s="17" t="n">
        <v>0</v>
      </c>
      <c r="Y7" s="5" t="n"/>
      <c r="Z7" s="21" t="n">
        <v>0.09</v>
      </c>
      <c r="AA7" s="5" t="n"/>
      <c r="AB7" s="5">
        <f>IF(V7="","",IF(V7&lt;12,"Months","Weeks"))</f>
        <v/>
      </c>
      <c r="AC7" s="5">
        <f>IF(AB7="","",IF(AB7="Months","Daily","Weekly"))</f>
        <v/>
      </c>
      <c r="AD7" s="17">
        <f>IF(V7="","",IF(AC7="Daily",V7*Controls!$B$13,V7))</f>
        <v/>
      </c>
      <c r="AE7" s="17">
        <f>IF(V7="","",IF(AC7="Daily",V7*Controls!$B$13,V7*Controls!$B$12))</f>
        <v/>
      </c>
      <c r="AF7" s="17">
        <f>IF(OR(E7="",F7=""),"",F7-E7)</f>
        <v/>
      </c>
      <c r="AG7" s="17">
        <f>IF(OR(E7="",F7=""),"",NETWORKDAYS(E7,F7,Ref!$F$4:$F$47))</f>
        <v/>
      </c>
      <c r="AH7" s="39">
        <f>IF(IFERROR(VLOOKUP(D7,Controls!$A$25:$D$35,2,FALSE()),"No")="Yes",1,0)</f>
        <v/>
      </c>
      <c r="AI7" s="39">
        <f>IF(IFERROR(VLOOKUP(D7,Controls!$A$25:$D$35,3,FALSE()),"No")="Yes",1,0)</f>
        <v/>
      </c>
      <c r="AJ7" s="39">
        <f>IF(IFERROR(VLOOKUP(D7,Controls!$A$25:$D$35,4,FALSE()),"No")="Yes",1,0)</f>
        <v/>
      </c>
      <c r="AK7" s="96">
        <f>IF(AND($E7&gt;=Controls!$B$5,$E7&lt;=Controls!$B$6,OR(Controls!$E$9&lt;&gt;"Y",$BE7=1)),1,0)</f>
        <v/>
      </c>
      <c r="AL7" s="39">
        <f>1</f>
        <v/>
      </c>
      <c r="AM7" s="20">
        <f>S7-P7</f>
        <v/>
      </c>
      <c r="AN7" s="20">
        <f>IF(AH7=1,MAX(0,P7-S7),0)</f>
        <v/>
      </c>
      <c r="AO7" s="21">
        <f>IFERROR(S7/P7,"")</f>
        <v/>
      </c>
      <c r="AP7" s="22">
        <f>IF(Y7="","",P7/Y7)</f>
        <v/>
      </c>
      <c r="AQ7" s="39">
        <f>IF(Y7="",0,1)</f>
        <v/>
      </c>
      <c r="AR7" s="39">
        <f>IF(S7&lt;=0,1,0)</f>
        <v/>
      </c>
      <c r="AS7" s="17">
        <f>IF(AH7=1,AG7,"")</f>
        <v/>
      </c>
      <c r="AT7" s="17">
        <f>IF(AND(AH7=0,AJ7=1),AG7,"")</f>
        <v/>
      </c>
      <c r="AU7" s="5">
        <f>IF(P7&lt;10000,"Under $10K",IF(P7&lt;20000,"$10-20K",IF(P7&lt;30000,"$20-30K",IF(P7&lt;50000,"$30-50K",IF(P7&lt;100000,"$50-100K","$100K+")))))</f>
        <v/>
      </c>
      <c r="AV7" s="5">
        <f>IF(O7&lt;=1.35,"1.35 and under",IF(O7&lt;=1.42,"1.36-1.42",IF(O7&lt;=1.45,"1.43-1.45",IF(O7&lt;1.49,"1.46-1.48",IF(O7&lt;=1.49,"1.49","Above 1.49")))))</f>
        <v/>
      </c>
      <c r="AW7" s="5">
        <f>IF(AE7="","",IF(AE7&lt;60,"Under 60",IF(AE7&lt;90,"60-89",IF(AE7&lt;120,"90-119",IF(AE7&lt;150,"120-149","150+")))))</f>
        <v/>
      </c>
      <c r="AX7" s="5">
        <f>IF(AP7="","No revenue data",IF(AP7&lt;0.15,"Under 0.15x",IF(AP7&lt;0.3,"0.15-0.30x",IF(AP7&lt;0.5,"0.30-0.50x",IF(AP7&lt;1,"0.50-1.00x","1.00x+")))))</f>
        <v/>
      </c>
      <c r="AY7" s="5">
        <f>IF(J7="","No SIC",IFERROR(VLOOKUP(J7,Ref!$A$4:$C$67,2,FALSE()),"Unclassified"))</f>
        <v/>
      </c>
      <c r="AZ7" s="5">
        <f>IF(E7="","",TEXT(E7,"YYYY")&amp;"-Q"&amp;ROUNDUP(MONTH(E7)/3,0))</f>
        <v/>
      </c>
      <c r="BA7" s="5">
        <f>IF(E7="","",TEXT(E7,"YYYY-MM"))</f>
        <v/>
      </c>
      <c r="BB7" s="5">
        <f>IF(E7="","",TEXT(E7,"YYYY"))</f>
        <v/>
      </c>
      <c r="BC7" s="98">
        <f>IF($E7="","",NETWORKDAYS($E7,Controls!$B$9,Ref!$F$4:$F$47))</f>
        <v/>
      </c>
      <c r="BD7" s="92">
        <f>IF(OR($AH7=1,$AJ7=1),1,0)</f>
        <v/>
      </c>
      <c r="BE7" s="95">
        <f>IF(OR($BD7=1,AND($AE7&lt;&gt;"",$BC7&gt;=Controls!$B$10*$AE7)),1,0)</f>
        <v/>
      </c>
    </row>
    <row r="8" ht="15" customHeight="1" s="79">
      <c r="A8" s="5" t="inlineStr">
        <is>
          <t>5674146645</t>
        </is>
      </c>
      <c r="B8" s="5" t="inlineStr">
        <is>
          <t>ELIZABETH CONVENIENT STORE &amp; HAIR BRAIDING</t>
        </is>
      </c>
      <c r="C8" s="5" t="inlineStr">
        <is>
          <t>ELIZABETH CONVENIENT STORE &amp; HAIR BRAIDING LLC</t>
        </is>
      </c>
      <c r="D8" s="5" t="inlineStr">
        <is>
          <t>Closed</t>
        </is>
      </c>
      <c r="E8" s="16" t="n">
        <v>45660</v>
      </c>
      <c r="F8" s="16" t="n">
        <v>45702</v>
      </c>
      <c r="G8" s="17" t="n">
        <v>5</v>
      </c>
      <c r="H8" s="5" t="inlineStr">
        <is>
          <t>5411</t>
        </is>
      </c>
      <c r="I8" s="5" t="inlineStr">
        <is>
          <t>Convenience Stores</t>
        </is>
      </c>
      <c r="J8" s="5" t="inlineStr">
        <is>
          <t>54</t>
        </is>
      </c>
      <c r="K8" s="5" t="n">
        <v>5411</v>
      </c>
      <c r="L8" s="5" t="inlineStr">
        <is>
          <t>AZ</t>
        </is>
      </c>
      <c r="M8" s="5" t="inlineStr">
        <is>
          <t>ELITE FUNDING PARTNERS LLC 6</t>
        </is>
      </c>
      <c r="N8" s="5" t="inlineStr">
        <is>
          <t>Renewal</t>
        </is>
      </c>
      <c r="O8" s="19" t="n">
        <v>1.4575</v>
      </c>
      <c r="P8" s="20" t="n">
        <v>4000</v>
      </c>
      <c r="Q8" s="20" t="n">
        <v>560</v>
      </c>
      <c r="R8" s="20" t="n">
        <v>5830</v>
      </c>
      <c r="S8" s="20" t="n">
        <v>5830</v>
      </c>
      <c r="T8" s="20" t="n">
        <v>0</v>
      </c>
      <c r="U8" s="21" t="n">
        <v>1</v>
      </c>
      <c r="V8" s="22" t="n">
        <v>1.967</v>
      </c>
      <c r="W8" s="17" t="n">
        <v>551</v>
      </c>
      <c r="X8" s="17" t="n">
        <v>2</v>
      </c>
      <c r="Y8" s="5" t="n"/>
      <c r="Z8" s="21" t="n">
        <v>0.04</v>
      </c>
      <c r="AA8" s="16" t="n">
        <v>41745</v>
      </c>
      <c r="AB8" s="5">
        <f>IF(V8="","",IF(V8&lt;12,"Months","Weeks"))</f>
        <v/>
      </c>
      <c r="AC8" s="5">
        <f>IF(AB8="","",IF(AB8="Months","Daily","Weekly"))</f>
        <v/>
      </c>
      <c r="AD8" s="17">
        <f>IF(V8="","",IF(AC8="Daily",V8*Controls!$B$13,V8))</f>
        <v/>
      </c>
      <c r="AE8" s="17">
        <f>IF(V8="","",IF(AC8="Daily",V8*Controls!$B$13,V8*Controls!$B$12))</f>
        <v/>
      </c>
      <c r="AF8" s="17">
        <f>IF(OR(E8="",F8=""),"",F8-E8)</f>
        <v/>
      </c>
      <c r="AG8" s="17">
        <f>IF(OR(E8="",F8=""),"",NETWORKDAYS(E8,F8,Ref!$F$4:$F$47))</f>
        <v/>
      </c>
      <c r="AH8" s="39">
        <f>IF(IFERROR(VLOOKUP(D8,Controls!$A$25:$D$35,2,FALSE()),"No")="Yes",1,0)</f>
        <v/>
      </c>
      <c r="AI8" s="39">
        <f>IF(IFERROR(VLOOKUP(D8,Controls!$A$25:$D$35,3,FALSE()),"No")="Yes",1,0)</f>
        <v/>
      </c>
      <c r="AJ8" s="39">
        <f>IF(IFERROR(VLOOKUP(D8,Controls!$A$25:$D$35,4,FALSE()),"No")="Yes",1,0)</f>
        <v/>
      </c>
      <c r="AK8" s="96">
        <f>IF(AND($E8&gt;=Controls!$B$5,$E8&lt;=Controls!$B$6,OR(Controls!$E$9&lt;&gt;"Y",$BE8=1)),1,0)</f>
        <v/>
      </c>
      <c r="AL8" s="39">
        <f>1</f>
        <v/>
      </c>
      <c r="AM8" s="20">
        <f>S8-P8</f>
        <v/>
      </c>
      <c r="AN8" s="20">
        <f>IF(AH8=1,MAX(0,P8-S8),0)</f>
        <v/>
      </c>
      <c r="AO8" s="21">
        <f>IFERROR(S8/P8,"")</f>
        <v/>
      </c>
      <c r="AP8" s="22">
        <f>IF(Y8="","",P8/Y8)</f>
        <v/>
      </c>
      <c r="AQ8" s="39">
        <f>IF(Y8="",0,1)</f>
        <v/>
      </c>
      <c r="AR8" s="39">
        <f>IF(S8&lt;=0,1,0)</f>
        <v/>
      </c>
      <c r="AS8" s="17">
        <f>IF(AH8=1,AG8,"")</f>
        <v/>
      </c>
      <c r="AT8" s="17">
        <f>IF(AND(AH8=0,AJ8=1),AG8,"")</f>
        <v/>
      </c>
      <c r="AU8" s="5">
        <f>IF(P8&lt;10000,"Under $10K",IF(P8&lt;20000,"$10-20K",IF(P8&lt;30000,"$20-30K",IF(P8&lt;50000,"$30-50K",IF(P8&lt;100000,"$50-100K","$100K+")))))</f>
        <v/>
      </c>
      <c r="AV8" s="5">
        <f>IF(O8&lt;=1.35,"1.35 and under",IF(O8&lt;=1.42,"1.36-1.42",IF(O8&lt;=1.45,"1.43-1.45",IF(O8&lt;1.49,"1.46-1.48",IF(O8&lt;=1.49,"1.49","Above 1.49")))))</f>
        <v/>
      </c>
      <c r="AW8" s="5">
        <f>IF(AE8="","",IF(AE8&lt;60,"Under 60",IF(AE8&lt;90,"60-89",IF(AE8&lt;120,"90-119",IF(AE8&lt;150,"120-149","150+")))))</f>
        <v/>
      </c>
      <c r="AX8" s="5">
        <f>IF(AP8="","No revenue data",IF(AP8&lt;0.15,"Under 0.15x",IF(AP8&lt;0.3,"0.15-0.30x",IF(AP8&lt;0.5,"0.30-0.50x",IF(AP8&lt;1,"0.50-1.00x","1.00x+")))))</f>
        <v/>
      </c>
      <c r="AY8" s="5">
        <f>IF(J8="","No SIC",IFERROR(VLOOKUP(J8,Ref!$A$4:$C$67,2,FALSE()),"Unclassified"))</f>
        <v/>
      </c>
      <c r="AZ8" s="5">
        <f>IF(E8="","",TEXT(E8,"YYYY")&amp;"-Q"&amp;ROUNDUP(MONTH(E8)/3,0))</f>
        <v/>
      </c>
      <c r="BA8" s="5">
        <f>IF(E8="","",TEXT(E8,"YYYY-MM"))</f>
        <v/>
      </c>
      <c r="BB8" s="5">
        <f>IF(E8="","",TEXT(E8,"YYYY"))</f>
        <v/>
      </c>
      <c r="BC8" s="97">
        <f>IF($E8="","",NETWORKDAYS($E8,Controls!$B$9,Ref!$F$4:$F$47))</f>
        <v/>
      </c>
      <c r="BD8" s="92">
        <f>IF(OR($AH8=1,$AJ8=1),1,0)</f>
        <v/>
      </c>
      <c r="BE8" s="95">
        <f>IF(OR($BD8=1,AND($AE8&lt;&gt;"",$BC8&gt;=Controls!$B$10*$AE8)),1,0)</f>
        <v/>
      </c>
    </row>
    <row r="9" ht="15" customHeight="1" s="79">
      <c r="A9" s="5" t="inlineStr">
        <is>
          <t>5674147185</t>
        </is>
      </c>
      <c r="B9" s="5" t="inlineStr">
        <is>
          <t>Arete Gallery Inc</t>
        </is>
      </c>
      <c r="C9" s="5" t="inlineStr">
        <is>
          <t>Arete Gallery Inc</t>
        </is>
      </c>
      <c r="D9" s="5" t="inlineStr">
        <is>
          <t>Closed</t>
        </is>
      </c>
      <c r="E9" s="16" t="n">
        <v>45665</v>
      </c>
      <c r="F9" s="16" t="n">
        <v>45772</v>
      </c>
      <c r="G9" s="17" t="n">
        <v>4</v>
      </c>
      <c r="H9" s="5" t="inlineStr">
        <is>
          <t>8412</t>
        </is>
      </c>
      <c r="I9" s="5" t="inlineStr">
        <is>
          <t>Museums</t>
        </is>
      </c>
      <c r="J9" s="5" t="inlineStr">
        <is>
          <t>84</t>
        </is>
      </c>
      <c r="K9" s="5" t="n">
        <v>5971</v>
      </c>
      <c r="L9" s="5" t="inlineStr">
        <is>
          <t>PA</t>
        </is>
      </c>
      <c r="M9" s="5" t="inlineStr">
        <is>
          <t>Pathway Catalyst</t>
        </is>
      </c>
      <c r="N9" s="5" t="inlineStr">
        <is>
          <t>New Deal</t>
        </is>
      </c>
      <c r="O9" s="19" t="n">
        <v>1.49</v>
      </c>
      <c r="P9" s="20" t="n">
        <v>3500</v>
      </c>
      <c r="Q9" s="20" t="n">
        <v>490</v>
      </c>
      <c r="R9" s="20" t="n">
        <v>5215</v>
      </c>
      <c r="S9" s="20" t="n">
        <v>5215</v>
      </c>
      <c r="T9" s="20" t="n">
        <v>0</v>
      </c>
      <c r="U9" s="21" t="n">
        <v>1</v>
      </c>
      <c r="V9" s="22" t="n">
        <v>1.937</v>
      </c>
      <c r="W9" s="17" t="n">
        <v>481</v>
      </c>
      <c r="X9" s="17" t="n">
        <v>0</v>
      </c>
      <c r="Y9" s="5" t="n"/>
      <c r="Z9" s="21" t="n">
        <v>0.15</v>
      </c>
      <c r="AA9" s="16" t="n">
        <v>44105</v>
      </c>
      <c r="AB9" s="5">
        <f>IF(V9="","",IF(V9&lt;12,"Months","Weeks"))</f>
        <v/>
      </c>
      <c r="AC9" s="5">
        <f>IF(AB9="","",IF(AB9="Months","Daily","Weekly"))</f>
        <v/>
      </c>
      <c r="AD9" s="17">
        <f>IF(V9="","",IF(AC9="Daily",V9*Controls!$B$13,V9))</f>
        <v/>
      </c>
      <c r="AE9" s="17">
        <f>IF(V9="","",IF(AC9="Daily",V9*Controls!$B$13,V9*Controls!$B$12))</f>
        <v/>
      </c>
      <c r="AF9" s="17">
        <f>IF(OR(E9="",F9=""),"",F9-E9)</f>
        <v/>
      </c>
      <c r="AG9" s="17">
        <f>IF(OR(E9="",F9=""),"",NETWORKDAYS(E9,F9,Ref!$F$4:$F$47))</f>
        <v/>
      </c>
      <c r="AH9" s="39">
        <f>IF(IFERROR(VLOOKUP(D9,Controls!$A$25:$D$35,2,FALSE()),"No")="Yes",1,0)</f>
        <v/>
      </c>
      <c r="AI9" s="39">
        <f>IF(IFERROR(VLOOKUP(D9,Controls!$A$25:$D$35,3,FALSE()),"No")="Yes",1,0)</f>
        <v/>
      </c>
      <c r="AJ9" s="39">
        <f>IF(IFERROR(VLOOKUP(D9,Controls!$A$25:$D$35,4,FALSE()),"No")="Yes",1,0)</f>
        <v/>
      </c>
      <c r="AK9" s="96">
        <f>IF(AND($E9&gt;=Controls!$B$5,$E9&lt;=Controls!$B$6,OR(Controls!$E$9&lt;&gt;"Y",$BE9=1)),1,0)</f>
        <v/>
      </c>
      <c r="AL9" s="39">
        <f>1</f>
        <v/>
      </c>
      <c r="AM9" s="20">
        <f>S9-P9</f>
        <v/>
      </c>
      <c r="AN9" s="20">
        <f>IF(AH9=1,MAX(0,P9-S9),0)</f>
        <v/>
      </c>
      <c r="AO9" s="21">
        <f>IFERROR(S9/P9,"")</f>
        <v/>
      </c>
      <c r="AP9" s="22">
        <f>IF(Y9="","",P9/Y9)</f>
        <v/>
      </c>
      <c r="AQ9" s="39">
        <f>IF(Y9="",0,1)</f>
        <v/>
      </c>
      <c r="AR9" s="39">
        <f>IF(S9&lt;=0,1,0)</f>
        <v/>
      </c>
      <c r="AS9" s="17">
        <f>IF(AH9=1,AG9,"")</f>
        <v/>
      </c>
      <c r="AT9" s="17">
        <f>IF(AND(AH9=0,AJ9=1),AG9,"")</f>
        <v/>
      </c>
      <c r="AU9" s="5">
        <f>IF(P9&lt;10000,"Under $10K",IF(P9&lt;20000,"$10-20K",IF(P9&lt;30000,"$20-30K",IF(P9&lt;50000,"$30-50K",IF(P9&lt;100000,"$50-100K","$100K+")))))</f>
        <v/>
      </c>
      <c r="AV9" s="5">
        <f>IF(O9&lt;=1.35,"1.35 and under",IF(O9&lt;=1.42,"1.36-1.42",IF(O9&lt;=1.45,"1.43-1.45",IF(O9&lt;1.49,"1.46-1.48",IF(O9&lt;=1.49,"1.49","Above 1.49")))))</f>
        <v/>
      </c>
      <c r="AW9" s="5">
        <f>IF(AE9="","",IF(AE9&lt;60,"Under 60",IF(AE9&lt;90,"60-89",IF(AE9&lt;120,"90-119",IF(AE9&lt;150,"120-149","150+")))))</f>
        <v/>
      </c>
      <c r="AX9" s="5">
        <f>IF(AP9="","No revenue data",IF(AP9&lt;0.15,"Under 0.15x",IF(AP9&lt;0.3,"0.15-0.30x",IF(AP9&lt;0.5,"0.30-0.50x",IF(AP9&lt;1,"0.50-1.00x","1.00x+")))))</f>
        <v/>
      </c>
      <c r="AY9" s="5">
        <f>IF(J9="","No SIC",IFERROR(VLOOKUP(J9,Ref!$A$4:$C$67,2,FALSE()),"Unclassified"))</f>
        <v/>
      </c>
      <c r="AZ9" s="5">
        <f>IF(E9="","",TEXT(E9,"YYYY")&amp;"-Q"&amp;ROUNDUP(MONTH(E9)/3,0))</f>
        <v/>
      </c>
      <c r="BA9" s="5">
        <f>IF(E9="","",TEXT(E9,"YYYY-MM"))</f>
        <v/>
      </c>
      <c r="BB9" s="5">
        <f>IF(E9="","",TEXT(E9,"YYYY"))</f>
        <v/>
      </c>
      <c r="BC9" s="98">
        <f>IF($E9="","",NETWORKDAYS($E9,Controls!$B$9,Ref!$F$4:$F$47))</f>
        <v/>
      </c>
      <c r="BD9" s="92">
        <f>IF(OR($AH9=1,$AJ9=1),1,0)</f>
        <v/>
      </c>
      <c r="BE9" s="95">
        <f>IF(OR($BD9=1,AND($AE9&lt;&gt;"",$BC9&gt;=Controls!$B$10*$AE9)),1,0)</f>
        <v/>
      </c>
    </row>
    <row r="10" ht="15" customHeight="1" s="79">
      <c r="A10" s="5" t="inlineStr">
        <is>
          <t>5674147188</t>
        </is>
      </c>
      <c r="B10" s="5" t="inlineStr">
        <is>
          <t>S&amp;E ENTERPRISE</t>
        </is>
      </c>
      <c r="C10" s="5" t="inlineStr">
        <is>
          <t>S&amp;E ENTERPRISE LLC</t>
        </is>
      </c>
      <c r="D10" s="5" t="inlineStr">
        <is>
          <t>Closed</t>
        </is>
      </c>
      <c r="E10" s="16" t="n">
        <v>45666</v>
      </c>
      <c r="F10" s="16" t="n">
        <v>45722</v>
      </c>
      <c r="G10" s="17" t="n">
        <v>2</v>
      </c>
      <c r="H10" s="5" t="inlineStr">
        <is>
          <t>6531</t>
        </is>
      </c>
      <c r="I10" s="5" t="inlineStr">
        <is>
          <t>Other Activities Related to Real Estate</t>
        </is>
      </c>
      <c r="J10" s="5" t="inlineStr">
        <is>
          <t>65</t>
        </is>
      </c>
      <c r="K10" s="5" t="n">
        <v>6513</v>
      </c>
      <c r="L10" s="5" t="inlineStr">
        <is>
          <t>RI</t>
        </is>
      </c>
      <c r="M10" s="5" t="inlineStr">
        <is>
          <t>Triumph Cap Fund</t>
        </is>
      </c>
      <c r="N10" s="5" t="inlineStr">
        <is>
          <t>New Deal</t>
        </is>
      </c>
      <c r="O10" s="19" t="n">
        <v>1.49</v>
      </c>
      <c r="P10" s="20" t="n">
        <v>5000</v>
      </c>
      <c r="Q10" s="20" t="n">
        <v>700</v>
      </c>
      <c r="R10" s="20" t="n">
        <v>7450</v>
      </c>
      <c r="S10" s="20" t="n">
        <v>7450</v>
      </c>
      <c r="T10" s="20" t="n">
        <v>0</v>
      </c>
      <c r="U10" s="21" t="n">
        <v>1</v>
      </c>
      <c r="V10" s="22" t="n">
        <v>2.443</v>
      </c>
      <c r="W10" s="17" t="n">
        <v>531</v>
      </c>
      <c r="X10" s="17" t="n">
        <v>0</v>
      </c>
      <c r="Y10" s="5" t="n"/>
      <c r="Z10" s="21" t="n">
        <v>0.06</v>
      </c>
      <c r="AA10" s="16" t="n">
        <v>45005</v>
      </c>
      <c r="AB10" s="5">
        <f>IF(V10="","",IF(V10&lt;12,"Months","Weeks"))</f>
        <v/>
      </c>
      <c r="AC10" s="5">
        <f>IF(AB10="","",IF(AB10="Months","Daily","Weekly"))</f>
        <v/>
      </c>
      <c r="AD10" s="17">
        <f>IF(V10="","",IF(AC10="Daily",V10*Controls!$B$13,V10))</f>
        <v/>
      </c>
      <c r="AE10" s="17">
        <f>IF(V10="","",IF(AC10="Daily",V10*Controls!$B$13,V10*Controls!$B$12))</f>
        <v/>
      </c>
      <c r="AF10" s="17">
        <f>IF(OR(E10="",F10=""),"",F10-E10)</f>
        <v/>
      </c>
      <c r="AG10" s="17">
        <f>IF(OR(E10="",F10=""),"",NETWORKDAYS(E10,F10,Ref!$F$4:$F$47))</f>
        <v/>
      </c>
      <c r="AH10" s="39">
        <f>IF(IFERROR(VLOOKUP(D10,Controls!$A$25:$D$35,2,FALSE()),"No")="Yes",1,0)</f>
        <v/>
      </c>
      <c r="AI10" s="39">
        <f>IF(IFERROR(VLOOKUP(D10,Controls!$A$25:$D$35,3,FALSE()),"No")="Yes",1,0)</f>
        <v/>
      </c>
      <c r="AJ10" s="39">
        <f>IF(IFERROR(VLOOKUP(D10,Controls!$A$25:$D$35,4,FALSE()),"No")="Yes",1,0)</f>
        <v/>
      </c>
      <c r="AK10" s="96">
        <f>IF(AND($E10&gt;=Controls!$B$5,$E10&lt;=Controls!$B$6,OR(Controls!$E$9&lt;&gt;"Y",$BE10=1)),1,0)</f>
        <v/>
      </c>
      <c r="AL10" s="39">
        <f>1</f>
        <v/>
      </c>
      <c r="AM10" s="20">
        <f>S10-P10</f>
        <v/>
      </c>
      <c r="AN10" s="20">
        <f>IF(AH10=1,MAX(0,P10-S10),0)</f>
        <v/>
      </c>
      <c r="AO10" s="21">
        <f>IFERROR(S10/P10,"")</f>
        <v/>
      </c>
      <c r="AP10" s="22">
        <f>IF(Y10="","",P10/Y10)</f>
        <v/>
      </c>
      <c r="AQ10" s="39">
        <f>IF(Y10="",0,1)</f>
        <v/>
      </c>
      <c r="AR10" s="39">
        <f>IF(S10&lt;=0,1,0)</f>
        <v/>
      </c>
      <c r="AS10" s="17">
        <f>IF(AH10=1,AG10,"")</f>
        <v/>
      </c>
      <c r="AT10" s="17">
        <f>IF(AND(AH10=0,AJ10=1),AG10,"")</f>
        <v/>
      </c>
      <c r="AU10" s="5">
        <f>IF(P10&lt;10000,"Under $10K",IF(P10&lt;20000,"$10-20K",IF(P10&lt;30000,"$20-30K",IF(P10&lt;50000,"$30-50K",IF(P10&lt;100000,"$50-100K","$100K+")))))</f>
        <v/>
      </c>
      <c r="AV10" s="5">
        <f>IF(O10&lt;=1.35,"1.35 and under",IF(O10&lt;=1.42,"1.36-1.42",IF(O10&lt;=1.45,"1.43-1.45",IF(O10&lt;1.49,"1.46-1.48",IF(O10&lt;=1.49,"1.49","Above 1.49")))))</f>
        <v/>
      </c>
      <c r="AW10" s="5">
        <f>IF(AE10="","",IF(AE10&lt;60,"Under 60",IF(AE10&lt;90,"60-89",IF(AE10&lt;120,"90-119",IF(AE10&lt;150,"120-149","150+")))))</f>
        <v/>
      </c>
      <c r="AX10" s="5">
        <f>IF(AP10="","No revenue data",IF(AP10&lt;0.15,"Under 0.15x",IF(AP10&lt;0.3,"0.15-0.30x",IF(AP10&lt;0.5,"0.30-0.50x",IF(AP10&lt;1,"0.50-1.00x","1.00x+")))))</f>
        <v/>
      </c>
      <c r="AY10" s="5">
        <f>IF(J10="","No SIC",IFERROR(VLOOKUP(J10,Ref!$A$4:$C$67,2,FALSE()),"Unclassified"))</f>
        <v/>
      </c>
      <c r="AZ10" s="5">
        <f>IF(E10="","",TEXT(E10,"YYYY")&amp;"-Q"&amp;ROUNDUP(MONTH(E10)/3,0))</f>
        <v/>
      </c>
      <c r="BA10" s="5">
        <f>IF(E10="","",TEXT(E10,"YYYY-MM"))</f>
        <v/>
      </c>
      <c r="BB10" s="5">
        <f>IF(E10="","",TEXT(E10,"YYYY"))</f>
        <v/>
      </c>
      <c r="BC10" s="97">
        <f>IF($E10="","",NETWORKDAYS($E10,Controls!$B$9,Ref!$F$4:$F$47))</f>
        <v/>
      </c>
      <c r="BD10" s="92">
        <f>IF(OR($AH10=1,$AJ10=1),1,0)</f>
        <v/>
      </c>
      <c r="BE10" s="95">
        <f>IF(OR($BD10=1,AND($AE10&lt;&gt;"",$BC10&gt;=Controls!$B$10*$AE10)),1,0)</f>
        <v/>
      </c>
    </row>
    <row r="11" ht="15" customHeight="1" s="79">
      <c r="A11" s="5" t="inlineStr">
        <is>
          <t>5674147393</t>
        </is>
      </c>
      <c r="B11" s="5" t="inlineStr">
        <is>
          <t>Beeson Farms &amp; Hauling LLC</t>
        </is>
      </c>
      <c r="C11" s="5" t="inlineStr">
        <is>
          <t>Beeson Farms &amp; Hauling LLC</t>
        </is>
      </c>
      <c r="D11" s="5" t="inlineStr">
        <is>
          <t>Closed</t>
        </is>
      </c>
      <c r="E11" s="16" t="n">
        <v>45667</v>
      </c>
      <c r="F11" s="16" t="n">
        <v>45756</v>
      </c>
      <c r="G11" s="17" t="n">
        <v>5</v>
      </c>
      <c r="H11" s="5" t="inlineStr">
        <is>
          <t>0191</t>
        </is>
      </c>
      <c r="I11" s="5" t="inlineStr">
        <is>
          <t>All Other Misc. Crop Farming</t>
        </is>
      </c>
      <c r="J11" s="5" t="inlineStr">
        <is>
          <t>01</t>
        </is>
      </c>
      <c r="K11" s="5" t="n">
        <v>763</v>
      </c>
      <c r="L11" s="5" t="inlineStr">
        <is>
          <t>NC</t>
        </is>
      </c>
      <c r="M11" s="5" t="inlineStr">
        <is>
          <t>Key Capital Funding</t>
        </is>
      </c>
      <c r="N11" s="5" t="inlineStr">
        <is>
          <t>New Deal</t>
        </is>
      </c>
      <c r="O11" s="19" t="n">
        <v>1.49</v>
      </c>
      <c r="P11" s="20" t="n">
        <v>30000</v>
      </c>
      <c r="Q11" s="20" t="n">
        <v>4200</v>
      </c>
      <c r="R11" s="20" t="n">
        <v>44700</v>
      </c>
      <c r="S11" s="20" t="n">
        <v>44700</v>
      </c>
      <c r="T11" s="20" t="n">
        <v>0</v>
      </c>
      <c r="U11" s="21" t="n">
        <v>1</v>
      </c>
      <c r="V11" s="22" t="n">
        <v>20.19</v>
      </c>
      <c r="W11" s="17" t="n">
        <v>497</v>
      </c>
      <c r="X11" s="17" t="n">
        <v>0</v>
      </c>
      <c r="Y11" s="5" t="n"/>
      <c r="Z11" s="21" t="n">
        <v>0.05</v>
      </c>
      <c r="AA11" s="16" t="n">
        <v>43579</v>
      </c>
      <c r="AB11" s="5">
        <f>IF(V11="","",IF(V11&lt;12,"Months","Weeks"))</f>
        <v/>
      </c>
      <c r="AC11" s="5">
        <f>IF(AB11="","",IF(AB11="Months","Daily","Weekly"))</f>
        <v/>
      </c>
      <c r="AD11" s="17">
        <f>IF(V11="","",IF(AC11="Daily",V11*Controls!$B$13,V11))</f>
        <v/>
      </c>
      <c r="AE11" s="17">
        <f>IF(V11="","",IF(AC11="Daily",V11*Controls!$B$13,V11*Controls!$B$12))</f>
        <v/>
      </c>
      <c r="AF11" s="17">
        <f>IF(OR(E11="",F11=""),"",F11-E11)</f>
        <v/>
      </c>
      <c r="AG11" s="17">
        <f>IF(OR(E11="",F11=""),"",NETWORKDAYS(E11,F11,Ref!$F$4:$F$47))</f>
        <v/>
      </c>
      <c r="AH11" s="39">
        <f>IF(IFERROR(VLOOKUP(D11,Controls!$A$25:$D$35,2,FALSE()),"No")="Yes",1,0)</f>
        <v/>
      </c>
      <c r="AI11" s="39">
        <f>IF(IFERROR(VLOOKUP(D11,Controls!$A$25:$D$35,3,FALSE()),"No")="Yes",1,0)</f>
        <v/>
      </c>
      <c r="AJ11" s="39">
        <f>IF(IFERROR(VLOOKUP(D11,Controls!$A$25:$D$35,4,FALSE()),"No")="Yes",1,0)</f>
        <v/>
      </c>
      <c r="AK11" s="96">
        <f>IF(AND($E11&gt;=Controls!$B$5,$E11&lt;=Controls!$B$6,OR(Controls!$E$9&lt;&gt;"Y",$BE11=1)),1,0)</f>
        <v/>
      </c>
      <c r="AL11" s="39">
        <f>1</f>
        <v/>
      </c>
      <c r="AM11" s="20">
        <f>S11-P11</f>
        <v/>
      </c>
      <c r="AN11" s="20">
        <f>IF(AH11=1,MAX(0,P11-S11),0)</f>
        <v/>
      </c>
      <c r="AO11" s="21">
        <f>IFERROR(S11/P11,"")</f>
        <v/>
      </c>
      <c r="AP11" s="22">
        <f>IF(Y11="","",P11/Y11)</f>
        <v/>
      </c>
      <c r="AQ11" s="39">
        <f>IF(Y11="",0,1)</f>
        <v/>
      </c>
      <c r="AR11" s="39">
        <f>IF(S11&lt;=0,1,0)</f>
        <v/>
      </c>
      <c r="AS11" s="17">
        <f>IF(AH11=1,AG11,"")</f>
        <v/>
      </c>
      <c r="AT11" s="17">
        <f>IF(AND(AH11=0,AJ11=1),AG11,"")</f>
        <v/>
      </c>
      <c r="AU11" s="5">
        <f>IF(P11&lt;10000,"Under $10K",IF(P11&lt;20000,"$10-20K",IF(P11&lt;30000,"$20-30K",IF(P11&lt;50000,"$30-50K",IF(P11&lt;100000,"$50-100K","$100K+")))))</f>
        <v/>
      </c>
      <c r="AV11" s="5">
        <f>IF(O11&lt;=1.35,"1.35 and under",IF(O11&lt;=1.42,"1.36-1.42",IF(O11&lt;=1.45,"1.43-1.45",IF(O11&lt;1.49,"1.46-1.48",IF(O11&lt;=1.49,"1.49","Above 1.49")))))</f>
        <v/>
      </c>
      <c r="AW11" s="5">
        <f>IF(AE11="","",IF(AE11&lt;60,"Under 60",IF(AE11&lt;90,"60-89",IF(AE11&lt;120,"90-119",IF(AE11&lt;150,"120-149","150+")))))</f>
        <v/>
      </c>
      <c r="AX11" s="5">
        <f>IF(AP11="","No revenue data",IF(AP11&lt;0.15,"Under 0.15x",IF(AP11&lt;0.3,"0.15-0.30x",IF(AP11&lt;0.5,"0.30-0.50x",IF(AP11&lt;1,"0.50-1.00x","1.00x+")))))</f>
        <v/>
      </c>
      <c r="AY11" s="5">
        <f>IF(J11="","No SIC",IFERROR(VLOOKUP(J11,Ref!$A$4:$C$67,2,FALSE()),"Unclassified"))</f>
        <v/>
      </c>
      <c r="AZ11" s="5">
        <f>IF(E11="","",TEXT(E11,"YYYY")&amp;"-Q"&amp;ROUNDUP(MONTH(E11)/3,0))</f>
        <v/>
      </c>
      <c r="BA11" s="5">
        <f>IF(E11="","",TEXT(E11,"YYYY-MM"))</f>
        <v/>
      </c>
      <c r="BB11" s="5">
        <f>IF(E11="","",TEXT(E11,"YYYY"))</f>
        <v/>
      </c>
      <c r="BC11" s="98">
        <f>IF($E11="","",NETWORKDAYS($E11,Controls!$B$9,Ref!$F$4:$F$47))</f>
        <v/>
      </c>
      <c r="BD11" s="92">
        <f>IF(OR($AH11=1,$AJ11=1),1,0)</f>
        <v/>
      </c>
      <c r="BE11" s="95">
        <f>IF(OR($BD11=1,AND($AE11&lt;&gt;"",$BC11&gt;=Controls!$B$10*$AE11)),1,0)</f>
        <v/>
      </c>
    </row>
    <row r="12" ht="15" customHeight="1" s="79">
      <c r="A12" s="5" t="inlineStr">
        <is>
          <t>5674147441</t>
        </is>
      </c>
      <c r="B12" s="5" t="inlineStr">
        <is>
          <t>SJ HOSPICE SERVICES</t>
        </is>
      </c>
      <c r="C12" s="5" t="inlineStr">
        <is>
          <t>SJ HOSPICE SERVICES LLC</t>
        </is>
      </c>
      <c r="D12" s="5" t="inlineStr">
        <is>
          <t>Closed</t>
        </is>
      </c>
      <c r="E12" s="16" t="n">
        <v>45670</v>
      </c>
      <c r="F12" s="16" t="n">
        <v>45783</v>
      </c>
      <c r="G12" s="17" t="n">
        <v>2</v>
      </c>
      <c r="H12" s="5" t="inlineStr">
        <is>
          <t>8082</t>
        </is>
      </c>
      <c r="I12" s="5" t="inlineStr">
        <is>
          <t>Home Health Care Services</t>
        </is>
      </c>
      <c r="J12" s="5" t="inlineStr">
        <is>
          <t>80</t>
        </is>
      </c>
      <c r="K12" s="5" t="n">
        <v>8099</v>
      </c>
      <c r="L12" s="5" t="inlineStr">
        <is>
          <t>TX</t>
        </is>
      </c>
      <c r="M12" s="5" t="inlineStr">
        <is>
          <t>ICB FUNDING</t>
        </is>
      </c>
      <c r="N12" s="5" t="inlineStr">
        <is>
          <t>New Deal</t>
        </is>
      </c>
      <c r="O12" s="19" t="n">
        <v>1.39</v>
      </c>
      <c r="P12" s="20" t="n">
        <v>8500</v>
      </c>
      <c r="Q12" s="20" t="n">
        <v>765</v>
      </c>
      <c r="R12" s="20" t="n">
        <v>11815</v>
      </c>
      <c r="S12" s="20" t="n">
        <v>11815</v>
      </c>
      <c r="T12" s="20" t="n">
        <v>0</v>
      </c>
      <c r="U12" s="21" t="n">
        <v>1</v>
      </c>
      <c r="V12" s="22" t="n">
        <v>2.539</v>
      </c>
      <c r="W12" s="17" t="n">
        <v>470</v>
      </c>
      <c r="X12" s="17" t="n">
        <v>0</v>
      </c>
      <c r="Y12" s="5" t="n"/>
      <c r="Z12" s="21" t="n">
        <v>0.04</v>
      </c>
      <c r="AA12" s="16" t="n">
        <v>42892</v>
      </c>
      <c r="AB12" s="5">
        <f>IF(V12="","",IF(V12&lt;12,"Months","Weeks"))</f>
        <v/>
      </c>
      <c r="AC12" s="5">
        <f>IF(AB12="","",IF(AB12="Months","Daily","Weekly"))</f>
        <v/>
      </c>
      <c r="AD12" s="17">
        <f>IF(V12="","",IF(AC12="Daily",V12*Controls!$B$13,V12))</f>
        <v/>
      </c>
      <c r="AE12" s="17">
        <f>IF(V12="","",IF(AC12="Daily",V12*Controls!$B$13,V12*Controls!$B$12))</f>
        <v/>
      </c>
      <c r="AF12" s="17">
        <f>IF(OR(E12="",F12=""),"",F12-E12)</f>
        <v/>
      </c>
      <c r="AG12" s="17">
        <f>IF(OR(E12="",F12=""),"",NETWORKDAYS(E12,F12,Ref!$F$4:$F$47))</f>
        <v/>
      </c>
      <c r="AH12" s="39">
        <f>IF(IFERROR(VLOOKUP(D12,Controls!$A$25:$D$35,2,FALSE()),"No")="Yes",1,0)</f>
        <v/>
      </c>
      <c r="AI12" s="39">
        <f>IF(IFERROR(VLOOKUP(D12,Controls!$A$25:$D$35,3,FALSE()),"No")="Yes",1,0)</f>
        <v/>
      </c>
      <c r="AJ12" s="39">
        <f>IF(IFERROR(VLOOKUP(D12,Controls!$A$25:$D$35,4,FALSE()),"No")="Yes",1,0)</f>
        <v/>
      </c>
      <c r="AK12" s="96">
        <f>IF(AND($E12&gt;=Controls!$B$5,$E12&lt;=Controls!$B$6,OR(Controls!$E$9&lt;&gt;"Y",$BE12=1)),1,0)</f>
        <v/>
      </c>
      <c r="AL12" s="39">
        <f>1</f>
        <v/>
      </c>
      <c r="AM12" s="20">
        <f>S12-P12</f>
        <v/>
      </c>
      <c r="AN12" s="20">
        <f>IF(AH12=1,MAX(0,P12-S12),0)</f>
        <v/>
      </c>
      <c r="AO12" s="21">
        <f>IFERROR(S12/P12,"")</f>
        <v/>
      </c>
      <c r="AP12" s="22">
        <f>IF(Y12="","",P12/Y12)</f>
        <v/>
      </c>
      <c r="AQ12" s="39">
        <f>IF(Y12="",0,1)</f>
        <v/>
      </c>
      <c r="AR12" s="39">
        <f>IF(S12&lt;=0,1,0)</f>
        <v/>
      </c>
      <c r="AS12" s="17">
        <f>IF(AH12=1,AG12,"")</f>
        <v/>
      </c>
      <c r="AT12" s="17">
        <f>IF(AND(AH12=0,AJ12=1),AG12,"")</f>
        <v/>
      </c>
      <c r="AU12" s="5">
        <f>IF(P12&lt;10000,"Under $10K",IF(P12&lt;20000,"$10-20K",IF(P12&lt;30000,"$20-30K",IF(P12&lt;50000,"$30-50K",IF(P12&lt;100000,"$50-100K","$100K+")))))</f>
        <v/>
      </c>
      <c r="AV12" s="5">
        <f>IF(O12&lt;=1.35,"1.35 and under",IF(O12&lt;=1.42,"1.36-1.42",IF(O12&lt;=1.45,"1.43-1.45",IF(O12&lt;1.49,"1.46-1.48",IF(O12&lt;=1.49,"1.49","Above 1.49")))))</f>
        <v/>
      </c>
      <c r="AW12" s="5">
        <f>IF(AE12="","",IF(AE12&lt;60,"Under 60",IF(AE12&lt;90,"60-89",IF(AE12&lt;120,"90-119",IF(AE12&lt;150,"120-149","150+")))))</f>
        <v/>
      </c>
      <c r="AX12" s="5">
        <f>IF(AP12="","No revenue data",IF(AP12&lt;0.15,"Under 0.15x",IF(AP12&lt;0.3,"0.15-0.30x",IF(AP12&lt;0.5,"0.30-0.50x",IF(AP12&lt;1,"0.50-1.00x","1.00x+")))))</f>
        <v/>
      </c>
      <c r="AY12" s="5">
        <f>IF(J12="","No SIC",IFERROR(VLOOKUP(J12,Ref!$A$4:$C$67,2,FALSE()),"Unclassified"))</f>
        <v/>
      </c>
      <c r="AZ12" s="5">
        <f>IF(E12="","",TEXT(E12,"YYYY")&amp;"-Q"&amp;ROUNDUP(MONTH(E12)/3,0))</f>
        <v/>
      </c>
      <c r="BA12" s="5">
        <f>IF(E12="","",TEXT(E12,"YYYY-MM"))</f>
        <v/>
      </c>
      <c r="BB12" s="5">
        <f>IF(E12="","",TEXT(E12,"YYYY"))</f>
        <v/>
      </c>
      <c r="BC12" s="97">
        <f>IF($E12="","",NETWORKDAYS($E12,Controls!$B$9,Ref!$F$4:$F$47))</f>
        <v/>
      </c>
      <c r="BD12" s="92">
        <f>IF(OR($AH12=1,$AJ12=1),1,0)</f>
        <v/>
      </c>
      <c r="BE12" s="95">
        <f>IF(OR($BD12=1,AND($AE12&lt;&gt;"",$BC12&gt;=Controls!$B$10*$AE12)),1,0)</f>
        <v/>
      </c>
    </row>
    <row r="13" ht="15" customHeight="1" s="79">
      <c r="A13" s="5" t="inlineStr">
        <is>
          <t>5674147491</t>
        </is>
      </c>
      <c r="B13" s="5" t="inlineStr">
        <is>
          <t>ROPP JERSEY CHEESE LLC</t>
        </is>
      </c>
      <c r="C13" s="5" t="inlineStr">
        <is>
          <t>ROPP JERSEY CHEESE LLC</t>
        </is>
      </c>
      <c r="D13" s="5" t="inlineStr">
        <is>
          <t>Legal</t>
        </is>
      </c>
      <c r="E13" s="16" t="n">
        <v>45670</v>
      </c>
      <c r="F13" s="16" t="n">
        <v>46234</v>
      </c>
      <c r="G13" s="17" t="n">
        <v>1</v>
      </c>
      <c r="H13" s="5" t="inlineStr">
        <is>
          <t>5812</t>
        </is>
      </c>
      <c r="I13" s="5" t="inlineStr">
        <is>
          <t>Snack and Nonalcoholic Beverage Bars</t>
        </is>
      </c>
      <c r="J13" s="5" t="inlineStr">
        <is>
          <t>58</t>
        </is>
      </c>
      <c r="K13" s="5" t="n">
        <v>5812</v>
      </c>
      <c r="L13" s="5" t="inlineStr">
        <is>
          <t>IL</t>
        </is>
      </c>
      <c r="M13" s="5" t="inlineStr">
        <is>
          <t>ROYAL FUNDING GROUP</t>
        </is>
      </c>
      <c r="N13" s="5" t="inlineStr">
        <is>
          <t>New Deal</t>
        </is>
      </c>
      <c r="O13" s="19" t="n">
        <v>1.49</v>
      </c>
      <c r="P13" s="20" t="n">
        <v>12000</v>
      </c>
      <c r="Q13" s="20" t="n">
        <v>1680</v>
      </c>
      <c r="R13" s="20" t="n">
        <v>17880</v>
      </c>
      <c r="S13" s="20" t="n">
        <v>9022</v>
      </c>
      <c r="T13" s="20" t="n">
        <v>8858</v>
      </c>
      <c r="U13" s="21" t="n">
        <v>0.504586129753915</v>
      </c>
      <c r="V13" s="22" t="n">
        <v>2.706</v>
      </c>
      <c r="W13" s="17" t="n">
        <v>19</v>
      </c>
      <c r="X13" s="17" t="n">
        <v>12</v>
      </c>
      <c r="Y13" s="5" t="n"/>
      <c r="Z13" s="21" t="n">
        <v>0.13</v>
      </c>
      <c r="AA13" s="16" t="n">
        <v>38507</v>
      </c>
      <c r="AB13" s="5">
        <f>IF(V13="","",IF(V13&lt;12,"Months","Weeks"))</f>
        <v/>
      </c>
      <c r="AC13" s="5">
        <f>IF(AB13="","",IF(AB13="Months","Daily","Weekly"))</f>
        <v/>
      </c>
      <c r="AD13" s="17">
        <f>IF(V13="","",IF(AC13="Daily",V13*Controls!$B$13,V13))</f>
        <v/>
      </c>
      <c r="AE13" s="17">
        <f>IF(V13="","",IF(AC13="Daily",V13*Controls!$B$13,V13*Controls!$B$12))</f>
        <v/>
      </c>
      <c r="AF13" s="17">
        <f>IF(OR(E13="",F13=""),"",F13-E13)</f>
        <v/>
      </c>
      <c r="AG13" s="17">
        <f>IF(OR(E13="",F13=""),"",NETWORKDAYS(E13,F13,Ref!$F$4:$F$47))</f>
        <v/>
      </c>
      <c r="AH13" s="39">
        <f>IF(IFERROR(VLOOKUP(D13,Controls!$A$25:$D$35,2,FALSE()),"No")="Yes",1,0)</f>
        <v/>
      </c>
      <c r="AI13" s="39">
        <f>IF(IFERROR(VLOOKUP(D13,Controls!$A$25:$D$35,3,FALSE()),"No")="Yes",1,0)</f>
        <v/>
      </c>
      <c r="AJ13" s="39">
        <f>IF(IFERROR(VLOOKUP(D13,Controls!$A$25:$D$35,4,FALSE()),"No")="Yes",1,0)</f>
        <v/>
      </c>
      <c r="AK13" s="96">
        <f>IF(AND($E13&gt;=Controls!$B$5,$E13&lt;=Controls!$B$6,OR(Controls!$E$9&lt;&gt;"Y",$BE13=1)),1,0)</f>
        <v/>
      </c>
      <c r="AL13" s="39">
        <f>1</f>
        <v/>
      </c>
      <c r="AM13" s="20">
        <f>S13-P13</f>
        <v/>
      </c>
      <c r="AN13" s="20">
        <f>IF(AH13=1,MAX(0,P13-S13),0)</f>
        <v/>
      </c>
      <c r="AO13" s="21">
        <f>IFERROR(S13/P13,"")</f>
        <v/>
      </c>
      <c r="AP13" s="22">
        <f>IF(Y13="","",P13/Y13)</f>
        <v/>
      </c>
      <c r="AQ13" s="39">
        <f>IF(Y13="",0,1)</f>
        <v/>
      </c>
      <c r="AR13" s="39">
        <f>IF(S13&lt;=0,1,0)</f>
        <v/>
      </c>
      <c r="AS13" s="17">
        <f>IF(AH13=1,AG13,"")</f>
        <v/>
      </c>
      <c r="AT13" s="17">
        <f>IF(AND(AH13=0,AJ13=1),AG13,"")</f>
        <v/>
      </c>
      <c r="AU13" s="5">
        <f>IF(P13&lt;10000,"Under $10K",IF(P13&lt;20000,"$10-20K",IF(P13&lt;30000,"$20-30K",IF(P13&lt;50000,"$30-50K",IF(P13&lt;100000,"$50-100K","$100K+")))))</f>
        <v/>
      </c>
      <c r="AV13" s="5">
        <f>IF(O13&lt;=1.35,"1.35 and under",IF(O13&lt;=1.42,"1.36-1.42",IF(O13&lt;=1.45,"1.43-1.45",IF(O13&lt;1.49,"1.46-1.48",IF(O13&lt;=1.49,"1.49","Above 1.49")))))</f>
        <v/>
      </c>
      <c r="AW13" s="5">
        <f>IF(AE13="","",IF(AE13&lt;60,"Under 60",IF(AE13&lt;90,"60-89",IF(AE13&lt;120,"90-119",IF(AE13&lt;150,"120-149","150+")))))</f>
        <v/>
      </c>
      <c r="AX13" s="5">
        <f>IF(AP13="","No revenue data",IF(AP13&lt;0.15,"Under 0.15x",IF(AP13&lt;0.3,"0.15-0.30x",IF(AP13&lt;0.5,"0.30-0.50x",IF(AP13&lt;1,"0.50-1.00x","1.00x+")))))</f>
        <v/>
      </c>
      <c r="AY13" s="5">
        <f>IF(J13="","No SIC",IFERROR(VLOOKUP(J13,Ref!$A$4:$C$67,2,FALSE()),"Unclassified"))</f>
        <v/>
      </c>
      <c r="AZ13" s="5">
        <f>IF(E13="","",TEXT(E13,"YYYY")&amp;"-Q"&amp;ROUNDUP(MONTH(E13)/3,0))</f>
        <v/>
      </c>
      <c r="BA13" s="5">
        <f>IF(E13="","",TEXT(E13,"YYYY-MM"))</f>
        <v/>
      </c>
      <c r="BB13" s="5">
        <f>IF(E13="","",TEXT(E13,"YYYY"))</f>
        <v/>
      </c>
      <c r="BC13" s="98">
        <f>IF($E13="","",NETWORKDAYS($E13,Controls!$B$9,Ref!$F$4:$F$47))</f>
        <v/>
      </c>
      <c r="BD13" s="92">
        <f>IF(OR($AH13=1,$AJ13=1),1,0)</f>
        <v/>
      </c>
      <c r="BE13" s="95">
        <f>IF(OR($BD13=1,AND($AE13&lt;&gt;"",$BC13&gt;=Controls!$B$10*$AE13)),1,0)</f>
        <v/>
      </c>
    </row>
    <row r="14" ht="15" customHeight="1" s="79">
      <c r="A14" s="5" t="inlineStr">
        <is>
          <t>5674147495</t>
        </is>
      </c>
      <c r="B14" s="5" t="inlineStr">
        <is>
          <t>ISHI MEDICAL EQUIPMENT &amp; SUPPLIES INC Calle Primera</t>
        </is>
      </c>
      <c r="C14" s="5" t="inlineStr">
        <is>
          <t>ISHI MEDICAL EQUIPMENT &amp; SUPPLIES INC Calle Primera</t>
        </is>
      </c>
      <c r="D14" s="5" t="inlineStr">
        <is>
          <t>Legal</t>
        </is>
      </c>
      <c r="E14" s="16" t="n">
        <v>45670</v>
      </c>
      <c r="F14" s="16" t="n">
        <v>45721</v>
      </c>
      <c r="G14" s="17" t="n">
        <v>3</v>
      </c>
      <c r="H14" s="5" t="inlineStr">
        <is>
          <t>5047</t>
        </is>
      </c>
      <c r="I14" s="5" t="inlineStr">
        <is>
          <t>Medical, Dental, and Hospital Equipment and Supplies Merchant Wholesalers</t>
        </is>
      </c>
      <c r="J14" s="5" t="inlineStr">
        <is>
          <t>50</t>
        </is>
      </c>
      <c r="K14" s="5" t="n">
        <v>5047</v>
      </c>
      <c r="L14" s="5" t="inlineStr">
        <is>
          <t>CA</t>
        </is>
      </c>
      <c r="M14" s="5" t="inlineStr">
        <is>
          <t>Key Capital Funding</t>
        </is>
      </c>
      <c r="N14" s="5" t="inlineStr">
        <is>
          <t>New Deal</t>
        </is>
      </c>
      <c r="O14" s="19" t="n">
        <v>1.49</v>
      </c>
      <c r="P14" s="20" t="n">
        <v>12000</v>
      </c>
      <c r="Q14" s="20" t="n">
        <v>1680</v>
      </c>
      <c r="R14" s="20" t="n">
        <v>17880</v>
      </c>
      <c r="S14" s="20" t="n">
        <v>3184</v>
      </c>
      <c r="T14" s="20" t="n">
        <v>14696</v>
      </c>
      <c r="U14" s="21" t="n">
        <v>0.178076062639821</v>
      </c>
      <c r="V14" s="22" t="n">
        <v>2.951</v>
      </c>
      <c r="W14" s="17" t="n">
        <v>560</v>
      </c>
      <c r="X14" s="17" t="n">
        <v>15</v>
      </c>
      <c r="Y14" s="5" t="n"/>
      <c r="Z14" s="21" t="n">
        <v>0.09</v>
      </c>
      <c r="AA14" s="16" t="n">
        <v>38507</v>
      </c>
      <c r="AB14" s="5">
        <f>IF(V14="","",IF(V14&lt;12,"Months","Weeks"))</f>
        <v/>
      </c>
      <c r="AC14" s="5">
        <f>IF(AB14="","",IF(AB14="Months","Daily","Weekly"))</f>
        <v/>
      </c>
      <c r="AD14" s="17">
        <f>IF(V14="","",IF(AC14="Daily",V14*Controls!$B$13,V14))</f>
        <v/>
      </c>
      <c r="AE14" s="17">
        <f>IF(V14="","",IF(AC14="Daily",V14*Controls!$B$13,V14*Controls!$B$12))</f>
        <v/>
      </c>
      <c r="AF14" s="17">
        <f>IF(OR(E14="",F14=""),"",F14-E14)</f>
        <v/>
      </c>
      <c r="AG14" s="17">
        <f>IF(OR(E14="",F14=""),"",NETWORKDAYS(E14,F14,Ref!$F$4:$F$47))</f>
        <v/>
      </c>
      <c r="AH14" s="39">
        <f>IF(IFERROR(VLOOKUP(D14,Controls!$A$25:$D$35,2,FALSE()),"No")="Yes",1,0)</f>
        <v/>
      </c>
      <c r="AI14" s="39">
        <f>IF(IFERROR(VLOOKUP(D14,Controls!$A$25:$D$35,3,FALSE()),"No")="Yes",1,0)</f>
        <v/>
      </c>
      <c r="AJ14" s="39">
        <f>IF(IFERROR(VLOOKUP(D14,Controls!$A$25:$D$35,4,FALSE()),"No")="Yes",1,0)</f>
        <v/>
      </c>
      <c r="AK14" s="96">
        <f>IF(AND($E14&gt;=Controls!$B$5,$E14&lt;=Controls!$B$6,OR(Controls!$E$9&lt;&gt;"Y",$BE14=1)),1,0)</f>
        <v/>
      </c>
      <c r="AL14" s="39">
        <f>1</f>
        <v/>
      </c>
      <c r="AM14" s="20">
        <f>S14-P14</f>
        <v/>
      </c>
      <c r="AN14" s="20">
        <f>IF(AH14=1,MAX(0,P14-S14),0)</f>
        <v/>
      </c>
      <c r="AO14" s="21">
        <f>IFERROR(S14/P14,"")</f>
        <v/>
      </c>
      <c r="AP14" s="22">
        <f>IF(Y14="","",P14/Y14)</f>
        <v/>
      </c>
      <c r="AQ14" s="39">
        <f>IF(Y14="",0,1)</f>
        <v/>
      </c>
      <c r="AR14" s="39">
        <f>IF(S14&lt;=0,1,0)</f>
        <v/>
      </c>
      <c r="AS14" s="17">
        <f>IF(AH14=1,AG14,"")</f>
        <v/>
      </c>
      <c r="AT14" s="17">
        <f>IF(AND(AH14=0,AJ14=1),AG14,"")</f>
        <v/>
      </c>
      <c r="AU14" s="5">
        <f>IF(P14&lt;10000,"Under $10K",IF(P14&lt;20000,"$10-20K",IF(P14&lt;30000,"$20-30K",IF(P14&lt;50000,"$30-50K",IF(P14&lt;100000,"$50-100K","$100K+")))))</f>
        <v/>
      </c>
      <c r="AV14" s="5">
        <f>IF(O14&lt;=1.35,"1.35 and under",IF(O14&lt;=1.42,"1.36-1.42",IF(O14&lt;=1.45,"1.43-1.45",IF(O14&lt;1.49,"1.46-1.48",IF(O14&lt;=1.49,"1.49","Above 1.49")))))</f>
        <v/>
      </c>
      <c r="AW14" s="5">
        <f>IF(AE14="","",IF(AE14&lt;60,"Under 60",IF(AE14&lt;90,"60-89",IF(AE14&lt;120,"90-119",IF(AE14&lt;150,"120-149","150+")))))</f>
        <v/>
      </c>
      <c r="AX14" s="5">
        <f>IF(AP14="","No revenue data",IF(AP14&lt;0.15,"Under 0.15x",IF(AP14&lt;0.3,"0.15-0.30x",IF(AP14&lt;0.5,"0.30-0.50x",IF(AP14&lt;1,"0.50-1.00x","1.00x+")))))</f>
        <v/>
      </c>
      <c r="AY14" s="5">
        <f>IF(J14="","No SIC",IFERROR(VLOOKUP(J14,Ref!$A$4:$C$67,2,FALSE()),"Unclassified"))</f>
        <v/>
      </c>
      <c r="AZ14" s="5">
        <f>IF(E14="","",TEXT(E14,"YYYY")&amp;"-Q"&amp;ROUNDUP(MONTH(E14)/3,0))</f>
        <v/>
      </c>
      <c r="BA14" s="5">
        <f>IF(E14="","",TEXT(E14,"YYYY-MM"))</f>
        <v/>
      </c>
      <c r="BB14" s="5">
        <f>IF(E14="","",TEXT(E14,"YYYY"))</f>
        <v/>
      </c>
      <c r="BC14" s="97">
        <f>IF($E14="","",NETWORKDAYS($E14,Controls!$B$9,Ref!$F$4:$F$47))</f>
        <v/>
      </c>
      <c r="BD14" s="92">
        <f>IF(OR($AH14=1,$AJ14=1),1,0)</f>
        <v/>
      </c>
      <c r="BE14" s="95">
        <f>IF(OR($BD14=1,AND($AE14&lt;&gt;"",$BC14&gt;=Controls!$B$10*$AE14)),1,0)</f>
        <v/>
      </c>
    </row>
    <row r="15" ht="15" customHeight="1" s="79">
      <c r="A15" s="5" t="inlineStr">
        <is>
          <t>5674147827</t>
        </is>
      </c>
      <c r="B15" s="5" t="inlineStr">
        <is>
          <t>Delta Security Services LLC</t>
        </is>
      </c>
      <c r="C15" s="5" t="inlineStr">
        <is>
          <t>Delta Security Services LLC</t>
        </is>
      </c>
      <c r="D15" s="5" t="inlineStr">
        <is>
          <t>Closed</t>
        </is>
      </c>
      <c r="E15" s="16" t="n">
        <v>45673</v>
      </c>
      <c r="F15" s="16" t="n">
        <v>45791</v>
      </c>
      <c r="G15" s="17" t="n">
        <v>1</v>
      </c>
      <c r="H15" s="5" t="inlineStr">
        <is>
          <t>7382</t>
        </is>
      </c>
      <c r="I15" s="5" t="inlineStr">
        <is>
          <t>Security Systems Services (Except Locksmiths)</t>
        </is>
      </c>
      <c r="J15" s="5" t="inlineStr">
        <is>
          <t>73</t>
        </is>
      </c>
      <c r="K15" s="5" t="n">
        <v>6211</v>
      </c>
      <c r="L15" s="5" t="inlineStr">
        <is>
          <t>WA</t>
        </is>
      </c>
      <c r="M15" s="5" t="inlineStr">
        <is>
          <t>First Path Capital</t>
        </is>
      </c>
      <c r="N15" s="5" t="inlineStr">
        <is>
          <t>Renewal</t>
        </is>
      </c>
      <c r="O15" s="19" t="n">
        <v>1.49</v>
      </c>
      <c r="P15" s="20" t="n">
        <v>5000</v>
      </c>
      <c r="Q15" s="20" t="n">
        <v>700</v>
      </c>
      <c r="R15" s="20" t="n">
        <v>7450</v>
      </c>
      <c r="S15" s="20" t="n">
        <v>7450</v>
      </c>
      <c r="T15" s="20" t="n">
        <v>0</v>
      </c>
      <c r="U15" s="21" t="n">
        <v>1</v>
      </c>
      <c r="V15" s="22" t="n">
        <v>2.623</v>
      </c>
      <c r="W15" s="17" t="n">
        <v>462</v>
      </c>
      <c r="X15" s="17" t="n">
        <v>0</v>
      </c>
      <c r="Y15" s="5" t="n"/>
      <c r="Z15" s="21" t="n">
        <v>0.06</v>
      </c>
      <c r="AA15" s="5" t="n"/>
      <c r="AB15" s="5">
        <f>IF(V15="","",IF(V15&lt;12,"Months","Weeks"))</f>
        <v/>
      </c>
      <c r="AC15" s="5">
        <f>IF(AB15="","",IF(AB15="Months","Daily","Weekly"))</f>
        <v/>
      </c>
      <c r="AD15" s="17">
        <f>IF(V15="","",IF(AC15="Daily",V15*Controls!$B$13,V15))</f>
        <v/>
      </c>
      <c r="AE15" s="17">
        <f>IF(V15="","",IF(AC15="Daily",V15*Controls!$B$13,V15*Controls!$B$12))</f>
        <v/>
      </c>
      <c r="AF15" s="17">
        <f>IF(OR(E15="",F15=""),"",F15-E15)</f>
        <v/>
      </c>
      <c r="AG15" s="17">
        <f>IF(OR(E15="",F15=""),"",NETWORKDAYS(E15,F15,Ref!$F$4:$F$47))</f>
        <v/>
      </c>
      <c r="AH15" s="39">
        <f>IF(IFERROR(VLOOKUP(D15,Controls!$A$25:$D$35,2,FALSE()),"No")="Yes",1,0)</f>
        <v/>
      </c>
      <c r="AI15" s="39">
        <f>IF(IFERROR(VLOOKUP(D15,Controls!$A$25:$D$35,3,FALSE()),"No")="Yes",1,0)</f>
        <v/>
      </c>
      <c r="AJ15" s="39">
        <f>IF(IFERROR(VLOOKUP(D15,Controls!$A$25:$D$35,4,FALSE()),"No")="Yes",1,0)</f>
        <v/>
      </c>
      <c r="AK15" s="96">
        <f>IF(AND($E15&gt;=Controls!$B$5,$E15&lt;=Controls!$B$6,OR(Controls!$E$9&lt;&gt;"Y",$BE15=1)),1,0)</f>
        <v/>
      </c>
      <c r="AL15" s="39">
        <f>1</f>
        <v/>
      </c>
      <c r="AM15" s="20">
        <f>S15-P15</f>
        <v/>
      </c>
      <c r="AN15" s="20">
        <f>IF(AH15=1,MAX(0,P15-S15),0)</f>
        <v/>
      </c>
      <c r="AO15" s="21">
        <f>IFERROR(S15/P15,"")</f>
        <v/>
      </c>
      <c r="AP15" s="22">
        <f>IF(Y15="","",P15/Y15)</f>
        <v/>
      </c>
      <c r="AQ15" s="39">
        <f>IF(Y15="",0,1)</f>
        <v/>
      </c>
      <c r="AR15" s="39">
        <f>IF(S15&lt;=0,1,0)</f>
        <v/>
      </c>
      <c r="AS15" s="17">
        <f>IF(AH15=1,AG15,"")</f>
        <v/>
      </c>
      <c r="AT15" s="17">
        <f>IF(AND(AH15=0,AJ15=1),AG15,"")</f>
        <v/>
      </c>
      <c r="AU15" s="5">
        <f>IF(P15&lt;10000,"Under $10K",IF(P15&lt;20000,"$10-20K",IF(P15&lt;30000,"$20-30K",IF(P15&lt;50000,"$30-50K",IF(P15&lt;100000,"$50-100K","$100K+")))))</f>
        <v/>
      </c>
      <c r="AV15" s="5">
        <f>IF(O15&lt;=1.35,"1.35 and under",IF(O15&lt;=1.42,"1.36-1.42",IF(O15&lt;=1.45,"1.43-1.45",IF(O15&lt;1.49,"1.46-1.48",IF(O15&lt;=1.49,"1.49","Above 1.49")))))</f>
        <v/>
      </c>
      <c r="AW15" s="5">
        <f>IF(AE15="","",IF(AE15&lt;60,"Under 60",IF(AE15&lt;90,"60-89",IF(AE15&lt;120,"90-119",IF(AE15&lt;150,"120-149","150+")))))</f>
        <v/>
      </c>
      <c r="AX15" s="5">
        <f>IF(AP15="","No revenue data",IF(AP15&lt;0.15,"Under 0.15x",IF(AP15&lt;0.3,"0.15-0.30x",IF(AP15&lt;0.5,"0.30-0.50x",IF(AP15&lt;1,"0.50-1.00x","1.00x+")))))</f>
        <v/>
      </c>
      <c r="AY15" s="5">
        <f>IF(J15="","No SIC",IFERROR(VLOOKUP(J15,Ref!$A$4:$C$67,2,FALSE()),"Unclassified"))</f>
        <v/>
      </c>
      <c r="AZ15" s="5">
        <f>IF(E15="","",TEXT(E15,"YYYY")&amp;"-Q"&amp;ROUNDUP(MONTH(E15)/3,0))</f>
        <v/>
      </c>
      <c r="BA15" s="5">
        <f>IF(E15="","",TEXT(E15,"YYYY-MM"))</f>
        <v/>
      </c>
      <c r="BB15" s="5">
        <f>IF(E15="","",TEXT(E15,"YYYY"))</f>
        <v/>
      </c>
      <c r="BC15" s="98">
        <f>IF($E15="","",NETWORKDAYS($E15,Controls!$B$9,Ref!$F$4:$F$47))</f>
        <v/>
      </c>
      <c r="BD15" s="92">
        <f>IF(OR($AH15=1,$AJ15=1),1,0)</f>
        <v/>
      </c>
      <c r="BE15" s="95">
        <f>IF(OR($BD15=1,AND($AE15&lt;&gt;"",$BC15&gt;=Controls!$B$10*$AE15)),1,0)</f>
        <v/>
      </c>
    </row>
    <row r="16" ht="15" customHeight="1" s="79">
      <c r="A16" s="5" t="inlineStr">
        <is>
          <t>5674148218</t>
        </is>
      </c>
      <c r="B16" s="5" t="inlineStr">
        <is>
          <t>LTV EVENTS LLC</t>
        </is>
      </c>
      <c r="C16" s="5" t="inlineStr">
        <is>
          <t>LTV EVENTS LLC</t>
        </is>
      </c>
      <c r="D16" s="5" t="inlineStr">
        <is>
          <t>Closed</t>
        </is>
      </c>
      <c r="E16" s="16" t="n">
        <v>45679</v>
      </c>
      <c r="F16" s="16" t="n">
        <v>45768</v>
      </c>
      <c r="G16" s="17" t="n">
        <v>7</v>
      </c>
      <c r="H16" s="5" t="inlineStr">
        <is>
          <t>7299</t>
        </is>
      </c>
      <c r="I16" s="5" t="inlineStr">
        <is>
          <t>Formal Wear and Costume Rental</t>
        </is>
      </c>
      <c r="J16" s="5" t="inlineStr">
        <is>
          <t>72</t>
        </is>
      </c>
      <c r="K16" s="5" t="n">
        <v>7296</v>
      </c>
      <c r="L16" s="5" t="inlineStr">
        <is>
          <t>IL</t>
        </is>
      </c>
      <c r="M16" s="5" t="inlineStr">
        <is>
          <t>Redline Capital</t>
        </is>
      </c>
      <c r="N16" s="5" t="inlineStr">
        <is>
          <t>New Deal</t>
        </is>
      </c>
      <c r="O16" s="19" t="n">
        <v>1.47</v>
      </c>
      <c r="P16" s="20" t="n">
        <v>4500</v>
      </c>
      <c r="Q16" s="20" t="n">
        <v>630</v>
      </c>
      <c r="R16" s="20" t="n">
        <v>6615</v>
      </c>
      <c r="S16" s="20" t="n">
        <v>6615</v>
      </c>
      <c r="T16" s="20" t="n">
        <v>0</v>
      </c>
      <c r="U16" s="21" t="n">
        <v>1</v>
      </c>
      <c r="V16" s="22" t="n">
        <v>1.928</v>
      </c>
      <c r="W16" s="17" t="n">
        <v>485</v>
      </c>
      <c r="X16" s="17" t="n">
        <v>0</v>
      </c>
      <c r="Y16" s="5" t="n"/>
      <c r="Z16" s="21" t="n">
        <v>0.083</v>
      </c>
      <c r="AA16" s="16" t="n">
        <v>44256</v>
      </c>
      <c r="AB16" s="5">
        <f>IF(V16="","",IF(V16&lt;12,"Months","Weeks"))</f>
        <v/>
      </c>
      <c r="AC16" s="5">
        <f>IF(AB16="","",IF(AB16="Months","Daily","Weekly"))</f>
        <v/>
      </c>
      <c r="AD16" s="17">
        <f>IF(V16="","",IF(AC16="Daily",V16*Controls!$B$13,V16))</f>
        <v/>
      </c>
      <c r="AE16" s="17">
        <f>IF(V16="","",IF(AC16="Daily",V16*Controls!$B$13,V16*Controls!$B$12))</f>
        <v/>
      </c>
      <c r="AF16" s="17">
        <f>IF(OR(E16="",F16=""),"",F16-E16)</f>
        <v/>
      </c>
      <c r="AG16" s="17">
        <f>IF(OR(E16="",F16=""),"",NETWORKDAYS(E16,F16,Ref!$F$4:$F$47))</f>
        <v/>
      </c>
      <c r="AH16" s="39">
        <f>IF(IFERROR(VLOOKUP(D16,Controls!$A$25:$D$35,2,FALSE()),"No")="Yes",1,0)</f>
        <v/>
      </c>
      <c r="AI16" s="39">
        <f>IF(IFERROR(VLOOKUP(D16,Controls!$A$25:$D$35,3,FALSE()),"No")="Yes",1,0)</f>
        <v/>
      </c>
      <c r="AJ16" s="39">
        <f>IF(IFERROR(VLOOKUP(D16,Controls!$A$25:$D$35,4,FALSE()),"No")="Yes",1,0)</f>
        <v/>
      </c>
      <c r="AK16" s="96">
        <f>IF(AND($E16&gt;=Controls!$B$5,$E16&lt;=Controls!$B$6,OR(Controls!$E$9&lt;&gt;"Y",$BE16=1)),1,0)</f>
        <v/>
      </c>
      <c r="AL16" s="39">
        <f>1</f>
        <v/>
      </c>
      <c r="AM16" s="20">
        <f>S16-P16</f>
        <v/>
      </c>
      <c r="AN16" s="20">
        <f>IF(AH16=1,MAX(0,P16-S16),0)</f>
        <v/>
      </c>
      <c r="AO16" s="21">
        <f>IFERROR(S16/P16,"")</f>
        <v/>
      </c>
      <c r="AP16" s="22">
        <f>IF(Y16="","",P16/Y16)</f>
        <v/>
      </c>
      <c r="AQ16" s="39">
        <f>IF(Y16="",0,1)</f>
        <v/>
      </c>
      <c r="AR16" s="39">
        <f>IF(S16&lt;=0,1,0)</f>
        <v/>
      </c>
      <c r="AS16" s="17">
        <f>IF(AH16=1,AG16,"")</f>
        <v/>
      </c>
      <c r="AT16" s="17">
        <f>IF(AND(AH16=0,AJ16=1),AG16,"")</f>
        <v/>
      </c>
      <c r="AU16" s="5">
        <f>IF(P16&lt;10000,"Under $10K",IF(P16&lt;20000,"$10-20K",IF(P16&lt;30000,"$20-30K",IF(P16&lt;50000,"$30-50K",IF(P16&lt;100000,"$50-100K","$100K+")))))</f>
        <v/>
      </c>
      <c r="AV16" s="5">
        <f>IF(O16&lt;=1.35,"1.35 and under",IF(O16&lt;=1.42,"1.36-1.42",IF(O16&lt;=1.45,"1.43-1.45",IF(O16&lt;1.49,"1.46-1.48",IF(O16&lt;=1.49,"1.49","Above 1.49")))))</f>
        <v/>
      </c>
      <c r="AW16" s="5">
        <f>IF(AE16="","",IF(AE16&lt;60,"Under 60",IF(AE16&lt;90,"60-89",IF(AE16&lt;120,"90-119",IF(AE16&lt;150,"120-149","150+")))))</f>
        <v/>
      </c>
      <c r="AX16" s="5">
        <f>IF(AP16="","No revenue data",IF(AP16&lt;0.15,"Under 0.15x",IF(AP16&lt;0.3,"0.15-0.30x",IF(AP16&lt;0.5,"0.30-0.50x",IF(AP16&lt;1,"0.50-1.00x","1.00x+")))))</f>
        <v/>
      </c>
      <c r="AY16" s="5">
        <f>IF(J16="","No SIC",IFERROR(VLOOKUP(J16,Ref!$A$4:$C$67,2,FALSE()),"Unclassified"))</f>
        <v/>
      </c>
      <c r="AZ16" s="5">
        <f>IF(E16="","",TEXT(E16,"YYYY")&amp;"-Q"&amp;ROUNDUP(MONTH(E16)/3,0))</f>
        <v/>
      </c>
      <c r="BA16" s="5">
        <f>IF(E16="","",TEXT(E16,"YYYY-MM"))</f>
        <v/>
      </c>
      <c r="BB16" s="5">
        <f>IF(E16="","",TEXT(E16,"YYYY"))</f>
        <v/>
      </c>
      <c r="BC16" s="97">
        <f>IF($E16="","",NETWORKDAYS($E16,Controls!$B$9,Ref!$F$4:$F$47))</f>
        <v/>
      </c>
      <c r="BD16" s="92">
        <f>IF(OR($AH16=1,$AJ16=1),1,0)</f>
        <v/>
      </c>
      <c r="BE16" s="95">
        <f>IF(OR($BD16=1,AND($AE16&lt;&gt;"",$BC16&gt;=Controls!$B$10*$AE16)),1,0)</f>
        <v/>
      </c>
    </row>
    <row r="17" ht="15" customHeight="1" s="79">
      <c r="A17" s="5" t="inlineStr">
        <is>
          <t>5674148220</t>
        </is>
      </c>
      <c r="B17" s="5" t="inlineStr">
        <is>
          <t>The Tailors</t>
        </is>
      </c>
      <c r="C17" s="5" t="inlineStr">
        <is>
          <t>Jojo's Sewing Co. LLC</t>
        </is>
      </c>
      <c r="D17" s="5" t="inlineStr">
        <is>
          <t>Legal</t>
        </is>
      </c>
      <c r="E17" s="16" t="n">
        <v>45679</v>
      </c>
      <c r="F17" s="16" t="n">
        <v>45735</v>
      </c>
      <c r="G17" s="17" t="n">
        <v>2</v>
      </c>
      <c r="H17" s="5" t="inlineStr">
        <is>
          <t>5699</t>
        </is>
      </c>
      <c r="I17" s="5" t="inlineStr">
        <is>
          <t>Other Clothing Stores</t>
        </is>
      </c>
      <c r="J17" s="5" t="inlineStr">
        <is>
          <t>56</t>
        </is>
      </c>
      <c r="K17" s="5" t="n">
        <v>5611</v>
      </c>
      <c r="L17" s="5" t="inlineStr">
        <is>
          <t>MI</t>
        </is>
      </c>
      <c r="M17" s="5" t="inlineStr">
        <is>
          <t>Platform Funding</t>
        </is>
      </c>
      <c r="N17" s="5" t="inlineStr">
        <is>
          <t>New Deal</t>
        </is>
      </c>
      <c r="O17" s="19" t="n">
        <v>1.49</v>
      </c>
      <c r="P17" s="20" t="n">
        <v>4500</v>
      </c>
      <c r="Q17" s="20" t="n">
        <v>630</v>
      </c>
      <c r="R17" s="20" t="n">
        <v>6705</v>
      </c>
      <c r="S17" s="20" t="n">
        <v>2863.14</v>
      </c>
      <c r="T17" s="20" t="n">
        <v>3841.86</v>
      </c>
      <c r="U17" s="21" t="n">
        <v>0.427015659955257</v>
      </c>
      <c r="V17" s="22" t="n">
        <v>2.459</v>
      </c>
      <c r="W17" s="17" t="n">
        <v>530</v>
      </c>
      <c r="X17" s="17" t="n">
        <v>7</v>
      </c>
      <c r="Y17" s="5" t="n"/>
      <c r="Z17" s="21" t="n">
        <v>0.11</v>
      </c>
      <c r="AA17" s="16" t="n">
        <v>44927</v>
      </c>
      <c r="AB17" s="5">
        <f>IF(V17="","",IF(V17&lt;12,"Months","Weeks"))</f>
        <v/>
      </c>
      <c r="AC17" s="5">
        <f>IF(AB17="","",IF(AB17="Months","Daily","Weekly"))</f>
        <v/>
      </c>
      <c r="AD17" s="17">
        <f>IF(V17="","",IF(AC17="Daily",V17*Controls!$B$13,V17))</f>
        <v/>
      </c>
      <c r="AE17" s="17">
        <f>IF(V17="","",IF(AC17="Daily",V17*Controls!$B$13,V17*Controls!$B$12))</f>
        <v/>
      </c>
      <c r="AF17" s="17">
        <f>IF(OR(E17="",F17=""),"",F17-E17)</f>
        <v/>
      </c>
      <c r="AG17" s="17">
        <f>IF(OR(E17="",F17=""),"",NETWORKDAYS(E17,F17,Ref!$F$4:$F$47))</f>
        <v/>
      </c>
      <c r="AH17" s="39">
        <f>IF(IFERROR(VLOOKUP(D17,Controls!$A$25:$D$35,2,FALSE()),"No")="Yes",1,0)</f>
        <v/>
      </c>
      <c r="AI17" s="39">
        <f>IF(IFERROR(VLOOKUP(D17,Controls!$A$25:$D$35,3,FALSE()),"No")="Yes",1,0)</f>
        <v/>
      </c>
      <c r="AJ17" s="39">
        <f>IF(IFERROR(VLOOKUP(D17,Controls!$A$25:$D$35,4,FALSE()),"No")="Yes",1,0)</f>
        <v/>
      </c>
      <c r="AK17" s="96">
        <f>IF(AND($E17&gt;=Controls!$B$5,$E17&lt;=Controls!$B$6,OR(Controls!$E$9&lt;&gt;"Y",$BE17=1)),1,0)</f>
        <v/>
      </c>
      <c r="AL17" s="39">
        <f>1</f>
        <v/>
      </c>
      <c r="AM17" s="20">
        <f>S17-P17</f>
        <v/>
      </c>
      <c r="AN17" s="20">
        <f>IF(AH17=1,MAX(0,P17-S17),0)</f>
        <v/>
      </c>
      <c r="AO17" s="21">
        <f>IFERROR(S17/P17,"")</f>
        <v/>
      </c>
      <c r="AP17" s="22">
        <f>IF(Y17="","",P17/Y17)</f>
        <v/>
      </c>
      <c r="AQ17" s="39">
        <f>IF(Y17="",0,1)</f>
        <v/>
      </c>
      <c r="AR17" s="39">
        <f>IF(S17&lt;=0,1,0)</f>
        <v/>
      </c>
      <c r="AS17" s="17">
        <f>IF(AH17=1,AG17,"")</f>
        <v/>
      </c>
      <c r="AT17" s="17">
        <f>IF(AND(AH17=0,AJ17=1),AG17,"")</f>
        <v/>
      </c>
      <c r="AU17" s="5">
        <f>IF(P17&lt;10000,"Under $10K",IF(P17&lt;20000,"$10-20K",IF(P17&lt;30000,"$20-30K",IF(P17&lt;50000,"$30-50K",IF(P17&lt;100000,"$50-100K","$100K+")))))</f>
        <v/>
      </c>
      <c r="AV17" s="5">
        <f>IF(O17&lt;=1.35,"1.35 and under",IF(O17&lt;=1.42,"1.36-1.42",IF(O17&lt;=1.45,"1.43-1.45",IF(O17&lt;1.49,"1.46-1.48",IF(O17&lt;=1.49,"1.49","Above 1.49")))))</f>
        <v/>
      </c>
      <c r="AW17" s="5">
        <f>IF(AE17="","",IF(AE17&lt;60,"Under 60",IF(AE17&lt;90,"60-89",IF(AE17&lt;120,"90-119",IF(AE17&lt;150,"120-149","150+")))))</f>
        <v/>
      </c>
      <c r="AX17" s="5">
        <f>IF(AP17="","No revenue data",IF(AP17&lt;0.15,"Under 0.15x",IF(AP17&lt;0.3,"0.15-0.30x",IF(AP17&lt;0.5,"0.30-0.50x",IF(AP17&lt;1,"0.50-1.00x","1.00x+")))))</f>
        <v/>
      </c>
      <c r="AY17" s="5">
        <f>IF(J17="","No SIC",IFERROR(VLOOKUP(J17,Ref!$A$4:$C$67,2,FALSE()),"Unclassified"))</f>
        <v/>
      </c>
      <c r="AZ17" s="5">
        <f>IF(E17="","",TEXT(E17,"YYYY")&amp;"-Q"&amp;ROUNDUP(MONTH(E17)/3,0))</f>
        <v/>
      </c>
      <c r="BA17" s="5">
        <f>IF(E17="","",TEXT(E17,"YYYY-MM"))</f>
        <v/>
      </c>
      <c r="BB17" s="5">
        <f>IF(E17="","",TEXT(E17,"YYYY"))</f>
        <v/>
      </c>
      <c r="BC17" s="98">
        <f>IF($E17="","",NETWORKDAYS($E17,Controls!$B$9,Ref!$F$4:$F$47))</f>
        <v/>
      </c>
      <c r="BD17" s="92">
        <f>IF(OR($AH17=1,$AJ17=1),1,0)</f>
        <v/>
      </c>
      <c r="BE17" s="95">
        <f>IF(OR($BD17=1,AND($AE17&lt;&gt;"",$BC17&gt;=Controls!$B$10*$AE17)),1,0)</f>
        <v/>
      </c>
    </row>
    <row r="18" ht="15" customHeight="1" s="79">
      <c r="A18" s="5" t="inlineStr">
        <is>
          <t>5674149050</t>
        </is>
      </c>
      <c r="B18" s="5" t="inlineStr">
        <is>
          <t>Bright Future Academy</t>
        </is>
      </c>
      <c r="C18" s="5" t="inlineStr">
        <is>
          <t>Bright Future Academy</t>
        </is>
      </c>
      <c r="D18" s="5" t="inlineStr">
        <is>
          <t>Closed</t>
        </is>
      </c>
      <c r="E18" s="16" t="n">
        <v>45686</v>
      </c>
      <c r="F18" s="16" t="n">
        <v>45799</v>
      </c>
      <c r="G18" s="17" t="n">
        <v>4</v>
      </c>
      <c r="H18" s="5" t="inlineStr">
        <is>
          <t>8351</t>
        </is>
      </c>
      <c r="I18" s="5" t="inlineStr">
        <is>
          <t>Child Day Care Services</t>
        </is>
      </c>
      <c r="J18" s="5" t="inlineStr">
        <is>
          <t>83</t>
        </is>
      </c>
      <c r="K18" s="5" t="n">
        <v>8351</v>
      </c>
      <c r="L18" s="5" t="inlineStr">
        <is>
          <t>MN</t>
        </is>
      </c>
      <c r="M18" s="5" t="inlineStr">
        <is>
          <t>Key Capital Funding</t>
        </is>
      </c>
      <c r="N18" s="5" t="inlineStr">
        <is>
          <t>Renewal</t>
        </is>
      </c>
      <c r="O18" s="19" t="n">
        <v>1.41</v>
      </c>
      <c r="P18" s="20" t="n">
        <v>5000</v>
      </c>
      <c r="Q18" s="20" t="n">
        <v>500</v>
      </c>
      <c r="R18" s="20" t="n">
        <v>7050</v>
      </c>
      <c r="S18" s="20" t="n">
        <v>7050</v>
      </c>
      <c r="T18" s="20" t="n">
        <v>0</v>
      </c>
      <c r="U18" s="21" t="n">
        <v>1</v>
      </c>
      <c r="V18" s="22" t="n">
        <v>2.295</v>
      </c>
      <c r="W18" s="17" t="n">
        <v>454</v>
      </c>
      <c r="X18" s="17" t="n">
        <v>4</v>
      </c>
      <c r="Y18" s="5" t="n"/>
      <c r="Z18" s="21" t="n">
        <v>0.12</v>
      </c>
      <c r="AA18" s="16" t="n">
        <v>43617</v>
      </c>
      <c r="AB18" s="5">
        <f>IF(V18="","",IF(V18&lt;12,"Months","Weeks"))</f>
        <v/>
      </c>
      <c r="AC18" s="5">
        <f>IF(AB18="","",IF(AB18="Months","Daily","Weekly"))</f>
        <v/>
      </c>
      <c r="AD18" s="17">
        <f>IF(V18="","",IF(AC18="Daily",V18*Controls!$B$13,V18))</f>
        <v/>
      </c>
      <c r="AE18" s="17">
        <f>IF(V18="","",IF(AC18="Daily",V18*Controls!$B$13,V18*Controls!$B$12))</f>
        <v/>
      </c>
      <c r="AF18" s="17">
        <f>IF(OR(E18="",F18=""),"",F18-E18)</f>
        <v/>
      </c>
      <c r="AG18" s="17">
        <f>IF(OR(E18="",F18=""),"",NETWORKDAYS(E18,F18,Ref!$F$4:$F$47))</f>
        <v/>
      </c>
      <c r="AH18" s="39">
        <f>IF(IFERROR(VLOOKUP(D18,Controls!$A$25:$D$35,2,FALSE()),"No")="Yes",1,0)</f>
        <v/>
      </c>
      <c r="AI18" s="39">
        <f>IF(IFERROR(VLOOKUP(D18,Controls!$A$25:$D$35,3,FALSE()),"No")="Yes",1,0)</f>
        <v/>
      </c>
      <c r="AJ18" s="39">
        <f>IF(IFERROR(VLOOKUP(D18,Controls!$A$25:$D$35,4,FALSE()),"No")="Yes",1,0)</f>
        <v/>
      </c>
      <c r="AK18" s="96">
        <f>IF(AND($E18&gt;=Controls!$B$5,$E18&lt;=Controls!$B$6,OR(Controls!$E$9&lt;&gt;"Y",$BE18=1)),1,0)</f>
        <v/>
      </c>
      <c r="AL18" s="39">
        <f>1</f>
        <v/>
      </c>
      <c r="AM18" s="20">
        <f>S18-P18</f>
        <v/>
      </c>
      <c r="AN18" s="20">
        <f>IF(AH18=1,MAX(0,P18-S18),0)</f>
        <v/>
      </c>
      <c r="AO18" s="21">
        <f>IFERROR(S18/P18,"")</f>
        <v/>
      </c>
      <c r="AP18" s="22">
        <f>IF(Y18="","",P18/Y18)</f>
        <v/>
      </c>
      <c r="AQ18" s="39">
        <f>IF(Y18="",0,1)</f>
        <v/>
      </c>
      <c r="AR18" s="39">
        <f>IF(S18&lt;=0,1,0)</f>
        <v/>
      </c>
      <c r="AS18" s="17">
        <f>IF(AH18=1,AG18,"")</f>
        <v/>
      </c>
      <c r="AT18" s="17">
        <f>IF(AND(AH18=0,AJ18=1),AG18,"")</f>
        <v/>
      </c>
      <c r="AU18" s="5">
        <f>IF(P18&lt;10000,"Under $10K",IF(P18&lt;20000,"$10-20K",IF(P18&lt;30000,"$20-30K",IF(P18&lt;50000,"$30-50K",IF(P18&lt;100000,"$50-100K","$100K+")))))</f>
        <v/>
      </c>
      <c r="AV18" s="5">
        <f>IF(O18&lt;=1.35,"1.35 and under",IF(O18&lt;=1.42,"1.36-1.42",IF(O18&lt;=1.45,"1.43-1.45",IF(O18&lt;1.49,"1.46-1.48",IF(O18&lt;=1.49,"1.49","Above 1.49")))))</f>
        <v/>
      </c>
      <c r="AW18" s="5">
        <f>IF(AE18="","",IF(AE18&lt;60,"Under 60",IF(AE18&lt;90,"60-89",IF(AE18&lt;120,"90-119",IF(AE18&lt;150,"120-149","150+")))))</f>
        <v/>
      </c>
      <c r="AX18" s="5">
        <f>IF(AP18="","No revenue data",IF(AP18&lt;0.15,"Under 0.15x",IF(AP18&lt;0.3,"0.15-0.30x",IF(AP18&lt;0.5,"0.30-0.50x",IF(AP18&lt;1,"0.50-1.00x","1.00x+")))))</f>
        <v/>
      </c>
      <c r="AY18" s="5">
        <f>IF(J18="","No SIC",IFERROR(VLOOKUP(J18,Ref!$A$4:$C$67,2,FALSE()),"Unclassified"))</f>
        <v/>
      </c>
      <c r="AZ18" s="5">
        <f>IF(E18="","",TEXT(E18,"YYYY")&amp;"-Q"&amp;ROUNDUP(MONTH(E18)/3,0))</f>
        <v/>
      </c>
      <c r="BA18" s="5">
        <f>IF(E18="","",TEXT(E18,"YYYY-MM"))</f>
        <v/>
      </c>
      <c r="BB18" s="5">
        <f>IF(E18="","",TEXT(E18,"YYYY"))</f>
        <v/>
      </c>
      <c r="BC18" s="92">
        <f>IF($E18="","",NETWORKDAYS($E18,Controls!$B$9,Ref!$F$4:$F$47))</f>
        <v/>
      </c>
      <c r="BD18" s="92">
        <f>IF(OR($AH18=1,$AJ18=1),1,0)</f>
        <v/>
      </c>
      <c r="BE18" s="95">
        <f>IF(OR($BD18=1,AND($AE18&lt;&gt;"",$BC18&gt;=Controls!$B$10*$AE18)),1,0)</f>
        <v/>
      </c>
    </row>
    <row r="19" ht="15" customHeight="1" s="79">
      <c r="A19" s="5" t="inlineStr">
        <is>
          <t>5674149117</t>
        </is>
      </c>
      <c r="B19" s="5" t="inlineStr">
        <is>
          <t>PRADO SALES</t>
        </is>
      </c>
      <c r="C19" s="5" t="inlineStr">
        <is>
          <t>P &amp; F Family Construction</t>
        </is>
      </c>
      <c r="D19" s="5" t="inlineStr">
        <is>
          <t>Closed</t>
        </is>
      </c>
      <c r="E19" s="16" t="n">
        <v>45687</v>
      </c>
      <c r="F19" s="16" t="n">
        <v>45776</v>
      </c>
      <c r="G19" s="17" t="n">
        <v>6</v>
      </c>
      <c r="H19" s="5" t="inlineStr">
        <is>
          <t>1521</t>
        </is>
      </c>
      <c r="I19" s="5" t="inlineStr">
        <is>
          <t>Residential Remodelers</t>
        </is>
      </c>
      <c r="J19" s="5" t="inlineStr">
        <is>
          <t>15</t>
        </is>
      </c>
      <c r="K19" s="5" t="n">
        <v>1520</v>
      </c>
      <c r="L19" s="5" t="inlineStr">
        <is>
          <t>CA</t>
        </is>
      </c>
      <c r="M19" s="5" t="inlineStr">
        <is>
          <t>Merchant ReFi</t>
        </is>
      </c>
      <c r="N19" s="5" t="inlineStr">
        <is>
          <t>New Deal</t>
        </is>
      </c>
      <c r="O19" s="19" t="n">
        <v>1.49</v>
      </c>
      <c r="P19" s="20" t="n">
        <v>6000</v>
      </c>
      <c r="Q19" s="20" t="n">
        <v>840</v>
      </c>
      <c r="R19" s="20" t="n">
        <v>8940</v>
      </c>
      <c r="S19" s="20" t="n">
        <v>8940</v>
      </c>
      <c r="T19" s="20" t="n">
        <v>0</v>
      </c>
      <c r="U19" s="21" t="n">
        <v>1</v>
      </c>
      <c r="V19" s="22" t="n">
        <v>2.623</v>
      </c>
      <c r="W19" s="17" t="n">
        <v>477</v>
      </c>
      <c r="X19" s="17" t="n">
        <v>0</v>
      </c>
      <c r="Y19" s="5" t="n"/>
      <c r="Z19" s="21" t="n">
        <v>0.0835</v>
      </c>
      <c r="AA19" s="16" t="n">
        <v>43739</v>
      </c>
      <c r="AB19" s="5">
        <f>IF(V19="","",IF(V19&lt;12,"Months","Weeks"))</f>
        <v/>
      </c>
      <c r="AC19" s="5">
        <f>IF(AB19="","",IF(AB19="Months","Daily","Weekly"))</f>
        <v/>
      </c>
      <c r="AD19" s="17">
        <f>IF(V19="","",IF(AC19="Daily",V19*Controls!$B$13,V19))</f>
        <v/>
      </c>
      <c r="AE19" s="17">
        <f>IF(V19="","",IF(AC19="Daily",V19*Controls!$B$13,V19*Controls!$B$12))</f>
        <v/>
      </c>
      <c r="AF19" s="17">
        <f>IF(OR(E19="",F19=""),"",F19-E19)</f>
        <v/>
      </c>
      <c r="AG19" s="17">
        <f>IF(OR(E19="",F19=""),"",NETWORKDAYS(E19,F19,Ref!$F$4:$F$47))</f>
        <v/>
      </c>
      <c r="AH19" s="39">
        <f>IF(IFERROR(VLOOKUP(D19,Controls!$A$25:$D$35,2,FALSE()),"No")="Yes",1,0)</f>
        <v/>
      </c>
      <c r="AI19" s="39">
        <f>IF(IFERROR(VLOOKUP(D19,Controls!$A$25:$D$35,3,FALSE()),"No")="Yes",1,0)</f>
        <v/>
      </c>
      <c r="AJ19" s="39">
        <f>IF(IFERROR(VLOOKUP(D19,Controls!$A$25:$D$35,4,FALSE()),"No")="Yes",1,0)</f>
        <v/>
      </c>
      <c r="AK19" s="96">
        <f>IF(AND($E19&gt;=Controls!$B$5,$E19&lt;=Controls!$B$6,OR(Controls!$E$9&lt;&gt;"Y",$BE19=1)),1,0)</f>
        <v/>
      </c>
      <c r="AL19" s="39">
        <f>1</f>
        <v/>
      </c>
      <c r="AM19" s="20">
        <f>S19-P19</f>
        <v/>
      </c>
      <c r="AN19" s="20">
        <f>IF(AH19=1,MAX(0,P19-S19),0)</f>
        <v/>
      </c>
      <c r="AO19" s="21">
        <f>IFERROR(S19/P19,"")</f>
        <v/>
      </c>
      <c r="AP19" s="22">
        <f>IF(Y19="","",P19/Y19)</f>
        <v/>
      </c>
      <c r="AQ19" s="39">
        <f>IF(Y19="",0,1)</f>
        <v/>
      </c>
      <c r="AR19" s="39">
        <f>IF(S19&lt;=0,1,0)</f>
        <v/>
      </c>
      <c r="AS19" s="17">
        <f>IF(AH19=1,AG19,"")</f>
        <v/>
      </c>
      <c r="AT19" s="17">
        <f>IF(AND(AH19=0,AJ19=1),AG19,"")</f>
        <v/>
      </c>
      <c r="AU19" s="5">
        <f>IF(P19&lt;10000,"Under $10K",IF(P19&lt;20000,"$10-20K",IF(P19&lt;30000,"$20-30K",IF(P19&lt;50000,"$30-50K",IF(P19&lt;100000,"$50-100K","$100K+")))))</f>
        <v/>
      </c>
      <c r="AV19" s="5">
        <f>IF(O19&lt;=1.35,"1.35 and under",IF(O19&lt;=1.42,"1.36-1.42",IF(O19&lt;=1.45,"1.43-1.45",IF(O19&lt;1.49,"1.46-1.48",IF(O19&lt;=1.49,"1.49","Above 1.49")))))</f>
        <v/>
      </c>
      <c r="AW19" s="5">
        <f>IF(AE19="","",IF(AE19&lt;60,"Under 60",IF(AE19&lt;90,"60-89",IF(AE19&lt;120,"90-119",IF(AE19&lt;150,"120-149","150+")))))</f>
        <v/>
      </c>
      <c r="AX19" s="5">
        <f>IF(AP19="","No revenue data",IF(AP19&lt;0.15,"Under 0.15x",IF(AP19&lt;0.3,"0.15-0.30x",IF(AP19&lt;0.5,"0.30-0.50x",IF(AP19&lt;1,"0.50-1.00x","1.00x+")))))</f>
        <v/>
      </c>
      <c r="AY19" s="5">
        <f>IF(J19="","No SIC",IFERROR(VLOOKUP(J19,Ref!$A$4:$C$67,2,FALSE()),"Unclassified"))</f>
        <v/>
      </c>
      <c r="AZ19" s="5">
        <f>IF(E19="","",TEXT(E19,"YYYY")&amp;"-Q"&amp;ROUNDUP(MONTH(E19)/3,0))</f>
        <v/>
      </c>
      <c r="BA19" s="5">
        <f>IF(E19="","",TEXT(E19,"YYYY-MM"))</f>
        <v/>
      </c>
      <c r="BB19" s="5">
        <f>IF(E19="","",TEXT(E19,"YYYY"))</f>
        <v/>
      </c>
      <c r="BC19" s="92">
        <f>IF($E19="","",NETWORKDAYS($E19,Controls!$B$9,Ref!$F$4:$F$47))</f>
        <v/>
      </c>
      <c r="BD19" s="92">
        <f>IF(OR($AH19=1,$AJ19=1),1,0)</f>
        <v/>
      </c>
      <c r="BE19" s="95">
        <f>IF(OR($BD19=1,AND($AE19&lt;&gt;"",$BC19&gt;=Controls!$B$10*$AE19)),1,0)</f>
        <v/>
      </c>
    </row>
    <row r="20" ht="15" customHeight="1" s="79">
      <c r="A20" s="5" t="inlineStr">
        <is>
          <t>5674149282</t>
        </is>
      </c>
      <c r="B20" s="5" t="inlineStr">
        <is>
          <t>The Garrison</t>
        </is>
      </c>
      <c r="C20" s="5" t="inlineStr">
        <is>
          <t>Garrison Restaurant &amp; cocktail lounge llc</t>
        </is>
      </c>
      <c r="D20" s="5" t="inlineStr">
        <is>
          <t>Closed</t>
        </is>
      </c>
      <c r="E20" s="16" t="n">
        <v>45691</v>
      </c>
      <c r="F20" s="16" t="n">
        <v>45782</v>
      </c>
      <c r="G20" s="17" t="n">
        <v>1</v>
      </c>
      <c r="H20" s="5" t="inlineStr">
        <is>
          <t>5812</t>
        </is>
      </c>
      <c r="I20" s="5" t="inlineStr">
        <is>
          <t>Full-Service Restaurants</t>
        </is>
      </c>
      <c r="J20" s="5" t="inlineStr">
        <is>
          <t>58</t>
        </is>
      </c>
      <c r="K20" s="5" t="n">
        <v>5812</v>
      </c>
      <c r="L20" s="5" t="inlineStr">
        <is>
          <t>TX</t>
        </is>
      </c>
      <c r="M20" s="5" t="inlineStr">
        <is>
          <t>Platform Funding</t>
        </is>
      </c>
      <c r="N20" s="5" t="inlineStr">
        <is>
          <t>Renewal</t>
        </is>
      </c>
      <c r="O20" s="19" t="n">
        <v>1.35</v>
      </c>
      <c r="P20" s="20" t="n">
        <v>20000</v>
      </c>
      <c r="Q20" s="20" t="n">
        <v>1400</v>
      </c>
      <c r="R20" s="20" t="n">
        <v>27000</v>
      </c>
      <c r="S20" s="20" t="n">
        <v>27000</v>
      </c>
      <c r="T20" s="20" t="n">
        <v>0</v>
      </c>
      <c r="U20" s="21" t="n">
        <v>1</v>
      </c>
      <c r="V20" s="22" t="n">
        <v>2.623</v>
      </c>
      <c r="W20" s="17" t="n">
        <v>471</v>
      </c>
      <c r="X20" s="17" t="n">
        <v>26</v>
      </c>
      <c r="Y20" s="5" t="n"/>
      <c r="Z20" s="21" t="n">
        <v>0.0771</v>
      </c>
      <c r="AA20" s="16" t="n">
        <v>44562</v>
      </c>
      <c r="AB20" s="5">
        <f>IF(V20="","",IF(V20&lt;12,"Months","Weeks"))</f>
        <v/>
      </c>
      <c r="AC20" s="5">
        <f>IF(AB20="","",IF(AB20="Months","Daily","Weekly"))</f>
        <v/>
      </c>
      <c r="AD20" s="17">
        <f>IF(V20="","",IF(AC20="Daily",V20*Controls!$B$13,V20))</f>
        <v/>
      </c>
      <c r="AE20" s="17">
        <f>IF(V20="","",IF(AC20="Daily",V20*Controls!$B$13,V20*Controls!$B$12))</f>
        <v/>
      </c>
      <c r="AF20" s="17">
        <f>IF(OR(E20="",F20=""),"",F20-E20)</f>
        <v/>
      </c>
      <c r="AG20" s="17">
        <f>IF(OR(E20="",F20=""),"",NETWORKDAYS(E20,F20,Ref!$F$4:$F$47))</f>
        <v/>
      </c>
      <c r="AH20" s="39">
        <f>IF(IFERROR(VLOOKUP(D20,Controls!$A$25:$D$35,2,FALSE()),"No")="Yes",1,0)</f>
        <v/>
      </c>
      <c r="AI20" s="39">
        <f>IF(IFERROR(VLOOKUP(D20,Controls!$A$25:$D$35,3,FALSE()),"No")="Yes",1,0)</f>
        <v/>
      </c>
      <c r="AJ20" s="39">
        <f>IF(IFERROR(VLOOKUP(D20,Controls!$A$25:$D$35,4,FALSE()),"No")="Yes",1,0)</f>
        <v/>
      </c>
      <c r="AK20" s="96">
        <f>IF(AND($E20&gt;=Controls!$B$5,$E20&lt;=Controls!$B$6,OR(Controls!$E$9&lt;&gt;"Y",$BE20=1)),1,0)</f>
        <v/>
      </c>
      <c r="AL20" s="39">
        <f>1</f>
        <v/>
      </c>
      <c r="AM20" s="20">
        <f>S20-P20</f>
        <v/>
      </c>
      <c r="AN20" s="20">
        <f>IF(AH20=1,MAX(0,P20-S20),0)</f>
        <v/>
      </c>
      <c r="AO20" s="21">
        <f>IFERROR(S20/P20,"")</f>
        <v/>
      </c>
      <c r="AP20" s="22">
        <f>IF(Y20="","",P20/Y20)</f>
        <v/>
      </c>
      <c r="AQ20" s="39">
        <f>IF(Y20="",0,1)</f>
        <v/>
      </c>
      <c r="AR20" s="39">
        <f>IF(S20&lt;=0,1,0)</f>
        <v/>
      </c>
      <c r="AS20" s="17">
        <f>IF(AH20=1,AG20,"")</f>
        <v/>
      </c>
      <c r="AT20" s="17">
        <f>IF(AND(AH20=0,AJ20=1),AG20,"")</f>
        <v/>
      </c>
      <c r="AU20" s="5">
        <f>IF(P20&lt;10000,"Under $10K",IF(P20&lt;20000,"$10-20K",IF(P20&lt;30000,"$20-30K",IF(P20&lt;50000,"$30-50K",IF(P20&lt;100000,"$50-100K","$100K+")))))</f>
        <v/>
      </c>
      <c r="AV20" s="5">
        <f>IF(O20&lt;=1.35,"1.35 and under",IF(O20&lt;=1.42,"1.36-1.42",IF(O20&lt;=1.45,"1.43-1.45",IF(O20&lt;1.49,"1.46-1.48",IF(O20&lt;=1.49,"1.49","Above 1.49")))))</f>
        <v/>
      </c>
      <c r="AW20" s="5">
        <f>IF(AE20="","",IF(AE20&lt;60,"Under 60",IF(AE20&lt;90,"60-89",IF(AE20&lt;120,"90-119",IF(AE20&lt;150,"120-149","150+")))))</f>
        <v/>
      </c>
      <c r="AX20" s="5">
        <f>IF(AP20="","No revenue data",IF(AP20&lt;0.15,"Under 0.15x",IF(AP20&lt;0.3,"0.15-0.30x",IF(AP20&lt;0.5,"0.30-0.50x",IF(AP20&lt;1,"0.50-1.00x","1.00x+")))))</f>
        <v/>
      </c>
      <c r="AY20" s="5">
        <f>IF(J20="","No SIC",IFERROR(VLOOKUP(J20,Ref!$A$4:$C$67,2,FALSE()),"Unclassified"))</f>
        <v/>
      </c>
      <c r="AZ20" s="5">
        <f>IF(E20="","",TEXT(E20,"YYYY")&amp;"-Q"&amp;ROUNDUP(MONTH(E20)/3,0))</f>
        <v/>
      </c>
      <c r="BA20" s="5">
        <f>IF(E20="","",TEXT(E20,"YYYY-MM"))</f>
        <v/>
      </c>
      <c r="BB20" s="5">
        <f>IF(E20="","",TEXT(E20,"YYYY"))</f>
        <v/>
      </c>
      <c r="BC20" s="92">
        <f>IF($E20="","",NETWORKDAYS($E20,Controls!$B$9,Ref!$F$4:$F$47))</f>
        <v/>
      </c>
      <c r="BD20" s="92">
        <f>IF(OR($AH20=1,$AJ20=1),1,0)</f>
        <v/>
      </c>
      <c r="BE20" s="95">
        <f>IF(OR($BD20=1,AND($AE20&lt;&gt;"",$BC20&gt;=Controls!$B$10*$AE20)),1,0)</f>
        <v/>
      </c>
    </row>
    <row r="21" ht="15.75" customHeight="1" s="79">
      <c r="A21" s="5" t="inlineStr">
        <is>
          <t>5674149485</t>
        </is>
      </c>
      <c r="B21" s="5" t="inlineStr">
        <is>
          <t>Cloud IX salon</t>
        </is>
      </c>
      <c r="C21" s="5" t="inlineStr">
        <is>
          <t>IX llc</t>
        </is>
      </c>
      <c r="D21" s="5" t="inlineStr">
        <is>
          <t>Closed</t>
        </is>
      </c>
      <c r="E21" s="16" t="n">
        <v>45692</v>
      </c>
      <c r="F21" s="16" t="n">
        <v>45783</v>
      </c>
      <c r="G21" s="17" t="n">
        <v>4</v>
      </c>
      <c r="H21" s="5" t="inlineStr">
        <is>
          <t>7231</t>
        </is>
      </c>
      <c r="I21" s="5" t="inlineStr">
        <is>
          <t>Cosmetology and Barber Schools</t>
        </is>
      </c>
      <c r="J21" s="5" t="inlineStr">
        <is>
          <t>72</t>
        </is>
      </c>
      <c r="K21" s="5" t="n">
        <v>5977</v>
      </c>
      <c r="L21" s="5" t="inlineStr">
        <is>
          <t>FL</t>
        </is>
      </c>
      <c r="M21" s="5" t="inlineStr">
        <is>
          <t>GREYSTONE</t>
        </is>
      </c>
      <c r="N21" s="5" t="inlineStr">
        <is>
          <t>Renewal</t>
        </is>
      </c>
      <c r="O21" s="19" t="n">
        <v>1.49</v>
      </c>
      <c r="P21" s="20" t="n">
        <v>15000</v>
      </c>
      <c r="Q21" s="20" t="n">
        <v>2100</v>
      </c>
      <c r="R21" s="20" t="n">
        <v>22350</v>
      </c>
      <c r="S21" s="20" t="n">
        <v>22350</v>
      </c>
      <c r="T21" s="20" t="n">
        <v>0</v>
      </c>
      <c r="U21" s="21" t="n">
        <v>1</v>
      </c>
      <c r="V21" s="22" t="n">
        <v>2.459</v>
      </c>
      <c r="W21" s="17" t="n">
        <v>470</v>
      </c>
      <c r="X21" s="17" t="n">
        <v>1</v>
      </c>
      <c r="Y21" s="5" t="n"/>
      <c r="Z21" s="21" t="n">
        <v>0.0553</v>
      </c>
      <c r="AA21" s="16" t="n">
        <v>45402</v>
      </c>
      <c r="AB21" s="5">
        <f>IF(V21="","",IF(V21&lt;12,"Months","Weeks"))</f>
        <v/>
      </c>
      <c r="AC21" s="5">
        <f>IF(AB21="","",IF(AB21="Months","Daily","Weekly"))</f>
        <v/>
      </c>
      <c r="AD21" s="17">
        <f>IF(V21="","",IF(AC21="Daily",V21*Controls!$B$13,V21))</f>
        <v/>
      </c>
      <c r="AE21" s="17">
        <f>IF(V21="","",IF(AC21="Daily",V21*Controls!$B$13,V21*Controls!$B$12))</f>
        <v/>
      </c>
      <c r="AF21" s="17">
        <f>IF(OR(E21="",F21=""),"",F21-E21)</f>
        <v/>
      </c>
      <c r="AG21" s="17">
        <f>IF(OR(E21="",F21=""),"",NETWORKDAYS(E21,F21,Ref!$F$4:$F$47))</f>
        <v/>
      </c>
      <c r="AH21" s="39">
        <f>IF(IFERROR(VLOOKUP(D21,Controls!$A$25:$D$35,2,FALSE()),"No")="Yes",1,0)</f>
        <v/>
      </c>
      <c r="AI21" s="39">
        <f>IF(IFERROR(VLOOKUP(D21,Controls!$A$25:$D$35,3,FALSE()),"No")="Yes",1,0)</f>
        <v/>
      </c>
      <c r="AJ21" s="39">
        <f>IF(IFERROR(VLOOKUP(D21,Controls!$A$25:$D$35,4,FALSE()),"No")="Yes",1,0)</f>
        <v/>
      </c>
      <c r="AK21" s="96">
        <f>IF(AND($E21&gt;=Controls!$B$5,$E21&lt;=Controls!$B$6,OR(Controls!$E$9&lt;&gt;"Y",$BE21=1)),1,0)</f>
        <v/>
      </c>
      <c r="AL21" s="39">
        <f>1</f>
        <v/>
      </c>
      <c r="AM21" s="20">
        <f>S21-P21</f>
        <v/>
      </c>
      <c r="AN21" s="20">
        <f>IF(AH21=1,MAX(0,P21-S21),0)</f>
        <v/>
      </c>
      <c r="AO21" s="21">
        <f>IFERROR(S21/P21,"")</f>
        <v/>
      </c>
      <c r="AP21" s="22">
        <f>IF(Y21="","",P21/Y21)</f>
        <v/>
      </c>
      <c r="AQ21" s="39">
        <f>IF(Y21="",0,1)</f>
        <v/>
      </c>
      <c r="AR21" s="39">
        <f>IF(S21&lt;=0,1,0)</f>
        <v/>
      </c>
      <c r="AS21" s="17">
        <f>IF(AH21=1,AG21,"")</f>
        <v/>
      </c>
      <c r="AT21" s="17">
        <f>IF(AND(AH21=0,AJ21=1),AG21,"")</f>
        <v/>
      </c>
      <c r="AU21" s="5">
        <f>IF(P21&lt;10000,"Under $10K",IF(P21&lt;20000,"$10-20K",IF(P21&lt;30000,"$20-30K",IF(P21&lt;50000,"$30-50K",IF(P21&lt;100000,"$50-100K","$100K+")))))</f>
        <v/>
      </c>
      <c r="AV21" s="5">
        <f>IF(O21&lt;=1.35,"1.35 and under",IF(O21&lt;=1.42,"1.36-1.42",IF(O21&lt;=1.45,"1.43-1.45",IF(O21&lt;1.49,"1.46-1.48",IF(O21&lt;=1.49,"1.49","Above 1.49")))))</f>
        <v/>
      </c>
      <c r="AW21" s="5">
        <f>IF(AE21="","",IF(AE21&lt;60,"Under 60",IF(AE21&lt;90,"60-89",IF(AE21&lt;120,"90-119",IF(AE21&lt;150,"120-149","150+")))))</f>
        <v/>
      </c>
      <c r="AX21" s="5">
        <f>IF(AP21="","No revenue data",IF(AP21&lt;0.15,"Under 0.15x",IF(AP21&lt;0.3,"0.15-0.30x",IF(AP21&lt;0.5,"0.30-0.50x",IF(AP21&lt;1,"0.50-1.00x","1.00x+")))))</f>
        <v/>
      </c>
      <c r="AY21" s="5">
        <f>IF(J21="","No SIC",IFERROR(VLOOKUP(J21,Ref!$A$4:$C$67,2,FALSE()),"Unclassified"))</f>
        <v/>
      </c>
      <c r="AZ21" s="5">
        <f>IF(E21="","",TEXT(E21,"YYYY")&amp;"-Q"&amp;ROUNDUP(MONTH(E21)/3,0))</f>
        <v/>
      </c>
      <c r="BA21" s="5">
        <f>IF(E21="","",TEXT(E21,"YYYY-MM"))</f>
        <v/>
      </c>
      <c r="BB21" s="5">
        <f>IF(E21="","",TEXT(E21,"YYYY"))</f>
        <v/>
      </c>
      <c r="BC21" s="92">
        <f>IF($E21="","",NETWORKDAYS($E21,Controls!$B$9,Ref!$F$4:$F$47))</f>
        <v/>
      </c>
      <c r="BD21" s="92">
        <f>IF(OR($AH21=1,$AJ21=1),1,0)</f>
        <v/>
      </c>
      <c r="BE21" s="95">
        <f>IF(OR($BD21=1,AND($AE21&lt;&gt;"",$BC21&gt;=Controls!$B$10*$AE21)),1,0)</f>
        <v/>
      </c>
    </row>
    <row r="22" ht="15.75" customHeight="1" s="79">
      <c r="A22" s="5" t="inlineStr">
        <is>
          <t>5674149599</t>
        </is>
      </c>
      <c r="B22" s="5" t="inlineStr">
        <is>
          <t>Robola Pizzeria</t>
        </is>
      </c>
      <c r="C22" s="5" t="inlineStr">
        <is>
          <t>AMC Fair Dealing</t>
        </is>
      </c>
      <c r="D22" s="5" t="inlineStr">
        <is>
          <t>Closed</t>
        </is>
      </c>
      <c r="E22" s="16" t="n">
        <v>45693</v>
      </c>
      <c r="F22" s="16" t="n">
        <v>45798</v>
      </c>
      <c r="G22" s="17" t="n">
        <v>6</v>
      </c>
      <c r="H22" s="5" t="inlineStr">
        <is>
          <t>5812</t>
        </is>
      </c>
      <c r="I22" s="5" t="inlineStr">
        <is>
          <t>Full-Service Restaurants</t>
        </is>
      </c>
      <c r="J22" s="5" t="inlineStr">
        <is>
          <t>58</t>
        </is>
      </c>
      <c r="K22" s="5" t="n">
        <v>5812</v>
      </c>
      <c r="L22" s="5" t="inlineStr">
        <is>
          <t>PA</t>
        </is>
      </c>
      <c r="M22" s="5" t="inlineStr">
        <is>
          <t>Splash</t>
        </is>
      </c>
      <c r="N22" s="5" t="inlineStr">
        <is>
          <t>Renewal</t>
        </is>
      </c>
      <c r="O22" s="19" t="n">
        <v>1.49</v>
      </c>
      <c r="P22" s="20" t="n">
        <v>5000</v>
      </c>
      <c r="Q22" s="20" t="n">
        <v>700</v>
      </c>
      <c r="R22" s="20" t="n">
        <v>7450</v>
      </c>
      <c r="S22" s="20" t="n">
        <v>7450</v>
      </c>
      <c r="T22" s="20" t="n">
        <v>0</v>
      </c>
      <c r="U22" s="21" t="n">
        <v>1</v>
      </c>
      <c r="V22" s="22" t="n">
        <v>2.459</v>
      </c>
      <c r="W22" s="17" t="n">
        <v>455</v>
      </c>
      <c r="X22" s="17" t="n">
        <v>7</v>
      </c>
      <c r="Y22" s="5" t="n"/>
      <c r="Z22" s="21" t="n">
        <v>0.12</v>
      </c>
      <c r="AA22" s="16" t="n">
        <v>41030</v>
      </c>
      <c r="AB22" s="5">
        <f>IF(V22="","",IF(V22&lt;12,"Months","Weeks"))</f>
        <v/>
      </c>
      <c r="AC22" s="5">
        <f>IF(AB22="","",IF(AB22="Months","Daily","Weekly"))</f>
        <v/>
      </c>
      <c r="AD22" s="17">
        <f>IF(V22="","",IF(AC22="Daily",V22*Controls!$B$13,V22))</f>
        <v/>
      </c>
      <c r="AE22" s="17">
        <f>IF(V22="","",IF(AC22="Daily",V22*Controls!$B$13,V22*Controls!$B$12))</f>
        <v/>
      </c>
      <c r="AF22" s="17">
        <f>IF(OR(E22="",F22=""),"",F22-E22)</f>
        <v/>
      </c>
      <c r="AG22" s="17">
        <f>IF(OR(E22="",F22=""),"",NETWORKDAYS(E22,F22,Ref!$F$4:$F$47))</f>
        <v/>
      </c>
      <c r="AH22" s="39">
        <f>IF(IFERROR(VLOOKUP(D22,Controls!$A$25:$D$35,2,FALSE()),"No")="Yes",1,0)</f>
        <v/>
      </c>
      <c r="AI22" s="39">
        <f>IF(IFERROR(VLOOKUP(D22,Controls!$A$25:$D$35,3,FALSE()),"No")="Yes",1,0)</f>
        <v/>
      </c>
      <c r="AJ22" s="39">
        <f>IF(IFERROR(VLOOKUP(D22,Controls!$A$25:$D$35,4,FALSE()),"No")="Yes",1,0)</f>
        <v/>
      </c>
      <c r="AK22" s="96">
        <f>IF(AND($E22&gt;=Controls!$B$5,$E22&lt;=Controls!$B$6,OR(Controls!$E$9&lt;&gt;"Y",$BE22=1)),1,0)</f>
        <v/>
      </c>
      <c r="AL22" s="39">
        <f>1</f>
        <v/>
      </c>
      <c r="AM22" s="20">
        <f>S22-P22</f>
        <v/>
      </c>
      <c r="AN22" s="20">
        <f>IF(AH22=1,MAX(0,P22-S22),0)</f>
        <v/>
      </c>
      <c r="AO22" s="21">
        <f>IFERROR(S22/P22,"")</f>
        <v/>
      </c>
      <c r="AP22" s="22">
        <f>IF(Y22="","",P22/Y22)</f>
        <v/>
      </c>
      <c r="AQ22" s="39">
        <f>IF(Y22="",0,1)</f>
        <v/>
      </c>
      <c r="AR22" s="39">
        <f>IF(S22&lt;=0,1,0)</f>
        <v/>
      </c>
      <c r="AS22" s="17">
        <f>IF(AH22=1,AG22,"")</f>
        <v/>
      </c>
      <c r="AT22" s="17">
        <f>IF(AND(AH22=0,AJ22=1),AG22,"")</f>
        <v/>
      </c>
      <c r="AU22" s="5">
        <f>IF(P22&lt;10000,"Under $10K",IF(P22&lt;20000,"$10-20K",IF(P22&lt;30000,"$20-30K",IF(P22&lt;50000,"$30-50K",IF(P22&lt;100000,"$50-100K","$100K+")))))</f>
        <v/>
      </c>
      <c r="AV22" s="5">
        <f>IF(O22&lt;=1.35,"1.35 and under",IF(O22&lt;=1.42,"1.36-1.42",IF(O22&lt;=1.45,"1.43-1.45",IF(O22&lt;1.49,"1.46-1.48",IF(O22&lt;=1.49,"1.49","Above 1.49")))))</f>
        <v/>
      </c>
      <c r="AW22" s="5">
        <f>IF(AE22="","",IF(AE22&lt;60,"Under 60",IF(AE22&lt;90,"60-89",IF(AE22&lt;120,"90-119",IF(AE22&lt;150,"120-149","150+")))))</f>
        <v/>
      </c>
      <c r="AX22" s="5">
        <f>IF(AP22="","No revenue data",IF(AP22&lt;0.15,"Under 0.15x",IF(AP22&lt;0.3,"0.15-0.30x",IF(AP22&lt;0.5,"0.30-0.50x",IF(AP22&lt;1,"0.50-1.00x","1.00x+")))))</f>
        <v/>
      </c>
      <c r="AY22" s="5">
        <f>IF(J22="","No SIC",IFERROR(VLOOKUP(J22,Ref!$A$4:$C$67,2,FALSE()),"Unclassified"))</f>
        <v/>
      </c>
      <c r="AZ22" s="5">
        <f>IF(E22="","",TEXT(E22,"YYYY")&amp;"-Q"&amp;ROUNDUP(MONTH(E22)/3,0))</f>
        <v/>
      </c>
      <c r="BA22" s="5">
        <f>IF(E22="","",TEXT(E22,"YYYY-MM"))</f>
        <v/>
      </c>
      <c r="BB22" s="5">
        <f>IF(E22="","",TEXT(E22,"YYYY"))</f>
        <v/>
      </c>
      <c r="BC22" s="92">
        <f>IF($E22="","",NETWORKDAYS($E22,Controls!$B$9,Ref!$F$4:$F$47))</f>
        <v/>
      </c>
      <c r="BD22" s="92">
        <f>IF(OR($AH22=1,$AJ22=1),1,0)</f>
        <v/>
      </c>
      <c r="BE22" s="95">
        <f>IF(OR($BD22=1,AND($AE22&lt;&gt;"",$BC22&gt;=Controls!$B$10*$AE22)),1,0)</f>
        <v/>
      </c>
    </row>
    <row r="23" ht="15.75" customHeight="1" s="79">
      <c r="A23" s="5" t="inlineStr">
        <is>
          <t>5674150031</t>
        </is>
      </c>
      <c r="B23" s="5" t="inlineStr">
        <is>
          <t>PLLC NA</t>
        </is>
      </c>
      <c r="C23" s="5" t="inlineStr">
        <is>
          <t>Living Tree New Braunfels</t>
        </is>
      </c>
      <c r="D23" s="5" t="inlineStr">
        <is>
          <t>Closed</t>
        </is>
      </c>
      <c r="E23" s="16" t="n">
        <v>45698</v>
      </c>
      <c r="F23" s="16" t="n">
        <v>45775</v>
      </c>
      <c r="G23" s="17" t="n">
        <v>4</v>
      </c>
      <c r="H23" s="5" t="inlineStr">
        <is>
          <t>8322</t>
        </is>
      </c>
      <c r="I23" s="5" t="inlineStr">
        <is>
          <t>Temporary Shelters</t>
        </is>
      </c>
      <c r="J23" s="5" t="inlineStr">
        <is>
          <t>83</t>
        </is>
      </c>
      <c r="K23" s="5" t="n">
        <v>7361</v>
      </c>
      <c r="L23" s="5" t="inlineStr">
        <is>
          <t>TX</t>
        </is>
      </c>
      <c r="M23" s="5" t="inlineStr">
        <is>
          <t>GREYSTONE</t>
        </is>
      </c>
      <c r="N23" s="5" t="inlineStr">
        <is>
          <t>New Deal</t>
        </is>
      </c>
      <c r="O23" s="19" t="n">
        <v>1.49</v>
      </c>
      <c r="P23" s="20" t="n">
        <v>10000</v>
      </c>
      <c r="Q23" s="20" t="n">
        <v>1400</v>
      </c>
      <c r="R23" s="20" t="n">
        <v>14900</v>
      </c>
      <c r="S23" s="20" t="n">
        <v>14900</v>
      </c>
      <c r="T23" s="20" t="n">
        <v>0</v>
      </c>
      <c r="U23" s="21" t="n">
        <v>1</v>
      </c>
      <c r="V23" s="22" t="n">
        <v>1.967</v>
      </c>
      <c r="W23" s="17" t="n">
        <v>478</v>
      </c>
      <c r="X23" s="17" t="n">
        <v>0</v>
      </c>
      <c r="Y23" s="5" t="n"/>
      <c r="Z23" s="21" t="n">
        <v>0.0696</v>
      </c>
      <c r="AA23" s="16" t="n">
        <v>43525</v>
      </c>
      <c r="AB23" s="5">
        <f>IF(V23="","",IF(V23&lt;12,"Months","Weeks"))</f>
        <v/>
      </c>
      <c r="AC23" s="5">
        <f>IF(AB23="","",IF(AB23="Months","Daily","Weekly"))</f>
        <v/>
      </c>
      <c r="AD23" s="17">
        <f>IF(V23="","",IF(AC23="Daily",V23*Controls!$B$13,V23))</f>
        <v/>
      </c>
      <c r="AE23" s="17">
        <f>IF(V23="","",IF(AC23="Daily",V23*Controls!$B$13,V23*Controls!$B$12))</f>
        <v/>
      </c>
      <c r="AF23" s="17">
        <f>IF(OR(E23="",F23=""),"",F23-E23)</f>
        <v/>
      </c>
      <c r="AG23" s="17">
        <f>IF(OR(E23="",F23=""),"",NETWORKDAYS(E23,F23,Ref!$F$4:$F$47))</f>
        <v/>
      </c>
      <c r="AH23" s="39">
        <f>IF(IFERROR(VLOOKUP(D23,Controls!$A$25:$D$35,2,FALSE()),"No")="Yes",1,0)</f>
        <v/>
      </c>
      <c r="AI23" s="39">
        <f>IF(IFERROR(VLOOKUP(D23,Controls!$A$25:$D$35,3,FALSE()),"No")="Yes",1,0)</f>
        <v/>
      </c>
      <c r="AJ23" s="39">
        <f>IF(IFERROR(VLOOKUP(D23,Controls!$A$25:$D$35,4,FALSE()),"No")="Yes",1,0)</f>
        <v/>
      </c>
      <c r="AK23" s="96">
        <f>IF(AND($E23&gt;=Controls!$B$5,$E23&lt;=Controls!$B$6,OR(Controls!$E$9&lt;&gt;"Y",$BE23=1)),1,0)</f>
        <v/>
      </c>
      <c r="AL23" s="39">
        <f>1</f>
        <v/>
      </c>
      <c r="AM23" s="20">
        <f>S23-P23</f>
        <v/>
      </c>
      <c r="AN23" s="20">
        <f>IF(AH23=1,MAX(0,P23-S23),0)</f>
        <v/>
      </c>
      <c r="AO23" s="21">
        <f>IFERROR(S23/P23,"")</f>
        <v/>
      </c>
      <c r="AP23" s="22">
        <f>IF(Y23="","",P23/Y23)</f>
        <v/>
      </c>
      <c r="AQ23" s="39">
        <f>IF(Y23="",0,1)</f>
        <v/>
      </c>
      <c r="AR23" s="39">
        <f>IF(S23&lt;=0,1,0)</f>
        <v/>
      </c>
      <c r="AS23" s="17">
        <f>IF(AH23=1,AG23,"")</f>
        <v/>
      </c>
      <c r="AT23" s="17">
        <f>IF(AND(AH23=0,AJ23=1),AG23,"")</f>
        <v/>
      </c>
      <c r="AU23" s="5">
        <f>IF(P23&lt;10000,"Under $10K",IF(P23&lt;20000,"$10-20K",IF(P23&lt;30000,"$20-30K",IF(P23&lt;50000,"$30-50K",IF(P23&lt;100000,"$50-100K","$100K+")))))</f>
        <v/>
      </c>
      <c r="AV23" s="5">
        <f>IF(O23&lt;=1.35,"1.35 and under",IF(O23&lt;=1.42,"1.36-1.42",IF(O23&lt;=1.45,"1.43-1.45",IF(O23&lt;1.49,"1.46-1.48",IF(O23&lt;=1.49,"1.49","Above 1.49")))))</f>
        <v/>
      </c>
      <c r="AW23" s="5">
        <f>IF(AE23="","",IF(AE23&lt;60,"Under 60",IF(AE23&lt;90,"60-89",IF(AE23&lt;120,"90-119",IF(AE23&lt;150,"120-149","150+")))))</f>
        <v/>
      </c>
      <c r="AX23" s="5">
        <f>IF(AP23="","No revenue data",IF(AP23&lt;0.15,"Under 0.15x",IF(AP23&lt;0.3,"0.15-0.30x",IF(AP23&lt;0.5,"0.30-0.50x",IF(AP23&lt;1,"0.50-1.00x","1.00x+")))))</f>
        <v/>
      </c>
      <c r="AY23" s="5">
        <f>IF(J23="","No SIC",IFERROR(VLOOKUP(J23,Ref!$A$4:$C$67,2,FALSE()),"Unclassified"))</f>
        <v/>
      </c>
      <c r="AZ23" s="5">
        <f>IF(E23="","",TEXT(E23,"YYYY")&amp;"-Q"&amp;ROUNDUP(MONTH(E23)/3,0))</f>
        <v/>
      </c>
      <c r="BA23" s="5">
        <f>IF(E23="","",TEXT(E23,"YYYY-MM"))</f>
        <v/>
      </c>
      <c r="BB23" s="5">
        <f>IF(E23="","",TEXT(E23,"YYYY"))</f>
        <v/>
      </c>
      <c r="BC23" s="92">
        <f>IF($E23="","",NETWORKDAYS($E23,Controls!$B$9,Ref!$F$4:$F$47))</f>
        <v/>
      </c>
      <c r="BD23" s="92">
        <f>IF(OR($AH23=1,$AJ23=1),1,0)</f>
        <v/>
      </c>
      <c r="BE23" s="95">
        <f>IF(OR($BD23=1,AND($AE23&lt;&gt;"",$BC23&gt;=Controls!$B$10*$AE23)),1,0)</f>
        <v/>
      </c>
    </row>
    <row r="24" ht="15.75" customHeight="1" s="79">
      <c r="A24" s="5" t="inlineStr">
        <is>
          <t>5674150191</t>
        </is>
      </c>
      <c r="B24" s="5" t="inlineStr">
        <is>
          <t>Miranda shine corp</t>
        </is>
      </c>
      <c r="C24" s="5" t="inlineStr">
        <is>
          <t>Miranda shine corp</t>
        </is>
      </c>
      <c r="D24" s="5" t="inlineStr">
        <is>
          <t>Closed</t>
        </is>
      </c>
      <c r="E24" s="16" t="n">
        <v>45700</v>
      </c>
      <c r="F24" s="16" t="n">
        <v>45772</v>
      </c>
      <c r="G24" s="17" t="n">
        <v>1</v>
      </c>
      <c r="H24" s="5" t="inlineStr">
        <is>
          <t>7349</t>
        </is>
      </c>
      <c r="I24" s="5" t="inlineStr">
        <is>
          <t>Janitorial Services</t>
        </is>
      </c>
      <c r="J24" s="5" t="inlineStr">
        <is>
          <t>73</t>
        </is>
      </c>
      <c r="K24" s="5" t="n">
        <v>7349</v>
      </c>
      <c r="L24" s="5" t="inlineStr">
        <is>
          <t>MA</t>
        </is>
      </c>
      <c r="M24" s="5" t="inlineStr">
        <is>
          <t>Tip Top Capital</t>
        </is>
      </c>
      <c r="N24" s="5" t="inlineStr">
        <is>
          <t>New Deal</t>
        </is>
      </c>
      <c r="O24" s="19" t="n">
        <v>1.499</v>
      </c>
      <c r="P24" s="20" t="n">
        <v>5000</v>
      </c>
      <c r="Q24" s="20" t="n">
        <v>700</v>
      </c>
      <c r="R24" s="20" t="n">
        <v>7495</v>
      </c>
      <c r="S24" s="20" t="n">
        <v>7495</v>
      </c>
      <c r="T24" s="20" t="n">
        <v>9.09494701772928e-13</v>
      </c>
      <c r="U24" s="21" t="n">
        <v>1</v>
      </c>
      <c r="V24" s="22" t="n">
        <v>2.295</v>
      </c>
      <c r="W24" s="17" t="n">
        <v>481</v>
      </c>
      <c r="X24" s="17" t="n">
        <v>1</v>
      </c>
      <c r="Y24" s="5" t="n"/>
      <c r="Z24" s="21" t="n">
        <v>0.05</v>
      </c>
      <c r="AA24" s="16" t="n">
        <v>45026</v>
      </c>
      <c r="AB24" s="5">
        <f>IF(V24="","",IF(V24&lt;12,"Months","Weeks"))</f>
        <v/>
      </c>
      <c r="AC24" s="5">
        <f>IF(AB24="","",IF(AB24="Months","Daily","Weekly"))</f>
        <v/>
      </c>
      <c r="AD24" s="17">
        <f>IF(V24="","",IF(AC24="Daily",V24*Controls!$B$13,V24))</f>
        <v/>
      </c>
      <c r="AE24" s="17">
        <f>IF(V24="","",IF(AC24="Daily",V24*Controls!$B$13,V24*Controls!$B$12))</f>
        <v/>
      </c>
      <c r="AF24" s="17">
        <f>IF(OR(E24="",F24=""),"",F24-E24)</f>
        <v/>
      </c>
      <c r="AG24" s="17">
        <f>IF(OR(E24="",F24=""),"",NETWORKDAYS(E24,F24,Ref!$F$4:$F$47))</f>
        <v/>
      </c>
      <c r="AH24" s="39">
        <f>IF(IFERROR(VLOOKUP(D24,Controls!$A$25:$D$35,2,FALSE()),"No")="Yes",1,0)</f>
        <v/>
      </c>
      <c r="AI24" s="39">
        <f>IF(IFERROR(VLOOKUP(D24,Controls!$A$25:$D$35,3,FALSE()),"No")="Yes",1,0)</f>
        <v/>
      </c>
      <c r="AJ24" s="39">
        <f>IF(IFERROR(VLOOKUP(D24,Controls!$A$25:$D$35,4,FALSE()),"No")="Yes",1,0)</f>
        <v/>
      </c>
      <c r="AK24" s="96">
        <f>IF(AND($E24&gt;=Controls!$B$5,$E24&lt;=Controls!$B$6,OR(Controls!$E$9&lt;&gt;"Y",$BE24=1)),1,0)</f>
        <v/>
      </c>
      <c r="AL24" s="39">
        <f>1</f>
        <v/>
      </c>
      <c r="AM24" s="20">
        <f>S24-P24</f>
        <v/>
      </c>
      <c r="AN24" s="20">
        <f>IF(AH24=1,MAX(0,P24-S24),0)</f>
        <v/>
      </c>
      <c r="AO24" s="21">
        <f>IFERROR(S24/P24,"")</f>
        <v/>
      </c>
      <c r="AP24" s="22">
        <f>IF(Y24="","",P24/Y24)</f>
        <v/>
      </c>
      <c r="AQ24" s="39">
        <f>IF(Y24="",0,1)</f>
        <v/>
      </c>
      <c r="AR24" s="39">
        <f>IF(S24&lt;=0,1,0)</f>
        <v/>
      </c>
      <c r="AS24" s="17">
        <f>IF(AH24=1,AG24,"")</f>
        <v/>
      </c>
      <c r="AT24" s="17">
        <f>IF(AND(AH24=0,AJ24=1),AG24,"")</f>
        <v/>
      </c>
      <c r="AU24" s="5">
        <f>IF(P24&lt;10000,"Under $10K",IF(P24&lt;20000,"$10-20K",IF(P24&lt;30000,"$20-30K",IF(P24&lt;50000,"$30-50K",IF(P24&lt;100000,"$50-100K","$100K+")))))</f>
        <v/>
      </c>
      <c r="AV24" s="5">
        <f>IF(O24&lt;=1.35,"1.35 and under",IF(O24&lt;=1.42,"1.36-1.42",IF(O24&lt;=1.45,"1.43-1.45",IF(O24&lt;1.49,"1.46-1.48",IF(O24&lt;=1.49,"1.49","Above 1.49")))))</f>
        <v/>
      </c>
      <c r="AW24" s="5">
        <f>IF(AE24="","",IF(AE24&lt;60,"Under 60",IF(AE24&lt;90,"60-89",IF(AE24&lt;120,"90-119",IF(AE24&lt;150,"120-149","150+")))))</f>
        <v/>
      </c>
      <c r="AX24" s="5">
        <f>IF(AP24="","No revenue data",IF(AP24&lt;0.15,"Under 0.15x",IF(AP24&lt;0.3,"0.15-0.30x",IF(AP24&lt;0.5,"0.30-0.50x",IF(AP24&lt;1,"0.50-1.00x","1.00x+")))))</f>
        <v/>
      </c>
      <c r="AY24" s="5">
        <f>IF(J24="","No SIC",IFERROR(VLOOKUP(J24,Ref!$A$4:$C$67,2,FALSE()),"Unclassified"))</f>
        <v/>
      </c>
      <c r="AZ24" s="5">
        <f>IF(E24="","",TEXT(E24,"YYYY")&amp;"-Q"&amp;ROUNDUP(MONTH(E24)/3,0))</f>
        <v/>
      </c>
      <c r="BA24" s="5">
        <f>IF(E24="","",TEXT(E24,"YYYY-MM"))</f>
        <v/>
      </c>
      <c r="BB24" s="5">
        <f>IF(E24="","",TEXT(E24,"YYYY"))</f>
        <v/>
      </c>
      <c r="BC24" s="92">
        <f>IF($E24="","",NETWORKDAYS($E24,Controls!$B$9,Ref!$F$4:$F$47))</f>
        <v/>
      </c>
      <c r="BD24" s="92">
        <f>IF(OR($AH24=1,$AJ24=1),1,0)</f>
        <v/>
      </c>
      <c r="BE24" s="95">
        <f>IF(OR($BD24=1,AND($AE24&lt;&gt;"",$BC24&gt;=Controls!$B$10*$AE24)),1,0)</f>
        <v/>
      </c>
    </row>
    <row r="25" ht="15.75" customHeight="1" s="79">
      <c r="A25" s="5" t="inlineStr">
        <is>
          <t>5674150528</t>
        </is>
      </c>
      <c r="B25" s="5" t="inlineStr">
        <is>
          <t>Concrete Design Solutions</t>
        </is>
      </c>
      <c r="C25" s="5" t="inlineStr">
        <is>
          <t>Concrete Design Solutions</t>
        </is>
      </c>
      <c r="D25" s="5" t="inlineStr">
        <is>
          <t>Legal</t>
        </is>
      </c>
      <c r="E25" s="16" t="n">
        <v>45702</v>
      </c>
      <c r="F25" s="16" t="n">
        <v>45820</v>
      </c>
      <c r="G25" s="17" t="n">
        <v>3</v>
      </c>
      <c r="H25" s="5" t="inlineStr">
        <is>
          <t>1611</t>
        </is>
      </c>
      <c r="I25" s="5" t="inlineStr">
        <is>
          <t>Poured Concrete Foundation and Structure Contractors</t>
        </is>
      </c>
      <c r="J25" s="5" t="inlineStr">
        <is>
          <t>16</t>
        </is>
      </c>
      <c r="K25" s="5" t="n">
        <v>1771</v>
      </c>
      <c r="L25" s="5" t="inlineStr">
        <is>
          <t>LA</t>
        </is>
      </c>
      <c r="M25" s="5" t="inlineStr">
        <is>
          <t>Splash</t>
        </is>
      </c>
      <c r="N25" s="5" t="inlineStr">
        <is>
          <t>Renewal</t>
        </is>
      </c>
      <c r="O25" s="19" t="n">
        <v>1.49</v>
      </c>
      <c r="P25" s="20" t="n">
        <v>22500</v>
      </c>
      <c r="Q25" s="20" t="n">
        <v>3150</v>
      </c>
      <c r="R25" s="20" t="n">
        <v>33525</v>
      </c>
      <c r="S25" s="20" t="n">
        <v>3924.41</v>
      </c>
      <c r="T25" s="20" t="n">
        <v>29600.59</v>
      </c>
      <c r="U25" s="21" t="n">
        <v>0.117059209545116</v>
      </c>
      <c r="V25" s="22" t="n">
        <v>28</v>
      </c>
      <c r="W25" s="17" t="n">
        <v>454</v>
      </c>
      <c r="X25" s="17" t="n">
        <v>4</v>
      </c>
      <c r="Y25" s="5" t="n"/>
      <c r="Z25" s="21" t="n">
        <v>0.1251</v>
      </c>
      <c r="AA25" s="16" t="n">
        <v>39932</v>
      </c>
      <c r="AB25" s="5">
        <f>IF(V25="","",IF(V25&lt;12,"Months","Weeks"))</f>
        <v/>
      </c>
      <c r="AC25" s="5">
        <f>IF(AB25="","",IF(AB25="Months","Daily","Weekly"))</f>
        <v/>
      </c>
      <c r="AD25" s="17">
        <f>IF(V25="","",IF(AC25="Daily",V25*Controls!$B$13,V25))</f>
        <v/>
      </c>
      <c r="AE25" s="17">
        <f>IF(V25="","",IF(AC25="Daily",V25*Controls!$B$13,V25*Controls!$B$12))</f>
        <v/>
      </c>
      <c r="AF25" s="17">
        <f>IF(OR(E25="",F25=""),"",F25-E25)</f>
        <v/>
      </c>
      <c r="AG25" s="17">
        <f>IF(OR(E25="",F25=""),"",NETWORKDAYS(E25,F25,Ref!$F$4:$F$47))</f>
        <v/>
      </c>
      <c r="AH25" s="39">
        <f>IF(IFERROR(VLOOKUP(D25,Controls!$A$25:$D$35,2,FALSE()),"No")="Yes",1,0)</f>
        <v/>
      </c>
      <c r="AI25" s="39">
        <f>IF(IFERROR(VLOOKUP(D25,Controls!$A$25:$D$35,3,FALSE()),"No")="Yes",1,0)</f>
        <v/>
      </c>
      <c r="AJ25" s="39">
        <f>IF(IFERROR(VLOOKUP(D25,Controls!$A$25:$D$35,4,FALSE()),"No")="Yes",1,0)</f>
        <v/>
      </c>
      <c r="AK25" s="96">
        <f>IF(AND($E25&gt;=Controls!$B$5,$E25&lt;=Controls!$B$6,OR(Controls!$E$9&lt;&gt;"Y",$BE25=1)),1,0)</f>
        <v/>
      </c>
      <c r="AL25" s="39">
        <f>1</f>
        <v/>
      </c>
      <c r="AM25" s="20">
        <f>S25-P25</f>
        <v/>
      </c>
      <c r="AN25" s="20">
        <f>IF(AH25=1,MAX(0,P25-S25),0)</f>
        <v/>
      </c>
      <c r="AO25" s="21">
        <f>IFERROR(S25/P25,"")</f>
        <v/>
      </c>
      <c r="AP25" s="22">
        <f>IF(Y25="","",P25/Y25)</f>
        <v/>
      </c>
      <c r="AQ25" s="39">
        <f>IF(Y25="",0,1)</f>
        <v/>
      </c>
      <c r="AR25" s="39">
        <f>IF(S25&lt;=0,1,0)</f>
        <v/>
      </c>
      <c r="AS25" s="17">
        <f>IF(AH25=1,AG25,"")</f>
        <v/>
      </c>
      <c r="AT25" s="17">
        <f>IF(AND(AH25=0,AJ25=1),AG25,"")</f>
        <v/>
      </c>
      <c r="AU25" s="5">
        <f>IF(P25&lt;10000,"Under $10K",IF(P25&lt;20000,"$10-20K",IF(P25&lt;30000,"$20-30K",IF(P25&lt;50000,"$30-50K",IF(P25&lt;100000,"$50-100K","$100K+")))))</f>
        <v/>
      </c>
      <c r="AV25" s="5">
        <f>IF(O25&lt;=1.35,"1.35 and under",IF(O25&lt;=1.42,"1.36-1.42",IF(O25&lt;=1.45,"1.43-1.45",IF(O25&lt;1.49,"1.46-1.48",IF(O25&lt;=1.49,"1.49","Above 1.49")))))</f>
        <v/>
      </c>
      <c r="AW25" s="5">
        <f>IF(AE25="","",IF(AE25&lt;60,"Under 60",IF(AE25&lt;90,"60-89",IF(AE25&lt;120,"90-119",IF(AE25&lt;150,"120-149","150+")))))</f>
        <v/>
      </c>
      <c r="AX25" s="5">
        <f>IF(AP25="","No revenue data",IF(AP25&lt;0.15,"Under 0.15x",IF(AP25&lt;0.3,"0.15-0.30x",IF(AP25&lt;0.5,"0.30-0.50x",IF(AP25&lt;1,"0.50-1.00x","1.00x+")))))</f>
        <v/>
      </c>
      <c r="AY25" s="5">
        <f>IF(J25="","No SIC",IFERROR(VLOOKUP(J25,Ref!$A$4:$C$67,2,FALSE()),"Unclassified"))</f>
        <v/>
      </c>
      <c r="AZ25" s="5">
        <f>IF(E25="","",TEXT(E25,"YYYY")&amp;"-Q"&amp;ROUNDUP(MONTH(E25)/3,0))</f>
        <v/>
      </c>
      <c r="BA25" s="5">
        <f>IF(E25="","",TEXT(E25,"YYYY-MM"))</f>
        <v/>
      </c>
      <c r="BB25" s="5">
        <f>IF(E25="","",TEXT(E25,"YYYY"))</f>
        <v/>
      </c>
      <c r="BC25" s="92">
        <f>IF($E25="","",NETWORKDAYS($E25,Controls!$B$9,Ref!$F$4:$F$47))</f>
        <v/>
      </c>
      <c r="BD25" s="92">
        <f>IF(OR($AH25=1,$AJ25=1),1,0)</f>
        <v/>
      </c>
      <c r="BE25" s="95">
        <f>IF(OR($BD25=1,AND($AE25&lt;&gt;"",$BC25&gt;=Controls!$B$10*$AE25)),1,0)</f>
        <v/>
      </c>
    </row>
    <row r="26" ht="15.75" customHeight="1" s="79">
      <c r="A26" s="5" t="inlineStr">
        <is>
          <t>5674150533</t>
        </is>
      </c>
      <c r="B26" s="5" t="inlineStr">
        <is>
          <t>SIMPLY BEDLINERS &amp; MINOR AUTO BODY REPAIR</t>
        </is>
      </c>
      <c r="C26" s="5" t="inlineStr">
        <is>
          <t>SIMPLY BEDLINERS &amp; MINOR AUTO BODY REPAIR L.L.P.</t>
        </is>
      </c>
      <c r="D26" s="5" t="inlineStr">
        <is>
          <t>Legal</t>
        </is>
      </c>
      <c r="E26" s="16" t="n">
        <v>45702</v>
      </c>
      <c r="F26" s="16" t="n">
        <v>45735</v>
      </c>
      <c r="G26" s="17" t="n">
        <v>4</v>
      </c>
      <c r="H26" s="5" t="inlineStr">
        <is>
          <t>7532</t>
        </is>
      </c>
      <c r="I26" s="5" t="inlineStr">
        <is>
          <t>Automotive Body, Paint, and Interior Repair and Maintenance</t>
        </is>
      </c>
      <c r="J26" s="5" t="inlineStr">
        <is>
          <t>75</t>
        </is>
      </c>
      <c r="K26" s="5" t="n">
        <v>7531</v>
      </c>
      <c r="L26" s="5" t="inlineStr">
        <is>
          <t>AZ</t>
        </is>
      </c>
      <c r="M26" s="5" t="inlineStr">
        <is>
          <t>The Funding Channel</t>
        </is>
      </c>
      <c r="N26" s="5" t="inlineStr">
        <is>
          <t>Renewal</t>
        </is>
      </c>
      <c r="O26" s="19" t="n">
        <v>1.49</v>
      </c>
      <c r="P26" s="20" t="n">
        <v>20000</v>
      </c>
      <c r="Q26" s="20" t="n">
        <v>2800</v>
      </c>
      <c r="R26" s="20" t="n">
        <v>29800</v>
      </c>
      <c r="S26" s="20" t="n">
        <v>5962.36</v>
      </c>
      <c r="T26" s="20" t="n">
        <v>23837.64</v>
      </c>
      <c r="U26" s="21" t="n">
        <v>0.200079194630873</v>
      </c>
      <c r="V26" s="22" t="n">
        <v>20</v>
      </c>
      <c r="W26" s="17" t="n">
        <v>525</v>
      </c>
      <c r="X26" s="17" t="n">
        <v>1</v>
      </c>
      <c r="Y26" s="5" t="n"/>
      <c r="Z26" s="21" t="n">
        <v>0.0964</v>
      </c>
      <c r="AA26" s="16" t="n">
        <v>43617</v>
      </c>
      <c r="AB26" s="5">
        <f>IF(V26="","",IF(V26&lt;12,"Months","Weeks"))</f>
        <v/>
      </c>
      <c r="AC26" s="5">
        <f>IF(AB26="","",IF(AB26="Months","Daily","Weekly"))</f>
        <v/>
      </c>
      <c r="AD26" s="17">
        <f>IF(V26="","",IF(AC26="Daily",V26*Controls!$B$13,V26))</f>
        <v/>
      </c>
      <c r="AE26" s="17">
        <f>IF(V26="","",IF(AC26="Daily",V26*Controls!$B$13,V26*Controls!$B$12))</f>
        <v/>
      </c>
      <c r="AF26" s="17">
        <f>IF(OR(E26="",F26=""),"",F26-E26)</f>
        <v/>
      </c>
      <c r="AG26" s="17">
        <f>IF(OR(E26="",F26=""),"",NETWORKDAYS(E26,F26,Ref!$F$4:$F$47))</f>
        <v/>
      </c>
      <c r="AH26" s="39">
        <f>IF(IFERROR(VLOOKUP(D26,Controls!$A$25:$D$35,2,FALSE()),"No")="Yes",1,0)</f>
        <v/>
      </c>
      <c r="AI26" s="39">
        <f>IF(IFERROR(VLOOKUP(D26,Controls!$A$25:$D$35,3,FALSE()),"No")="Yes",1,0)</f>
        <v/>
      </c>
      <c r="AJ26" s="39">
        <f>IF(IFERROR(VLOOKUP(D26,Controls!$A$25:$D$35,4,FALSE()),"No")="Yes",1,0)</f>
        <v/>
      </c>
      <c r="AK26" s="96">
        <f>IF(AND($E26&gt;=Controls!$B$5,$E26&lt;=Controls!$B$6,OR(Controls!$E$9&lt;&gt;"Y",$BE26=1)),1,0)</f>
        <v/>
      </c>
      <c r="AL26" s="39">
        <f>1</f>
        <v/>
      </c>
      <c r="AM26" s="20">
        <f>S26-P26</f>
        <v/>
      </c>
      <c r="AN26" s="20">
        <f>IF(AH26=1,MAX(0,P26-S26),0)</f>
        <v/>
      </c>
      <c r="AO26" s="21">
        <f>IFERROR(S26/P26,"")</f>
        <v/>
      </c>
      <c r="AP26" s="22">
        <f>IF(Y26="","",P26/Y26)</f>
        <v/>
      </c>
      <c r="AQ26" s="39">
        <f>IF(Y26="",0,1)</f>
        <v/>
      </c>
      <c r="AR26" s="39">
        <f>IF(S26&lt;=0,1,0)</f>
        <v/>
      </c>
      <c r="AS26" s="17">
        <f>IF(AH26=1,AG26,"")</f>
        <v/>
      </c>
      <c r="AT26" s="17">
        <f>IF(AND(AH26=0,AJ26=1),AG26,"")</f>
        <v/>
      </c>
      <c r="AU26" s="5">
        <f>IF(P26&lt;10000,"Under $10K",IF(P26&lt;20000,"$10-20K",IF(P26&lt;30000,"$20-30K",IF(P26&lt;50000,"$30-50K",IF(P26&lt;100000,"$50-100K","$100K+")))))</f>
        <v/>
      </c>
      <c r="AV26" s="5">
        <f>IF(O26&lt;=1.35,"1.35 and under",IF(O26&lt;=1.42,"1.36-1.42",IF(O26&lt;=1.45,"1.43-1.45",IF(O26&lt;1.49,"1.46-1.48",IF(O26&lt;=1.49,"1.49","Above 1.49")))))</f>
        <v/>
      </c>
      <c r="AW26" s="5">
        <f>IF(AE26="","",IF(AE26&lt;60,"Under 60",IF(AE26&lt;90,"60-89",IF(AE26&lt;120,"90-119",IF(AE26&lt;150,"120-149","150+")))))</f>
        <v/>
      </c>
      <c r="AX26" s="5">
        <f>IF(AP26="","No revenue data",IF(AP26&lt;0.15,"Under 0.15x",IF(AP26&lt;0.3,"0.15-0.30x",IF(AP26&lt;0.5,"0.30-0.50x",IF(AP26&lt;1,"0.50-1.00x","1.00x+")))))</f>
        <v/>
      </c>
      <c r="AY26" s="5">
        <f>IF(J26="","No SIC",IFERROR(VLOOKUP(J26,Ref!$A$4:$C$67,2,FALSE()),"Unclassified"))</f>
        <v/>
      </c>
      <c r="AZ26" s="5">
        <f>IF(E26="","",TEXT(E26,"YYYY")&amp;"-Q"&amp;ROUNDUP(MONTH(E26)/3,0))</f>
        <v/>
      </c>
      <c r="BA26" s="5">
        <f>IF(E26="","",TEXT(E26,"YYYY-MM"))</f>
        <v/>
      </c>
      <c r="BB26" s="5">
        <f>IF(E26="","",TEXT(E26,"YYYY"))</f>
        <v/>
      </c>
      <c r="BC26" s="92">
        <f>IF($E26="","",NETWORKDAYS($E26,Controls!$B$9,Ref!$F$4:$F$47))</f>
        <v/>
      </c>
      <c r="BD26" s="92">
        <f>IF(OR($AH26=1,$AJ26=1),1,0)</f>
        <v/>
      </c>
      <c r="BE26" s="95">
        <f>IF(OR($BD26=1,AND($AE26&lt;&gt;"",$BC26&gt;=Controls!$B$10*$AE26)),1,0)</f>
        <v/>
      </c>
    </row>
    <row r="27" ht="15.75" customHeight="1" s="79">
      <c r="A27" s="5" t="inlineStr">
        <is>
          <t>5674150572</t>
        </is>
      </c>
      <c r="B27" s="5" t="inlineStr">
        <is>
          <t>B &amp; G Trucking LLC</t>
        </is>
      </c>
      <c r="C27" s="5" t="inlineStr">
        <is>
          <t>B &amp; G Trucking LLC</t>
        </is>
      </c>
      <c r="D27" s="5" t="inlineStr">
        <is>
          <t>Legal</t>
        </is>
      </c>
      <c r="E27" s="16" t="n">
        <v>45702</v>
      </c>
      <c r="F27" s="16" t="n">
        <v>45715</v>
      </c>
      <c r="G27" s="17" t="n">
        <v>3</v>
      </c>
      <c r="H27" s="5" t="inlineStr">
        <is>
          <t>4212</t>
        </is>
      </c>
      <c r="I27" s="5" t="inlineStr">
        <is>
          <t>Specialized Freight (Except Used Goods) Trucking, Local</t>
        </is>
      </c>
      <c r="J27" s="5" t="inlineStr">
        <is>
          <t>42</t>
        </is>
      </c>
      <c r="K27" s="5" t="n">
        <v>4214</v>
      </c>
      <c r="L27" s="5" t="inlineStr">
        <is>
          <t>IL</t>
        </is>
      </c>
      <c r="M27" s="5" t="inlineStr">
        <is>
          <t>Tip Top Capital</t>
        </is>
      </c>
      <c r="N27" s="5" t="inlineStr">
        <is>
          <t>New Deal</t>
        </is>
      </c>
      <c r="O27" s="19" t="n">
        <v>1.35</v>
      </c>
      <c r="P27" s="20" t="n">
        <v>10000</v>
      </c>
      <c r="Q27" s="20" t="n">
        <v>0</v>
      </c>
      <c r="R27" s="20" t="n">
        <v>13500</v>
      </c>
      <c r="S27" s="20" t="n">
        <v>843.2</v>
      </c>
      <c r="T27" s="20" t="n">
        <v>12656.8</v>
      </c>
      <c r="U27" s="21" t="n">
        <v>0.0624592592592593</v>
      </c>
      <c r="V27" s="22" t="n">
        <v>2.623</v>
      </c>
      <c r="W27" s="17" t="n">
        <v>544</v>
      </c>
      <c r="X27" s="17" t="n">
        <v>3</v>
      </c>
      <c r="Y27" s="5" t="n"/>
      <c r="Z27" s="21" t="n">
        <v>0.0689</v>
      </c>
      <c r="AA27" s="16" t="n">
        <v>43894</v>
      </c>
      <c r="AB27" s="5">
        <f>IF(V27="","",IF(V27&lt;12,"Months","Weeks"))</f>
        <v/>
      </c>
      <c r="AC27" s="5">
        <f>IF(AB27="","",IF(AB27="Months","Daily","Weekly"))</f>
        <v/>
      </c>
      <c r="AD27" s="17">
        <f>IF(V27="","",IF(AC27="Daily",V27*Controls!$B$13,V27))</f>
        <v/>
      </c>
      <c r="AE27" s="17">
        <f>IF(V27="","",IF(AC27="Daily",V27*Controls!$B$13,V27*Controls!$B$12))</f>
        <v/>
      </c>
      <c r="AF27" s="17">
        <f>IF(OR(E27="",F27=""),"",F27-E27)</f>
        <v/>
      </c>
      <c r="AG27" s="17">
        <f>IF(OR(E27="",F27=""),"",NETWORKDAYS(E27,F27,Ref!$F$4:$F$47))</f>
        <v/>
      </c>
      <c r="AH27" s="39">
        <f>IF(IFERROR(VLOOKUP(D27,Controls!$A$25:$D$35,2,FALSE()),"No")="Yes",1,0)</f>
        <v/>
      </c>
      <c r="AI27" s="39">
        <f>IF(IFERROR(VLOOKUP(D27,Controls!$A$25:$D$35,3,FALSE()),"No")="Yes",1,0)</f>
        <v/>
      </c>
      <c r="AJ27" s="39">
        <f>IF(IFERROR(VLOOKUP(D27,Controls!$A$25:$D$35,4,FALSE()),"No")="Yes",1,0)</f>
        <v/>
      </c>
      <c r="AK27" s="96">
        <f>IF(AND($E27&gt;=Controls!$B$5,$E27&lt;=Controls!$B$6,OR(Controls!$E$9&lt;&gt;"Y",$BE27=1)),1,0)</f>
        <v/>
      </c>
      <c r="AL27" s="39">
        <f>1</f>
        <v/>
      </c>
      <c r="AM27" s="20">
        <f>S27-P27</f>
        <v/>
      </c>
      <c r="AN27" s="20">
        <f>IF(AH27=1,MAX(0,P27-S27),0)</f>
        <v/>
      </c>
      <c r="AO27" s="21">
        <f>IFERROR(S27/P27,"")</f>
        <v/>
      </c>
      <c r="AP27" s="22">
        <f>IF(Y27="","",P27/Y27)</f>
        <v/>
      </c>
      <c r="AQ27" s="39">
        <f>IF(Y27="",0,1)</f>
        <v/>
      </c>
      <c r="AR27" s="39">
        <f>IF(S27&lt;=0,1,0)</f>
        <v/>
      </c>
      <c r="AS27" s="17">
        <f>IF(AH27=1,AG27,"")</f>
        <v/>
      </c>
      <c r="AT27" s="17">
        <f>IF(AND(AH27=0,AJ27=1),AG27,"")</f>
        <v/>
      </c>
      <c r="AU27" s="5">
        <f>IF(P27&lt;10000,"Under $10K",IF(P27&lt;20000,"$10-20K",IF(P27&lt;30000,"$20-30K",IF(P27&lt;50000,"$30-50K",IF(P27&lt;100000,"$50-100K","$100K+")))))</f>
        <v/>
      </c>
      <c r="AV27" s="5">
        <f>IF(O27&lt;=1.35,"1.35 and under",IF(O27&lt;=1.42,"1.36-1.42",IF(O27&lt;=1.45,"1.43-1.45",IF(O27&lt;1.49,"1.46-1.48",IF(O27&lt;=1.49,"1.49","Above 1.49")))))</f>
        <v/>
      </c>
      <c r="AW27" s="5">
        <f>IF(AE27="","",IF(AE27&lt;60,"Under 60",IF(AE27&lt;90,"60-89",IF(AE27&lt;120,"90-119",IF(AE27&lt;150,"120-149","150+")))))</f>
        <v/>
      </c>
      <c r="AX27" s="5">
        <f>IF(AP27="","No revenue data",IF(AP27&lt;0.15,"Under 0.15x",IF(AP27&lt;0.3,"0.15-0.30x",IF(AP27&lt;0.5,"0.30-0.50x",IF(AP27&lt;1,"0.50-1.00x","1.00x+")))))</f>
        <v/>
      </c>
      <c r="AY27" s="5">
        <f>IF(J27="","No SIC",IFERROR(VLOOKUP(J27,Ref!$A$4:$C$67,2,FALSE()),"Unclassified"))</f>
        <v/>
      </c>
      <c r="AZ27" s="5">
        <f>IF(E27="","",TEXT(E27,"YYYY")&amp;"-Q"&amp;ROUNDUP(MONTH(E27)/3,0))</f>
        <v/>
      </c>
      <c r="BA27" s="5">
        <f>IF(E27="","",TEXT(E27,"YYYY-MM"))</f>
        <v/>
      </c>
      <c r="BB27" s="5">
        <f>IF(E27="","",TEXT(E27,"YYYY"))</f>
        <v/>
      </c>
      <c r="BC27" s="92">
        <f>IF($E27="","",NETWORKDAYS($E27,Controls!$B$9,Ref!$F$4:$F$47))</f>
        <v/>
      </c>
      <c r="BD27" s="92">
        <f>IF(OR($AH27=1,$AJ27=1),1,0)</f>
        <v/>
      </c>
      <c r="BE27" s="95">
        <f>IF(OR($BD27=1,AND($AE27&lt;&gt;"",$BC27&gt;=Controls!$B$10*$AE27)),1,0)</f>
        <v/>
      </c>
    </row>
    <row r="28" ht="15.75" customHeight="1" s="79">
      <c r="A28" s="5" t="inlineStr">
        <is>
          <t>5674150646</t>
        </is>
      </c>
      <c r="B28" s="5" t="inlineStr">
        <is>
          <t>DY GARAGE DOORS</t>
        </is>
      </c>
      <c r="C28" s="5" t="inlineStr">
        <is>
          <t>DY GARAGE DOORS LLC</t>
        </is>
      </c>
      <c r="D28" s="5" t="inlineStr">
        <is>
          <t>Legal</t>
        </is>
      </c>
      <c r="E28" s="16" t="n">
        <v>45705</v>
      </c>
      <c r="F28" s="16" t="n">
        <v>45726</v>
      </c>
      <c r="G28" s="17" t="n">
        <v>6</v>
      </c>
      <c r="H28" s="5" t="inlineStr">
        <is>
          <t>1751</t>
        </is>
      </c>
      <c r="I28" s="5" t="inlineStr">
        <is>
          <t>Finish Carpentry Contractors</t>
        </is>
      </c>
      <c r="J28" s="5" t="inlineStr">
        <is>
          <t>17</t>
        </is>
      </c>
      <c r="K28" s="5" t="n">
        <v>1750</v>
      </c>
      <c r="L28" s="5" t="inlineStr">
        <is>
          <t>FL</t>
        </is>
      </c>
      <c r="M28" s="5" t="inlineStr">
        <is>
          <t>Tip Top Capital</t>
        </is>
      </c>
      <c r="N28" s="5" t="inlineStr">
        <is>
          <t>New Deal</t>
        </is>
      </c>
      <c r="O28" s="19" t="n">
        <v>1.49</v>
      </c>
      <c r="P28" s="20" t="n">
        <v>12000</v>
      </c>
      <c r="Q28" s="20" t="n">
        <v>1440</v>
      </c>
      <c r="R28" s="20" t="n">
        <v>17880</v>
      </c>
      <c r="S28" s="20" t="n">
        <v>2295</v>
      </c>
      <c r="T28" s="20" t="n">
        <v>15585</v>
      </c>
      <c r="U28" s="21" t="n">
        <v>0.128355704697987</v>
      </c>
      <c r="V28" s="22" t="n">
        <v>2.296</v>
      </c>
      <c r="W28" s="17" t="n">
        <v>534</v>
      </c>
      <c r="X28" s="17" t="n">
        <v>5</v>
      </c>
      <c r="Y28" s="5" t="n"/>
      <c r="Z28" s="21" t="n">
        <v>0.0493</v>
      </c>
      <c r="AA28" s="16" t="n">
        <v>43069</v>
      </c>
      <c r="AB28" s="5">
        <f>IF(V28="","",IF(V28&lt;12,"Months","Weeks"))</f>
        <v/>
      </c>
      <c r="AC28" s="5">
        <f>IF(AB28="","",IF(AB28="Months","Daily","Weekly"))</f>
        <v/>
      </c>
      <c r="AD28" s="17">
        <f>IF(V28="","",IF(AC28="Daily",V28*Controls!$B$13,V28))</f>
        <v/>
      </c>
      <c r="AE28" s="17">
        <f>IF(V28="","",IF(AC28="Daily",V28*Controls!$B$13,V28*Controls!$B$12))</f>
        <v/>
      </c>
      <c r="AF28" s="17">
        <f>IF(OR(E28="",F28=""),"",F28-E28)</f>
        <v/>
      </c>
      <c r="AG28" s="17">
        <f>IF(OR(E28="",F28=""),"",NETWORKDAYS(E28,F28,Ref!$F$4:$F$47))</f>
        <v/>
      </c>
      <c r="AH28" s="39">
        <f>IF(IFERROR(VLOOKUP(D28,Controls!$A$25:$D$35,2,FALSE()),"No")="Yes",1,0)</f>
        <v/>
      </c>
      <c r="AI28" s="39">
        <f>IF(IFERROR(VLOOKUP(D28,Controls!$A$25:$D$35,3,FALSE()),"No")="Yes",1,0)</f>
        <v/>
      </c>
      <c r="AJ28" s="39">
        <f>IF(IFERROR(VLOOKUP(D28,Controls!$A$25:$D$35,4,FALSE()),"No")="Yes",1,0)</f>
        <v/>
      </c>
      <c r="AK28" s="96">
        <f>IF(AND($E28&gt;=Controls!$B$5,$E28&lt;=Controls!$B$6,OR(Controls!$E$9&lt;&gt;"Y",$BE28=1)),1,0)</f>
        <v/>
      </c>
      <c r="AL28" s="39">
        <f>1</f>
        <v/>
      </c>
      <c r="AM28" s="20">
        <f>S28-P28</f>
        <v/>
      </c>
      <c r="AN28" s="20">
        <f>IF(AH28=1,MAX(0,P28-S28),0)</f>
        <v/>
      </c>
      <c r="AO28" s="21">
        <f>IFERROR(S28/P28,"")</f>
        <v/>
      </c>
      <c r="AP28" s="22">
        <f>IF(Y28="","",P28/Y28)</f>
        <v/>
      </c>
      <c r="AQ28" s="39">
        <f>IF(Y28="",0,1)</f>
        <v/>
      </c>
      <c r="AR28" s="39">
        <f>IF(S28&lt;=0,1,0)</f>
        <v/>
      </c>
      <c r="AS28" s="17">
        <f>IF(AH28=1,AG28,"")</f>
        <v/>
      </c>
      <c r="AT28" s="17">
        <f>IF(AND(AH28=0,AJ28=1),AG28,"")</f>
        <v/>
      </c>
      <c r="AU28" s="5">
        <f>IF(P28&lt;10000,"Under $10K",IF(P28&lt;20000,"$10-20K",IF(P28&lt;30000,"$20-30K",IF(P28&lt;50000,"$30-50K",IF(P28&lt;100000,"$50-100K","$100K+")))))</f>
        <v/>
      </c>
      <c r="AV28" s="5">
        <f>IF(O28&lt;=1.35,"1.35 and under",IF(O28&lt;=1.42,"1.36-1.42",IF(O28&lt;=1.45,"1.43-1.45",IF(O28&lt;1.49,"1.46-1.48",IF(O28&lt;=1.49,"1.49","Above 1.49")))))</f>
        <v/>
      </c>
      <c r="AW28" s="5">
        <f>IF(AE28="","",IF(AE28&lt;60,"Under 60",IF(AE28&lt;90,"60-89",IF(AE28&lt;120,"90-119",IF(AE28&lt;150,"120-149","150+")))))</f>
        <v/>
      </c>
      <c r="AX28" s="5">
        <f>IF(AP28="","No revenue data",IF(AP28&lt;0.15,"Under 0.15x",IF(AP28&lt;0.3,"0.15-0.30x",IF(AP28&lt;0.5,"0.30-0.50x",IF(AP28&lt;1,"0.50-1.00x","1.00x+")))))</f>
        <v/>
      </c>
      <c r="AY28" s="5">
        <f>IF(J28="","No SIC",IFERROR(VLOOKUP(J28,Ref!$A$4:$C$67,2,FALSE()),"Unclassified"))</f>
        <v/>
      </c>
      <c r="AZ28" s="5">
        <f>IF(E28="","",TEXT(E28,"YYYY")&amp;"-Q"&amp;ROUNDUP(MONTH(E28)/3,0))</f>
        <v/>
      </c>
      <c r="BA28" s="5">
        <f>IF(E28="","",TEXT(E28,"YYYY-MM"))</f>
        <v/>
      </c>
      <c r="BB28" s="5">
        <f>IF(E28="","",TEXT(E28,"YYYY"))</f>
        <v/>
      </c>
      <c r="BC28" s="92">
        <f>IF($E28="","",NETWORKDAYS($E28,Controls!$B$9,Ref!$F$4:$F$47))</f>
        <v/>
      </c>
      <c r="BD28" s="92">
        <f>IF(OR($AH28=1,$AJ28=1),1,0)</f>
        <v/>
      </c>
      <c r="BE28" s="95">
        <f>IF(OR($BD28=1,AND($AE28&lt;&gt;"",$BC28&gt;=Controls!$B$10*$AE28)),1,0)</f>
        <v/>
      </c>
    </row>
    <row r="29" ht="15.75" customHeight="1" s="79">
      <c r="A29" s="5" t="inlineStr">
        <is>
          <t>5674150664</t>
        </is>
      </c>
      <c r="B29" s="5" t="inlineStr">
        <is>
          <t>Wyatts Feed and Seed</t>
        </is>
      </c>
      <c r="C29" s="5" t="inlineStr">
        <is>
          <t>Wyatts Feed and Seed</t>
        </is>
      </c>
      <c r="D29" s="5" t="inlineStr">
        <is>
          <t>Legal</t>
        </is>
      </c>
      <c r="E29" s="16" t="n">
        <v>45706</v>
      </c>
      <c r="F29" s="16" t="n">
        <v>45812</v>
      </c>
      <c r="G29" s="17" t="n">
        <v>3</v>
      </c>
      <c r="H29" s="5" t="inlineStr">
        <is>
          <t>2048</t>
        </is>
      </c>
      <c r="I29" s="5" t="inlineStr">
        <is>
          <t>Other Animal Food Mfg.</t>
        </is>
      </c>
      <c r="J29" s="5" t="inlineStr">
        <is>
          <t>20</t>
        </is>
      </c>
      <c r="K29" s="5" t="n">
        <v>5995</v>
      </c>
      <c r="L29" s="5" t="inlineStr">
        <is>
          <t>AL</t>
        </is>
      </c>
      <c r="M29" s="5" t="inlineStr">
        <is>
          <t>Pathway Catalyst</t>
        </is>
      </c>
      <c r="N29" s="5" t="inlineStr">
        <is>
          <t>Renewal</t>
        </is>
      </c>
      <c r="O29" s="19" t="n">
        <v>1.49</v>
      </c>
      <c r="P29" s="20" t="n">
        <v>5000</v>
      </c>
      <c r="Q29" s="20" t="n">
        <v>700</v>
      </c>
      <c r="R29" s="20" t="n">
        <v>7450</v>
      </c>
      <c r="S29" s="20" t="n">
        <v>3339</v>
      </c>
      <c r="T29" s="20" t="n">
        <v>4111</v>
      </c>
      <c r="U29" s="21" t="n">
        <v>0.448187919463087</v>
      </c>
      <c r="V29" s="22" t="n">
        <v>2.295</v>
      </c>
      <c r="W29" s="17" t="n">
        <v>455</v>
      </c>
      <c r="X29" s="17" t="n">
        <v>29</v>
      </c>
      <c r="Y29" s="5" t="n"/>
      <c r="Z29" s="21" t="n">
        <v>0.0566</v>
      </c>
      <c r="AA29" s="5" t="n"/>
      <c r="AB29" s="5">
        <f>IF(V29="","",IF(V29&lt;12,"Months","Weeks"))</f>
        <v/>
      </c>
      <c r="AC29" s="5">
        <f>IF(AB29="","",IF(AB29="Months","Daily","Weekly"))</f>
        <v/>
      </c>
      <c r="AD29" s="17">
        <f>IF(V29="","",IF(AC29="Daily",V29*Controls!$B$13,V29))</f>
        <v/>
      </c>
      <c r="AE29" s="17">
        <f>IF(V29="","",IF(AC29="Daily",V29*Controls!$B$13,V29*Controls!$B$12))</f>
        <v/>
      </c>
      <c r="AF29" s="17">
        <f>IF(OR(E29="",F29=""),"",F29-E29)</f>
        <v/>
      </c>
      <c r="AG29" s="17">
        <f>IF(OR(E29="",F29=""),"",NETWORKDAYS(E29,F29,Ref!$F$4:$F$47))</f>
        <v/>
      </c>
      <c r="AH29" s="39">
        <f>IF(IFERROR(VLOOKUP(D29,Controls!$A$25:$D$35,2,FALSE()),"No")="Yes",1,0)</f>
        <v/>
      </c>
      <c r="AI29" s="39">
        <f>IF(IFERROR(VLOOKUP(D29,Controls!$A$25:$D$35,3,FALSE()),"No")="Yes",1,0)</f>
        <v/>
      </c>
      <c r="AJ29" s="39">
        <f>IF(IFERROR(VLOOKUP(D29,Controls!$A$25:$D$35,4,FALSE()),"No")="Yes",1,0)</f>
        <v/>
      </c>
      <c r="AK29" s="96">
        <f>IF(AND($E29&gt;=Controls!$B$5,$E29&lt;=Controls!$B$6,OR(Controls!$E$9&lt;&gt;"Y",$BE29=1)),1,0)</f>
        <v/>
      </c>
      <c r="AL29" s="39">
        <f>1</f>
        <v/>
      </c>
      <c r="AM29" s="20">
        <f>S29-P29</f>
        <v/>
      </c>
      <c r="AN29" s="20">
        <f>IF(AH29=1,MAX(0,P29-S29),0)</f>
        <v/>
      </c>
      <c r="AO29" s="21">
        <f>IFERROR(S29/P29,"")</f>
        <v/>
      </c>
      <c r="AP29" s="22">
        <f>IF(Y29="","",P29/Y29)</f>
        <v/>
      </c>
      <c r="AQ29" s="39">
        <f>IF(Y29="",0,1)</f>
        <v/>
      </c>
      <c r="AR29" s="39">
        <f>IF(S29&lt;=0,1,0)</f>
        <v/>
      </c>
      <c r="AS29" s="17">
        <f>IF(AH29=1,AG29,"")</f>
        <v/>
      </c>
      <c r="AT29" s="17">
        <f>IF(AND(AH29=0,AJ29=1),AG29,"")</f>
        <v/>
      </c>
      <c r="AU29" s="5">
        <f>IF(P29&lt;10000,"Under $10K",IF(P29&lt;20000,"$10-20K",IF(P29&lt;30000,"$20-30K",IF(P29&lt;50000,"$30-50K",IF(P29&lt;100000,"$50-100K","$100K+")))))</f>
        <v/>
      </c>
      <c r="AV29" s="5">
        <f>IF(O29&lt;=1.35,"1.35 and under",IF(O29&lt;=1.42,"1.36-1.42",IF(O29&lt;=1.45,"1.43-1.45",IF(O29&lt;1.49,"1.46-1.48",IF(O29&lt;=1.49,"1.49","Above 1.49")))))</f>
        <v/>
      </c>
      <c r="AW29" s="5">
        <f>IF(AE29="","",IF(AE29&lt;60,"Under 60",IF(AE29&lt;90,"60-89",IF(AE29&lt;120,"90-119",IF(AE29&lt;150,"120-149","150+")))))</f>
        <v/>
      </c>
      <c r="AX29" s="5">
        <f>IF(AP29="","No revenue data",IF(AP29&lt;0.15,"Under 0.15x",IF(AP29&lt;0.3,"0.15-0.30x",IF(AP29&lt;0.5,"0.30-0.50x",IF(AP29&lt;1,"0.50-1.00x","1.00x+")))))</f>
        <v/>
      </c>
      <c r="AY29" s="5">
        <f>IF(J29="","No SIC",IFERROR(VLOOKUP(J29,Ref!$A$4:$C$67,2,FALSE()),"Unclassified"))</f>
        <v/>
      </c>
      <c r="AZ29" s="5">
        <f>IF(E29="","",TEXT(E29,"YYYY")&amp;"-Q"&amp;ROUNDUP(MONTH(E29)/3,0))</f>
        <v/>
      </c>
      <c r="BA29" s="5">
        <f>IF(E29="","",TEXT(E29,"YYYY-MM"))</f>
        <v/>
      </c>
      <c r="BB29" s="5">
        <f>IF(E29="","",TEXT(E29,"YYYY"))</f>
        <v/>
      </c>
      <c r="BC29" s="92">
        <f>IF($E29="","",NETWORKDAYS($E29,Controls!$B$9,Ref!$F$4:$F$47))</f>
        <v/>
      </c>
      <c r="BD29" s="92">
        <f>IF(OR($AH29=1,$AJ29=1),1,0)</f>
        <v/>
      </c>
      <c r="BE29" s="95">
        <f>IF(OR($BD29=1,AND($AE29&lt;&gt;"",$BC29&gt;=Controls!$B$10*$AE29)),1,0)</f>
        <v/>
      </c>
    </row>
    <row r="30" ht="15.75" customHeight="1" s="79">
      <c r="A30" s="5" t="inlineStr">
        <is>
          <t>5674150667</t>
        </is>
      </c>
      <c r="B30" s="5" t="inlineStr">
        <is>
          <t>Casteen Property Maintenance</t>
        </is>
      </c>
      <c r="C30" s="5" t="inlineStr">
        <is>
          <t>Casteen Property Maintenance</t>
        </is>
      </c>
      <c r="D30" s="5" t="inlineStr">
        <is>
          <t>Legal</t>
        </is>
      </c>
      <c r="E30" s="16" t="n">
        <v>45706</v>
      </c>
      <c r="F30" s="16" t="n">
        <v>45713</v>
      </c>
      <c r="G30" s="17" t="n">
        <v>4</v>
      </c>
      <c r="H30" s="5" t="inlineStr">
        <is>
          <t>7349</t>
        </is>
      </c>
      <c r="I30" s="5" t="inlineStr">
        <is>
          <t>Janitorial Services</t>
        </is>
      </c>
      <c r="J30" s="5" t="inlineStr">
        <is>
          <t>73</t>
        </is>
      </c>
      <c r="K30" s="5" t="n">
        <v>7349</v>
      </c>
      <c r="L30" s="5" t="inlineStr">
        <is>
          <t>NC</t>
        </is>
      </c>
      <c r="M30" s="5" t="inlineStr">
        <is>
          <t>Tip Top Capital</t>
        </is>
      </c>
      <c r="N30" s="5" t="inlineStr">
        <is>
          <t>New Deal</t>
        </is>
      </c>
      <c r="O30" s="19" t="n">
        <v>1.49</v>
      </c>
      <c r="P30" s="20" t="n">
        <v>4000</v>
      </c>
      <c r="Q30" s="20" t="n">
        <v>0</v>
      </c>
      <c r="R30" s="20" t="n">
        <v>5960</v>
      </c>
      <c r="S30" s="20" t="n">
        <v>119.18</v>
      </c>
      <c r="T30" s="20" t="n">
        <v>5840.82</v>
      </c>
      <c r="U30" s="21" t="n">
        <v>0.019996644295302</v>
      </c>
      <c r="V30" s="22" t="n">
        <v>1.64</v>
      </c>
      <c r="W30" s="17" t="n">
        <v>546</v>
      </c>
      <c r="X30" s="17" t="n">
        <v>3</v>
      </c>
      <c r="Y30" s="5" t="n"/>
      <c r="Z30" s="21" t="n">
        <v>0.09080000000000001</v>
      </c>
      <c r="AA30" s="16" t="n">
        <v>43293</v>
      </c>
      <c r="AB30" s="5">
        <f>IF(V30="","",IF(V30&lt;12,"Months","Weeks"))</f>
        <v/>
      </c>
      <c r="AC30" s="5">
        <f>IF(AB30="","",IF(AB30="Months","Daily","Weekly"))</f>
        <v/>
      </c>
      <c r="AD30" s="17">
        <f>IF(V30="","",IF(AC30="Daily",V30*Controls!$B$13,V30))</f>
        <v/>
      </c>
      <c r="AE30" s="17">
        <f>IF(V30="","",IF(AC30="Daily",V30*Controls!$B$13,V30*Controls!$B$12))</f>
        <v/>
      </c>
      <c r="AF30" s="17">
        <f>IF(OR(E30="",F30=""),"",F30-E30)</f>
        <v/>
      </c>
      <c r="AG30" s="17">
        <f>IF(OR(E30="",F30=""),"",NETWORKDAYS(E30,F30,Ref!$F$4:$F$47))</f>
        <v/>
      </c>
      <c r="AH30" s="39">
        <f>IF(IFERROR(VLOOKUP(D30,Controls!$A$25:$D$35,2,FALSE()),"No")="Yes",1,0)</f>
        <v/>
      </c>
      <c r="AI30" s="39">
        <f>IF(IFERROR(VLOOKUP(D30,Controls!$A$25:$D$35,3,FALSE()),"No")="Yes",1,0)</f>
        <v/>
      </c>
      <c r="AJ30" s="39">
        <f>IF(IFERROR(VLOOKUP(D30,Controls!$A$25:$D$35,4,FALSE()),"No")="Yes",1,0)</f>
        <v/>
      </c>
      <c r="AK30" s="96">
        <f>IF(AND($E30&gt;=Controls!$B$5,$E30&lt;=Controls!$B$6,OR(Controls!$E$9&lt;&gt;"Y",$BE30=1)),1,0)</f>
        <v/>
      </c>
      <c r="AL30" s="39">
        <f>1</f>
        <v/>
      </c>
      <c r="AM30" s="20">
        <f>S30-P30</f>
        <v/>
      </c>
      <c r="AN30" s="20">
        <f>IF(AH30=1,MAX(0,P30-S30),0)</f>
        <v/>
      </c>
      <c r="AO30" s="21">
        <f>IFERROR(S30/P30,"")</f>
        <v/>
      </c>
      <c r="AP30" s="22">
        <f>IF(Y30="","",P30/Y30)</f>
        <v/>
      </c>
      <c r="AQ30" s="39">
        <f>IF(Y30="",0,1)</f>
        <v/>
      </c>
      <c r="AR30" s="39">
        <f>IF(S30&lt;=0,1,0)</f>
        <v/>
      </c>
      <c r="AS30" s="17">
        <f>IF(AH30=1,AG30,"")</f>
        <v/>
      </c>
      <c r="AT30" s="17">
        <f>IF(AND(AH30=0,AJ30=1),AG30,"")</f>
        <v/>
      </c>
      <c r="AU30" s="5">
        <f>IF(P30&lt;10000,"Under $10K",IF(P30&lt;20000,"$10-20K",IF(P30&lt;30000,"$20-30K",IF(P30&lt;50000,"$30-50K",IF(P30&lt;100000,"$50-100K","$100K+")))))</f>
        <v/>
      </c>
      <c r="AV30" s="5">
        <f>IF(O30&lt;=1.35,"1.35 and under",IF(O30&lt;=1.42,"1.36-1.42",IF(O30&lt;=1.45,"1.43-1.45",IF(O30&lt;1.49,"1.46-1.48",IF(O30&lt;=1.49,"1.49","Above 1.49")))))</f>
        <v/>
      </c>
      <c r="AW30" s="5">
        <f>IF(AE30="","",IF(AE30&lt;60,"Under 60",IF(AE30&lt;90,"60-89",IF(AE30&lt;120,"90-119",IF(AE30&lt;150,"120-149","150+")))))</f>
        <v/>
      </c>
      <c r="AX30" s="5">
        <f>IF(AP30="","No revenue data",IF(AP30&lt;0.15,"Under 0.15x",IF(AP30&lt;0.3,"0.15-0.30x",IF(AP30&lt;0.5,"0.30-0.50x",IF(AP30&lt;1,"0.50-1.00x","1.00x+")))))</f>
        <v/>
      </c>
      <c r="AY30" s="5">
        <f>IF(J30="","No SIC",IFERROR(VLOOKUP(J30,Ref!$A$4:$C$67,2,FALSE()),"Unclassified"))</f>
        <v/>
      </c>
      <c r="AZ30" s="5">
        <f>IF(E30="","",TEXT(E30,"YYYY")&amp;"-Q"&amp;ROUNDUP(MONTH(E30)/3,0))</f>
        <v/>
      </c>
      <c r="BA30" s="5">
        <f>IF(E30="","",TEXT(E30,"YYYY-MM"))</f>
        <v/>
      </c>
      <c r="BB30" s="5">
        <f>IF(E30="","",TEXT(E30,"YYYY"))</f>
        <v/>
      </c>
      <c r="BC30" s="92">
        <f>IF($E30="","",NETWORKDAYS($E30,Controls!$B$9,Ref!$F$4:$F$47))</f>
        <v/>
      </c>
      <c r="BD30" s="92">
        <f>IF(OR($AH30=1,$AJ30=1),1,0)</f>
        <v/>
      </c>
      <c r="BE30" s="95">
        <f>IF(OR($BD30=1,AND($AE30&lt;&gt;"",$BC30&gt;=Controls!$B$10*$AE30)),1,0)</f>
        <v/>
      </c>
    </row>
    <row r="31" ht="15.75" customHeight="1" s="79">
      <c r="A31" s="5" t="inlineStr">
        <is>
          <t>5674150725</t>
        </is>
      </c>
      <c r="B31" s="5" t="inlineStr">
        <is>
          <t>Arkansas Climate Control</t>
        </is>
      </c>
      <c r="C31" s="5" t="inlineStr">
        <is>
          <t>Arkansas Climate Control</t>
        </is>
      </c>
      <c r="D31" s="5" t="inlineStr">
        <is>
          <t>Legal</t>
        </is>
      </c>
      <c r="E31" s="16" t="n">
        <v>45706</v>
      </c>
      <c r="F31" s="16" t="n">
        <v>45721</v>
      </c>
      <c r="G31" s="17" t="n">
        <v>2</v>
      </c>
      <c r="H31" s="5" t="inlineStr">
        <is>
          <t>1711</t>
        </is>
      </c>
      <c r="I31" s="5" t="inlineStr">
        <is>
          <t>Plumbing, Heating, and Air Conditioning Contractors</t>
        </is>
      </c>
      <c r="J31" s="5" t="inlineStr">
        <is>
          <t>17</t>
        </is>
      </c>
      <c r="K31" s="5" t="n">
        <v>5074</v>
      </c>
      <c r="L31" s="5" t="inlineStr">
        <is>
          <t>AR</t>
        </is>
      </c>
      <c r="M31" s="5" t="inlineStr">
        <is>
          <t>TRUSTFI</t>
        </is>
      </c>
      <c r="N31" s="5" t="inlineStr">
        <is>
          <t>New Deal</t>
        </is>
      </c>
      <c r="O31" s="19" t="n">
        <v>1.49</v>
      </c>
      <c r="P31" s="20" t="n">
        <v>8000</v>
      </c>
      <c r="Q31" s="20" t="n">
        <v>0</v>
      </c>
      <c r="R31" s="20" t="n">
        <v>11920</v>
      </c>
      <c r="S31" s="20" t="n">
        <v>681.36</v>
      </c>
      <c r="T31" s="20" t="n">
        <v>11238.64</v>
      </c>
      <c r="U31" s="21" t="n">
        <v>0.0571610738255034</v>
      </c>
      <c r="V31" s="22" t="n">
        <v>2.295</v>
      </c>
      <c r="W31" s="17" t="n">
        <v>544</v>
      </c>
      <c r="X31" s="17" t="n">
        <v>7</v>
      </c>
      <c r="Y31" s="5" t="n"/>
      <c r="Z31" s="21" t="n">
        <v>0.1561</v>
      </c>
      <c r="AA31" s="16" t="n">
        <v>45505</v>
      </c>
      <c r="AB31" s="5">
        <f>IF(V31="","",IF(V31&lt;12,"Months","Weeks"))</f>
        <v/>
      </c>
      <c r="AC31" s="5">
        <f>IF(AB31="","",IF(AB31="Months","Daily","Weekly"))</f>
        <v/>
      </c>
      <c r="AD31" s="17">
        <f>IF(V31="","",IF(AC31="Daily",V31*Controls!$B$13,V31))</f>
        <v/>
      </c>
      <c r="AE31" s="17">
        <f>IF(V31="","",IF(AC31="Daily",V31*Controls!$B$13,V31*Controls!$B$12))</f>
        <v/>
      </c>
      <c r="AF31" s="17">
        <f>IF(OR(E31="",F31=""),"",F31-E31)</f>
        <v/>
      </c>
      <c r="AG31" s="17">
        <f>IF(OR(E31="",F31=""),"",NETWORKDAYS(E31,F31,Ref!$F$4:$F$47))</f>
        <v/>
      </c>
      <c r="AH31" s="39">
        <f>IF(IFERROR(VLOOKUP(D31,Controls!$A$25:$D$35,2,FALSE()),"No")="Yes",1,0)</f>
        <v/>
      </c>
      <c r="AI31" s="39">
        <f>IF(IFERROR(VLOOKUP(D31,Controls!$A$25:$D$35,3,FALSE()),"No")="Yes",1,0)</f>
        <v/>
      </c>
      <c r="AJ31" s="39">
        <f>IF(IFERROR(VLOOKUP(D31,Controls!$A$25:$D$35,4,FALSE()),"No")="Yes",1,0)</f>
        <v/>
      </c>
      <c r="AK31" s="96">
        <f>IF(AND($E31&gt;=Controls!$B$5,$E31&lt;=Controls!$B$6,OR(Controls!$E$9&lt;&gt;"Y",$BE31=1)),1,0)</f>
        <v/>
      </c>
      <c r="AL31" s="39">
        <f>1</f>
        <v/>
      </c>
      <c r="AM31" s="20">
        <f>S31-P31</f>
        <v/>
      </c>
      <c r="AN31" s="20">
        <f>IF(AH31=1,MAX(0,P31-S31),0)</f>
        <v/>
      </c>
      <c r="AO31" s="21">
        <f>IFERROR(S31/P31,"")</f>
        <v/>
      </c>
      <c r="AP31" s="22">
        <f>IF(Y31="","",P31/Y31)</f>
        <v/>
      </c>
      <c r="AQ31" s="39">
        <f>IF(Y31="",0,1)</f>
        <v/>
      </c>
      <c r="AR31" s="39">
        <f>IF(S31&lt;=0,1,0)</f>
        <v/>
      </c>
      <c r="AS31" s="17">
        <f>IF(AH31=1,AG31,"")</f>
        <v/>
      </c>
      <c r="AT31" s="17">
        <f>IF(AND(AH31=0,AJ31=1),AG31,"")</f>
        <v/>
      </c>
      <c r="AU31" s="5">
        <f>IF(P31&lt;10000,"Under $10K",IF(P31&lt;20000,"$10-20K",IF(P31&lt;30000,"$20-30K",IF(P31&lt;50000,"$30-50K",IF(P31&lt;100000,"$50-100K","$100K+")))))</f>
        <v/>
      </c>
      <c r="AV31" s="5">
        <f>IF(O31&lt;=1.35,"1.35 and under",IF(O31&lt;=1.42,"1.36-1.42",IF(O31&lt;=1.45,"1.43-1.45",IF(O31&lt;1.49,"1.46-1.48",IF(O31&lt;=1.49,"1.49","Above 1.49")))))</f>
        <v/>
      </c>
      <c r="AW31" s="5">
        <f>IF(AE31="","",IF(AE31&lt;60,"Under 60",IF(AE31&lt;90,"60-89",IF(AE31&lt;120,"90-119",IF(AE31&lt;150,"120-149","150+")))))</f>
        <v/>
      </c>
      <c r="AX31" s="5">
        <f>IF(AP31="","No revenue data",IF(AP31&lt;0.15,"Under 0.15x",IF(AP31&lt;0.3,"0.15-0.30x",IF(AP31&lt;0.5,"0.30-0.50x",IF(AP31&lt;1,"0.50-1.00x","1.00x+")))))</f>
        <v/>
      </c>
      <c r="AY31" s="5">
        <f>IF(J31="","No SIC",IFERROR(VLOOKUP(J31,Ref!$A$4:$C$67,2,FALSE()),"Unclassified"))</f>
        <v/>
      </c>
      <c r="AZ31" s="5">
        <f>IF(E31="","",TEXT(E31,"YYYY")&amp;"-Q"&amp;ROUNDUP(MONTH(E31)/3,0))</f>
        <v/>
      </c>
      <c r="BA31" s="5">
        <f>IF(E31="","",TEXT(E31,"YYYY-MM"))</f>
        <v/>
      </c>
      <c r="BB31" s="5">
        <f>IF(E31="","",TEXT(E31,"YYYY"))</f>
        <v/>
      </c>
      <c r="BC31" s="92">
        <f>IF($E31="","",NETWORKDAYS($E31,Controls!$B$9,Ref!$F$4:$F$47))</f>
        <v/>
      </c>
      <c r="BD31" s="92">
        <f>IF(OR($AH31=1,$AJ31=1),1,0)</f>
        <v/>
      </c>
      <c r="BE31" s="95">
        <f>IF(OR($BD31=1,AND($AE31&lt;&gt;"",$BC31&gt;=Controls!$B$10*$AE31)),1,0)</f>
        <v/>
      </c>
    </row>
    <row r="32" ht="15.75" customHeight="1" s="79">
      <c r="A32" s="5" t="inlineStr">
        <is>
          <t>5674150820</t>
        </is>
      </c>
      <c r="B32" s="5" t="inlineStr">
        <is>
          <t>Brake Masters</t>
        </is>
      </c>
      <c r="C32" s="5" t="inlineStr">
        <is>
          <t>SLA BRAKE MASTERS LLC</t>
        </is>
      </c>
      <c r="D32" s="5" t="inlineStr">
        <is>
          <t>Closed</t>
        </is>
      </c>
      <c r="E32" s="16" t="n">
        <v>45707</v>
      </c>
      <c r="F32" s="16" t="n">
        <v>45841</v>
      </c>
      <c r="G32" s="17" t="n">
        <v>3</v>
      </c>
      <c r="H32" s="5" t="inlineStr">
        <is>
          <t>7538</t>
        </is>
      </c>
      <c r="I32" s="5" t="inlineStr">
        <is>
          <t>General Automotive Repair</t>
        </is>
      </c>
      <c r="J32" s="5" t="inlineStr">
        <is>
          <t>75</t>
        </is>
      </c>
      <c r="K32" s="5" t="n">
        <v>7531</v>
      </c>
      <c r="L32" s="5" t="inlineStr">
        <is>
          <t>CA</t>
        </is>
      </c>
      <c r="M32" s="5" t="inlineStr">
        <is>
          <t>Fundible</t>
        </is>
      </c>
      <c r="N32" s="5" t="inlineStr">
        <is>
          <t>New Deal</t>
        </is>
      </c>
      <c r="O32" s="19" t="n">
        <v>1.49</v>
      </c>
      <c r="P32" s="20" t="n">
        <v>10000</v>
      </c>
      <c r="Q32" s="20" t="n">
        <v>1400</v>
      </c>
      <c r="R32" s="20" t="n">
        <v>14900</v>
      </c>
      <c r="S32" s="20" t="n">
        <v>14900</v>
      </c>
      <c r="T32" s="20" t="n">
        <v>0</v>
      </c>
      <c r="U32" s="21" t="n">
        <v>1</v>
      </c>
      <c r="V32" s="22" t="n">
        <v>28</v>
      </c>
      <c r="W32" s="17" t="n">
        <v>412</v>
      </c>
      <c r="X32" s="17" t="n">
        <v>0</v>
      </c>
      <c r="Y32" s="5" t="n"/>
      <c r="Z32" s="21" t="n">
        <v>0.0702</v>
      </c>
      <c r="AA32" s="16" t="n">
        <v>44866</v>
      </c>
      <c r="AB32" s="5">
        <f>IF(V32="","",IF(V32&lt;12,"Months","Weeks"))</f>
        <v/>
      </c>
      <c r="AC32" s="5">
        <f>IF(AB32="","",IF(AB32="Months","Daily","Weekly"))</f>
        <v/>
      </c>
      <c r="AD32" s="17">
        <f>IF(V32="","",IF(AC32="Daily",V32*Controls!$B$13,V32))</f>
        <v/>
      </c>
      <c r="AE32" s="17">
        <f>IF(V32="","",IF(AC32="Daily",V32*Controls!$B$13,V32*Controls!$B$12))</f>
        <v/>
      </c>
      <c r="AF32" s="17">
        <f>IF(OR(E32="",F32=""),"",F32-E32)</f>
        <v/>
      </c>
      <c r="AG32" s="17">
        <f>IF(OR(E32="",F32=""),"",NETWORKDAYS(E32,F32,Ref!$F$4:$F$47))</f>
        <v/>
      </c>
      <c r="AH32" s="39">
        <f>IF(IFERROR(VLOOKUP(D32,Controls!$A$25:$D$35,2,FALSE()),"No")="Yes",1,0)</f>
        <v/>
      </c>
      <c r="AI32" s="39">
        <f>IF(IFERROR(VLOOKUP(D32,Controls!$A$25:$D$35,3,FALSE()),"No")="Yes",1,0)</f>
        <v/>
      </c>
      <c r="AJ32" s="39">
        <f>IF(IFERROR(VLOOKUP(D32,Controls!$A$25:$D$35,4,FALSE()),"No")="Yes",1,0)</f>
        <v/>
      </c>
      <c r="AK32" s="96">
        <f>IF(AND($E32&gt;=Controls!$B$5,$E32&lt;=Controls!$B$6,OR(Controls!$E$9&lt;&gt;"Y",$BE32=1)),1,0)</f>
        <v/>
      </c>
      <c r="AL32" s="39">
        <f>1</f>
        <v/>
      </c>
      <c r="AM32" s="20">
        <f>S32-P32</f>
        <v/>
      </c>
      <c r="AN32" s="20">
        <f>IF(AH32=1,MAX(0,P32-S32),0)</f>
        <v/>
      </c>
      <c r="AO32" s="21">
        <f>IFERROR(S32/P32,"")</f>
        <v/>
      </c>
      <c r="AP32" s="22">
        <f>IF(Y32="","",P32/Y32)</f>
        <v/>
      </c>
      <c r="AQ32" s="39">
        <f>IF(Y32="",0,1)</f>
        <v/>
      </c>
      <c r="AR32" s="39">
        <f>IF(S32&lt;=0,1,0)</f>
        <v/>
      </c>
      <c r="AS32" s="17">
        <f>IF(AH32=1,AG32,"")</f>
        <v/>
      </c>
      <c r="AT32" s="17">
        <f>IF(AND(AH32=0,AJ32=1),AG32,"")</f>
        <v/>
      </c>
      <c r="AU32" s="5">
        <f>IF(P32&lt;10000,"Under $10K",IF(P32&lt;20000,"$10-20K",IF(P32&lt;30000,"$20-30K",IF(P32&lt;50000,"$30-50K",IF(P32&lt;100000,"$50-100K","$100K+")))))</f>
        <v/>
      </c>
      <c r="AV32" s="5">
        <f>IF(O32&lt;=1.35,"1.35 and under",IF(O32&lt;=1.42,"1.36-1.42",IF(O32&lt;=1.45,"1.43-1.45",IF(O32&lt;1.49,"1.46-1.48",IF(O32&lt;=1.49,"1.49","Above 1.49")))))</f>
        <v/>
      </c>
      <c r="AW32" s="5">
        <f>IF(AE32="","",IF(AE32&lt;60,"Under 60",IF(AE32&lt;90,"60-89",IF(AE32&lt;120,"90-119",IF(AE32&lt;150,"120-149","150+")))))</f>
        <v/>
      </c>
      <c r="AX32" s="5">
        <f>IF(AP32="","No revenue data",IF(AP32&lt;0.15,"Under 0.15x",IF(AP32&lt;0.3,"0.15-0.30x",IF(AP32&lt;0.5,"0.30-0.50x",IF(AP32&lt;1,"0.50-1.00x","1.00x+")))))</f>
        <v/>
      </c>
      <c r="AY32" s="5">
        <f>IF(J32="","No SIC",IFERROR(VLOOKUP(J32,Ref!$A$4:$C$67,2,FALSE()),"Unclassified"))</f>
        <v/>
      </c>
      <c r="AZ32" s="5">
        <f>IF(E32="","",TEXT(E32,"YYYY")&amp;"-Q"&amp;ROUNDUP(MONTH(E32)/3,0))</f>
        <v/>
      </c>
      <c r="BA32" s="5">
        <f>IF(E32="","",TEXT(E32,"YYYY-MM"))</f>
        <v/>
      </c>
      <c r="BB32" s="5">
        <f>IF(E32="","",TEXT(E32,"YYYY"))</f>
        <v/>
      </c>
      <c r="BC32" s="92">
        <f>IF($E32="","",NETWORKDAYS($E32,Controls!$B$9,Ref!$F$4:$F$47))</f>
        <v/>
      </c>
      <c r="BD32" s="92">
        <f>IF(OR($AH32=1,$AJ32=1),1,0)</f>
        <v/>
      </c>
      <c r="BE32" s="95">
        <f>IF(OR($BD32=1,AND($AE32&lt;&gt;"",$BC32&gt;=Controls!$B$10*$AE32)),1,0)</f>
        <v/>
      </c>
    </row>
    <row r="33" ht="15.75" customHeight="1" s="79">
      <c r="A33" s="5" t="inlineStr">
        <is>
          <t>5674150864</t>
        </is>
      </c>
      <c r="B33" s="5" t="inlineStr">
        <is>
          <t>Rock Hard Flooring &amp; Land Clearing of Oklahoma</t>
        </is>
      </c>
      <c r="C33" s="5" t="inlineStr">
        <is>
          <t>AKH INVESTMENT LLC</t>
        </is>
      </c>
      <c r="D33" s="5" t="inlineStr">
        <is>
          <t>Legal</t>
        </is>
      </c>
      <c r="E33" s="16" t="n">
        <v>45709</v>
      </c>
      <c r="F33" s="16" t="n">
        <v>45922</v>
      </c>
      <c r="G33" s="17" t="n">
        <v>1</v>
      </c>
      <c r="H33" s="5" t="inlineStr">
        <is>
          <t>1629</t>
        </is>
      </c>
      <c r="I33" s="5" t="inlineStr">
        <is>
          <t>Site Preparation Contractors</t>
        </is>
      </c>
      <c r="J33" s="5" t="inlineStr">
        <is>
          <t>16</t>
        </is>
      </c>
      <c r="K33" s="5" t="n">
        <v>1520</v>
      </c>
      <c r="L33" s="5" t="inlineStr">
        <is>
          <t>OK</t>
        </is>
      </c>
      <c r="M33" s="5" t="inlineStr">
        <is>
          <t>PEACH STATE SOLUTIONS</t>
        </is>
      </c>
      <c r="N33" s="5" t="inlineStr">
        <is>
          <t>New Deal</t>
        </is>
      </c>
      <c r="O33" s="19" t="n">
        <v>1.49</v>
      </c>
      <c r="P33" s="20" t="n">
        <v>12000</v>
      </c>
      <c r="Q33" s="20" t="n">
        <v>1680</v>
      </c>
      <c r="R33" s="20" t="n">
        <v>17880</v>
      </c>
      <c r="S33" s="20" t="n">
        <v>3988.73</v>
      </c>
      <c r="T33" s="20" t="n">
        <v>13891.27</v>
      </c>
      <c r="U33" s="21" t="n">
        <v>0.223083333333333</v>
      </c>
      <c r="V33" s="22" t="n">
        <v>18</v>
      </c>
      <c r="W33" s="17" t="n">
        <v>331</v>
      </c>
      <c r="X33" s="17" t="n">
        <v>6</v>
      </c>
      <c r="Y33" s="5" t="n"/>
      <c r="Z33" s="21" t="n">
        <v>0.0653</v>
      </c>
      <c r="AA33" s="16" t="n">
        <v>44367</v>
      </c>
      <c r="AB33" s="5">
        <f>IF(V33="","",IF(V33&lt;12,"Months","Weeks"))</f>
        <v/>
      </c>
      <c r="AC33" s="5">
        <f>IF(AB33="","",IF(AB33="Months","Daily","Weekly"))</f>
        <v/>
      </c>
      <c r="AD33" s="17">
        <f>IF(V33="","",IF(AC33="Daily",V33*Controls!$B$13,V33))</f>
        <v/>
      </c>
      <c r="AE33" s="17">
        <f>IF(V33="","",IF(AC33="Daily",V33*Controls!$B$13,V33*Controls!$B$12))</f>
        <v/>
      </c>
      <c r="AF33" s="17">
        <f>IF(OR(E33="",F33=""),"",F33-E33)</f>
        <v/>
      </c>
      <c r="AG33" s="17">
        <f>IF(OR(E33="",F33=""),"",NETWORKDAYS(E33,F33,Ref!$F$4:$F$47))</f>
        <v/>
      </c>
      <c r="AH33" s="39">
        <f>IF(IFERROR(VLOOKUP(D33,Controls!$A$25:$D$35,2,FALSE()),"No")="Yes",1,0)</f>
        <v/>
      </c>
      <c r="AI33" s="39">
        <f>IF(IFERROR(VLOOKUP(D33,Controls!$A$25:$D$35,3,FALSE()),"No")="Yes",1,0)</f>
        <v/>
      </c>
      <c r="AJ33" s="39">
        <f>IF(IFERROR(VLOOKUP(D33,Controls!$A$25:$D$35,4,FALSE()),"No")="Yes",1,0)</f>
        <v/>
      </c>
      <c r="AK33" s="96">
        <f>IF(AND($E33&gt;=Controls!$B$5,$E33&lt;=Controls!$B$6,OR(Controls!$E$9&lt;&gt;"Y",$BE33=1)),1,0)</f>
        <v/>
      </c>
      <c r="AL33" s="39">
        <f>1</f>
        <v/>
      </c>
      <c r="AM33" s="20">
        <f>S33-P33</f>
        <v/>
      </c>
      <c r="AN33" s="20">
        <f>IF(AH33=1,MAX(0,P33-S33),0)</f>
        <v/>
      </c>
      <c r="AO33" s="21">
        <f>IFERROR(S33/P33,"")</f>
        <v/>
      </c>
      <c r="AP33" s="22">
        <f>IF(Y33="","",P33/Y33)</f>
        <v/>
      </c>
      <c r="AQ33" s="39">
        <f>IF(Y33="",0,1)</f>
        <v/>
      </c>
      <c r="AR33" s="39">
        <f>IF(S33&lt;=0,1,0)</f>
        <v/>
      </c>
      <c r="AS33" s="17">
        <f>IF(AH33=1,AG33,"")</f>
        <v/>
      </c>
      <c r="AT33" s="17">
        <f>IF(AND(AH33=0,AJ33=1),AG33,"")</f>
        <v/>
      </c>
      <c r="AU33" s="5">
        <f>IF(P33&lt;10000,"Under $10K",IF(P33&lt;20000,"$10-20K",IF(P33&lt;30000,"$20-30K",IF(P33&lt;50000,"$30-50K",IF(P33&lt;100000,"$50-100K","$100K+")))))</f>
        <v/>
      </c>
      <c r="AV33" s="5">
        <f>IF(O33&lt;=1.35,"1.35 and under",IF(O33&lt;=1.42,"1.36-1.42",IF(O33&lt;=1.45,"1.43-1.45",IF(O33&lt;1.49,"1.46-1.48",IF(O33&lt;=1.49,"1.49","Above 1.49")))))</f>
        <v/>
      </c>
      <c r="AW33" s="5">
        <f>IF(AE33="","",IF(AE33&lt;60,"Under 60",IF(AE33&lt;90,"60-89",IF(AE33&lt;120,"90-119",IF(AE33&lt;150,"120-149","150+")))))</f>
        <v/>
      </c>
      <c r="AX33" s="5">
        <f>IF(AP33="","No revenue data",IF(AP33&lt;0.15,"Under 0.15x",IF(AP33&lt;0.3,"0.15-0.30x",IF(AP33&lt;0.5,"0.30-0.50x",IF(AP33&lt;1,"0.50-1.00x","1.00x+")))))</f>
        <v/>
      </c>
      <c r="AY33" s="5">
        <f>IF(J33="","No SIC",IFERROR(VLOOKUP(J33,Ref!$A$4:$C$67,2,FALSE()),"Unclassified"))</f>
        <v/>
      </c>
      <c r="AZ33" s="5">
        <f>IF(E33="","",TEXT(E33,"YYYY")&amp;"-Q"&amp;ROUNDUP(MONTH(E33)/3,0))</f>
        <v/>
      </c>
      <c r="BA33" s="5">
        <f>IF(E33="","",TEXT(E33,"YYYY-MM"))</f>
        <v/>
      </c>
      <c r="BB33" s="5">
        <f>IF(E33="","",TEXT(E33,"YYYY"))</f>
        <v/>
      </c>
      <c r="BC33" s="92">
        <f>IF($E33="","",NETWORKDAYS($E33,Controls!$B$9,Ref!$F$4:$F$47))</f>
        <v/>
      </c>
      <c r="BD33" s="92">
        <f>IF(OR($AH33=1,$AJ33=1),1,0)</f>
        <v/>
      </c>
      <c r="BE33" s="95">
        <f>IF(OR($BD33=1,AND($AE33&lt;&gt;"",$BC33&gt;=Controls!$B$10*$AE33)),1,0)</f>
        <v/>
      </c>
    </row>
    <row r="34" ht="15.75" customHeight="1" s="79">
      <c r="A34" s="5" t="inlineStr">
        <is>
          <t>5674151205</t>
        </is>
      </c>
      <c r="B34" s="5" t="inlineStr">
        <is>
          <t>CRAVE WINGS LLC</t>
        </is>
      </c>
      <c r="C34" s="5" t="inlineStr">
        <is>
          <t>CRAVE WINGS LLC</t>
        </is>
      </c>
      <c r="D34" s="5" t="inlineStr">
        <is>
          <t>Legal</t>
        </is>
      </c>
      <c r="E34" s="16" t="n">
        <v>45713</v>
      </c>
      <c r="F34" s="16" t="n">
        <v>46051</v>
      </c>
      <c r="G34" s="17" t="n">
        <v>4</v>
      </c>
      <c r="H34" s="5" t="inlineStr">
        <is>
          <t>5812</t>
        </is>
      </c>
      <c r="I34" s="5" t="inlineStr">
        <is>
          <t>Snack and Nonalcoholic Beverage Bars</t>
        </is>
      </c>
      <c r="J34" s="5" t="inlineStr">
        <is>
          <t>58</t>
        </is>
      </c>
      <c r="K34" s="5" t="n">
        <v>5814</v>
      </c>
      <c r="L34" s="5" t="inlineStr">
        <is>
          <t>TN</t>
        </is>
      </c>
      <c r="M34" s="5" t="inlineStr">
        <is>
          <t>United Secured Capital 8</t>
        </is>
      </c>
      <c r="N34" s="5" t="inlineStr">
        <is>
          <t>New Deal</t>
        </is>
      </c>
      <c r="O34" s="19" t="n">
        <v>1.49</v>
      </c>
      <c r="P34" s="20" t="n">
        <v>18000</v>
      </c>
      <c r="Q34" s="20" t="n">
        <v>2520</v>
      </c>
      <c r="R34" s="20" t="n">
        <v>26820</v>
      </c>
      <c r="S34" s="20" t="n">
        <v>23960.2</v>
      </c>
      <c r="T34" s="20" t="n">
        <v>2859.8</v>
      </c>
      <c r="U34" s="21" t="n">
        <v>0.893370618941089</v>
      </c>
      <c r="V34" s="22" t="n">
        <v>2.787</v>
      </c>
      <c r="W34" s="17" t="n">
        <v>434</v>
      </c>
      <c r="X34" s="17" t="n">
        <v>0</v>
      </c>
      <c r="Y34" s="5" t="n"/>
      <c r="Z34" s="21" t="n">
        <v>0.0922</v>
      </c>
      <c r="AA34" s="5" t="n"/>
      <c r="AB34" s="5">
        <f>IF(V34="","",IF(V34&lt;12,"Months","Weeks"))</f>
        <v/>
      </c>
      <c r="AC34" s="5">
        <f>IF(AB34="","",IF(AB34="Months","Daily","Weekly"))</f>
        <v/>
      </c>
      <c r="AD34" s="17">
        <f>IF(V34="","",IF(AC34="Daily",V34*Controls!$B$13,V34))</f>
        <v/>
      </c>
      <c r="AE34" s="17">
        <f>IF(V34="","",IF(AC34="Daily",V34*Controls!$B$13,V34*Controls!$B$12))</f>
        <v/>
      </c>
      <c r="AF34" s="17">
        <f>IF(OR(E34="",F34=""),"",F34-E34)</f>
        <v/>
      </c>
      <c r="AG34" s="17">
        <f>IF(OR(E34="",F34=""),"",NETWORKDAYS(E34,F34,Ref!$F$4:$F$47))</f>
        <v/>
      </c>
      <c r="AH34" s="39">
        <f>IF(IFERROR(VLOOKUP(D34,Controls!$A$25:$D$35,2,FALSE()),"No")="Yes",1,0)</f>
        <v/>
      </c>
      <c r="AI34" s="39">
        <f>IF(IFERROR(VLOOKUP(D34,Controls!$A$25:$D$35,3,FALSE()),"No")="Yes",1,0)</f>
        <v/>
      </c>
      <c r="AJ34" s="39">
        <f>IF(IFERROR(VLOOKUP(D34,Controls!$A$25:$D$35,4,FALSE()),"No")="Yes",1,0)</f>
        <v/>
      </c>
      <c r="AK34" s="96">
        <f>IF(AND($E34&gt;=Controls!$B$5,$E34&lt;=Controls!$B$6,OR(Controls!$E$9&lt;&gt;"Y",$BE34=1)),1,0)</f>
        <v/>
      </c>
      <c r="AL34" s="39">
        <f>1</f>
        <v/>
      </c>
      <c r="AM34" s="20">
        <f>S34-P34</f>
        <v/>
      </c>
      <c r="AN34" s="20">
        <f>IF(AH34=1,MAX(0,P34-S34),0)</f>
        <v/>
      </c>
      <c r="AO34" s="21">
        <f>IFERROR(S34/P34,"")</f>
        <v/>
      </c>
      <c r="AP34" s="22">
        <f>IF(Y34="","",P34/Y34)</f>
        <v/>
      </c>
      <c r="AQ34" s="39">
        <f>IF(Y34="",0,1)</f>
        <v/>
      </c>
      <c r="AR34" s="39">
        <f>IF(S34&lt;=0,1,0)</f>
        <v/>
      </c>
      <c r="AS34" s="17">
        <f>IF(AH34=1,AG34,"")</f>
        <v/>
      </c>
      <c r="AT34" s="17">
        <f>IF(AND(AH34=0,AJ34=1),AG34,"")</f>
        <v/>
      </c>
      <c r="AU34" s="5">
        <f>IF(P34&lt;10000,"Under $10K",IF(P34&lt;20000,"$10-20K",IF(P34&lt;30000,"$20-30K",IF(P34&lt;50000,"$30-50K",IF(P34&lt;100000,"$50-100K","$100K+")))))</f>
        <v/>
      </c>
      <c r="AV34" s="5">
        <f>IF(O34&lt;=1.35,"1.35 and under",IF(O34&lt;=1.42,"1.36-1.42",IF(O34&lt;=1.45,"1.43-1.45",IF(O34&lt;1.49,"1.46-1.48",IF(O34&lt;=1.49,"1.49","Above 1.49")))))</f>
        <v/>
      </c>
      <c r="AW34" s="5">
        <f>IF(AE34="","",IF(AE34&lt;60,"Under 60",IF(AE34&lt;90,"60-89",IF(AE34&lt;120,"90-119",IF(AE34&lt;150,"120-149","150+")))))</f>
        <v/>
      </c>
      <c r="AX34" s="5">
        <f>IF(AP34="","No revenue data",IF(AP34&lt;0.15,"Under 0.15x",IF(AP34&lt;0.3,"0.15-0.30x",IF(AP34&lt;0.5,"0.30-0.50x",IF(AP34&lt;1,"0.50-1.00x","1.00x+")))))</f>
        <v/>
      </c>
      <c r="AY34" s="5">
        <f>IF(J34="","No SIC",IFERROR(VLOOKUP(J34,Ref!$A$4:$C$67,2,FALSE()),"Unclassified"))</f>
        <v/>
      </c>
      <c r="AZ34" s="5">
        <f>IF(E34="","",TEXT(E34,"YYYY")&amp;"-Q"&amp;ROUNDUP(MONTH(E34)/3,0))</f>
        <v/>
      </c>
      <c r="BA34" s="5">
        <f>IF(E34="","",TEXT(E34,"YYYY-MM"))</f>
        <v/>
      </c>
      <c r="BB34" s="5">
        <f>IF(E34="","",TEXT(E34,"YYYY"))</f>
        <v/>
      </c>
      <c r="BC34" s="92">
        <f>IF($E34="","",NETWORKDAYS($E34,Controls!$B$9,Ref!$F$4:$F$47))</f>
        <v/>
      </c>
      <c r="BD34" s="92">
        <f>IF(OR($AH34=1,$AJ34=1),1,0)</f>
        <v/>
      </c>
      <c r="BE34" s="95">
        <f>IF(OR($BD34=1,AND($AE34&lt;&gt;"",$BC34&gt;=Controls!$B$10*$AE34)),1,0)</f>
        <v/>
      </c>
    </row>
    <row r="35" ht="15.75" customHeight="1" s="79">
      <c r="A35" s="5" t="inlineStr">
        <is>
          <t>5674151260</t>
        </is>
      </c>
      <c r="B35" s="5" t="inlineStr">
        <is>
          <t>NFB VENTURE SERVICES CORP</t>
        </is>
      </c>
      <c r="C35" s="5" t="inlineStr">
        <is>
          <t>NFB VENTURE SERVICES CORP</t>
        </is>
      </c>
      <c r="D35" s="5" t="inlineStr">
        <is>
          <t>Closed</t>
        </is>
      </c>
      <c r="E35" s="16" t="n">
        <v>45713</v>
      </c>
      <c r="F35" s="16" t="n">
        <v>45758</v>
      </c>
      <c r="G35" s="17" t="n">
        <v>2</v>
      </c>
      <c r="H35" s="5" t="inlineStr">
        <is>
          <t>7549</t>
        </is>
      </c>
      <c r="I35" s="5" t="inlineStr">
        <is>
          <t>Motor Vehicle Towing</t>
        </is>
      </c>
      <c r="J35" s="5" t="inlineStr">
        <is>
          <t>75</t>
        </is>
      </c>
      <c r="K35" s="5" t="n">
        <v>7549</v>
      </c>
      <c r="L35" s="5" t="inlineStr">
        <is>
          <t>MA</t>
        </is>
      </c>
      <c r="M35" s="5" t="inlineStr">
        <is>
          <t>CARE FUNDING GROUP</t>
        </is>
      </c>
      <c r="N35" s="5" t="inlineStr">
        <is>
          <t>New Deal</t>
        </is>
      </c>
      <c r="O35" s="19" t="n">
        <v>1.49</v>
      </c>
      <c r="P35" s="20" t="n">
        <v>3500</v>
      </c>
      <c r="Q35" s="20" t="n">
        <v>490</v>
      </c>
      <c r="R35" s="20" t="n">
        <v>5215</v>
      </c>
      <c r="S35" s="20" t="n">
        <v>5215</v>
      </c>
      <c r="T35" s="20" t="n">
        <v>0</v>
      </c>
      <c r="U35" s="21" t="n">
        <v>1</v>
      </c>
      <c r="V35" s="22" t="n">
        <v>1.967</v>
      </c>
      <c r="W35" s="17" t="n">
        <v>495</v>
      </c>
      <c r="X35" s="17" t="n">
        <v>0</v>
      </c>
      <c r="Y35" s="5" t="n"/>
      <c r="Z35" s="21" t="n">
        <v>0.058</v>
      </c>
      <c r="AA35" s="16" t="n">
        <v>45402</v>
      </c>
      <c r="AB35" s="5">
        <f>IF(V35="","",IF(V35&lt;12,"Months","Weeks"))</f>
        <v/>
      </c>
      <c r="AC35" s="5">
        <f>IF(AB35="","",IF(AB35="Months","Daily","Weekly"))</f>
        <v/>
      </c>
      <c r="AD35" s="17">
        <f>IF(V35="","",IF(AC35="Daily",V35*Controls!$B$13,V35))</f>
        <v/>
      </c>
      <c r="AE35" s="17">
        <f>IF(V35="","",IF(AC35="Daily",V35*Controls!$B$13,V35*Controls!$B$12))</f>
        <v/>
      </c>
      <c r="AF35" s="17">
        <f>IF(OR(E35="",F35=""),"",F35-E35)</f>
        <v/>
      </c>
      <c r="AG35" s="17">
        <f>IF(OR(E35="",F35=""),"",NETWORKDAYS(E35,F35,Ref!$F$4:$F$47))</f>
        <v/>
      </c>
      <c r="AH35" s="39">
        <f>IF(IFERROR(VLOOKUP(D35,Controls!$A$25:$D$35,2,FALSE()),"No")="Yes",1,0)</f>
        <v/>
      </c>
      <c r="AI35" s="39">
        <f>IF(IFERROR(VLOOKUP(D35,Controls!$A$25:$D$35,3,FALSE()),"No")="Yes",1,0)</f>
        <v/>
      </c>
      <c r="AJ35" s="39">
        <f>IF(IFERROR(VLOOKUP(D35,Controls!$A$25:$D$35,4,FALSE()),"No")="Yes",1,0)</f>
        <v/>
      </c>
      <c r="AK35" s="96">
        <f>IF(AND($E35&gt;=Controls!$B$5,$E35&lt;=Controls!$B$6,OR(Controls!$E$9&lt;&gt;"Y",$BE35=1)),1,0)</f>
        <v/>
      </c>
      <c r="AL35" s="39">
        <f>1</f>
        <v/>
      </c>
      <c r="AM35" s="20">
        <f>S35-P35</f>
        <v/>
      </c>
      <c r="AN35" s="20">
        <f>IF(AH35=1,MAX(0,P35-S35),0)</f>
        <v/>
      </c>
      <c r="AO35" s="21">
        <f>IFERROR(S35/P35,"")</f>
        <v/>
      </c>
      <c r="AP35" s="22">
        <f>IF(Y35="","",P35/Y35)</f>
        <v/>
      </c>
      <c r="AQ35" s="39">
        <f>IF(Y35="",0,1)</f>
        <v/>
      </c>
      <c r="AR35" s="39">
        <f>IF(S35&lt;=0,1,0)</f>
        <v/>
      </c>
      <c r="AS35" s="17">
        <f>IF(AH35=1,AG35,"")</f>
        <v/>
      </c>
      <c r="AT35" s="17">
        <f>IF(AND(AH35=0,AJ35=1),AG35,"")</f>
        <v/>
      </c>
      <c r="AU35" s="5">
        <f>IF(P35&lt;10000,"Under $10K",IF(P35&lt;20000,"$10-20K",IF(P35&lt;30000,"$20-30K",IF(P35&lt;50000,"$30-50K",IF(P35&lt;100000,"$50-100K","$100K+")))))</f>
        <v/>
      </c>
      <c r="AV35" s="5">
        <f>IF(O35&lt;=1.35,"1.35 and under",IF(O35&lt;=1.42,"1.36-1.42",IF(O35&lt;=1.45,"1.43-1.45",IF(O35&lt;1.49,"1.46-1.48",IF(O35&lt;=1.49,"1.49","Above 1.49")))))</f>
        <v/>
      </c>
      <c r="AW35" s="5">
        <f>IF(AE35="","",IF(AE35&lt;60,"Under 60",IF(AE35&lt;90,"60-89",IF(AE35&lt;120,"90-119",IF(AE35&lt;150,"120-149","150+")))))</f>
        <v/>
      </c>
      <c r="AX35" s="5">
        <f>IF(AP35="","No revenue data",IF(AP35&lt;0.15,"Under 0.15x",IF(AP35&lt;0.3,"0.15-0.30x",IF(AP35&lt;0.5,"0.30-0.50x",IF(AP35&lt;1,"0.50-1.00x","1.00x+")))))</f>
        <v/>
      </c>
      <c r="AY35" s="5">
        <f>IF(J35="","No SIC",IFERROR(VLOOKUP(J35,Ref!$A$4:$C$67,2,FALSE()),"Unclassified"))</f>
        <v/>
      </c>
      <c r="AZ35" s="5">
        <f>IF(E35="","",TEXT(E35,"YYYY")&amp;"-Q"&amp;ROUNDUP(MONTH(E35)/3,0))</f>
        <v/>
      </c>
      <c r="BA35" s="5">
        <f>IF(E35="","",TEXT(E35,"YYYY-MM"))</f>
        <v/>
      </c>
      <c r="BB35" s="5">
        <f>IF(E35="","",TEXT(E35,"YYYY"))</f>
        <v/>
      </c>
      <c r="BC35" s="92">
        <f>IF($E35="","",NETWORKDAYS($E35,Controls!$B$9,Ref!$F$4:$F$47))</f>
        <v/>
      </c>
      <c r="BD35" s="92">
        <f>IF(OR($AH35=1,$AJ35=1),1,0)</f>
        <v/>
      </c>
      <c r="BE35" s="95">
        <f>IF(OR($BD35=1,AND($AE35&lt;&gt;"",$BC35&gt;=Controls!$B$10*$AE35)),1,0)</f>
        <v/>
      </c>
    </row>
    <row r="36" ht="15.75" customHeight="1" s="79">
      <c r="A36" s="5" t="inlineStr">
        <is>
          <t>5674151286</t>
        </is>
      </c>
      <c r="B36" s="5" t="inlineStr">
        <is>
          <t>DEALS ON 11 LLC</t>
        </is>
      </c>
      <c r="C36" s="5" t="inlineStr">
        <is>
          <t>DEALS ON 11 LLC</t>
        </is>
      </c>
      <c r="D36" s="5" t="inlineStr">
        <is>
          <t>Closed</t>
        </is>
      </c>
      <c r="E36" s="16" t="n">
        <v>45714</v>
      </c>
      <c r="F36" s="16" t="n">
        <v>45797</v>
      </c>
      <c r="G36" s="17" t="n">
        <v>5</v>
      </c>
      <c r="H36" s="5" t="inlineStr">
        <is>
          <t>5085</t>
        </is>
      </c>
      <c r="I36" s="5" t="inlineStr">
        <is>
          <t>Industrial Supplies Merchant Wholesalers</t>
        </is>
      </c>
      <c r="J36" s="5" t="inlineStr">
        <is>
          <t>50</t>
        </is>
      </c>
      <c r="K36" s="5" t="n">
        <v>5085</v>
      </c>
      <c r="L36" s="5" t="inlineStr">
        <is>
          <t>AL</t>
        </is>
      </c>
      <c r="M36" s="5" t="inlineStr">
        <is>
          <t>Sky Advance</t>
        </is>
      </c>
      <c r="N36" s="5" t="inlineStr">
        <is>
          <t>New Deal</t>
        </is>
      </c>
      <c r="O36" s="19" t="n">
        <v>1.49</v>
      </c>
      <c r="P36" s="20" t="n">
        <v>5000</v>
      </c>
      <c r="Q36" s="20" t="n">
        <v>700</v>
      </c>
      <c r="R36" s="20" t="n">
        <v>7450</v>
      </c>
      <c r="S36" s="20" t="n">
        <v>7450</v>
      </c>
      <c r="T36" s="20" t="n">
        <v>0</v>
      </c>
      <c r="U36" s="21" t="n">
        <v>1</v>
      </c>
      <c r="V36" s="22" t="n">
        <v>1.967</v>
      </c>
      <c r="W36" s="17" t="n">
        <v>456</v>
      </c>
      <c r="X36" s="17" t="n">
        <v>0</v>
      </c>
      <c r="Y36" s="5" t="n"/>
      <c r="Z36" s="21" t="n">
        <v>0.0639</v>
      </c>
      <c r="AA36" s="16" t="n">
        <v>45554</v>
      </c>
      <c r="AB36" s="5">
        <f>IF(V36="","",IF(V36&lt;12,"Months","Weeks"))</f>
        <v/>
      </c>
      <c r="AC36" s="5">
        <f>IF(AB36="","",IF(AB36="Months","Daily","Weekly"))</f>
        <v/>
      </c>
      <c r="AD36" s="17">
        <f>IF(V36="","",IF(AC36="Daily",V36*Controls!$B$13,V36))</f>
        <v/>
      </c>
      <c r="AE36" s="17">
        <f>IF(V36="","",IF(AC36="Daily",V36*Controls!$B$13,V36*Controls!$B$12))</f>
        <v/>
      </c>
      <c r="AF36" s="17">
        <f>IF(OR(E36="",F36=""),"",F36-E36)</f>
        <v/>
      </c>
      <c r="AG36" s="17">
        <f>IF(OR(E36="",F36=""),"",NETWORKDAYS(E36,F36,Ref!$F$4:$F$47))</f>
        <v/>
      </c>
      <c r="AH36" s="39">
        <f>IF(IFERROR(VLOOKUP(D36,Controls!$A$25:$D$35,2,FALSE()),"No")="Yes",1,0)</f>
        <v/>
      </c>
      <c r="AI36" s="39">
        <f>IF(IFERROR(VLOOKUP(D36,Controls!$A$25:$D$35,3,FALSE()),"No")="Yes",1,0)</f>
        <v/>
      </c>
      <c r="AJ36" s="39">
        <f>IF(IFERROR(VLOOKUP(D36,Controls!$A$25:$D$35,4,FALSE()),"No")="Yes",1,0)</f>
        <v/>
      </c>
      <c r="AK36" s="96">
        <f>IF(AND($E36&gt;=Controls!$B$5,$E36&lt;=Controls!$B$6,OR(Controls!$E$9&lt;&gt;"Y",$BE36=1)),1,0)</f>
        <v/>
      </c>
      <c r="AL36" s="39">
        <f>1</f>
        <v/>
      </c>
      <c r="AM36" s="20">
        <f>S36-P36</f>
        <v/>
      </c>
      <c r="AN36" s="20">
        <f>IF(AH36=1,MAX(0,P36-S36),0)</f>
        <v/>
      </c>
      <c r="AO36" s="21">
        <f>IFERROR(S36/P36,"")</f>
        <v/>
      </c>
      <c r="AP36" s="22">
        <f>IF(Y36="","",P36/Y36)</f>
        <v/>
      </c>
      <c r="AQ36" s="39">
        <f>IF(Y36="",0,1)</f>
        <v/>
      </c>
      <c r="AR36" s="39">
        <f>IF(S36&lt;=0,1,0)</f>
        <v/>
      </c>
      <c r="AS36" s="17">
        <f>IF(AH36=1,AG36,"")</f>
        <v/>
      </c>
      <c r="AT36" s="17">
        <f>IF(AND(AH36=0,AJ36=1),AG36,"")</f>
        <v/>
      </c>
      <c r="AU36" s="5">
        <f>IF(P36&lt;10000,"Under $10K",IF(P36&lt;20000,"$10-20K",IF(P36&lt;30000,"$20-30K",IF(P36&lt;50000,"$30-50K",IF(P36&lt;100000,"$50-100K","$100K+")))))</f>
        <v/>
      </c>
      <c r="AV36" s="5">
        <f>IF(O36&lt;=1.35,"1.35 and under",IF(O36&lt;=1.42,"1.36-1.42",IF(O36&lt;=1.45,"1.43-1.45",IF(O36&lt;1.49,"1.46-1.48",IF(O36&lt;=1.49,"1.49","Above 1.49")))))</f>
        <v/>
      </c>
      <c r="AW36" s="5">
        <f>IF(AE36="","",IF(AE36&lt;60,"Under 60",IF(AE36&lt;90,"60-89",IF(AE36&lt;120,"90-119",IF(AE36&lt;150,"120-149","150+")))))</f>
        <v/>
      </c>
      <c r="AX36" s="5">
        <f>IF(AP36="","No revenue data",IF(AP36&lt;0.15,"Under 0.15x",IF(AP36&lt;0.3,"0.15-0.30x",IF(AP36&lt;0.5,"0.30-0.50x",IF(AP36&lt;1,"0.50-1.00x","1.00x+")))))</f>
        <v/>
      </c>
      <c r="AY36" s="5">
        <f>IF(J36="","No SIC",IFERROR(VLOOKUP(J36,Ref!$A$4:$C$67,2,FALSE()),"Unclassified"))</f>
        <v/>
      </c>
      <c r="AZ36" s="5">
        <f>IF(E36="","",TEXT(E36,"YYYY")&amp;"-Q"&amp;ROUNDUP(MONTH(E36)/3,0))</f>
        <v/>
      </c>
      <c r="BA36" s="5">
        <f>IF(E36="","",TEXT(E36,"YYYY-MM"))</f>
        <v/>
      </c>
      <c r="BB36" s="5">
        <f>IF(E36="","",TEXT(E36,"YYYY"))</f>
        <v/>
      </c>
      <c r="BC36" s="92">
        <f>IF($E36="","",NETWORKDAYS($E36,Controls!$B$9,Ref!$F$4:$F$47))</f>
        <v/>
      </c>
      <c r="BD36" s="92">
        <f>IF(OR($AH36=1,$AJ36=1),1,0)</f>
        <v/>
      </c>
      <c r="BE36" s="95">
        <f>IF(OR($BD36=1,AND($AE36&lt;&gt;"",$BC36&gt;=Controls!$B$10*$AE36)),1,0)</f>
        <v/>
      </c>
    </row>
    <row r="37" ht="15.75" customHeight="1" s="79">
      <c r="A37" s="5" t="inlineStr">
        <is>
          <t>5674151397</t>
        </is>
      </c>
      <c r="B37" s="5" t="inlineStr">
        <is>
          <t>HITCHCOCK &amp; COMPANY LLC</t>
        </is>
      </c>
      <c r="C37" s="5" t="inlineStr">
        <is>
          <t>HITCHCOCK &amp; COMPANY LLC</t>
        </is>
      </c>
      <c r="D37" s="5" t="inlineStr">
        <is>
          <t>Closed</t>
        </is>
      </c>
      <c r="E37" s="16" t="n">
        <v>45714</v>
      </c>
      <c r="F37" s="16" t="n">
        <v>45846</v>
      </c>
      <c r="G37" s="17" t="n">
        <v>4</v>
      </c>
      <c r="H37" s="5" t="inlineStr">
        <is>
          <t>1521</t>
        </is>
      </c>
      <c r="I37" s="5" t="inlineStr">
        <is>
          <t>Residential Remodelers</t>
        </is>
      </c>
      <c r="J37" s="5" t="inlineStr">
        <is>
          <t>15</t>
        </is>
      </c>
      <c r="K37" s="5" t="n">
        <v>1520</v>
      </c>
      <c r="L37" s="5" t="inlineStr">
        <is>
          <t>ME</t>
        </is>
      </c>
      <c r="M37" s="5" t="inlineStr">
        <is>
          <t>United Secured Capital 8</t>
        </is>
      </c>
      <c r="N37" s="5" t="inlineStr">
        <is>
          <t>New Deal</t>
        </is>
      </c>
      <c r="O37" s="19" t="n">
        <v>1.49</v>
      </c>
      <c r="P37" s="20" t="n">
        <v>22000</v>
      </c>
      <c r="Q37" s="20" t="n">
        <v>3080</v>
      </c>
      <c r="R37" s="20" t="n">
        <v>32780</v>
      </c>
      <c r="S37" s="20" t="n">
        <v>32780</v>
      </c>
      <c r="T37" s="20" t="n">
        <v>0</v>
      </c>
      <c r="U37" s="21" t="n">
        <v>1</v>
      </c>
      <c r="V37" s="22" t="n">
        <v>17.9</v>
      </c>
      <c r="W37" s="17" t="n">
        <v>407</v>
      </c>
      <c r="X37" s="17" t="n">
        <v>1</v>
      </c>
      <c r="Y37" s="5" t="n"/>
      <c r="Z37" s="21" t="n">
        <v>0.0326</v>
      </c>
      <c r="AA37" s="16" t="n">
        <v>44044</v>
      </c>
      <c r="AB37" s="5">
        <f>IF(V37="","",IF(V37&lt;12,"Months","Weeks"))</f>
        <v/>
      </c>
      <c r="AC37" s="5">
        <f>IF(AB37="","",IF(AB37="Months","Daily","Weekly"))</f>
        <v/>
      </c>
      <c r="AD37" s="17">
        <f>IF(V37="","",IF(AC37="Daily",V37*Controls!$B$13,V37))</f>
        <v/>
      </c>
      <c r="AE37" s="17">
        <f>IF(V37="","",IF(AC37="Daily",V37*Controls!$B$13,V37*Controls!$B$12))</f>
        <v/>
      </c>
      <c r="AF37" s="17">
        <f>IF(OR(E37="",F37=""),"",F37-E37)</f>
        <v/>
      </c>
      <c r="AG37" s="17">
        <f>IF(OR(E37="",F37=""),"",NETWORKDAYS(E37,F37,Ref!$F$4:$F$47))</f>
        <v/>
      </c>
      <c r="AH37" s="39">
        <f>IF(IFERROR(VLOOKUP(D37,Controls!$A$25:$D$35,2,FALSE()),"No")="Yes",1,0)</f>
        <v/>
      </c>
      <c r="AI37" s="39">
        <f>IF(IFERROR(VLOOKUP(D37,Controls!$A$25:$D$35,3,FALSE()),"No")="Yes",1,0)</f>
        <v/>
      </c>
      <c r="AJ37" s="39">
        <f>IF(IFERROR(VLOOKUP(D37,Controls!$A$25:$D$35,4,FALSE()),"No")="Yes",1,0)</f>
        <v/>
      </c>
      <c r="AK37" s="96">
        <f>IF(AND($E37&gt;=Controls!$B$5,$E37&lt;=Controls!$B$6,OR(Controls!$E$9&lt;&gt;"Y",$BE37=1)),1,0)</f>
        <v/>
      </c>
      <c r="AL37" s="39">
        <f>1</f>
        <v/>
      </c>
      <c r="AM37" s="20">
        <f>S37-P37</f>
        <v/>
      </c>
      <c r="AN37" s="20">
        <f>IF(AH37=1,MAX(0,P37-S37),0)</f>
        <v/>
      </c>
      <c r="AO37" s="21">
        <f>IFERROR(S37/P37,"")</f>
        <v/>
      </c>
      <c r="AP37" s="22">
        <f>IF(Y37="","",P37/Y37)</f>
        <v/>
      </c>
      <c r="AQ37" s="39">
        <f>IF(Y37="",0,1)</f>
        <v/>
      </c>
      <c r="AR37" s="39">
        <f>IF(S37&lt;=0,1,0)</f>
        <v/>
      </c>
      <c r="AS37" s="17">
        <f>IF(AH37=1,AG37,"")</f>
        <v/>
      </c>
      <c r="AT37" s="17">
        <f>IF(AND(AH37=0,AJ37=1),AG37,"")</f>
        <v/>
      </c>
      <c r="AU37" s="5">
        <f>IF(P37&lt;10000,"Under $10K",IF(P37&lt;20000,"$10-20K",IF(P37&lt;30000,"$20-30K",IF(P37&lt;50000,"$30-50K",IF(P37&lt;100000,"$50-100K","$100K+")))))</f>
        <v/>
      </c>
      <c r="AV37" s="5">
        <f>IF(O37&lt;=1.35,"1.35 and under",IF(O37&lt;=1.42,"1.36-1.42",IF(O37&lt;=1.45,"1.43-1.45",IF(O37&lt;1.49,"1.46-1.48",IF(O37&lt;=1.49,"1.49","Above 1.49")))))</f>
        <v/>
      </c>
      <c r="AW37" s="5">
        <f>IF(AE37="","",IF(AE37&lt;60,"Under 60",IF(AE37&lt;90,"60-89",IF(AE37&lt;120,"90-119",IF(AE37&lt;150,"120-149","150+")))))</f>
        <v/>
      </c>
      <c r="AX37" s="5">
        <f>IF(AP37="","No revenue data",IF(AP37&lt;0.15,"Under 0.15x",IF(AP37&lt;0.3,"0.15-0.30x",IF(AP37&lt;0.5,"0.30-0.50x",IF(AP37&lt;1,"0.50-1.00x","1.00x+")))))</f>
        <v/>
      </c>
      <c r="AY37" s="5">
        <f>IF(J37="","No SIC",IFERROR(VLOOKUP(J37,Ref!$A$4:$C$67,2,FALSE()),"Unclassified"))</f>
        <v/>
      </c>
      <c r="AZ37" s="5">
        <f>IF(E37="","",TEXT(E37,"YYYY")&amp;"-Q"&amp;ROUNDUP(MONTH(E37)/3,0))</f>
        <v/>
      </c>
      <c r="BA37" s="5">
        <f>IF(E37="","",TEXT(E37,"YYYY-MM"))</f>
        <v/>
      </c>
      <c r="BB37" s="5">
        <f>IF(E37="","",TEXT(E37,"YYYY"))</f>
        <v/>
      </c>
      <c r="BC37" s="92">
        <f>IF($E37="","",NETWORKDAYS($E37,Controls!$B$9,Ref!$F$4:$F$47))</f>
        <v/>
      </c>
      <c r="BD37" s="92">
        <f>IF(OR($AH37=1,$AJ37=1),1,0)</f>
        <v/>
      </c>
      <c r="BE37" s="95">
        <f>IF(OR($BD37=1,AND($AE37&lt;&gt;"",$BC37&gt;=Controls!$B$10*$AE37)),1,0)</f>
        <v/>
      </c>
    </row>
    <row r="38" ht="15.75" customHeight="1" s="79">
      <c r="A38" s="5" t="inlineStr">
        <is>
          <t>5674151553</t>
        </is>
      </c>
      <c r="B38" s="5" t="inlineStr">
        <is>
          <t>VITELGUIDE LLC</t>
        </is>
      </c>
      <c r="C38" s="5" t="inlineStr">
        <is>
          <t>VITEL HEALTH LLC</t>
        </is>
      </c>
      <c r="D38" s="5" t="inlineStr">
        <is>
          <t>Closed</t>
        </is>
      </c>
      <c r="E38" s="16" t="n">
        <v>45716</v>
      </c>
      <c r="F38" s="16" t="n">
        <v>45848</v>
      </c>
      <c r="G38" s="17" t="n">
        <v>3</v>
      </c>
      <c r="H38" s="5" t="inlineStr">
        <is>
          <t>8742</t>
        </is>
      </c>
      <c r="I38" s="5" t="inlineStr">
        <is>
          <t>Administrative Management and General Management Consulting Services</t>
        </is>
      </c>
      <c r="J38" s="5" t="inlineStr">
        <is>
          <t>87</t>
        </is>
      </c>
      <c r="K38" s="5" t="n">
        <v>7392</v>
      </c>
      <c r="L38" s="5" t="inlineStr">
        <is>
          <t>CA</t>
        </is>
      </c>
      <c r="M38" s="5" t="inlineStr">
        <is>
          <t>ROYAL FUNDING GROUP</t>
        </is>
      </c>
      <c r="N38" s="5" t="inlineStr">
        <is>
          <t>New Deal</t>
        </is>
      </c>
      <c r="O38" s="19" t="n">
        <v>1.457</v>
      </c>
      <c r="P38" s="20" t="n">
        <v>17000</v>
      </c>
      <c r="Q38" s="20" t="n">
        <v>2380</v>
      </c>
      <c r="R38" s="20" t="n">
        <v>24769</v>
      </c>
      <c r="S38" s="20" t="n">
        <v>24769</v>
      </c>
      <c r="T38" s="20" t="n">
        <v>0</v>
      </c>
      <c r="U38" s="21" t="n">
        <v>1</v>
      </c>
      <c r="V38" s="22" t="n">
        <v>20</v>
      </c>
      <c r="W38" s="17" t="n">
        <v>405</v>
      </c>
      <c r="X38" s="17" t="n">
        <v>2</v>
      </c>
      <c r="Y38" s="5" t="n"/>
      <c r="Z38" s="21" t="n">
        <v>0.1247</v>
      </c>
      <c r="AA38" s="16" t="n">
        <v>44417</v>
      </c>
      <c r="AB38" s="5">
        <f>IF(V38="","",IF(V38&lt;12,"Months","Weeks"))</f>
        <v/>
      </c>
      <c r="AC38" s="5">
        <f>IF(AB38="","",IF(AB38="Months","Daily","Weekly"))</f>
        <v/>
      </c>
      <c r="AD38" s="17">
        <f>IF(V38="","",IF(AC38="Daily",V38*Controls!$B$13,V38))</f>
        <v/>
      </c>
      <c r="AE38" s="17">
        <f>IF(V38="","",IF(AC38="Daily",V38*Controls!$B$13,V38*Controls!$B$12))</f>
        <v/>
      </c>
      <c r="AF38" s="17">
        <f>IF(OR(E38="",F38=""),"",F38-E38)</f>
        <v/>
      </c>
      <c r="AG38" s="17">
        <f>IF(OR(E38="",F38=""),"",NETWORKDAYS(E38,F38,Ref!$F$4:$F$47))</f>
        <v/>
      </c>
      <c r="AH38" s="39">
        <f>IF(IFERROR(VLOOKUP(D38,Controls!$A$25:$D$35,2,FALSE()),"No")="Yes",1,0)</f>
        <v/>
      </c>
      <c r="AI38" s="39">
        <f>IF(IFERROR(VLOOKUP(D38,Controls!$A$25:$D$35,3,FALSE()),"No")="Yes",1,0)</f>
        <v/>
      </c>
      <c r="AJ38" s="39">
        <f>IF(IFERROR(VLOOKUP(D38,Controls!$A$25:$D$35,4,FALSE()),"No")="Yes",1,0)</f>
        <v/>
      </c>
      <c r="AK38" s="96">
        <f>IF(AND($E38&gt;=Controls!$B$5,$E38&lt;=Controls!$B$6,OR(Controls!$E$9&lt;&gt;"Y",$BE38=1)),1,0)</f>
        <v/>
      </c>
      <c r="AL38" s="39">
        <f>1</f>
        <v/>
      </c>
      <c r="AM38" s="20">
        <f>S38-P38</f>
        <v/>
      </c>
      <c r="AN38" s="20">
        <f>IF(AH38=1,MAX(0,P38-S38),0)</f>
        <v/>
      </c>
      <c r="AO38" s="21">
        <f>IFERROR(S38/P38,"")</f>
        <v/>
      </c>
      <c r="AP38" s="22">
        <f>IF(Y38="","",P38/Y38)</f>
        <v/>
      </c>
      <c r="AQ38" s="39">
        <f>IF(Y38="",0,1)</f>
        <v/>
      </c>
      <c r="AR38" s="39">
        <f>IF(S38&lt;=0,1,0)</f>
        <v/>
      </c>
      <c r="AS38" s="17">
        <f>IF(AH38=1,AG38,"")</f>
        <v/>
      </c>
      <c r="AT38" s="17">
        <f>IF(AND(AH38=0,AJ38=1),AG38,"")</f>
        <v/>
      </c>
      <c r="AU38" s="5">
        <f>IF(P38&lt;10000,"Under $10K",IF(P38&lt;20000,"$10-20K",IF(P38&lt;30000,"$20-30K",IF(P38&lt;50000,"$30-50K",IF(P38&lt;100000,"$50-100K","$100K+")))))</f>
        <v/>
      </c>
      <c r="AV38" s="5">
        <f>IF(O38&lt;=1.35,"1.35 and under",IF(O38&lt;=1.42,"1.36-1.42",IF(O38&lt;=1.45,"1.43-1.45",IF(O38&lt;1.49,"1.46-1.48",IF(O38&lt;=1.49,"1.49","Above 1.49")))))</f>
        <v/>
      </c>
      <c r="AW38" s="5">
        <f>IF(AE38="","",IF(AE38&lt;60,"Under 60",IF(AE38&lt;90,"60-89",IF(AE38&lt;120,"90-119",IF(AE38&lt;150,"120-149","150+")))))</f>
        <v/>
      </c>
      <c r="AX38" s="5">
        <f>IF(AP38="","No revenue data",IF(AP38&lt;0.15,"Under 0.15x",IF(AP38&lt;0.3,"0.15-0.30x",IF(AP38&lt;0.5,"0.30-0.50x",IF(AP38&lt;1,"0.50-1.00x","1.00x+")))))</f>
        <v/>
      </c>
      <c r="AY38" s="5">
        <f>IF(J38="","No SIC",IFERROR(VLOOKUP(J38,Ref!$A$4:$C$67,2,FALSE()),"Unclassified"))</f>
        <v/>
      </c>
      <c r="AZ38" s="5">
        <f>IF(E38="","",TEXT(E38,"YYYY")&amp;"-Q"&amp;ROUNDUP(MONTH(E38)/3,0))</f>
        <v/>
      </c>
      <c r="BA38" s="5">
        <f>IF(E38="","",TEXT(E38,"YYYY-MM"))</f>
        <v/>
      </c>
      <c r="BB38" s="5">
        <f>IF(E38="","",TEXT(E38,"YYYY"))</f>
        <v/>
      </c>
      <c r="BC38" s="92">
        <f>IF($E38="","",NETWORKDAYS($E38,Controls!$B$9,Ref!$F$4:$F$47))</f>
        <v/>
      </c>
      <c r="BD38" s="92">
        <f>IF(OR($AH38=1,$AJ38=1),1,0)</f>
        <v/>
      </c>
      <c r="BE38" s="95">
        <f>IF(OR($BD38=1,AND($AE38&lt;&gt;"",$BC38&gt;=Controls!$B$10*$AE38)),1,0)</f>
        <v/>
      </c>
    </row>
    <row r="39" ht="15.75" customHeight="1" s="79">
      <c r="A39" s="5" t="inlineStr">
        <is>
          <t>5674151571</t>
        </is>
      </c>
      <c r="B39" s="5" t="inlineStr">
        <is>
          <t>DIAMOND GROUP LOGISTICS CO</t>
        </is>
      </c>
      <c r="C39" s="5" t="inlineStr">
        <is>
          <t>DIAMOND GROUP LOGISTICS CO</t>
        </is>
      </c>
      <c r="D39" s="5" t="inlineStr">
        <is>
          <t>Closed/NSF Unpaid</t>
        </is>
      </c>
      <c r="E39" s="16" t="n">
        <v>45716</v>
      </c>
      <c r="F39" s="16" t="n">
        <v>45834</v>
      </c>
      <c r="G39" s="17" t="n">
        <v>6</v>
      </c>
      <c r="H39" s="5" t="inlineStr">
        <is>
          <t>4213</t>
        </is>
      </c>
      <c r="I39" s="5" t="inlineStr">
        <is>
          <t>Specialized Freight (Except Used Goods) Trucking, Long Distance</t>
        </is>
      </c>
      <c r="J39" s="5" t="inlineStr">
        <is>
          <t>42</t>
        </is>
      </c>
      <c r="K39" s="5" t="n">
        <v>4214</v>
      </c>
      <c r="L39" s="5" t="inlineStr">
        <is>
          <t>IL</t>
        </is>
      </c>
      <c r="M39" s="5" t="inlineStr">
        <is>
          <t>Fund Max</t>
        </is>
      </c>
      <c r="N39" s="5" t="inlineStr">
        <is>
          <t>New Deal</t>
        </is>
      </c>
      <c r="O39" s="19" t="n">
        <v>1.499</v>
      </c>
      <c r="P39" s="20" t="n">
        <v>22000</v>
      </c>
      <c r="Q39" s="20" t="n">
        <v>3080</v>
      </c>
      <c r="R39" s="20" t="n">
        <v>32978</v>
      </c>
      <c r="S39" s="20" t="n">
        <v>32978</v>
      </c>
      <c r="T39" s="20" t="n">
        <v>0</v>
      </c>
      <c r="U39" s="21" t="n">
        <v>1</v>
      </c>
      <c r="V39" s="22" t="n">
        <v>16</v>
      </c>
      <c r="W39" s="17" t="n">
        <v>419</v>
      </c>
      <c r="X39" s="17" t="n">
        <v>1</v>
      </c>
      <c r="Y39" s="5" t="n"/>
      <c r="Z39" s="21" t="n">
        <v>0.0129</v>
      </c>
      <c r="AA39" s="16" t="n">
        <v>42967</v>
      </c>
      <c r="AB39" s="5">
        <f>IF(V39="","",IF(V39&lt;12,"Months","Weeks"))</f>
        <v/>
      </c>
      <c r="AC39" s="5">
        <f>IF(AB39="","",IF(AB39="Months","Daily","Weekly"))</f>
        <v/>
      </c>
      <c r="AD39" s="17">
        <f>IF(V39="","",IF(AC39="Daily",V39*Controls!$B$13,V39))</f>
        <v/>
      </c>
      <c r="AE39" s="17">
        <f>IF(V39="","",IF(AC39="Daily",V39*Controls!$B$13,V39*Controls!$B$12))</f>
        <v/>
      </c>
      <c r="AF39" s="17">
        <f>IF(OR(E39="",F39=""),"",F39-E39)</f>
        <v/>
      </c>
      <c r="AG39" s="17">
        <f>IF(OR(E39="",F39=""),"",NETWORKDAYS(E39,F39,Ref!$F$4:$F$47))</f>
        <v/>
      </c>
      <c r="AH39" s="39">
        <f>IF(IFERROR(VLOOKUP(D39,Controls!$A$25:$D$35,2,FALSE()),"No")="Yes",1,0)</f>
        <v/>
      </c>
      <c r="AI39" s="39">
        <f>IF(IFERROR(VLOOKUP(D39,Controls!$A$25:$D$35,3,FALSE()),"No")="Yes",1,0)</f>
        <v/>
      </c>
      <c r="AJ39" s="39">
        <f>IF(IFERROR(VLOOKUP(D39,Controls!$A$25:$D$35,4,FALSE()),"No")="Yes",1,0)</f>
        <v/>
      </c>
      <c r="AK39" s="96">
        <f>IF(AND($E39&gt;=Controls!$B$5,$E39&lt;=Controls!$B$6,OR(Controls!$E$9&lt;&gt;"Y",$BE39=1)),1,0)</f>
        <v/>
      </c>
      <c r="AL39" s="39">
        <f>1</f>
        <v/>
      </c>
      <c r="AM39" s="20">
        <f>S39-P39</f>
        <v/>
      </c>
      <c r="AN39" s="20">
        <f>IF(AH39=1,MAX(0,P39-S39),0)</f>
        <v/>
      </c>
      <c r="AO39" s="21">
        <f>IFERROR(S39/P39,"")</f>
        <v/>
      </c>
      <c r="AP39" s="22">
        <f>IF(Y39="","",P39/Y39)</f>
        <v/>
      </c>
      <c r="AQ39" s="39">
        <f>IF(Y39="",0,1)</f>
        <v/>
      </c>
      <c r="AR39" s="39">
        <f>IF(S39&lt;=0,1,0)</f>
        <v/>
      </c>
      <c r="AS39" s="17">
        <f>IF(AH39=1,AG39,"")</f>
        <v/>
      </c>
      <c r="AT39" s="17">
        <f>IF(AND(AH39=0,AJ39=1),AG39,"")</f>
        <v/>
      </c>
      <c r="AU39" s="5">
        <f>IF(P39&lt;10000,"Under $10K",IF(P39&lt;20000,"$10-20K",IF(P39&lt;30000,"$20-30K",IF(P39&lt;50000,"$30-50K",IF(P39&lt;100000,"$50-100K","$100K+")))))</f>
        <v/>
      </c>
      <c r="AV39" s="5">
        <f>IF(O39&lt;=1.35,"1.35 and under",IF(O39&lt;=1.42,"1.36-1.42",IF(O39&lt;=1.45,"1.43-1.45",IF(O39&lt;1.49,"1.46-1.48",IF(O39&lt;=1.49,"1.49","Above 1.49")))))</f>
        <v/>
      </c>
      <c r="AW39" s="5">
        <f>IF(AE39="","",IF(AE39&lt;60,"Under 60",IF(AE39&lt;90,"60-89",IF(AE39&lt;120,"90-119",IF(AE39&lt;150,"120-149","150+")))))</f>
        <v/>
      </c>
      <c r="AX39" s="5">
        <f>IF(AP39="","No revenue data",IF(AP39&lt;0.15,"Under 0.15x",IF(AP39&lt;0.3,"0.15-0.30x",IF(AP39&lt;0.5,"0.30-0.50x",IF(AP39&lt;1,"0.50-1.00x","1.00x+")))))</f>
        <v/>
      </c>
      <c r="AY39" s="5">
        <f>IF(J39="","No SIC",IFERROR(VLOOKUP(J39,Ref!$A$4:$C$67,2,FALSE()),"Unclassified"))</f>
        <v/>
      </c>
      <c r="AZ39" s="5">
        <f>IF(E39="","",TEXT(E39,"YYYY")&amp;"-Q"&amp;ROUNDUP(MONTH(E39)/3,0))</f>
        <v/>
      </c>
      <c r="BA39" s="5">
        <f>IF(E39="","",TEXT(E39,"YYYY-MM"))</f>
        <v/>
      </c>
      <c r="BB39" s="5">
        <f>IF(E39="","",TEXT(E39,"YYYY"))</f>
        <v/>
      </c>
      <c r="BC39" s="92">
        <f>IF($E39="","",NETWORKDAYS($E39,Controls!$B$9,Ref!$F$4:$F$47))</f>
        <v/>
      </c>
      <c r="BD39" s="92">
        <f>IF(OR($AH39=1,$AJ39=1),1,0)</f>
        <v/>
      </c>
      <c r="BE39" s="95">
        <f>IF(OR($BD39=1,AND($AE39&lt;&gt;"",$BC39&gt;=Controls!$B$10*$AE39)),1,0)</f>
        <v/>
      </c>
    </row>
    <row r="40" ht="15.75" customHeight="1" s="79">
      <c r="A40" s="5" t="inlineStr">
        <is>
          <t>5674151572</t>
        </is>
      </c>
      <c r="B40" s="5" t="inlineStr">
        <is>
          <t>R &amp; B HEATING &amp; COOLING SPECIALIST</t>
        </is>
      </c>
      <c r="C40" s="5" t="inlineStr">
        <is>
          <t>R &amp; B HEATING &amp; COOLING</t>
        </is>
      </c>
      <c r="D40" s="5" t="inlineStr">
        <is>
          <t>In House Collection</t>
        </is>
      </c>
      <c r="E40" s="16" t="n">
        <v>45716</v>
      </c>
      <c r="F40" s="16" t="n">
        <v>45776</v>
      </c>
      <c r="G40" s="17" t="n">
        <v>5</v>
      </c>
      <c r="H40" s="5" t="inlineStr">
        <is>
          <t>1711</t>
        </is>
      </c>
      <c r="I40" s="5" t="inlineStr">
        <is>
          <t>Plumbing, Heating, and Air Conditioning Contractors</t>
        </is>
      </c>
      <c r="J40" s="5" t="inlineStr">
        <is>
          <t>17</t>
        </is>
      </c>
      <c r="K40" s="5" t="n">
        <v>5074</v>
      </c>
      <c r="L40" s="5" t="inlineStr">
        <is>
          <t>AZ</t>
        </is>
      </c>
      <c r="M40" s="5" t="inlineStr">
        <is>
          <t>MZ ADVANCE</t>
        </is>
      </c>
      <c r="N40" s="5" t="inlineStr">
        <is>
          <t>New Deal</t>
        </is>
      </c>
      <c r="O40" s="19" t="n">
        <v>1.49</v>
      </c>
      <c r="P40" s="20" t="n">
        <v>7000</v>
      </c>
      <c r="Q40" s="20" t="n">
        <v>980</v>
      </c>
      <c r="R40" s="20" t="n">
        <v>10430</v>
      </c>
      <c r="S40" s="20" t="n">
        <v>3297.57</v>
      </c>
      <c r="T40" s="20" t="n">
        <v>7132.43</v>
      </c>
      <c r="U40" s="21" t="n">
        <v>0.316162032598274</v>
      </c>
      <c r="V40" s="22" t="n">
        <v>1.148</v>
      </c>
      <c r="W40" s="17" t="n">
        <v>477</v>
      </c>
      <c r="X40" s="17" t="n">
        <v>3</v>
      </c>
      <c r="Y40" s="5" t="n"/>
      <c r="Z40" s="21" t="n">
        <v>0.0624</v>
      </c>
      <c r="AA40" s="16" t="n">
        <v>37817</v>
      </c>
      <c r="AB40" s="5">
        <f>IF(V40="","",IF(V40&lt;12,"Months","Weeks"))</f>
        <v/>
      </c>
      <c r="AC40" s="5">
        <f>IF(AB40="","",IF(AB40="Months","Daily","Weekly"))</f>
        <v/>
      </c>
      <c r="AD40" s="17">
        <f>IF(V40="","",IF(AC40="Daily",V40*Controls!$B$13,V40))</f>
        <v/>
      </c>
      <c r="AE40" s="17">
        <f>IF(V40="","",IF(AC40="Daily",V40*Controls!$B$13,V40*Controls!$B$12))</f>
        <v/>
      </c>
      <c r="AF40" s="17">
        <f>IF(OR(E40="",F40=""),"",F40-E40)</f>
        <v/>
      </c>
      <c r="AG40" s="17">
        <f>IF(OR(E40="",F40=""),"",NETWORKDAYS(E40,F40,Ref!$F$4:$F$47))</f>
        <v/>
      </c>
      <c r="AH40" s="39">
        <f>IF(IFERROR(VLOOKUP(D40,Controls!$A$25:$D$35,2,FALSE()),"No")="Yes",1,0)</f>
        <v/>
      </c>
      <c r="AI40" s="39">
        <f>IF(IFERROR(VLOOKUP(D40,Controls!$A$25:$D$35,3,FALSE()),"No")="Yes",1,0)</f>
        <v/>
      </c>
      <c r="AJ40" s="39">
        <f>IF(IFERROR(VLOOKUP(D40,Controls!$A$25:$D$35,4,FALSE()),"No")="Yes",1,0)</f>
        <v/>
      </c>
      <c r="AK40" s="96">
        <f>IF(AND($E40&gt;=Controls!$B$5,$E40&lt;=Controls!$B$6,OR(Controls!$E$9&lt;&gt;"Y",$BE40=1)),1,0)</f>
        <v/>
      </c>
      <c r="AL40" s="39">
        <f>1</f>
        <v/>
      </c>
      <c r="AM40" s="20">
        <f>S40-P40</f>
        <v/>
      </c>
      <c r="AN40" s="20">
        <f>IF(AH40=1,MAX(0,P40-S40),0)</f>
        <v/>
      </c>
      <c r="AO40" s="21">
        <f>IFERROR(S40/P40,"")</f>
        <v/>
      </c>
      <c r="AP40" s="22">
        <f>IF(Y40="","",P40/Y40)</f>
        <v/>
      </c>
      <c r="AQ40" s="39">
        <f>IF(Y40="",0,1)</f>
        <v/>
      </c>
      <c r="AR40" s="39">
        <f>IF(S40&lt;=0,1,0)</f>
        <v/>
      </c>
      <c r="AS40" s="17">
        <f>IF(AH40=1,AG40,"")</f>
        <v/>
      </c>
      <c r="AT40" s="17">
        <f>IF(AND(AH40=0,AJ40=1),AG40,"")</f>
        <v/>
      </c>
      <c r="AU40" s="5">
        <f>IF(P40&lt;10000,"Under $10K",IF(P40&lt;20000,"$10-20K",IF(P40&lt;30000,"$20-30K",IF(P40&lt;50000,"$30-50K",IF(P40&lt;100000,"$50-100K","$100K+")))))</f>
        <v/>
      </c>
      <c r="AV40" s="5">
        <f>IF(O40&lt;=1.35,"1.35 and under",IF(O40&lt;=1.42,"1.36-1.42",IF(O40&lt;=1.45,"1.43-1.45",IF(O40&lt;1.49,"1.46-1.48",IF(O40&lt;=1.49,"1.49","Above 1.49")))))</f>
        <v/>
      </c>
      <c r="AW40" s="5">
        <f>IF(AE40="","",IF(AE40&lt;60,"Under 60",IF(AE40&lt;90,"60-89",IF(AE40&lt;120,"90-119",IF(AE40&lt;150,"120-149","150+")))))</f>
        <v/>
      </c>
      <c r="AX40" s="5">
        <f>IF(AP40="","No revenue data",IF(AP40&lt;0.15,"Under 0.15x",IF(AP40&lt;0.3,"0.15-0.30x",IF(AP40&lt;0.5,"0.30-0.50x",IF(AP40&lt;1,"0.50-1.00x","1.00x+")))))</f>
        <v/>
      </c>
      <c r="AY40" s="5">
        <f>IF(J40="","No SIC",IFERROR(VLOOKUP(J40,Ref!$A$4:$C$67,2,FALSE()),"Unclassified"))</f>
        <v/>
      </c>
      <c r="AZ40" s="5">
        <f>IF(E40="","",TEXT(E40,"YYYY")&amp;"-Q"&amp;ROUNDUP(MONTH(E40)/3,0))</f>
        <v/>
      </c>
      <c r="BA40" s="5">
        <f>IF(E40="","",TEXT(E40,"YYYY-MM"))</f>
        <v/>
      </c>
      <c r="BB40" s="5">
        <f>IF(E40="","",TEXT(E40,"YYYY"))</f>
        <v/>
      </c>
      <c r="BC40" s="92">
        <f>IF($E40="","",NETWORKDAYS($E40,Controls!$B$9,Ref!$F$4:$F$47))</f>
        <v/>
      </c>
      <c r="BD40" s="92">
        <f>IF(OR($AH40=1,$AJ40=1),1,0)</f>
        <v/>
      </c>
      <c r="BE40" s="95">
        <f>IF(OR($BD40=1,AND($AE40&lt;&gt;"",$BC40&gt;=Controls!$B$10*$AE40)),1,0)</f>
        <v/>
      </c>
    </row>
    <row r="41" ht="15.75" customHeight="1" s="79">
      <c r="A41" s="5" t="inlineStr">
        <is>
          <t>5674151645</t>
        </is>
      </c>
      <c r="B41" s="5" t="inlineStr">
        <is>
          <t>NEXT LEVEL DME</t>
        </is>
      </c>
      <c r="C41" s="5" t="inlineStr">
        <is>
          <t>LINX SOLUTIONS LLC</t>
        </is>
      </c>
      <c r="D41" s="5" t="inlineStr">
        <is>
          <t>Closed</t>
        </is>
      </c>
      <c r="E41" s="16" t="n">
        <v>45719</v>
      </c>
      <c r="F41" s="16" t="n">
        <v>45973</v>
      </c>
      <c r="G41" s="17" t="n">
        <v>6</v>
      </c>
      <c r="H41" s="5" t="inlineStr">
        <is>
          <t>5047</t>
        </is>
      </c>
      <c r="I41" s="5" t="inlineStr">
        <is>
          <t>Medical, Dental, and Hospital Equipment and Supplies Merchant Wholesalers</t>
        </is>
      </c>
      <c r="J41" s="5" t="inlineStr">
        <is>
          <t>50</t>
        </is>
      </c>
      <c r="K41" s="5" t="n">
        <v>5047</v>
      </c>
      <c r="L41" s="5" t="inlineStr">
        <is>
          <t>TN</t>
        </is>
      </c>
      <c r="M41" s="5" t="inlineStr">
        <is>
          <t>PMF</t>
        </is>
      </c>
      <c r="N41" s="5" t="inlineStr">
        <is>
          <t>New Deal</t>
        </is>
      </c>
      <c r="O41" s="19" t="n">
        <v>1.44</v>
      </c>
      <c r="P41" s="20" t="n">
        <v>20000</v>
      </c>
      <c r="Q41" s="20" t="n">
        <v>2300</v>
      </c>
      <c r="R41" s="20" t="n">
        <v>28800</v>
      </c>
      <c r="S41" s="20" t="n">
        <v>28800</v>
      </c>
      <c r="T41" s="20" t="n">
        <v>0</v>
      </c>
      <c r="U41" s="21" t="n">
        <v>1</v>
      </c>
      <c r="V41" s="22" t="n">
        <v>40</v>
      </c>
      <c r="W41" s="17" t="n">
        <v>280</v>
      </c>
      <c r="X41" s="17" t="n">
        <v>0</v>
      </c>
      <c r="Y41" s="5" t="n"/>
      <c r="Z41" s="21" t="n">
        <v>0.0279</v>
      </c>
      <c r="AA41" s="16" t="n">
        <v>43748</v>
      </c>
      <c r="AB41" s="5">
        <f>IF(V41="","",IF(V41&lt;12,"Months","Weeks"))</f>
        <v/>
      </c>
      <c r="AC41" s="5">
        <f>IF(AB41="","",IF(AB41="Months","Daily","Weekly"))</f>
        <v/>
      </c>
      <c r="AD41" s="17">
        <f>IF(V41="","",IF(AC41="Daily",V41*Controls!$B$13,V41))</f>
        <v/>
      </c>
      <c r="AE41" s="17">
        <f>IF(V41="","",IF(AC41="Daily",V41*Controls!$B$13,V41*Controls!$B$12))</f>
        <v/>
      </c>
      <c r="AF41" s="17">
        <f>IF(OR(E41="",F41=""),"",F41-E41)</f>
        <v/>
      </c>
      <c r="AG41" s="17">
        <f>IF(OR(E41="",F41=""),"",NETWORKDAYS(E41,F41,Ref!$F$4:$F$47))</f>
        <v/>
      </c>
      <c r="AH41" s="39">
        <f>IF(IFERROR(VLOOKUP(D41,Controls!$A$25:$D$35,2,FALSE()),"No")="Yes",1,0)</f>
        <v/>
      </c>
      <c r="AI41" s="39">
        <f>IF(IFERROR(VLOOKUP(D41,Controls!$A$25:$D$35,3,FALSE()),"No")="Yes",1,0)</f>
        <v/>
      </c>
      <c r="AJ41" s="39">
        <f>IF(IFERROR(VLOOKUP(D41,Controls!$A$25:$D$35,4,FALSE()),"No")="Yes",1,0)</f>
        <v/>
      </c>
      <c r="AK41" s="96">
        <f>IF(AND($E41&gt;=Controls!$B$5,$E41&lt;=Controls!$B$6,OR(Controls!$E$9&lt;&gt;"Y",$BE41=1)),1,0)</f>
        <v/>
      </c>
      <c r="AL41" s="39">
        <f>1</f>
        <v/>
      </c>
      <c r="AM41" s="20">
        <f>S41-P41</f>
        <v/>
      </c>
      <c r="AN41" s="20">
        <f>IF(AH41=1,MAX(0,P41-S41),0)</f>
        <v/>
      </c>
      <c r="AO41" s="21">
        <f>IFERROR(S41/P41,"")</f>
        <v/>
      </c>
      <c r="AP41" s="22">
        <f>IF(Y41="","",P41/Y41)</f>
        <v/>
      </c>
      <c r="AQ41" s="39">
        <f>IF(Y41="",0,1)</f>
        <v/>
      </c>
      <c r="AR41" s="39">
        <f>IF(S41&lt;=0,1,0)</f>
        <v/>
      </c>
      <c r="AS41" s="17">
        <f>IF(AH41=1,AG41,"")</f>
        <v/>
      </c>
      <c r="AT41" s="17">
        <f>IF(AND(AH41=0,AJ41=1),AG41,"")</f>
        <v/>
      </c>
      <c r="AU41" s="5">
        <f>IF(P41&lt;10000,"Under $10K",IF(P41&lt;20000,"$10-20K",IF(P41&lt;30000,"$20-30K",IF(P41&lt;50000,"$30-50K",IF(P41&lt;100000,"$50-100K","$100K+")))))</f>
        <v/>
      </c>
      <c r="AV41" s="5">
        <f>IF(O41&lt;=1.35,"1.35 and under",IF(O41&lt;=1.42,"1.36-1.42",IF(O41&lt;=1.45,"1.43-1.45",IF(O41&lt;1.49,"1.46-1.48",IF(O41&lt;=1.49,"1.49","Above 1.49")))))</f>
        <v/>
      </c>
      <c r="AW41" s="5">
        <f>IF(AE41="","",IF(AE41&lt;60,"Under 60",IF(AE41&lt;90,"60-89",IF(AE41&lt;120,"90-119",IF(AE41&lt;150,"120-149","150+")))))</f>
        <v/>
      </c>
      <c r="AX41" s="5">
        <f>IF(AP41="","No revenue data",IF(AP41&lt;0.15,"Under 0.15x",IF(AP41&lt;0.3,"0.15-0.30x",IF(AP41&lt;0.5,"0.30-0.50x",IF(AP41&lt;1,"0.50-1.00x","1.00x+")))))</f>
        <v/>
      </c>
      <c r="AY41" s="5">
        <f>IF(J41="","No SIC",IFERROR(VLOOKUP(J41,Ref!$A$4:$C$67,2,FALSE()),"Unclassified"))</f>
        <v/>
      </c>
      <c r="AZ41" s="5">
        <f>IF(E41="","",TEXT(E41,"YYYY")&amp;"-Q"&amp;ROUNDUP(MONTH(E41)/3,0))</f>
        <v/>
      </c>
      <c r="BA41" s="5">
        <f>IF(E41="","",TEXT(E41,"YYYY-MM"))</f>
        <v/>
      </c>
      <c r="BB41" s="5">
        <f>IF(E41="","",TEXT(E41,"YYYY"))</f>
        <v/>
      </c>
      <c r="BC41" s="92">
        <f>IF($E41="","",NETWORKDAYS($E41,Controls!$B$9,Ref!$F$4:$F$47))</f>
        <v/>
      </c>
      <c r="BD41" s="92">
        <f>IF(OR($AH41=1,$AJ41=1),1,0)</f>
        <v/>
      </c>
      <c r="BE41" s="95">
        <f>IF(OR($BD41=1,AND($AE41&lt;&gt;"",$BC41&gt;=Controls!$B$10*$AE41)),1,0)</f>
        <v/>
      </c>
    </row>
    <row r="42" ht="15.75" customHeight="1" s="79">
      <c r="A42" s="5" t="inlineStr">
        <is>
          <t>5674151913</t>
        </is>
      </c>
      <c r="B42" s="5" t="inlineStr">
        <is>
          <t>S&amp;E ENTERPRISE LLC</t>
        </is>
      </c>
      <c r="C42" s="5" t="inlineStr">
        <is>
          <t>S&amp;E ENTERPRISE LLC</t>
        </is>
      </c>
      <c r="D42" s="5" t="inlineStr">
        <is>
          <t>Closed</t>
        </is>
      </c>
      <c r="E42" s="16" t="n">
        <v>45721</v>
      </c>
      <c r="F42" s="16" t="n">
        <v>45804</v>
      </c>
      <c r="G42" s="17" t="n">
        <v>2</v>
      </c>
      <c r="H42" s="5" t="inlineStr">
        <is>
          <t>1751</t>
        </is>
      </c>
      <c r="I42" s="5" t="inlineStr">
        <is>
          <t>Framing Contractors</t>
        </is>
      </c>
      <c r="J42" s="5" t="inlineStr">
        <is>
          <t>17</t>
        </is>
      </c>
      <c r="K42" s="5" t="n">
        <v>1799</v>
      </c>
      <c r="L42" s="5" t="inlineStr">
        <is>
          <t>RI</t>
        </is>
      </c>
      <c r="M42" s="5" t="inlineStr">
        <is>
          <t>Triumph Cap Fund</t>
        </is>
      </c>
      <c r="N42" s="5" t="inlineStr">
        <is>
          <t>New Deal</t>
        </is>
      </c>
      <c r="O42" s="19" t="n">
        <v>1.49</v>
      </c>
      <c r="P42" s="20" t="n">
        <v>22000</v>
      </c>
      <c r="Q42" s="20" t="n">
        <v>3080</v>
      </c>
      <c r="R42" s="20" t="n">
        <v>32780</v>
      </c>
      <c r="S42" s="20" t="n">
        <v>32780</v>
      </c>
      <c r="T42" s="20" t="n">
        <v>0</v>
      </c>
      <c r="U42" s="21" t="n">
        <v>1</v>
      </c>
      <c r="V42" s="22" t="n">
        <v>3.607</v>
      </c>
      <c r="W42" s="17" t="n">
        <v>449</v>
      </c>
      <c r="X42" s="17" t="n">
        <v>0</v>
      </c>
      <c r="Y42" s="5" t="n"/>
      <c r="Z42" s="21" t="n">
        <v>0.1784</v>
      </c>
      <c r="AA42" s="16" t="n">
        <v>45005</v>
      </c>
      <c r="AB42" s="5">
        <f>IF(V42="","",IF(V42&lt;12,"Months","Weeks"))</f>
        <v/>
      </c>
      <c r="AC42" s="5">
        <f>IF(AB42="","",IF(AB42="Months","Daily","Weekly"))</f>
        <v/>
      </c>
      <c r="AD42" s="17">
        <f>IF(V42="","",IF(AC42="Daily",V42*Controls!$B$13,V42))</f>
        <v/>
      </c>
      <c r="AE42" s="17">
        <f>IF(V42="","",IF(AC42="Daily",V42*Controls!$B$13,V42*Controls!$B$12))</f>
        <v/>
      </c>
      <c r="AF42" s="17">
        <f>IF(OR(E42="",F42=""),"",F42-E42)</f>
        <v/>
      </c>
      <c r="AG42" s="17">
        <f>IF(OR(E42="",F42=""),"",NETWORKDAYS(E42,F42,Ref!$F$4:$F$47))</f>
        <v/>
      </c>
      <c r="AH42" s="39">
        <f>IF(IFERROR(VLOOKUP(D42,Controls!$A$25:$D$35,2,FALSE()),"No")="Yes",1,0)</f>
        <v/>
      </c>
      <c r="AI42" s="39">
        <f>IF(IFERROR(VLOOKUP(D42,Controls!$A$25:$D$35,3,FALSE()),"No")="Yes",1,0)</f>
        <v/>
      </c>
      <c r="AJ42" s="39">
        <f>IF(IFERROR(VLOOKUP(D42,Controls!$A$25:$D$35,4,FALSE()),"No")="Yes",1,0)</f>
        <v/>
      </c>
      <c r="AK42" s="96">
        <f>IF(AND($E42&gt;=Controls!$B$5,$E42&lt;=Controls!$B$6,OR(Controls!$E$9&lt;&gt;"Y",$BE42=1)),1,0)</f>
        <v/>
      </c>
      <c r="AL42" s="39">
        <f>1</f>
        <v/>
      </c>
      <c r="AM42" s="20">
        <f>S42-P42</f>
        <v/>
      </c>
      <c r="AN42" s="20">
        <f>IF(AH42=1,MAX(0,P42-S42),0)</f>
        <v/>
      </c>
      <c r="AO42" s="21">
        <f>IFERROR(S42/P42,"")</f>
        <v/>
      </c>
      <c r="AP42" s="22">
        <f>IF(Y42="","",P42/Y42)</f>
        <v/>
      </c>
      <c r="AQ42" s="39">
        <f>IF(Y42="",0,1)</f>
        <v/>
      </c>
      <c r="AR42" s="39">
        <f>IF(S42&lt;=0,1,0)</f>
        <v/>
      </c>
      <c r="AS42" s="17">
        <f>IF(AH42=1,AG42,"")</f>
        <v/>
      </c>
      <c r="AT42" s="17">
        <f>IF(AND(AH42=0,AJ42=1),AG42,"")</f>
        <v/>
      </c>
      <c r="AU42" s="5">
        <f>IF(P42&lt;10000,"Under $10K",IF(P42&lt;20000,"$10-20K",IF(P42&lt;30000,"$20-30K",IF(P42&lt;50000,"$30-50K",IF(P42&lt;100000,"$50-100K","$100K+")))))</f>
        <v/>
      </c>
      <c r="AV42" s="5">
        <f>IF(O42&lt;=1.35,"1.35 and under",IF(O42&lt;=1.42,"1.36-1.42",IF(O42&lt;=1.45,"1.43-1.45",IF(O42&lt;1.49,"1.46-1.48",IF(O42&lt;=1.49,"1.49","Above 1.49")))))</f>
        <v/>
      </c>
      <c r="AW42" s="5">
        <f>IF(AE42="","",IF(AE42&lt;60,"Under 60",IF(AE42&lt;90,"60-89",IF(AE42&lt;120,"90-119",IF(AE42&lt;150,"120-149","150+")))))</f>
        <v/>
      </c>
      <c r="AX42" s="5">
        <f>IF(AP42="","No revenue data",IF(AP42&lt;0.15,"Under 0.15x",IF(AP42&lt;0.3,"0.15-0.30x",IF(AP42&lt;0.5,"0.30-0.50x",IF(AP42&lt;1,"0.50-1.00x","1.00x+")))))</f>
        <v/>
      </c>
      <c r="AY42" s="5">
        <f>IF(J42="","No SIC",IFERROR(VLOOKUP(J42,Ref!$A$4:$C$67,2,FALSE()),"Unclassified"))</f>
        <v/>
      </c>
      <c r="AZ42" s="5">
        <f>IF(E42="","",TEXT(E42,"YYYY")&amp;"-Q"&amp;ROUNDUP(MONTH(E42)/3,0))</f>
        <v/>
      </c>
      <c r="BA42" s="5">
        <f>IF(E42="","",TEXT(E42,"YYYY-MM"))</f>
        <v/>
      </c>
      <c r="BB42" s="5">
        <f>IF(E42="","",TEXT(E42,"YYYY"))</f>
        <v/>
      </c>
      <c r="BC42" s="92">
        <f>IF($E42="","",NETWORKDAYS($E42,Controls!$B$9,Ref!$F$4:$F$47))</f>
        <v/>
      </c>
      <c r="BD42" s="92">
        <f>IF(OR($AH42=1,$AJ42=1),1,0)</f>
        <v/>
      </c>
      <c r="BE42" s="95">
        <f>IF(OR($BD42=1,AND($AE42&lt;&gt;"",$BC42&gt;=Controls!$B$10*$AE42)),1,0)</f>
        <v/>
      </c>
    </row>
    <row r="43" ht="15.75" customHeight="1" s="79">
      <c r="A43" s="5" t="inlineStr">
        <is>
          <t>5674151967</t>
        </is>
      </c>
      <c r="B43" s="5" t="inlineStr">
        <is>
          <t>ANDERSON CARPENTRY CO</t>
        </is>
      </c>
      <c r="C43" s="5" t="inlineStr">
        <is>
          <t>ANDERSON CARPENTRY AND CO</t>
        </is>
      </c>
      <c r="D43" s="5" t="inlineStr">
        <is>
          <t>Closed</t>
        </is>
      </c>
      <c r="E43" s="16" t="n">
        <v>45722</v>
      </c>
      <c r="F43" s="16" t="n">
        <v>45813</v>
      </c>
      <c r="G43" s="17" t="n">
        <v>1</v>
      </c>
      <c r="H43" s="5" t="inlineStr">
        <is>
          <t>1629</t>
        </is>
      </c>
      <c r="I43" s="5" t="inlineStr">
        <is>
          <t>Site Preparation Contractors</t>
        </is>
      </c>
      <c r="J43" s="5" t="inlineStr">
        <is>
          <t>16</t>
        </is>
      </c>
      <c r="K43" s="5" t="n">
        <v>1520</v>
      </c>
      <c r="L43" s="5" t="inlineStr">
        <is>
          <t>FL</t>
        </is>
      </c>
      <c r="M43" s="5" t="inlineStr">
        <is>
          <t>Samson Funding</t>
        </is>
      </c>
      <c r="N43" s="5" t="inlineStr">
        <is>
          <t>New Deal</t>
        </is>
      </c>
      <c r="O43" s="19" t="n">
        <v>1.49</v>
      </c>
      <c r="P43" s="20" t="n">
        <v>10000</v>
      </c>
      <c r="Q43" s="20" t="n">
        <v>1400</v>
      </c>
      <c r="R43" s="20" t="n">
        <v>14900</v>
      </c>
      <c r="S43" s="20" t="n">
        <v>14900</v>
      </c>
      <c r="T43" s="20" t="n">
        <v>0</v>
      </c>
      <c r="U43" s="21" t="n">
        <v>1</v>
      </c>
      <c r="V43" s="22" t="n">
        <v>3.279</v>
      </c>
      <c r="W43" s="17" t="n">
        <v>440</v>
      </c>
      <c r="X43" s="17" t="n">
        <v>0</v>
      </c>
      <c r="Y43" s="5" t="n"/>
      <c r="Z43" s="21" t="n">
        <v>0.09810000000000001</v>
      </c>
      <c r="AA43" s="16" t="n">
        <v>44977</v>
      </c>
      <c r="AB43" s="5">
        <f>IF(V43="","",IF(V43&lt;12,"Months","Weeks"))</f>
        <v/>
      </c>
      <c r="AC43" s="5">
        <f>IF(AB43="","",IF(AB43="Months","Daily","Weekly"))</f>
        <v/>
      </c>
      <c r="AD43" s="17">
        <f>IF(V43="","",IF(AC43="Daily",V43*Controls!$B$13,V43))</f>
        <v/>
      </c>
      <c r="AE43" s="17">
        <f>IF(V43="","",IF(AC43="Daily",V43*Controls!$B$13,V43*Controls!$B$12))</f>
        <v/>
      </c>
      <c r="AF43" s="17">
        <f>IF(OR(E43="",F43=""),"",F43-E43)</f>
        <v/>
      </c>
      <c r="AG43" s="17">
        <f>IF(OR(E43="",F43=""),"",NETWORKDAYS(E43,F43,Ref!$F$4:$F$47))</f>
        <v/>
      </c>
      <c r="AH43" s="39">
        <f>IF(IFERROR(VLOOKUP(D43,Controls!$A$25:$D$35,2,FALSE()),"No")="Yes",1,0)</f>
        <v/>
      </c>
      <c r="AI43" s="39">
        <f>IF(IFERROR(VLOOKUP(D43,Controls!$A$25:$D$35,3,FALSE()),"No")="Yes",1,0)</f>
        <v/>
      </c>
      <c r="AJ43" s="39">
        <f>IF(IFERROR(VLOOKUP(D43,Controls!$A$25:$D$35,4,FALSE()),"No")="Yes",1,0)</f>
        <v/>
      </c>
      <c r="AK43" s="96">
        <f>IF(AND($E43&gt;=Controls!$B$5,$E43&lt;=Controls!$B$6,OR(Controls!$E$9&lt;&gt;"Y",$BE43=1)),1,0)</f>
        <v/>
      </c>
      <c r="AL43" s="39">
        <f>1</f>
        <v/>
      </c>
      <c r="AM43" s="20">
        <f>S43-P43</f>
        <v/>
      </c>
      <c r="AN43" s="20">
        <f>IF(AH43=1,MAX(0,P43-S43),0)</f>
        <v/>
      </c>
      <c r="AO43" s="21">
        <f>IFERROR(S43/P43,"")</f>
        <v/>
      </c>
      <c r="AP43" s="22">
        <f>IF(Y43="","",P43/Y43)</f>
        <v/>
      </c>
      <c r="AQ43" s="39">
        <f>IF(Y43="",0,1)</f>
        <v/>
      </c>
      <c r="AR43" s="39">
        <f>IF(S43&lt;=0,1,0)</f>
        <v/>
      </c>
      <c r="AS43" s="17">
        <f>IF(AH43=1,AG43,"")</f>
        <v/>
      </c>
      <c r="AT43" s="17">
        <f>IF(AND(AH43=0,AJ43=1),AG43,"")</f>
        <v/>
      </c>
      <c r="AU43" s="5">
        <f>IF(P43&lt;10000,"Under $10K",IF(P43&lt;20000,"$10-20K",IF(P43&lt;30000,"$20-30K",IF(P43&lt;50000,"$30-50K",IF(P43&lt;100000,"$50-100K","$100K+")))))</f>
        <v/>
      </c>
      <c r="AV43" s="5">
        <f>IF(O43&lt;=1.35,"1.35 and under",IF(O43&lt;=1.42,"1.36-1.42",IF(O43&lt;=1.45,"1.43-1.45",IF(O43&lt;1.49,"1.46-1.48",IF(O43&lt;=1.49,"1.49","Above 1.49")))))</f>
        <v/>
      </c>
      <c r="AW43" s="5">
        <f>IF(AE43="","",IF(AE43&lt;60,"Under 60",IF(AE43&lt;90,"60-89",IF(AE43&lt;120,"90-119",IF(AE43&lt;150,"120-149","150+")))))</f>
        <v/>
      </c>
      <c r="AX43" s="5">
        <f>IF(AP43="","No revenue data",IF(AP43&lt;0.15,"Under 0.15x",IF(AP43&lt;0.3,"0.15-0.30x",IF(AP43&lt;0.5,"0.30-0.50x",IF(AP43&lt;1,"0.50-1.00x","1.00x+")))))</f>
        <v/>
      </c>
      <c r="AY43" s="5">
        <f>IF(J43="","No SIC",IFERROR(VLOOKUP(J43,Ref!$A$4:$C$67,2,FALSE()),"Unclassified"))</f>
        <v/>
      </c>
      <c r="AZ43" s="5">
        <f>IF(E43="","",TEXT(E43,"YYYY")&amp;"-Q"&amp;ROUNDUP(MONTH(E43)/3,0))</f>
        <v/>
      </c>
      <c r="BA43" s="5">
        <f>IF(E43="","",TEXT(E43,"YYYY-MM"))</f>
        <v/>
      </c>
      <c r="BB43" s="5">
        <f>IF(E43="","",TEXT(E43,"YYYY"))</f>
        <v/>
      </c>
      <c r="BC43" s="92">
        <f>IF($E43="","",NETWORKDAYS($E43,Controls!$B$9,Ref!$F$4:$F$47))</f>
        <v/>
      </c>
      <c r="BD43" s="92">
        <f>IF(OR($AH43=1,$AJ43=1),1,0)</f>
        <v/>
      </c>
      <c r="BE43" s="95">
        <f>IF(OR($BD43=1,AND($AE43&lt;&gt;"",$BC43&gt;=Controls!$B$10*$AE43)),1,0)</f>
        <v/>
      </c>
    </row>
    <row r="44" ht="15.75" customHeight="1" s="79">
      <c r="A44" s="5" t="inlineStr">
        <is>
          <t>5674152037</t>
        </is>
      </c>
      <c r="B44" s="5" t="inlineStr">
        <is>
          <t>COOPER PRINTING</t>
        </is>
      </c>
      <c r="C44" s="5" t="inlineStr">
        <is>
          <t>COOPER PRINTING</t>
        </is>
      </c>
      <c r="D44" s="5" t="inlineStr">
        <is>
          <t>Closed</t>
        </is>
      </c>
      <c r="E44" s="16" t="n">
        <v>45722</v>
      </c>
      <c r="F44" s="16" t="n">
        <v>45821</v>
      </c>
      <c r="G44" s="17" t="n">
        <v>4</v>
      </c>
      <c r="H44" s="5" t="inlineStr">
        <is>
          <t>5699</t>
        </is>
      </c>
      <c r="I44" s="5" t="inlineStr">
        <is>
          <t>Clothing Accessories Stores</t>
        </is>
      </c>
      <c r="J44" s="5" t="inlineStr">
        <is>
          <t>56</t>
        </is>
      </c>
      <c r="K44" s="5" t="n">
        <v>5699</v>
      </c>
      <c r="L44" s="5" t="inlineStr">
        <is>
          <t>MS</t>
        </is>
      </c>
      <c r="M44" s="5" t="inlineStr">
        <is>
          <t>Platform Funding</t>
        </is>
      </c>
      <c r="N44" s="5" t="inlineStr">
        <is>
          <t>Renewal</t>
        </is>
      </c>
      <c r="O44" s="19" t="n">
        <v>1.47</v>
      </c>
      <c r="P44" s="20" t="n">
        <v>4000</v>
      </c>
      <c r="Q44" s="20" t="n">
        <v>520</v>
      </c>
      <c r="R44" s="20" t="n">
        <v>5880</v>
      </c>
      <c r="S44" s="20" t="n">
        <v>5880</v>
      </c>
      <c r="T44" s="20" t="n">
        <v>0</v>
      </c>
      <c r="U44" s="21" t="n">
        <v>1</v>
      </c>
      <c r="V44" s="22" t="n">
        <v>2.295</v>
      </c>
      <c r="W44" s="17" t="n">
        <v>432</v>
      </c>
      <c r="X44" s="17" t="n">
        <v>0</v>
      </c>
      <c r="Y44" s="5" t="n"/>
      <c r="Z44" s="21" t="n">
        <v>0.1421</v>
      </c>
      <c r="AA44" s="16" t="n">
        <v>44350</v>
      </c>
      <c r="AB44" s="5">
        <f>IF(V44="","",IF(V44&lt;12,"Months","Weeks"))</f>
        <v/>
      </c>
      <c r="AC44" s="5">
        <f>IF(AB44="","",IF(AB44="Months","Daily","Weekly"))</f>
        <v/>
      </c>
      <c r="AD44" s="17">
        <f>IF(V44="","",IF(AC44="Daily",V44*Controls!$B$13,V44))</f>
        <v/>
      </c>
      <c r="AE44" s="17">
        <f>IF(V44="","",IF(AC44="Daily",V44*Controls!$B$13,V44*Controls!$B$12))</f>
        <v/>
      </c>
      <c r="AF44" s="17">
        <f>IF(OR(E44="",F44=""),"",F44-E44)</f>
        <v/>
      </c>
      <c r="AG44" s="17">
        <f>IF(OR(E44="",F44=""),"",NETWORKDAYS(E44,F44,Ref!$F$4:$F$47))</f>
        <v/>
      </c>
      <c r="AH44" s="39">
        <f>IF(IFERROR(VLOOKUP(D44,Controls!$A$25:$D$35,2,FALSE()),"No")="Yes",1,0)</f>
        <v/>
      </c>
      <c r="AI44" s="39">
        <f>IF(IFERROR(VLOOKUP(D44,Controls!$A$25:$D$35,3,FALSE()),"No")="Yes",1,0)</f>
        <v/>
      </c>
      <c r="AJ44" s="39">
        <f>IF(IFERROR(VLOOKUP(D44,Controls!$A$25:$D$35,4,FALSE()),"No")="Yes",1,0)</f>
        <v/>
      </c>
      <c r="AK44" s="96">
        <f>IF(AND($E44&gt;=Controls!$B$5,$E44&lt;=Controls!$B$6,OR(Controls!$E$9&lt;&gt;"Y",$BE44=1)),1,0)</f>
        <v/>
      </c>
      <c r="AL44" s="39">
        <f>1</f>
        <v/>
      </c>
      <c r="AM44" s="20">
        <f>S44-P44</f>
        <v/>
      </c>
      <c r="AN44" s="20">
        <f>IF(AH44=1,MAX(0,P44-S44),0)</f>
        <v/>
      </c>
      <c r="AO44" s="21">
        <f>IFERROR(S44/P44,"")</f>
        <v/>
      </c>
      <c r="AP44" s="22">
        <f>IF(Y44="","",P44/Y44)</f>
        <v/>
      </c>
      <c r="AQ44" s="39">
        <f>IF(Y44="",0,1)</f>
        <v/>
      </c>
      <c r="AR44" s="39">
        <f>IF(S44&lt;=0,1,0)</f>
        <v/>
      </c>
      <c r="AS44" s="17">
        <f>IF(AH44=1,AG44,"")</f>
        <v/>
      </c>
      <c r="AT44" s="17">
        <f>IF(AND(AH44=0,AJ44=1),AG44,"")</f>
        <v/>
      </c>
      <c r="AU44" s="5">
        <f>IF(P44&lt;10000,"Under $10K",IF(P44&lt;20000,"$10-20K",IF(P44&lt;30000,"$20-30K",IF(P44&lt;50000,"$30-50K",IF(P44&lt;100000,"$50-100K","$100K+")))))</f>
        <v/>
      </c>
      <c r="AV44" s="5">
        <f>IF(O44&lt;=1.35,"1.35 and under",IF(O44&lt;=1.42,"1.36-1.42",IF(O44&lt;=1.45,"1.43-1.45",IF(O44&lt;1.49,"1.46-1.48",IF(O44&lt;=1.49,"1.49","Above 1.49")))))</f>
        <v/>
      </c>
      <c r="AW44" s="5">
        <f>IF(AE44="","",IF(AE44&lt;60,"Under 60",IF(AE44&lt;90,"60-89",IF(AE44&lt;120,"90-119",IF(AE44&lt;150,"120-149","150+")))))</f>
        <v/>
      </c>
      <c r="AX44" s="5">
        <f>IF(AP44="","No revenue data",IF(AP44&lt;0.15,"Under 0.15x",IF(AP44&lt;0.3,"0.15-0.30x",IF(AP44&lt;0.5,"0.30-0.50x",IF(AP44&lt;1,"0.50-1.00x","1.00x+")))))</f>
        <v/>
      </c>
      <c r="AY44" s="5">
        <f>IF(J44="","No SIC",IFERROR(VLOOKUP(J44,Ref!$A$4:$C$67,2,FALSE()),"Unclassified"))</f>
        <v/>
      </c>
      <c r="AZ44" s="5">
        <f>IF(E44="","",TEXT(E44,"YYYY")&amp;"-Q"&amp;ROUNDUP(MONTH(E44)/3,0))</f>
        <v/>
      </c>
      <c r="BA44" s="5">
        <f>IF(E44="","",TEXT(E44,"YYYY-MM"))</f>
        <v/>
      </c>
      <c r="BB44" s="5">
        <f>IF(E44="","",TEXT(E44,"YYYY"))</f>
        <v/>
      </c>
      <c r="BC44" s="92">
        <f>IF($E44="","",NETWORKDAYS($E44,Controls!$B$9,Ref!$F$4:$F$47))</f>
        <v/>
      </c>
      <c r="BD44" s="92">
        <f>IF(OR($AH44=1,$AJ44=1),1,0)</f>
        <v/>
      </c>
      <c r="BE44" s="95">
        <f>IF(OR($BD44=1,AND($AE44&lt;&gt;"",$BC44&gt;=Controls!$B$10*$AE44)),1,0)</f>
        <v/>
      </c>
    </row>
    <row r="45" ht="15.75" customHeight="1" s="79">
      <c r="A45" s="5" t="inlineStr">
        <is>
          <t>5674152412</t>
        </is>
      </c>
      <c r="B45" s="5" t="inlineStr">
        <is>
          <t>Anzar Deliveries</t>
        </is>
      </c>
      <c r="C45" s="5" t="inlineStr">
        <is>
          <t>Anzar Deliveries LLC</t>
        </is>
      </c>
      <c r="D45" s="5" t="inlineStr">
        <is>
          <t>Closed</t>
        </is>
      </c>
      <c r="E45" s="16" t="n">
        <v>45728</v>
      </c>
      <c r="F45" s="16" t="n">
        <v>45772</v>
      </c>
      <c r="G45" s="17" t="n">
        <v>6</v>
      </c>
      <c r="H45" s="5" t="inlineStr">
        <is>
          <t>4213</t>
        </is>
      </c>
      <c r="I45" s="5" t="inlineStr">
        <is>
          <t>Specialized Freight (Except Used Goods) Trucking, Long Distance</t>
        </is>
      </c>
      <c r="J45" s="5" t="inlineStr">
        <is>
          <t>42</t>
        </is>
      </c>
      <c r="K45" s="5" t="n">
        <v>4214</v>
      </c>
      <c r="L45" s="5" t="inlineStr">
        <is>
          <t>CA</t>
        </is>
      </c>
      <c r="M45" s="5" t="inlineStr">
        <is>
          <t>Business Fund USA 4</t>
        </is>
      </c>
      <c r="N45" s="5" t="inlineStr">
        <is>
          <t>New Deal</t>
        </is>
      </c>
      <c r="O45" s="19" t="n">
        <v>1.39</v>
      </c>
      <c r="P45" s="20" t="n">
        <v>5500</v>
      </c>
      <c r="Q45" s="20" t="n">
        <v>495</v>
      </c>
      <c r="R45" s="20" t="n">
        <v>7645</v>
      </c>
      <c r="S45" s="20" t="n">
        <v>7645</v>
      </c>
      <c r="T45" s="20" t="n">
        <v>-9.09494701772928e-13</v>
      </c>
      <c r="U45" s="21" t="n">
        <v>1</v>
      </c>
      <c r="V45" s="22" t="n">
        <v>2.295</v>
      </c>
      <c r="W45" s="17" t="n">
        <v>481</v>
      </c>
      <c r="X45" s="17" t="n">
        <v>1</v>
      </c>
      <c r="Y45" s="5" t="n"/>
      <c r="Z45" s="21" t="n">
        <v>0.06</v>
      </c>
      <c r="AA45" s="5" t="n"/>
      <c r="AB45" s="5">
        <f>IF(V45="","",IF(V45&lt;12,"Months","Weeks"))</f>
        <v/>
      </c>
      <c r="AC45" s="5">
        <f>IF(AB45="","",IF(AB45="Months","Daily","Weekly"))</f>
        <v/>
      </c>
      <c r="AD45" s="17">
        <f>IF(V45="","",IF(AC45="Daily",V45*Controls!$B$13,V45))</f>
        <v/>
      </c>
      <c r="AE45" s="17">
        <f>IF(V45="","",IF(AC45="Daily",V45*Controls!$B$13,V45*Controls!$B$12))</f>
        <v/>
      </c>
      <c r="AF45" s="17">
        <f>IF(OR(E45="",F45=""),"",F45-E45)</f>
        <v/>
      </c>
      <c r="AG45" s="17">
        <f>IF(OR(E45="",F45=""),"",NETWORKDAYS(E45,F45,Ref!$F$4:$F$47))</f>
        <v/>
      </c>
      <c r="AH45" s="39">
        <f>IF(IFERROR(VLOOKUP(D45,Controls!$A$25:$D$35,2,FALSE()),"No")="Yes",1,0)</f>
        <v/>
      </c>
      <c r="AI45" s="39">
        <f>IF(IFERROR(VLOOKUP(D45,Controls!$A$25:$D$35,3,FALSE()),"No")="Yes",1,0)</f>
        <v/>
      </c>
      <c r="AJ45" s="39">
        <f>IF(IFERROR(VLOOKUP(D45,Controls!$A$25:$D$35,4,FALSE()),"No")="Yes",1,0)</f>
        <v/>
      </c>
      <c r="AK45" s="96">
        <f>IF(AND($E45&gt;=Controls!$B$5,$E45&lt;=Controls!$B$6,OR(Controls!$E$9&lt;&gt;"Y",$BE45=1)),1,0)</f>
        <v/>
      </c>
      <c r="AL45" s="39">
        <f>1</f>
        <v/>
      </c>
      <c r="AM45" s="20">
        <f>S45-P45</f>
        <v/>
      </c>
      <c r="AN45" s="20">
        <f>IF(AH45=1,MAX(0,P45-S45),0)</f>
        <v/>
      </c>
      <c r="AO45" s="21">
        <f>IFERROR(S45/P45,"")</f>
        <v/>
      </c>
      <c r="AP45" s="22">
        <f>IF(Y45="","",P45/Y45)</f>
        <v/>
      </c>
      <c r="AQ45" s="39">
        <f>IF(Y45="",0,1)</f>
        <v/>
      </c>
      <c r="AR45" s="39">
        <f>IF(S45&lt;=0,1,0)</f>
        <v/>
      </c>
      <c r="AS45" s="17">
        <f>IF(AH45=1,AG45,"")</f>
        <v/>
      </c>
      <c r="AT45" s="17">
        <f>IF(AND(AH45=0,AJ45=1),AG45,"")</f>
        <v/>
      </c>
      <c r="AU45" s="5">
        <f>IF(P45&lt;10000,"Under $10K",IF(P45&lt;20000,"$10-20K",IF(P45&lt;30000,"$20-30K",IF(P45&lt;50000,"$30-50K",IF(P45&lt;100000,"$50-100K","$100K+")))))</f>
        <v/>
      </c>
      <c r="AV45" s="5">
        <f>IF(O45&lt;=1.35,"1.35 and under",IF(O45&lt;=1.42,"1.36-1.42",IF(O45&lt;=1.45,"1.43-1.45",IF(O45&lt;1.49,"1.46-1.48",IF(O45&lt;=1.49,"1.49","Above 1.49")))))</f>
        <v/>
      </c>
      <c r="AW45" s="5">
        <f>IF(AE45="","",IF(AE45&lt;60,"Under 60",IF(AE45&lt;90,"60-89",IF(AE45&lt;120,"90-119",IF(AE45&lt;150,"120-149","150+")))))</f>
        <v/>
      </c>
      <c r="AX45" s="5">
        <f>IF(AP45="","No revenue data",IF(AP45&lt;0.15,"Under 0.15x",IF(AP45&lt;0.3,"0.15-0.30x",IF(AP45&lt;0.5,"0.30-0.50x",IF(AP45&lt;1,"0.50-1.00x","1.00x+")))))</f>
        <v/>
      </c>
      <c r="AY45" s="5">
        <f>IF(J45="","No SIC",IFERROR(VLOOKUP(J45,Ref!$A$4:$C$67,2,FALSE()),"Unclassified"))</f>
        <v/>
      </c>
      <c r="AZ45" s="5">
        <f>IF(E45="","",TEXT(E45,"YYYY")&amp;"-Q"&amp;ROUNDUP(MONTH(E45)/3,0))</f>
        <v/>
      </c>
      <c r="BA45" s="5">
        <f>IF(E45="","",TEXT(E45,"YYYY-MM"))</f>
        <v/>
      </c>
      <c r="BB45" s="5">
        <f>IF(E45="","",TEXT(E45,"YYYY"))</f>
        <v/>
      </c>
      <c r="BC45" s="92">
        <f>IF($E45="","",NETWORKDAYS($E45,Controls!$B$9,Ref!$F$4:$F$47))</f>
        <v/>
      </c>
      <c r="BD45" s="92">
        <f>IF(OR($AH45=1,$AJ45=1),1,0)</f>
        <v/>
      </c>
      <c r="BE45" s="95">
        <f>IF(OR($BD45=1,AND($AE45&lt;&gt;"",$BC45&gt;=Controls!$B$10*$AE45)),1,0)</f>
        <v/>
      </c>
    </row>
    <row r="46" ht="15.75" customHeight="1" s="79">
      <c r="A46" s="5" t="inlineStr">
        <is>
          <t>5674152422</t>
        </is>
      </c>
      <c r="B46" s="5" t="inlineStr">
        <is>
          <t>Care &amp; Wellness Solutions</t>
        </is>
      </c>
      <c r="C46" s="5" t="inlineStr">
        <is>
          <t>Care &amp; Wellness Solutions LLC</t>
        </is>
      </c>
      <c r="D46" s="5" t="inlineStr">
        <is>
          <t>Written-Off</t>
        </is>
      </c>
      <c r="E46" s="16" t="n">
        <v>45728</v>
      </c>
      <c r="F46" s="16" t="n">
        <v>45961</v>
      </c>
      <c r="G46" s="17" t="n">
        <v>2</v>
      </c>
      <c r="H46" s="5" t="inlineStr">
        <is>
          <t>8049</t>
        </is>
      </c>
      <c r="I46" s="5" t="inlineStr">
        <is>
          <t>Offices of Mental Health Practitioners (Except Physicians)</t>
        </is>
      </c>
      <c r="J46" s="5" t="inlineStr">
        <is>
          <t>80</t>
        </is>
      </c>
      <c r="K46" s="5" t="n">
        <v>8099</v>
      </c>
      <c r="L46" s="5" t="inlineStr">
        <is>
          <t>VA</t>
        </is>
      </c>
      <c r="M46" s="5" t="inlineStr">
        <is>
          <t>Klendify</t>
        </is>
      </c>
      <c r="N46" s="5" t="inlineStr">
        <is>
          <t>New Deal</t>
        </is>
      </c>
      <c r="O46" s="19" t="n">
        <v>1.49</v>
      </c>
      <c r="P46" s="20" t="n">
        <v>3000</v>
      </c>
      <c r="Q46" s="20" t="n">
        <v>420</v>
      </c>
      <c r="R46" s="20" t="n">
        <v>4470</v>
      </c>
      <c r="S46" s="20" t="n">
        <v>3622.86</v>
      </c>
      <c r="T46" s="20" t="n">
        <v>847.14</v>
      </c>
      <c r="U46" s="21" t="n">
        <v>0.81048322147651</v>
      </c>
      <c r="V46" s="22" t="n">
        <v>2.623</v>
      </c>
      <c r="W46" s="17" t="n">
        <v>292</v>
      </c>
      <c r="X46" s="17" t="n">
        <v>45</v>
      </c>
      <c r="Y46" s="5" t="n"/>
      <c r="Z46" s="21" t="n">
        <v>0.0472</v>
      </c>
      <c r="AA46" s="16" t="n">
        <v>44902</v>
      </c>
      <c r="AB46" s="5">
        <f>IF(V46="","",IF(V46&lt;12,"Months","Weeks"))</f>
        <v/>
      </c>
      <c r="AC46" s="5">
        <f>IF(AB46="","",IF(AB46="Months","Daily","Weekly"))</f>
        <v/>
      </c>
      <c r="AD46" s="17">
        <f>IF(V46="","",IF(AC46="Daily",V46*Controls!$B$13,V46))</f>
        <v/>
      </c>
      <c r="AE46" s="17">
        <f>IF(V46="","",IF(AC46="Daily",V46*Controls!$B$13,V46*Controls!$B$12))</f>
        <v/>
      </c>
      <c r="AF46" s="17">
        <f>IF(OR(E46="",F46=""),"",F46-E46)</f>
        <v/>
      </c>
      <c r="AG46" s="17">
        <f>IF(OR(E46="",F46=""),"",NETWORKDAYS(E46,F46,Ref!$F$4:$F$47))</f>
        <v/>
      </c>
      <c r="AH46" s="39">
        <f>IF(IFERROR(VLOOKUP(D46,Controls!$A$25:$D$35,2,FALSE()),"No")="Yes",1,0)</f>
        <v/>
      </c>
      <c r="AI46" s="39">
        <f>IF(IFERROR(VLOOKUP(D46,Controls!$A$25:$D$35,3,FALSE()),"No")="Yes",1,0)</f>
        <v/>
      </c>
      <c r="AJ46" s="39">
        <f>IF(IFERROR(VLOOKUP(D46,Controls!$A$25:$D$35,4,FALSE()),"No")="Yes",1,0)</f>
        <v/>
      </c>
      <c r="AK46" s="96">
        <f>IF(AND($E46&gt;=Controls!$B$5,$E46&lt;=Controls!$B$6,OR(Controls!$E$9&lt;&gt;"Y",$BE46=1)),1,0)</f>
        <v/>
      </c>
      <c r="AL46" s="39">
        <f>1</f>
        <v/>
      </c>
      <c r="AM46" s="20">
        <f>S46-P46</f>
        <v/>
      </c>
      <c r="AN46" s="20">
        <f>IF(AH46=1,MAX(0,P46-S46),0)</f>
        <v/>
      </c>
      <c r="AO46" s="21">
        <f>IFERROR(S46/P46,"")</f>
        <v/>
      </c>
      <c r="AP46" s="22">
        <f>IF(Y46="","",P46/Y46)</f>
        <v/>
      </c>
      <c r="AQ46" s="39">
        <f>IF(Y46="",0,1)</f>
        <v/>
      </c>
      <c r="AR46" s="39">
        <f>IF(S46&lt;=0,1,0)</f>
        <v/>
      </c>
      <c r="AS46" s="17">
        <f>IF(AH46=1,AG46,"")</f>
        <v/>
      </c>
      <c r="AT46" s="17">
        <f>IF(AND(AH46=0,AJ46=1),AG46,"")</f>
        <v/>
      </c>
      <c r="AU46" s="5">
        <f>IF(P46&lt;10000,"Under $10K",IF(P46&lt;20000,"$10-20K",IF(P46&lt;30000,"$20-30K",IF(P46&lt;50000,"$30-50K",IF(P46&lt;100000,"$50-100K","$100K+")))))</f>
        <v/>
      </c>
      <c r="AV46" s="5">
        <f>IF(O46&lt;=1.35,"1.35 and under",IF(O46&lt;=1.42,"1.36-1.42",IF(O46&lt;=1.45,"1.43-1.45",IF(O46&lt;1.49,"1.46-1.48",IF(O46&lt;=1.49,"1.49","Above 1.49")))))</f>
        <v/>
      </c>
      <c r="AW46" s="5">
        <f>IF(AE46="","",IF(AE46&lt;60,"Under 60",IF(AE46&lt;90,"60-89",IF(AE46&lt;120,"90-119",IF(AE46&lt;150,"120-149","150+")))))</f>
        <v/>
      </c>
      <c r="AX46" s="5">
        <f>IF(AP46="","No revenue data",IF(AP46&lt;0.15,"Under 0.15x",IF(AP46&lt;0.3,"0.15-0.30x",IF(AP46&lt;0.5,"0.30-0.50x",IF(AP46&lt;1,"0.50-1.00x","1.00x+")))))</f>
        <v/>
      </c>
      <c r="AY46" s="5">
        <f>IF(J46="","No SIC",IFERROR(VLOOKUP(J46,Ref!$A$4:$C$67,2,FALSE()),"Unclassified"))</f>
        <v/>
      </c>
      <c r="AZ46" s="5">
        <f>IF(E46="","",TEXT(E46,"YYYY")&amp;"-Q"&amp;ROUNDUP(MONTH(E46)/3,0))</f>
        <v/>
      </c>
      <c r="BA46" s="5">
        <f>IF(E46="","",TEXT(E46,"YYYY-MM"))</f>
        <v/>
      </c>
      <c r="BB46" s="5">
        <f>IF(E46="","",TEXT(E46,"YYYY"))</f>
        <v/>
      </c>
      <c r="BC46" s="92">
        <f>IF($E46="","",NETWORKDAYS($E46,Controls!$B$9,Ref!$F$4:$F$47))</f>
        <v/>
      </c>
      <c r="BD46" s="92">
        <f>IF(OR($AH46=1,$AJ46=1),1,0)</f>
        <v/>
      </c>
      <c r="BE46" s="95">
        <f>IF(OR($BD46=1,AND($AE46&lt;&gt;"",$BC46&gt;=Controls!$B$10*$AE46)),1,0)</f>
        <v/>
      </c>
    </row>
    <row r="47" ht="15.75" customHeight="1" s="79">
      <c r="A47" s="5" t="inlineStr">
        <is>
          <t>5674152426</t>
        </is>
      </c>
      <c r="B47" s="5" t="inlineStr">
        <is>
          <t>Pro car care group</t>
        </is>
      </c>
      <c r="C47" s="5" t="inlineStr">
        <is>
          <t>Pro car care group</t>
        </is>
      </c>
      <c r="D47" s="5" t="inlineStr">
        <is>
          <t>Legal</t>
        </is>
      </c>
      <c r="E47" s="16" t="n">
        <v>45728</v>
      </c>
      <c r="F47" s="16" t="n">
        <v>45789</v>
      </c>
      <c r="G47" s="17" t="n">
        <v>5</v>
      </c>
      <c r="H47" s="5" t="inlineStr">
        <is>
          <t>7539</t>
        </is>
      </c>
      <c r="I47" s="5" t="inlineStr">
        <is>
          <t>All Other Automotive Repair and Maintenance</t>
        </is>
      </c>
      <c r="J47" s="5" t="inlineStr">
        <is>
          <t>75</t>
        </is>
      </c>
      <c r="K47" s="5" t="n">
        <v>7531</v>
      </c>
      <c r="L47" s="5" t="inlineStr">
        <is>
          <t>FL</t>
        </is>
      </c>
      <c r="M47" s="5" t="inlineStr">
        <is>
          <t>One Box Funding</t>
        </is>
      </c>
      <c r="N47" s="5" t="inlineStr">
        <is>
          <t>New Deal</t>
        </is>
      </c>
      <c r="O47" s="19" t="n">
        <v>1.49</v>
      </c>
      <c r="P47" s="20" t="n">
        <v>5000</v>
      </c>
      <c r="Q47" s="20" t="n">
        <v>700</v>
      </c>
      <c r="R47" s="20" t="n">
        <v>7450</v>
      </c>
      <c r="S47" s="20" t="n">
        <v>3374.5</v>
      </c>
      <c r="T47" s="20" t="n">
        <v>4075.5</v>
      </c>
      <c r="U47" s="21" t="n">
        <v>0.452953020134228</v>
      </c>
      <c r="V47" s="22" t="n">
        <v>2.459</v>
      </c>
      <c r="W47" s="17" t="n">
        <v>475</v>
      </c>
      <c r="X47" s="17" t="n">
        <v>9</v>
      </c>
      <c r="Y47" s="5" t="n"/>
      <c r="Z47" s="21" t="n">
        <v>0.031</v>
      </c>
      <c r="AA47" s="16" t="n">
        <v>44460</v>
      </c>
      <c r="AB47" s="5">
        <f>IF(V47="","",IF(V47&lt;12,"Months","Weeks"))</f>
        <v/>
      </c>
      <c r="AC47" s="5">
        <f>IF(AB47="","",IF(AB47="Months","Daily","Weekly"))</f>
        <v/>
      </c>
      <c r="AD47" s="17">
        <f>IF(V47="","",IF(AC47="Daily",V47*Controls!$B$13,V47))</f>
        <v/>
      </c>
      <c r="AE47" s="17">
        <f>IF(V47="","",IF(AC47="Daily",V47*Controls!$B$13,V47*Controls!$B$12))</f>
        <v/>
      </c>
      <c r="AF47" s="17">
        <f>IF(OR(E47="",F47=""),"",F47-E47)</f>
        <v/>
      </c>
      <c r="AG47" s="17">
        <f>IF(OR(E47="",F47=""),"",NETWORKDAYS(E47,F47,Ref!$F$4:$F$47))</f>
        <v/>
      </c>
      <c r="AH47" s="39">
        <f>IF(IFERROR(VLOOKUP(D47,Controls!$A$25:$D$35,2,FALSE()),"No")="Yes",1,0)</f>
        <v/>
      </c>
      <c r="AI47" s="39">
        <f>IF(IFERROR(VLOOKUP(D47,Controls!$A$25:$D$35,3,FALSE()),"No")="Yes",1,0)</f>
        <v/>
      </c>
      <c r="AJ47" s="39">
        <f>IF(IFERROR(VLOOKUP(D47,Controls!$A$25:$D$35,4,FALSE()),"No")="Yes",1,0)</f>
        <v/>
      </c>
      <c r="AK47" s="96">
        <f>IF(AND($E47&gt;=Controls!$B$5,$E47&lt;=Controls!$B$6,OR(Controls!$E$9&lt;&gt;"Y",$BE47=1)),1,0)</f>
        <v/>
      </c>
      <c r="AL47" s="39">
        <f>1</f>
        <v/>
      </c>
      <c r="AM47" s="20">
        <f>S47-P47</f>
        <v/>
      </c>
      <c r="AN47" s="20">
        <f>IF(AH47=1,MAX(0,P47-S47),0)</f>
        <v/>
      </c>
      <c r="AO47" s="21">
        <f>IFERROR(S47/P47,"")</f>
        <v/>
      </c>
      <c r="AP47" s="22">
        <f>IF(Y47="","",P47/Y47)</f>
        <v/>
      </c>
      <c r="AQ47" s="39">
        <f>IF(Y47="",0,1)</f>
        <v/>
      </c>
      <c r="AR47" s="39">
        <f>IF(S47&lt;=0,1,0)</f>
        <v/>
      </c>
      <c r="AS47" s="17">
        <f>IF(AH47=1,AG47,"")</f>
        <v/>
      </c>
      <c r="AT47" s="17">
        <f>IF(AND(AH47=0,AJ47=1),AG47,"")</f>
        <v/>
      </c>
      <c r="AU47" s="5">
        <f>IF(P47&lt;10000,"Under $10K",IF(P47&lt;20000,"$10-20K",IF(P47&lt;30000,"$20-30K",IF(P47&lt;50000,"$30-50K",IF(P47&lt;100000,"$50-100K","$100K+")))))</f>
        <v/>
      </c>
      <c r="AV47" s="5">
        <f>IF(O47&lt;=1.35,"1.35 and under",IF(O47&lt;=1.42,"1.36-1.42",IF(O47&lt;=1.45,"1.43-1.45",IF(O47&lt;1.49,"1.46-1.48",IF(O47&lt;=1.49,"1.49","Above 1.49")))))</f>
        <v/>
      </c>
      <c r="AW47" s="5">
        <f>IF(AE47="","",IF(AE47&lt;60,"Under 60",IF(AE47&lt;90,"60-89",IF(AE47&lt;120,"90-119",IF(AE47&lt;150,"120-149","150+")))))</f>
        <v/>
      </c>
      <c r="AX47" s="5">
        <f>IF(AP47="","No revenue data",IF(AP47&lt;0.15,"Under 0.15x",IF(AP47&lt;0.3,"0.15-0.30x",IF(AP47&lt;0.5,"0.30-0.50x",IF(AP47&lt;1,"0.50-1.00x","1.00x+")))))</f>
        <v/>
      </c>
      <c r="AY47" s="5">
        <f>IF(J47="","No SIC",IFERROR(VLOOKUP(J47,Ref!$A$4:$C$67,2,FALSE()),"Unclassified"))</f>
        <v/>
      </c>
      <c r="AZ47" s="5">
        <f>IF(E47="","",TEXT(E47,"YYYY")&amp;"-Q"&amp;ROUNDUP(MONTH(E47)/3,0))</f>
        <v/>
      </c>
      <c r="BA47" s="5">
        <f>IF(E47="","",TEXT(E47,"YYYY-MM"))</f>
        <v/>
      </c>
      <c r="BB47" s="5">
        <f>IF(E47="","",TEXT(E47,"YYYY"))</f>
        <v/>
      </c>
      <c r="BC47" s="92">
        <f>IF($E47="","",NETWORKDAYS($E47,Controls!$B$9,Ref!$F$4:$F$47))</f>
        <v/>
      </c>
      <c r="BD47" s="92">
        <f>IF(OR($AH47=1,$AJ47=1),1,0)</f>
        <v/>
      </c>
      <c r="BE47" s="95">
        <f>IF(OR($BD47=1,AND($AE47&lt;&gt;"",$BC47&gt;=Controls!$B$10*$AE47)),1,0)</f>
        <v/>
      </c>
    </row>
    <row r="48" ht="15.75" customHeight="1" s="79">
      <c r="A48" s="5" t="inlineStr">
        <is>
          <t>5674152928</t>
        </is>
      </c>
      <c r="B48" s="5" t="inlineStr">
        <is>
          <t>Valla Park Financial</t>
        </is>
      </c>
      <c r="C48" s="5" t="inlineStr">
        <is>
          <t>Valla Park Financial</t>
        </is>
      </c>
      <c r="D48" s="5" t="inlineStr">
        <is>
          <t>Legal</t>
        </is>
      </c>
      <c r="E48" s="16" t="n">
        <v>45735</v>
      </c>
      <c r="F48" s="16" t="n">
        <v>45770</v>
      </c>
      <c r="G48" s="17" t="n">
        <v>1</v>
      </c>
      <c r="H48" s="5" t="inlineStr">
        <is>
          <t>3799</t>
        </is>
      </c>
      <c r="I48" s="5" t="inlineStr">
        <is>
          <t>All Other Transportation Equipment Mfg.</t>
        </is>
      </c>
      <c r="J48" s="5" t="inlineStr">
        <is>
          <t>37</t>
        </is>
      </c>
      <c r="K48" s="5" t="n">
        <v>4789</v>
      </c>
      <c r="L48" s="5" t="inlineStr">
        <is>
          <t>GA</t>
        </is>
      </c>
      <c r="M48" s="5" t="inlineStr">
        <is>
          <t>FIFTH VENTURE</t>
        </is>
      </c>
      <c r="N48" s="5" t="inlineStr">
        <is>
          <t>New Deal</t>
        </is>
      </c>
      <c r="O48" s="19" t="n">
        <v>1.49</v>
      </c>
      <c r="P48" s="20" t="n">
        <v>5000</v>
      </c>
      <c r="Q48" s="20" t="n">
        <v>700</v>
      </c>
      <c r="R48" s="20" t="n">
        <v>7450</v>
      </c>
      <c r="S48" s="20" t="n">
        <v>2830.24</v>
      </c>
      <c r="T48" s="20" t="n">
        <v>4619.76</v>
      </c>
      <c r="U48" s="21" t="n">
        <v>0.379897986577181</v>
      </c>
      <c r="V48" s="22" t="n">
        <v>1.64</v>
      </c>
      <c r="W48" s="17" t="n">
        <v>492</v>
      </c>
      <c r="X48" s="17" t="n">
        <v>6</v>
      </c>
      <c r="Y48" s="5" t="n"/>
      <c r="Z48" s="21" t="n">
        <v>0.1106</v>
      </c>
      <c r="AA48" s="16" t="n">
        <v>44139</v>
      </c>
      <c r="AB48" s="5">
        <f>IF(V48="","",IF(V48&lt;12,"Months","Weeks"))</f>
        <v/>
      </c>
      <c r="AC48" s="5">
        <f>IF(AB48="","",IF(AB48="Months","Daily","Weekly"))</f>
        <v/>
      </c>
      <c r="AD48" s="17">
        <f>IF(V48="","",IF(AC48="Daily",V48*Controls!$B$13,V48))</f>
        <v/>
      </c>
      <c r="AE48" s="17">
        <f>IF(V48="","",IF(AC48="Daily",V48*Controls!$B$13,V48*Controls!$B$12))</f>
        <v/>
      </c>
      <c r="AF48" s="17">
        <f>IF(OR(E48="",F48=""),"",F48-E48)</f>
        <v/>
      </c>
      <c r="AG48" s="17">
        <f>IF(OR(E48="",F48=""),"",NETWORKDAYS(E48,F48,Ref!$F$4:$F$47))</f>
        <v/>
      </c>
      <c r="AH48" s="39">
        <f>IF(IFERROR(VLOOKUP(D48,Controls!$A$25:$D$35,2,FALSE()),"No")="Yes",1,0)</f>
        <v/>
      </c>
      <c r="AI48" s="39">
        <f>IF(IFERROR(VLOOKUP(D48,Controls!$A$25:$D$35,3,FALSE()),"No")="Yes",1,0)</f>
        <v/>
      </c>
      <c r="AJ48" s="39">
        <f>IF(IFERROR(VLOOKUP(D48,Controls!$A$25:$D$35,4,FALSE()),"No")="Yes",1,0)</f>
        <v/>
      </c>
      <c r="AK48" s="96">
        <f>IF(AND($E48&gt;=Controls!$B$5,$E48&lt;=Controls!$B$6,OR(Controls!$E$9&lt;&gt;"Y",$BE48=1)),1,0)</f>
        <v/>
      </c>
      <c r="AL48" s="39">
        <f>1</f>
        <v/>
      </c>
      <c r="AM48" s="20">
        <f>S48-P48</f>
        <v/>
      </c>
      <c r="AN48" s="20">
        <f>IF(AH48=1,MAX(0,P48-S48),0)</f>
        <v/>
      </c>
      <c r="AO48" s="21">
        <f>IFERROR(S48/P48,"")</f>
        <v/>
      </c>
      <c r="AP48" s="22">
        <f>IF(Y48="","",P48/Y48)</f>
        <v/>
      </c>
      <c r="AQ48" s="39">
        <f>IF(Y48="",0,1)</f>
        <v/>
      </c>
      <c r="AR48" s="39">
        <f>IF(S48&lt;=0,1,0)</f>
        <v/>
      </c>
      <c r="AS48" s="17">
        <f>IF(AH48=1,AG48,"")</f>
        <v/>
      </c>
      <c r="AT48" s="17">
        <f>IF(AND(AH48=0,AJ48=1),AG48,"")</f>
        <v/>
      </c>
      <c r="AU48" s="5">
        <f>IF(P48&lt;10000,"Under $10K",IF(P48&lt;20000,"$10-20K",IF(P48&lt;30000,"$20-30K",IF(P48&lt;50000,"$30-50K",IF(P48&lt;100000,"$50-100K","$100K+")))))</f>
        <v/>
      </c>
      <c r="AV48" s="5">
        <f>IF(O48&lt;=1.35,"1.35 and under",IF(O48&lt;=1.42,"1.36-1.42",IF(O48&lt;=1.45,"1.43-1.45",IF(O48&lt;1.49,"1.46-1.48",IF(O48&lt;=1.49,"1.49","Above 1.49")))))</f>
        <v/>
      </c>
      <c r="AW48" s="5">
        <f>IF(AE48="","",IF(AE48&lt;60,"Under 60",IF(AE48&lt;90,"60-89",IF(AE48&lt;120,"90-119",IF(AE48&lt;150,"120-149","150+")))))</f>
        <v/>
      </c>
      <c r="AX48" s="5">
        <f>IF(AP48="","No revenue data",IF(AP48&lt;0.15,"Under 0.15x",IF(AP48&lt;0.3,"0.15-0.30x",IF(AP48&lt;0.5,"0.30-0.50x",IF(AP48&lt;1,"0.50-1.00x","1.00x+")))))</f>
        <v/>
      </c>
      <c r="AY48" s="5">
        <f>IF(J48="","No SIC",IFERROR(VLOOKUP(J48,Ref!$A$4:$C$67,2,FALSE()),"Unclassified"))</f>
        <v/>
      </c>
      <c r="AZ48" s="5">
        <f>IF(E48="","",TEXT(E48,"YYYY")&amp;"-Q"&amp;ROUNDUP(MONTH(E48)/3,0))</f>
        <v/>
      </c>
      <c r="BA48" s="5">
        <f>IF(E48="","",TEXT(E48,"YYYY-MM"))</f>
        <v/>
      </c>
      <c r="BB48" s="5">
        <f>IF(E48="","",TEXT(E48,"YYYY"))</f>
        <v/>
      </c>
      <c r="BC48" s="92">
        <f>IF($E48="","",NETWORKDAYS($E48,Controls!$B$9,Ref!$F$4:$F$47))</f>
        <v/>
      </c>
      <c r="BD48" s="92">
        <f>IF(OR($AH48=1,$AJ48=1),1,0)</f>
        <v/>
      </c>
      <c r="BE48" s="95">
        <f>IF(OR($BD48=1,AND($AE48&lt;&gt;"",$BC48&gt;=Controls!$B$10*$AE48)),1,0)</f>
        <v/>
      </c>
    </row>
    <row r="49" ht="15.75" customHeight="1" s="79">
      <c r="A49" s="5" t="inlineStr">
        <is>
          <t>5674153028</t>
        </is>
      </c>
      <c r="B49" s="5" t="inlineStr">
        <is>
          <t>IDENTITY ATL LLC</t>
        </is>
      </c>
      <c r="C49" s="5" t="inlineStr">
        <is>
          <t>IDENTITY ATL LLC</t>
        </is>
      </c>
      <c r="D49" s="5" t="inlineStr">
        <is>
          <t>Closed</t>
        </is>
      </c>
      <c r="E49" s="16" t="n">
        <v>45736</v>
      </c>
      <c r="F49" s="16" t="n">
        <v>45771</v>
      </c>
      <c r="G49" s="17" t="n">
        <v>6</v>
      </c>
      <c r="H49" s="5" t="inlineStr">
        <is>
          <t>5399</t>
        </is>
      </c>
      <c r="I49" s="5" t="inlineStr">
        <is>
          <t>All Other General Merchandise Stores</t>
        </is>
      </c>
      <c r="J49" s="5" t="inlineStr">
        <is>
          <t>53</t>
        </is>
      </c>
      <c r="K49" s="5" t="n">
        <v>5399</v>
      </c>
      <c r="L49" s="5" t="inlineStr">
        <is>
          <t>GA</t>
        </is>
      </c>
      <c r="M49" s="5" t="inlineStr">
        <is>
          <t>ROYAL FUNDING GROUP</t>
        </is>
      </c>
      <c r="N49" s="5" t="inlineStr">
        <is>
          <t>Renewal</t>
        </is>
      </c>
      <c r="O49" s="19" t="n">
        <v>1.49</v>
      </c>
      <c r="P49" s="20" t="n">
        <v>3500</v>
      </c>
      <c r="Q49" s="20" t="n">
        <v>490</v>
      </c>
      <c r="R49" s="20" t="n">
        <v>5215</v>
      </c>
      <c r="S49" s="20" t="n">
        <v>5215</v>
      </c>
      <c r="T49" s="20" t="n">
        <v>0</v>
      </c>
      <c r="U49" s="21" t="n">
        <v>1</v>
      </c>
      <c r="V49" s="22" t="n">
        <v>2.293</v>
      </c>
      <c r="W49" s="17" t="n">
        <v>482</v>
      </c>
      <c r="X49" s="17" t="n">
        <v>2</v>
      </c>
      <c r="Y49" s="5" t="n"/>
      <c r="Z49" s="21" t="n">
        <v>0.0421</v>
      </c>
      <c r="AA49" s="16" t="n">
        <v>44490</v>
      </c>
      <c r="AB49" s="5">
        <f>IF(V49="","",IF(V49&lt;12,"Months","Weeks"))</f>
        <v/>
      </c>
      <c r="AC49" s="5">
        <f>IF(AB49="","",IF(AB49="Months","Daily","Weekly"))</f>
        <v/>
      </c>
      <c r="AD49" s="17">
        <f>IF(V49="","",IF(AC49="Daily",V49*Controls!$B$13,V49))</f>
        <v/>
      </c>
      <c r="AE49" s="17">
        <f>IF(V49="","",IF(AC49="Daily",V49*Controls!$B$13,V49*Controls!$B$12))</f>
        <v/>
      </c>
      <c r="AF49" s="17">
        <f>IF(OR(E49="",F49=""),"",F49-E49)</f>
        <v/>
      </c>
      <c r="AG49" s="17">
        <f>IF(OR(E49="",F49=""),"",NETWORKDAYS(E49,F49,Ref!$F$4:$F$47))</f>
        <v/>
      </c>
      <c r="AH49" s="39">
        <f>IF(IFERROR(VLOOKUP(D49,Controls!$A$25:$D$35,2,FALSE()),"No")="Yes",1,0)</f>
        <v/>
      </c>
      <c r="AI49" s="39">
        <f>IF(IFERROR(VLOOKUP(D49,Controls!$A$25:$D$35,3,FALSE()),"No")="Yes",1,0)</f>
        <v/>
      </c>
      <c r="AJ49" s="39">
        <f>IF(IFERROR(VLOOKUP(D49,Controls!$A$25:$D$35,4,FALSE()),"No")="Yes",1,0)</f>
        <v/>
      </c>
      <c r="AK49" s="96">
        <f>IF(AND($E49&gt;=Controls!$B$5,$E49&lt;=Controls!$B$6,OR(Controls!$E$9&lt;&gt;"Y",$BE49=1)),1,0)</f>
        <v/>
      </c>
      <c r="AL49" s="39">
        <f>1</f>
        <v/>
      </c>
      <c r="AM49" s="20">
        <f>S49-P49</f>
        <v/>
      </c>
      <c r="AN49" s="20">
        <f>IF(AH49=1,MAX(0,P49-S49),0)</f>
        <v/>
      </c>
      <c r="AO49" s="21">
        <f>IFERROR(S49/P49,"")</f>
        <v/>
      </c>
      <c r="AP49" s="22">
        <f>IF(Y49="","",P49/Y49)</f>
        <v/>
      </c>
      <c r="AQ49" s="39">
        <f>IF(Y49="",0,1)</f>
        <v/>
      </c>
      <c r="AR49" s="39">
        <f>IF(S49&lt;=0,1,0)</f>
        <v/>
      </c>
      <c r="AS49" s="17">
        <f>IF(AH49=1,AG49,"")</f>
        <v/>
      </c>
      <c r="AT49" s="17">
        <f>IF(AND(AH49=0,AJ49=1),AG49,"")</f>
        <v/>
      </c>
      <c r="AU49" s="5">
        <f>IF(P49&lt;10000,"Under $10K",IF(P49&lt;20000,"$10-20K",IF(P49&lt;30000,"$20-30K",IF(P49&lt;50000,"$30-50K",IF(P49&lt;100000,"$50-100K","$100K+")))))</f>
        <v/>
      </c>
      <c r="AV49" s="5">
        <f>IF(O49&lt;=1.35,"1.35 and under",IF(O49&lt;=1.42,"1.36-1.42",IF(O49&lt;=1.45,"1.43-1.45",IF(O49&lt;1.49,"1.46-1.48",IF(O49&lt;=1.49,"1.49","Above 1.49")))))</f>
        <v/>
      </c>
      <c r="AW49" s="5">
        <f>IF(AE49="","",IF(AE49&lt;60,"Under 60",IF(AE49&lt;90,"60-89",IF(AE49&lt;120,"90-119",IF(AE49&lt;150,"120-149","150+")))))</f>
        <v/>
      </c>
      <c r="AX49" s="5">
        <f>IF(AP49="","No revenue data",IF(AP49&lt;0.15,"Under 0.15x",IF(AP49&lt;0.3,"0.15-0.30x",IF(AP49&lt;0.5,"0.30-0.50x",IF(AP49&lt;1,"0.50-1.00x","1.00x+")))))</f>
        <v/>
      </c>
      <c r="AY49" s="5">
        <f>IF(J49="","No SIC",IFERROR(VLOOKUP(J49,Ref!$A$4:$C$67,2,FALSE()),"Unclassified"))</f>
        <v/>
      </c>
      <c r="AZ49" s="5">
        <f>IF(E49="","",TEXT(E49,"YYYY")&amp;"-Q"&amp;ROUNDUP(MONTH(E49)/3,0))</f>
        <v/>
      </c>
      <c r="BA49" s="5">
        <f>IF(E49="","",TEXT(E49,"YYYY-MM"))</f>
        <v/>
      </c>
      <c r="BB49" s="5">
        <f>IF(E49="","",TEXT(E49,"YYYY"))</f>
        <v/>
      </c>
      <c r="BC49" s="92">
        <f>IF($E49="","",NETWORKDAYS($E49,Controls!$B$9,Ref!$F$4:$F$47))</f>
        <v/>
      </c>
      <c r="BD49" s="92">
        <f>IF(OR($AH49=1,$AJ49=1),1,0)</f>
        <v/>
      </c>
      <c r="BE49" s="95">
        <f>IF(OR($BD49=1,AND($AE49&lt;&gt;"",$BC49&gt;=Controls!$B$10*$AE49)),1,0)</f>
        <v/>
      </c>
    </row>
    <row r="50" ht="15.75" customHeight="1" s="79">
      <c r="A50" s="5" t="inlineStr">
        <is>
          <t>5674153205</t>
        </is>
      </c>
      <c r="B50" s="5" t="inlineStr">
        <is>
          <t>JACKS PEST MGMT LLC</t>
        </is>
      </c>
      <c r="C50" s="5" t="inlineStr">
        <is>
          <t>JACKS PEST MGMT LLC</t>
        </is>
      </c>
      <c r="D50" s="5" t="inlineStr">
        <is>
          <t>Closed</t>
        </is>
      </c>
      <c r="E50" s="16" t="n">
        <v>45737</v>
      </c>
      <c r="F50" s="16" t="n">
        <v>45790</v>
      </c>
      <c r="G50" s="17" t="n">
        <v>3</v>
      </c>
      <c r="H50" s="5" t="inlineStr">
        <is>
          <t>7342</t>
        </is>
      </c>
      <c r="I50" s="5" t="inlineStr">
        <is>
          <t>Exterminating and Pest Control Services</t>
        </is>
      </c>
      <c r="J50" s="5" t="inlineStr">
        <is>
          <t>73</t>
        </is>
      </c>
      <c r="K50" s="5" t="n">
        <v>7342</v>
      </c>
      <c r="L50" s="5" t="inlineStr">
        <is>
          <t>MT</t>
        </is>
      </c>
      <c r="M50" s="5" t="inlineStr">
        <is>
          <t>Samson Funding</t>
        </is>
      </c>
      <c r="N50" s="5" t="inlineStr">
        <is>
          <t>New Deal</t>
        </is>
      </c>
      <c r="O50" s="19" t="n">
        <v>1.49</v>
      </c>
      <c r="P50" s="20" t="n">
        <v>4500</v>
      </c>
      <c r="Q50" s="20" t="n">
        <v>630</v>
      </c>
      <c r="R50" s="20" t="n">
        <v>6705</v>
      </c>
      <c r="S50" s="20" t="n">
        <v>6705</v>
      </c>
      <c r="T50" s="20" t="n">
        <v>0</v>
      </c>
      <c r="U50" s="21" t="n">
        <v>1</v>
      </c>
      <c r="V50" s="22" t="n">
        <v>2.131</v>
      </c>
      <c r="W50" s="17" t="n">
        <v>463</v>
      </c>
      <c r="X50" s="17" t="n">
        <v>0</v>
      </c>
      <c r="Y50" s="5" t="n"/>
      <c r="Z50" s="21" t="n">
        <v>0.1991</v>
      </c>
      <c r="AA50" s="16" t="n">
        <v>45280</v>
      </c>
      <c r="AB50" s="5">
        <f>IF(V50="","",IF(V50&lt;12,"Months","Weeks"))</f>
        <v/>
      </c>
      <c r="AC50" s="5">
        <f>IF(AB50="","",IF(AB50="Months","Daily","Weekly"))</f>
        <v/>
      </c>
      <c r="AD50" s="17">
        <f>IF(V50="","",IF(AC50="Daily",V50*Controls!$B$13,V50))</f>
        <v/>
      </c>
      <c r="AE50" s="17">
        <f>IF(V50="","",IF(AC50="Daily",V50*Controls!$B$13,V50*Controls!$B$12))</f>
        <v/>
      </c>
      <c r="AF50" s="17">
        <f>IF(OR(E50="",F50=""),"",F50-E50)</f>
        <v/>
      </c>
      <c r="AG50" s="17">
        <f>IF(OR(E50="",F50=""),"",NETWORKDAYS(E50,F50,Ref!$F$4:$F$47))</f>
        <v/>
      </c>
      <c r="AH50" s="39">
        <f>IF(IFERROR(VLOOKUP(D50,Controls!$A$25:$D$35,2,FALSE()),"No")="Yes",1,0)</f>
        <v/>
      </c>
      <c r="AI50" s="39">
        <f>IF(IFERROR(VLOOKUP(D50,Controls!$A$25:$D$35,3,FALSE()),"No")="Yes",1,0)</f>
        <v/>
      </c>
      <c r="AJ50" s="39">
        <f>IF(IFERROR(VLOOKUP(D50,Controls!$A$25:$D$35,4,FALSE()),"No")="Yes",1,0)</f>
        <v/>
      </c>
      <c r="AK50" s="96">
        <f>IF(AND($E50&gt;=Controls!$B$5,$E50&lt;=Controls!$B$6,OR(Controls!$E$9&lt;&gt;"Y",$BE50=1)),1,0)</f>
        <v/>
      </c>
      <c r="AL50" s="39">
        <f>1</f>
        <v/>
      </c>
      <c r="AM50" s="20">
        <f>S50-P50</f>
        <v/>
      </c>
      <c r="AN50" s="20">
        <f>IF(AH50=1,MAX(0,P50-S50),0)</f>
        <v/>
      </c>
      <c r="AO50" s="21">
        <f>IFERROR(S50/P50,"")</f>
        <v/>
      </c>
      <c r="AP50" s="22">
        <f>IF(Y50="","",P50/Y50)</f>
        <v/>
      </c>
      <c r="AQ50" s="39">
        <f>IF(Y50="",0,1)</f>
        <v/>
      </c>
      <c r="AR50" s="39">
        <f>IF(S50&lt;=0,1,0)</f>
        <v/>
      </c>
      <c r="AS50" s="17">
        <f>IF(AH50=1,AG50,"")</f>
        <v/>
      </c>
      <c r="AT50" s="17">
        <f>IF(AND(AH50=0,AJ50=1),AG50,"")</f>
        <v/>
      </c>
      <c r="AU50" s="5">
        <f>IF(P50&lt;10000,"Under $10K",IF(P50&lt;20000,"$10-20K",IF(P50&lt;30000,"$20-30K",IF(P50&lt;50000,"$30-50K",IF(P50&lt;100000,"$50-100K","$100K+")))))</f>
        <v/>
      </c>
      <c r="AV50" s="5">
        <f>IF(O50&lt;=1.35,"1.35 and under",IF(O50&lt;=1.42,"1.36-1.42",IF(O50&lt;=1.45,"1.43-1.45",IF(O50&lt;1.49,"1.46-1.48",IF(O50&lt;=1.49,"1.49","Above 1.49")))))</f>
        <v/>
      </c>
      <c r="AW50" s="5">
        <f>IF(AE50="","",IF(AE50&lt;60,"Under 60",IF(AE50&lt;90,"60-89",IF(AE50&lt;120,"90-119",IF(AE50&lt;150,"120-149","150+")))))</f>
        <v/>
      </c>
      <c r="AX50" s="5">
        <f>IF(AP50="","No revenue data",IF(AP50&lt;0.15,"Under 0.15x",IF(AP50&lt;0.3,"0.15-0.30x",IF(AP50&lt;0.5,"0.30-0.50x",IF(AP50&lt;1,"0.50-1.00x","1.00x+")))))</f>
        <v/>
      </c>
      <c r="AY50" s="5">
        <f>IF(J50="","No SIC",IFERROR(VLOOKUP(J50,Ref!$A$4:$C$67,2,FALSE()),"Unclassified"))</f>
        <v/>
      </c>
      <c r="AZ50" s="5">
        <f>IF(E50="","",TEXT(E50,"YYYY")&amp;"-Q"&amp;ROUNDUP(MONTH(E50)/3,0))</f>
        <v/>
      </c>
      <c r="BA50" s="5">
        <f>IF(E50="","",TEXT(E50,"YYYY-MM"))</f>
        <v/>
      </c>
      <c r="BB50" s="5">
        <f>IF(E50="","",TEXT(E50,"YYYY"))</f>
        <v/>
      </c>
      <c r="BC50" s="92">
        <f>IF($E50="","",NETWORKDAYS($E50,Controls!$B$9,Ref!$F$4:$F$47))</f>
        <v/>
      </c>
      <c r="BD50" s="92">
        <f>IF(OR($AH50=1,$AJ50=1),1,0)</f>
        <v/>
      </c>
      <c r="BE50" s="95">
        <f>IF(OR($BD50=1,AND($AE50&lt;&gt;"",$BC50&gt;=Controls!$B$10*$AE50)),1,0)</f>
        <v/>
      </c>
    </row>
    <row r="51" ht="15.75" customHeight="1" s="79">
      <c r="A51" s="5" t="inlineStr">
        <is>
          <t>5674153335</t>
        </is>
      </c>
      <c r="B51" s="5" t="inlineStr">
        <is>
          <t>Stones by crowne</t>
        </is>
      </c>
      <c r="C51" s="5" t="inlineStr">
        <is>
          <t>Stones by crowne</t>
        </is>
      </c>
      <c r="D51" s="5" t="inlineStr">
        <is>
          <t>Legal</t>
        </is>
      </c>
      <c r="E51" s="16" t="n">
        <v>45741</v>
      </c>
      <c r="F51" s="16" t="n">
        <v>46234</v>
      </c>
      <c r="G51" s="17" t="n">
        <v>1</v>
      </c>
      <c r="H51" s="5" t="inlineStr">
        <is>
          <t>3281</t>
        </is>
      </c>
      <c r="I51" s="5" t="inlineStr">
        <is>
          <t>Cut Stone and Stone Product Mfg.</t>
        </is>
      </c>
      <c r="J51" s="5" t="inlineStr">
        <is>
          <t>32</t>
        </is>
      </c>
      <c r="K51" s="5" t="n">
        <v>5039</v>
      </c>
      <c r="L51" s="5" t="inlineStr">
        <is>
          <t>MA</t>
        </is>
      </c>
      <c r="M51" s="5" t="inlineStr">
        <is>
          <t>Premium Capital (AMRK)</t>
        </is>
      </c>
      <c r="N51" s="5" t="inlineStr">
        <is>
          <t>Renewal</t>
        </is>
      </c>
      <c r="O51" s="19" t="n">
        <v>1.49</v>
      </c>
      <c r="P51" s="20" t="n">
        <v>7500</v>
      </c>
      <c r="Q51" s="20" t="n">
        <v>1050</v>
      </c>
      <c r="R51" s="20" t="n">
        <v>11175</v>
      </c>
      <c r="S51" s="20" t="n">
        <v>9601.040000000001</v>
      </c>
      <c r="T51" s="20" t="n">
        <v>1573.96</v>
      </c>
      <c r="U51" s="21" t="n">
        <v>0.859153467561521</v>
      </c>
      <c r="V51" s="22" t="n">
        <v>17</v>
      </c>
      <c r="W51" s="17" t="n">
        <v>19</v>
      </c>
      <c r="X51" s="17" t="n">
        <v>6</v>
      </c>
      <c r="Y51" s="5" t="n"/>
      <c r="Z51" s="21" t="n">
        <v>0.0497</v>
      </c>
      <c r="AA51" s="16" t="n">
        <v>44896</v>
      </c>
      <c r="AB51" s="5">
        <f>IF(V51="","",IF(V51&lt;12,"Months","Weeks"))</f>
        <v/>
      </c>
      <c r="AC51" s="5">
        <f>IF(AB51="","",IF(AB51="Months","Daily","Weekly"))</f>
        <v/>
      </c>
      <c r="AD51" s="17">
        <f>IF(V51="","",IF(AC51="Daily",V51*Controls!$B$13,V51))</f>
        <v/>
      </c>
      <c r="AE51" s="17">
        <f>IF(V51="","",IF(AC51="Daily",V51*Controls!$B$13,V51*Controls!$B$12))</f>
        <v/>
      </c>
      <c r="AF51" s="17">
        <f>IF(OR(E51="",F51=""),"",F51-E51)</f>
        <v/>
      </c>
      <c r="AG51" s="17">
        <f>IF(OR(E51="",F51=""),"",NETWORKDAYS(E51,F51,Ref!$F$4:$F$47))</f>
        <v/>
      </c>
      <c r="AH51" s="39">
        <f>IF(IFERROR(VLOOKUP(D51,Controls!$A$25:$D$35,2,FALSE()),"No")="Yes",1,0)</f>
        <v/>
      </c>
      <c r="AI51" s="39">
        <f>IF(IFERROR(VLOOKUP(D51,Controls!$A$25:$D$35,3,FALSE()),"No")="Yes",1,0)</f>
        <v/>
      </c>
      <c r="AJ51" s="39">
        <f>IF(IFERROR(VLOOKUP(D51,Controls!$A$25:$D$35,4,FALSE()),"No")="Yes",1,0)</f>
        <v/>
      </c>
      <c r="AK51" s="96">
        <f>IF(AND($E51&gt;=Controls!$B$5,$E51&lt;=Controls!$B$6,OR(Controls!$E$9&lt;&gt;"Y",$BE51=1)),1,0)</f>
        <v/>
      </c>
      <c r="AL51" s="39">
        <f>1</f>
        <v/>
      </c>
      <c r="AM51" s="20">
        <f>S51-P51</f>
        <v/>
      </c>
      <c r="AN51" s="20">
        <f>IF(AH51=1,MAX(0,P51-S51),0)</f>
        <v/>
      </c>
      <c r="AO51" s="21">
        <f>IFERROR(S51/P51,"")</f>
        <v/>
      </c>
      <c r="AP51" s="22">
        <f>IF(Y51="","",P51/Y51)</f>
        <v/>
      </c>
      <c r="AQ51" s="39">
        <f>IF(Y51="",0,1)</f>
        <v/>
      </c>
      <c r="AR51" s="39">
        <f>IF(S51&lt;=0,1,0)</f>
        <v/>
      </c>
      <c r="AS51" s="17">
        <f>IF(AH51=1,AG51,"")</f>
        <v/>
      </c>
      <c r="AT51" s="17">
        <f>IF(AND(AH51=0,AJ51=1),AG51,"")</f>
        <v/>
      </c>
      <c r="AU51" s="5">
        <f>IF(P51&lt;10000,"Under $10K",IF(P51&lt;20000,"$10-20K",IF(P51&lt;30000,"$20-30K",IF(P51&lt;50000,"$30-50K",IF(P51&lt;100000,"$50-100K","$100K+")))))</f>
        <v/>
      </c>
      <c r="AV51" s="5">
        <f>IF(O51&lt;=1.35,"1.35 and under",IF(O51&lt;=1.42,"1.36-1.42",IF(O51&lt;=1.45,"1.43-1.45",IF(O51&lt;1.49,"1.46-1.48",IF(O51&lt;=1.49,"1.49","Above 1.49")))))</f>
        <v/>
      </c>
      <c r="AW51" s="5">
        <f>IF(AE51="","",IF(AE51&lt;60,"Under 60",IF(AE51&lt;90,"60-89",IF(AE51&lt;120,"90-119",IF(AE51&lt;150,"120-149","150+")))))</f>
        <v/>
      </c>
      <c r="AX51" s="5">
        <f>IF(AP51="","No revenue data",IF(AP51&lt;0.15,"Under 0.15x",IF(AP51&lt;0.3,"0.15-0.30x",IF(AP51&lt;0.5,"0.30-0.50x",IF(AP51&lt;1,"0.50-1.00x","1.00x+")))))</f>
        <v/>
      </c>
      <c r="AY51" s="5">
        <f>IF(J51="","No SIC",IFERROR(VLOOKUP(J51,Ref!$A$4:$C$67,2,FALSE()),"Unclassified"))</f>
        <v/>
      </c>
      <c r="AZ51" s="5">
        <f>IF(E51="","",TEXT(E51,"YYYY")&amp;"-Q"&amp;ROUNDUP(MONTH(E51)/3,0))</f>
        <v/>
      </c>
      <c r="BA51" s="5">
        <f>IF(E51="","",TEXT(E51,"YYYY-MM"))</f>
        <v/>
      </c>
      <c r="BB51" s="5">
        <f>IF(E51="","",TEXT(E51,"YYYY"))</f>
        <v/>
      </c>
      <c r="BC51" s="92">
        <f>IF($E51="","",NETWORKDAYS($E51,Controls!$B$9,Ref!$F$4:$F$47))</f>
        <v/>
      </c>
      <c r="BD51" s="92">
        <f>IF(OR($AH51=1,$AJ51=1),1,0)</f>
        <v/>
      </c>
      <c r="BE51" s="95">
        <f>IF(OR($BD51=1,AND($AE51&lt;&gt;"",$BC51&gt;=Controls!$B$10*$AE51)),1,0)</f>
        <v/>
      </c>
    </row>
    <row r="52" ht="15.75" customHeight="1" s="79">
      <c r="A52" s="5" t="inlineStr">
        <is>
          <t>5674153342</t>
        </is>
      </c>
      <c r="B52" s="5" t="inlineStr">
        <is>
          <t>CORNERSTONE GROWTH SOLUTIONS, LLC</t>
        </is>
      </c>
      <c r="C52" s="5" t="inlineStr">
        <is>
          <t>CORNERSTONE GROWTH SOLUTIONS, LLC</t>
        </is>
      </c>
      <c r="D52" s="5" t="inlineStr">
        <is>
          <t>Closed</t>
        </is>
      </c>
      <c r="E52" s="16" t="n">
        <v>45742</v>
      </c>
      <c r="F52" s="16" t="n">
        <v>45831</v>
      </c>
      <c r="G52" s="17" t="n">
        <v>1</v>
      </c>
      <c r="H52" s="5" t="inlineStr">
        <is>
          <t>8742</t>
        </is>
      </c>
      <c r="I52" s="5" t="inlineStr">
        <is>
          <t>Administrative Management and General Management Consulting Services</t>
        </is>
      </c>
      <c r="J52" s="5" t="inlineStr">
        <is>
          <t>87</t>
        </is>
      </c>
      <c r="K52" s="5" t="n">
        <v>7392</v>
      </c>
      <c r="L52" s="5" t="inlineStr">
        <is>
          <t>TX</t>
        </is>
      </c>
      <c r="M52" s="5" t="inlineStr">
        <is>
          <t>Westwood</t>
        </is>
      </c>
      <c r="N52" s="5" t="inlineStr">
        <is>
          <t>New Deal</t>
        </is>
      </c>
      <c r="O52" s="19" t="n">
        <v>1.49</v>
      </c>
      <c r="P52" s="20" t="n">
        <v>8000</v>
      </c>
      <c r="Q52" s="20" t="n">
        <v>1120</v>
      </c>
      <c r="R52" s="20" t="n">
        <v>11920</v>
      </c>
      <c r="S52" s="20" t="n">
        <v>11920</v>
      </c>
      <c r="T52" s="20" t="n">
        <v>0</v>
      </c>
      <c r="U52" s="21" t="n">
        <v>1</v>
      </c>
      <c r="V52" s="22" t="n">
        <v>1.967</v>
      </c>
      <c r="W52" s="17" t="n">
        <v>422</v>
      </c>
      <c r="X52" s="17" t="n">
        <v>2</v>
      </c>
      <c r="Y52" s="5" t="n"/>
      <c r="Z52" s="21" t="n">
        <v>0.0307</v>
      </c>
      <c r="AA52" s="16" t="n">
        <v>40909</v>
      </c>
      <c r="AB52" s="5">
        <f>IF(V52="","",IF(V52&lt;12,"Months","Weeks"))</f>
        <v/>
      </c>
      <c r="AC52" s="5">
        <f>IF(AB52="","",IF(AB52="Months","Daily","Weekly"))</f>
        <v/>
      </c>
      <c r="AD52" s="17">
        <f>IF(V52="","",IF(AC52="Daily",V52*Controls!$B$13,V52))</f>
        <v/>
      </c>
      <c r="AE52" s="17">
        <f>IF(V52="","",IF(AC52="Daily",V52*Controls!$B$13,V52*Controls!$B$12))</f>
        <v/>
      </c>
      <c r="AF52" s="17">
        <f>IF(OR(E52="",F52=""),"",F52-E52)</f>
        <v/>
      </c>
      <c r="AG52" s="17">
        <f>IF(OR(E52="",F52=""),"",NETWORKDAYS(E52,F52,Ref!$F$4:$F$47))</f>
        <v/>
      </c>
      <c r="AH52" s="39">
        <f>IF(IFERROR(VLOOKUP(D52,Controls!$A$25:$D$35,2,FALSE()),"No")="Yes",1,0)</f>
        <v/>
      </c>
      <c r="AI52" s="39">
        <f>IF(IFERROR(VLOOKUP(D52,Controls!$A$25:$D$35,3,FALSE()),"No")="Yes",1,0)</f>
        <v/>
      </c>
      <c r="AJ52" s="39">
        <f>IF(IFERROR(VLOOKUP(D52,Controls!$A$25:$D$35,4,FALSE()),"No")="Yes",1,0)</f>
        <v/>
      </c>
      <c r="AK52" s="96">
        <f>IF(AND($E52&gt;=Controls!$B$5,$E52&lt;=Controls!$B$6,OR(Controls!$E$9&lt;&gt;"Y",$BE52=1)),1,0)</f>
        <v/>
      </c>
      <c r="AL52" s="39">
        <f>1</f>
        <v/>
      </c>
      <c r="AM52" s="20">
        <f>S52-P52</f>
        <v/>
      </c>
      <c r="AN52" s="20">
        <f>IF(AH52=1,MAX(0,P52-S52),0)</f>
        <v/>
      </c>
      <c r="AO52" s="21">
        <f>IFERROR(S52/P52,"")</f>
        <v/>
      </c>
      <c r="AP52" s="22">
        <f>IF(Y52="","",P52/Y52)</f>
        <v/>
      </c>
      <c r="AQ52" s="39">
        <f>IF(Y52="",0,1)</f>
        <v/>
      </c>
      <c r="AR52" s="39">
        <f>IF(S52&lt;=0,1,0)</f>
        <v/>
      </c>
      <c r="AS52" s="17">
        <f>IF(AH52=1,AG52,"")</f>
        <v/>
      </c>
      <c r="AT52" s="17">
        <f>IF(AND(AH52=0,AJ52=1),AG52,"")</f>
        <v/>
      </c>
      <c r="AU52" s="5">
        <f>IF(P52&lt;10000,"Under $10K",IF(P52&lt;20000,"$10-20K",IF(P52&lt;30000,"$20-30K",IF(P52&lt;50000,"$30-50K",IF(P52&lt;100000,"$50-100K","$100K+")))))</f>
        <v/>
      </c>
      <c r="AV52" s="5">
        <f>IF(O52&lt;=1.35,"1.35 and under",IF(O52&lt;=1.42,"1.36-1.42",IF(O52&lt;=1.45,"1.43-1.45",IF(O52&lt;1.49,"1.46-1.48",IF(O52&lt;=1.49,"1.49","Above 1.49")))))</f>
        <v/>
      </c>
      <c r="AW52" s="5">
        <f>IF(AE52="","",IF(AE52&lt;60,"Under 60",IF(AE52&lt;90,"60-89",IF(AE52&lt;120,"90-119",IF(AE52&lt;150,"120-149","150+")))))</f>
        <v/>
      </c>
      <c r="AX52" s="5">
        <f>IF(AP52="","No revenue data",IF(AP52&lt;0.15,"Under 0.15x",IF(AP52&lt;0.3,"0.15-0.30x",IF(AP52&lt;0.5,"0.30-0.50x",IF(AP52&lt;1,"0.50-1.00x","1.00x+")))))</f>
        <v/>
      </c>
      <c r="AY52" s="5">
        <f>IF(J52="","No SIC",IFERROR(VLOOKUP(J52,Ref!$A$4:$C$67,2,FALSE()),"Unclassified"))</f>
        <v/>
      </c>
      <c r="AZ52" s="5">
        <f>IF(E52="","",TEXT(E52,"YYYY")&amp;"-Q"&amp;ROUNDUP(MONTH(E52)/3,0))</f>
        <v/>
      </c>
      <c r="BA52" s="5">
        <f>IF(E52="","",TEXT(E52,"YYYY-MM"))</f>
        <v/>
      </c>
      <c r="BB52" s="5">
        <f>IF(E52="","",TEXT(E52,"YYYY"))</f>
        <v/>
      </c>
      <c r="BC52" s="92">
        <f>IF($E52="","",NETWORKDAYS($E52,Controls!$B$9,Ref!$F$4:$F$47))</f>
        <v/>
      </c>
      <c r="BD52" s="92">
        <f>IF(OR($AH52=1,$AJ52=1),1,0)</f>
        <v/>
      </c>
      <c r="BE52" s="95">
        <f>IF(OR($BD52=1,AND($AE52&lt;&gt;"",$BC52&gt;=Controls!$B$10*$AE52)),1,0)</f>
        <v/>
      </c>
    </row>
    <row r="53" ht="15.75" customHeight="1" s="79">
      <c r="A53" s="5" t="inlineStr">
        <is>
          <t>5674153395</t>
        </is>
      </c>
      <c r="B53" s="5" t="inlineStr">
        <is>
          <t>Happy Daiquiri llc</t>
        </is>
      </c>
      <c r="C53" s="5" t="inlineStr">
        <is>
          <t>Happy Daiquiri llc</t>
        </is>
      </c>
      <c r="D53" s="5" t="inlineStr">
        <is>
          <t>Legal</t>
        </is>
      </c>
      <c r="E53" s="16" t="n">
        <v>45741</v>
      </c>
      <c r="F53" s="16" t="n">
        <v>45889</v>
      </c>
      <c r="G53" s="17" t="n">
        <v>6</v>
      </c>
      <c r="H53" s="5" t="inlineStr">
        <is>
          <t>5812</t>
        </is>
      </c>
      <c r="I53" s="5" t="inlineStr">
        <is>
          <t>Snack and Nonalcoholic Beverage Bars</t>
        </is>
      </c>
      <c r="J53" s="5" t="inlineStr">
        <is>
          <t>58</t>
        </is>
      </c>
      <c r="K53" s="5" t="n">
        <v>5812</v>
      </c>
      <c r="L53" s="5" t="inlineStr">
        <is>
          <t>TX</t>
        </is>
      </c>
      <c r="M53" s="5" t="inlineStr">
        <is>
          <t>Vanguard Equities</t>
        </is>
      </c>
      <c r="N53" s="5" t="inlineStr">
        <is>
          <t>New Deal</t>
        </is>
      </c>
      <c r="O53" s="19" t="n">
        <v>1.49</v>
      </c>
      <c r="P53" s="20" t="n">
        <v>3000</v>
      </c>
      <c r="Q53" s="20" t="n">
        <v>420</v>
      </c>
      <c r="R53" s="20" t="n">
        <v>4470</v>
      </c>
      <c r="S53" s="20" t="n">
        <v>2475.22</v>
      </c>
      <c r="T53" s="20" t="n">
        <v>1994.78</v>
      </c>
      <c r="U53" s="21" t="n">
        <v>0.553740492170022</v>
      </c>
      <c r="V53" s="22" t="n">
        <v>1.967</v>
      </c>
      <c r="W53" s="17" t="n">
        <v>376</v>
      </c>
      <c r="X53" s="17" t="n">
        <v>34</v>
      </c>
      <c r="Y53" s="5" t="n"/>
      <c r="Z53" s="21" t="n">
        <v>0.1093</v>
      </c>
      <c r="AA53" s="16" t="n">
        <v>43819</v>
      </c>
      <c r="AB53" s="5">
        <f>IF(V53="","",IF(V53&lt;12,"Months","Weeks"))</f>
        <v/>
      </c>
      <c r="AC53" s="5">
        <f>IF(AB53="","",IF(AB53="Months","Daily","Weekly"))</f>
        <v/>
      </c>
      <c r="AD53" s="17">
        <f>IF(V53="","",IF(AC53="Daily",V53*Controls!$B$13,V53))</f>
        <v/>
      </c>
      <c r="AE53" s="17">
        <f>IF(V53="","",IF(AC53="Daily",V53*Controls!$B$13,V53*Controls!$B$12))</f>
        <v/>
      </c>
      <c r="AF53" s="17">
        <f>IF(OR(E53="",F53=""),"",F53-E53)</f>
        <v/>
      </c>
      <c r="AG53" s="17">
        <f>IF(OR(E53="",F53=""),"",NETWORKDAYS(E53,F53,Ref!$F$4:$F$47))</f>
        <v/>
      </c>
      <c r="AH53" s="39">
        <f>IF(IFERROR(VLOOKUP(D53,Controls!$A$25:$D$35,2,FALSE()),"No")="Yes",1,0)</f>
        <v/>
      </c>
      <c r="AI53" s="39">
        <f>IF(IFERROR(VLOOKUP(D53,Controls!$A$25:$D$35,3,FALSE()),"No")="Yes",1,0)</f>
        <v/>
      </c>
      <c r="AJ53" s="39">
        <f>IF(IFERROR(VLOOKUP(D53,Controls!$A$25:$D$35,4,FALSE()),"No")="Yes",1,0)</f>
        <v/>
      </c>
      <c r="AK53" s="96">
        <f>IF(AND($E53&gt;=Controls!$B$5,$E53&lt;=Controls!$B$6,OR(Controls!$E$9&lt;&gt;"Y",$BE53=1)),1,0)</f>
        <v/>
      </c>
      <c r="AL53" s="39">
        <f>1</f>
        <v/>
      </c>
      <c r="AM53" s="20">
        <f>S53-P53</f>
        <v/>
      </c>
      <c r="AN53" s="20">
        <f>IF(AH53=1,MAX(0,P53-S53),0)</f>
        <v/>
      </c>
      <c r="AO53" s="21">
        <f>IFERROR(S53/P53,"")</f>
        <v/>
      </c>
      <c r="AP53" s="22">
        <f>IF(Y53="","",P53/Y53)</f>
        <v/>
      </c>
      <c r="AQ53" s="39">
        <f>IF(Y53="",0,1)</f>
        <v/>
      </c>
      <c r="AR53" s="39">
        <f>IF(S53&lt;=0,1,0)</f>
        <v/>
      </c>
      <c r="AS53" s="17">
        <f>IF(AH53=1,AG53,"")</f>
        <v/>
      </c>
      <c r="AT53" s="17">
        <f>IF(AND(AH53=0,AJ53=1),AG53,"")</f>
        <v/>
      </c>
      <c r="AU53" s="5">
        <f>IF(P53&lt;10000,"Under $10K",IF(P53&lt;20000,"$10-20K",IF(P53&lt;30000,"$20-30K",IF(P53&lt;50000,"$30-50K",IF(P53&lt;100000,"$50-100K","$100K+")))))</f>
        <v/>
      </c>
      <c r="AV53" s="5">
        <f>IF(O53&lt;=1.35,"1.35 and under",IF(O53&lt;=1.42,"1.36-1.42",IF(O53&lt;=1.45,"1.43-1.45",IF(O53&lt;1.49,"1.46-1.48",IF(O53&lt;=1.49,"1.49","Above 1.49")))))</f>
        <v/>
      </c>
      <c r="AW53" s="5">
        <f>IF(AE53="","",IF(AE53&lt;60,"Under 60",IF(AE53&lt;90,"60-89",IF(AE53&lt;120,"90-119",IF(AE53&lt;150,"120-149","150+")))))</f>
        <v/>
      </c>
      <c r="AX53" s="5">
        <f>IF(AP53="","No revenue data",IF(AP53&lt;0.15,"Under 0.15x",IF(AP53&lt;0.3,"0.15-0.30x",IF(AP53&lt;0.5,"0.30-0.50x",IF(AP53&lt;1,"0.50-1.00x","1.00x+")))))</f>
        <v/>
      </c>
      <c r="AY53" s="5">
        <f>IF(J53="","No SIC",IFERROR(VLOOKUP(J53,Ref!$A$4:$C$67,2,FALSE()),"Unclassified"))</f>
        <v/>
      </c>
      <c r="AZ53" s="5">
        <f>IF(E53="","",TEXT(E53,"YYYY")&amp;"-Q"&amp;ROUNDUP(MONTH(E53)/3,0))</f>
        <v/>
      </c>
      <c r="BA53" s="5">
        <f>IF(E53="","",TEXT(E53,"YYYY-MM"))</f>
        <v/>
      </c>
      <c r="BB53" s="5">
        <f>IF(E53="","",TEXT(E53,"YYYY"))</f>
        <v/>
      </c>
      <c r="BC53" s="92">
        <f>IF($E53="","",NETWORKDAYS($E53,Controls!$B$9,Ref!$F$4:$F$47))</f>
        <v/>
      </c>
      <c r="BD53" s="92">
        <f>IF(OR($AH53=1,$AJ53=1),1,0)</f>
        <v/>
      </c>
      <c r="BE53" s="95">
        <f>IF(OR($BD53=1,AND($AE53&lt;&gt;"",$BC53&gt;=Controls!$B$10*$AE53)),1,0)</f>
        <v/>
      </c>
    </row>
    <row r="54" ht="15.75" customHeight="1" s="79">
      <c r="A54" s="5" t="inlineStr">
        <is>
          <t>5674153450</t>
        </is>
      </c>
      <c r="B54" s="5" t="inlineStr">
        <is>
          <t>Journey Homecare Services</t>
        </is>
      </c>
      <c r="C54" s="5" t="inlineStr">
        <is>
          <t>Journey Homecare Services</t>
        </is>
      </c>
      <c r="D54" s="5" t="inlineStr">
        <is>
          <t>Legal</t>
        </is>
      </c>
      <c r="E54" s="16" t="n">
        <v>45742</v>
      </c>
      <c r="F54" s="16" t="n">
        <v>46112</v>
      </c>
      <c r="G54" s="17" t="n">
        <v>3</v>
      </c>
      <c r="H54" s="5" t="inlineStr">
        <is>
          <t>8051</t>
        </is>
      </c>
      <c r="I54" s="5" t="inlineStr">
        <is>
          <t>Nursing Care Facilities (Skilled Nursing Facilities)</t>
        </is>
      </c>
      <c r="J54" s="5" t="inlineStr">
        <is>
          <t>80</t>
        </is>
      </c>
      <c r="K54" s="5" t="n">
        <v>8351</v>
      </c>
      <c r="L54" s="5" t="inlineStr">
        <is>
          <t>NC</t>
        </is>
      </c>
      <c r="M54" s="5" t="inlineStr">
        <is>
          <t>Vanguard Equities</t>
        </is>
      </c>
      <c r="N54" s="5" t="inlineStr">
        <is>
          <t>New Deal</t>
        </is>
      </c>
      <c r="O54" s="19" t="n">
        <v>1.49</v>
      </c>
      <c r="P54" s="20" t="n">
        <v>5000</v>
      </c>
      <c r="Q54" s="20" t="n">
        <v>700</v>
      </c>
      <c r="R54" s="20" t="n">
        <v>7450</v>
      </c>
      <c r="S54" s="20" t="n">
        <v>3293.97</v>
      </c>
      <c r="T54" s="20" t="n">
        <v>4156.03</v>
      </c>
      <c r="U54" s="21" t="n">
        <v>0.442143624161074</v>
      </c>
      <c r="V54" s="22" t="n">
        <v>2.131</v>
      </c>
      <c r="W54" s="17" t="n">
        <v>141</v>
      </c>
      <c r="X54" s="17" t="n">
        <v>20</v>
      </c>
      <c r="Y54" s="5" t="n"/>
      <c r="Z54" s="21" t="n">
        <v>0.1172</v>
      </c>
      <c r="AA54" s="5" t="n"/>
      <c r="AB54" s="5">
        <f>IF(V54="","",IF(V54&lt;12,"Months","Weeks"))</f>
        <v/>
      </c>
      <c r="AC54" s="5">
        <f>IF(AB54="","",IF(AB54="Months","Daily","Weekly"))</f>
        <v/>
      </c>
      <c r="AD54" s="17">
        <f>IF(V54="","",IF(AC54="Daily",V54*Controls!$B$13,V54))</f>
        <v/>
      </c>
      <c r="AE54" s="17">
        <f>IF(V54="","",IF(AC54="Daily",V54*Controls!$B$13,V54*Controls!$B$12))</f>
        <v/>
      </c>
      <c r="AF54" s="17">
        <f>IF(OR(E54="",F54=""),"",F54-E54)</f>
        <v/>
      </c>
      <c r="AG54" s="17">
        <f>IF(OR(E54="",F54=""),"",NETWORKDAYS(E54,F54,Ref!$F$4:$F$47))</f>
        <v/>
      </c>
      <c r="AH54" s="39">
        <f>IF(IFERROR(VLOOKUP(D54,Controls!$A$25:$D$35,2,FALSE()),"No")="Yes",1,0)</f>
        <v/>
      </c>
      <c r="AI54" s="39">
        <f>IF(IFERROR(VLOOKUP(D54,Controls!$A$25:$D$35,3,FALSE()),"No")="Yes",1,0)</f>
        <v/>
      </c>
      <c r="AJ54" s="39">
        <f>IF(IFERROR(VLOOKUP(D54,Controls!$A$25:$D$35,4,FALSE()),"No")="Yes",1,0)</f>
        <v/>
      </c>
      <c r="AK54" s="96">
        <f>IF(AND($E54&gt;=Controls!$B$5,$E54&lt;=Controls!$B$6,OR(Controls!$E$9&lt;&gt;"Y",$BE54=1)),1,0)</f>
        <v/>
      </c>
      <c r="AL54" s="39">
        <f>1</f>
        <v/>
      </c>
      <c r="AM54" s="20">
        <f>S54-P54</f>
        <v/>
      </c>
      <c r="AN54" s="20">
        <f>IF(AH54=1,MAX(0,P54-S54),0)</f>
        <v/>
      </c>
      <c r="AO54" s="21">
        <f>IFERROR(S54/P54,"")</f>
        <v/>
      </c>
      <c r="AP54" s="22">
        <f>IF(Y54="","",P54/Y54)</f>
        <v/>
      </c>
      <c r="AQ54" s="39">
        <f>IF(Y54="",0,1)</f>
        <v/>
      </c>
      <c r="AR54" s="39">
        <f>IF(S54&lt;=0,1,0)</f>
        <v/>
      </c>
      <c r="AS54" s="17">
        <f>IF(AH54=1,AG54,"")</f>
        <v/>
      </c>
      <c r="AT54" s="17">
        <f>IF(AND(AH54=0,AJ54=1),AG54,"")</f>
        <v/>
      </c>
      <c r="AU54" s="5">
        <f>IF(P54&lt;10000,"Under $10K",IF(P54&lt;20000,"$10-20K",IF(P54&lt;30000,"$20-30K",IF(P54&lt;50000,"$30-50K",IF(P54&lt;100000,"$50-100K","$100K+")))))</f>
        <v/>
      </c>
      <c r="AV54" s="5">
        <f>IF(O54&lt;=1.35,"1.35 and under",IF(O54&lt;=1.42,"1.36-1.42",IF(O54&lt;=1.45,"1.43-1.45",IF(O54&lt;1.49,"1.46-1.48",IF(O54&lt;=1.49,"1.49","Above 1.49")))))</f>
        <v/>
      </c>
      <c r="AW54" s="5">
        <f>IF(AE54="","",IF(AE54&lt;60,"Under 60",IF(AE54&lt;90,"60-89",IF(AE54&lt;120,"90-119",IF(AE54&lt;150,"120-149","150+")))))</f>
        <v/>
      </c>
      <c r="AX54" s="5">
        <f>IF(AP54="","No revenue data",IF(AP54&lt;0.15,"Under 0.15x",IF(AP54&lt;0.3,"0.15-0.30x",IF(AP54&lt;0.5,"0.30-0.50x",IF(AP54&lt;1,"0.50-1.00x","1.00x+")))))</f>
        <v/>
      </c>
      <c r="AY54" s="5">
        <f>IF(J54="","No SIC",IFERROR(VLOOKUP(J54,Ref!$A$4:$C$67,2,FALSE()),"Unclassified"))</f>
        <v/>
      </c>
      <c r="AZ54" s="5">
        <f>IF(E54="","",TEXT(E54,"YYYY")&amp;"-Q"&amp;ROUNDUP(MONTH(E54)/3,0))</f>
        <v/>
      </c>
      <c r="BA54" s="5">
        <f>IF(E54="","",TEXT(E54,"YYYY-MM"))</f>
        <v/>
      </c>
      <c r="BB54" s="5">
        <f>IF(E54="","",TEXT(E54,"YYYY"))</f>
        <v/>
      </c>
      <c r="BC54" s="92">
        <f>IF($E54="","",NETWORKDAYS($E54,Controls!$B$9,Ref!$F$4:$F$47))</f>
        <v/>
      </c>
      <c r="BD54" s="92">
        <f>IF(OR($AH54=1,$AJ54=1),1,0)</f>
        <v/>
      </c>
      <c r="BE54" s="95">
        <f>IF(OR($BD54=1,AND($AE54&lt;&gt;"",$BC54&gt;=Controls!$B$10*$AE54)),1,0)</f>
        <v/>
      </c>
    </row>
    <row r="55" ht="15.75" customHeight="1" s="79">
      <c r="A55" s="5" t="inlineStr">
        <is>
          <t>5674153597</t>
        </is>
      </c>
      <c r="B55" s="5" t="inlineStr">
        <is>
          <t>Anthony's RV Rentals</t>
        </is>
      </c>
      <c r="C55" s="5" t="inlineStr">
        <is>
          <t>Anthony's RV Rentals</t>
        </is>
      </c>
      <c r="D55" s="5" t="inlineStr">
        <is>
          <t>Legal</t>
        </is>
      </c>
      <c r="E55" s="16" t="n">
        <v>45743</v>
      </c>
      <c r="F55" s="16" t="n">
        <v>45866</v>
      </c>
      <c r="G55" s="17" t="n">
        <v>2</v>
      </c>
      <c r="H55" s="5" t="inlineStr">
        <is>
          <t>7519</t>
        </is>
      </c>
      <c r="I55" s="5" t="inlineStr">
        <is>
          <t>Truck, Utility Trailer, and RV (Recreational Vehicle) Rental and Leasing</t>
        </is>
      </c>
      <c r="J55" s="5" t="inlineStr">
        <is>
          <t>75</t>
        </is>
      </c>
      <c r="K55" s="5" t="n">
        <v>7513</v>
      </c>
      <c r="L55" s="5" t="inlineStr">
        <is>
          <t>MI</t>
        </is>
      </c>
      <c r="M55" s="5" t="inlineStr">
        <is>
          <t>Platform Funding</t>
        </is>
      </c>
      <c r="N55" s="5" t="inlineStr">
        <is>
          <t>Renewal</t>
        </is>
      </c>
      <c r="O55" s="19" t="n">
        <v>1.49</v>
      </c>
      <c r="P55" s="20" t="n">
        <v>15000</v>
      </c>
      <c r="Q55" s="20" t="n">
        <v>0</v>
      </c>
      <c r="R55" s="20" t="n">
        <v>22350</v>
      </c>
      <c r="S55" s="20" t="n">
        <v>6115.1</v>
      </c>
      <c r="T55" s="20" t="n">
        <v>16234.9</v>
      </c>
      <c r="U55" s="21" t="n">
        <v>0.273606263982103</v>
      </c>
      <c r="V55" s="22" t="n">
        <v>2.459</v>
      </c>
      <c r="W55" s="17" t="n">
        <v>393</v>
      </c>
      <c r="X55" s="17" t="n">
        <v>8</v>
      </c>
      <c r="Y55" s="5" t="n"/>
      <c r="Z55" s="21" t="n">
        <v>0.1567</v>
      </c>
      <c r="AA55" s="16" t="n">
        <v>43617</v>
      </c>
      <c r="AB55" s="5">
        <f>IF(V55="","",IF(V55&lt;12,"Months","Weeks"))</f>
        <v/>
      </c>
      <c r="AC55" s="5">
        <f>IF(AB55="","",IF(AB55="Months","Daily","Weekly"))</f>
        <v/>
      </c>
      <c r="AD55" s="17">
        <f>IF(V55="","",IF(AC55="Daily",V55*Controls!$B$13,V55))</f>
        <v/>
      </c>
      <c r="AE55" s="17">
        <f>IF(V55="","",IF(AC55="Daily",V55*Controls!$B$13,V55*Controls!$B$12))</f>
        <v/>
      </c>
      <c r="AF55" s="17">
        <f>IF(OR(E55="",F55=""),"",F55-E55)</f>
        <v/>
      </c>
      <c r="AG55" s="17">
        <f>IF(OR(E55="",F55=""),"",NETWORKDAYS(E55,F55,Ref!$F$4:$F$47))</f>
        <v/>
      </c>
      <c r="AH55" s="39">
        <f>IF(IFERROR(VLOOKUP(D55,Controls!$A$25:$D$35,2,FALSE()),"No")="Yes",1,0)</f>
        <v/>
      </c>
      <c r="AI55" s="39">
        <f>IF(IFERROR(VLOOKUP(D55,Controls!$A$25:$D$35,3,FALSE()),"No")="Yes",1,0)</f>
        <v/>
      </c>
      <c r="AJ55" s="39">
        <f>IF(IFERROR(VLOOKUP(D55,Controls!$A$25:$D$35,4,FALSE()),"No")="Yes",1,0)</f>
        <v/>
      </c>
      <c r="AK55" s="96">
        <f>IF(AND($E55&gt;=Controls!$B$5,$E55&lt;=Controls!$B$6,OR(Controls!$E$9&lt;&gt;"Y",$BE55=1)),1,0)</f>
        <v/>
      </c>
      <c r="AL55" s="39">
        <f>1</f>
        <v/>
      </c>
      <c r="AM55" s="20">
        <f>S55-P55</f>
        <v/>
      </c>
      <c r="AN55" s="20">
        <f>IF(AH55=1,MAX(0,P55-S55),0)</f>
        <v/>
      </c>
      <c r="AO55" s="21">
        <f>IFERROR(S55/P55,"")</f>
        <v/>
      </c>
      <c r="AP55" s="22">
        <f>IF(Y55="","",P55/Y55)</f>
        <v/>
      </c>
      <c r="AQ55" s="39">
        <f>IF(Y55="",0,1)</f>
        <v/>
      </c>
      <c r="AR55" s="39">
        <f>IF(S55&lt;=0,1,0)</f>
        <v/>
      </c>
      <c r="AS55" s="17">
        <f>IF(AH55=1,AG55,"")</f>
        <v/>
      </c>
      <c r="AT55" s="17">
        <f>IF(AND(AH55=0,AJ55=1),AG55,"")</f>
        <v/>
      </c>
      <c r="AU55" s="5">
        <f>IF(P55&lt;10000,"Under $10K",IF(P55&lt;20000,"$10-20K",IF(P55&lt;30000,"$20-30K",IF(P55&lt;50000,"$30-50K",IF(P55&lt;100000,"$50-100K","$100K+")))))</f>
        <v/>
      </c>
      <c r="AV55" s="5">
        <f>IF(O55&lt;=1.35,"1.35 and under",IF(O55&lt;=1.42,"1.36-1.42",IF(O55&lt;=1.45,"1.43-1.45",IF(O55&lt;1.49,"1.46-1.48",IF(O55&lt;=1.49,"1.49","Above 1.49")))))</f>
        <v/>
      </c>
      <c r="AW55" s="5">
        <f>IF(AE55="","",IF(AE55&lt;60,"Under 60",IF(AE55&lt;90,"60-89",IF(AE55&lt;120,"90-119",IF(AE55&lt;150,"120-149","150+")))))</f>
        <v/>
      </c>
      <c r="AX55" s="5">
        <f>IF(AP55="","No revenue data",IF(AP55&lt;0.15,"Under 0.15x",IF(AP55&lt;0.3,"0.15-0.30x",IF(AP55&lt;0.5,"0.30-0.50x",IF(AP55&lt;1,"0.50-1.00x","1.00x+")))))</f>
        <v/>
      </c>
      <c r="AY55" s="5">
        <f>IF(J55="","No SIC",IFERROR(VLOOKUP(J55,Ref!$A$4:$C$67,2,FALSE()),"Unclassified"))</f>
        <v/>
      </c>
      <c r="AZ55" s="5">
        <f>IF(E55="","",TEXT(E55,"YYYY")&amp;"-Q"&amp;ROUNDUP(MONTH(E55)/3,0))</f>
        <v/>
      </c>
      <c r="BA55" s="5">
        <f>IF(E55="","",TEXT(E55,"YYYY-MM"))</f>
        <v/>
      </c>
      <c r="BB55" s="5">
        <f>IF(E55="","",TEXT(E55,"YYYY"))</f>
        <v/>
      </c>
      <c r="BC55" s="92">
        <f>IF($E55="","",NETWORKDAYS($E55,Controls!$B$9,Ref!$F$4:$F$47))</f>
        <v/>
      </c>
      <c r="BD55" s="92">
        <f>IF(OR($AH55=1,$AJ55=1),1,0)</f>
        <v/>
      </c>
      <c r="BE55" s="95">
        <f>IF(OR($BD55=1,AND($AE55&lt;&gt;"",$BC55&gt;=Controls!$B$10*$AE55)),1,0)</f>
        <v/>
      </c>
    </row>
    <row r="56" ht="15.75" customHeight="1" s="79">
      <c r="A56" s="5" t="inlineStr">
        <is>
          <t>5674153862</t>
        </is>
      </c>
      <c r="B56" s="5" t="inlineStr">
        <is>
          <t>W.H.S Humble &amp; Associates LLC</t>
        </is>
      </c>
      <c r="C56" s="5" t="inlineStr">
        <is>
          <t>W.H.S Humble &amp; Associates LLC</t>
        </is>
      </c>
      <c r="D56" s="5" t="inlineStr">
        <is>
          <t>Legal</t>
        </is>
      </c>
      <c r="E56" s="16" t="n">
        <v>45747</v>
      </c>
      <c r="F56" s="16" t="n">
        <v>45807</v>
      </c>
      <c r="G56" s="17" t="n">
        <v>6</v>
      </c>
      <c r="H56" s="5" t="inlineStr">
        <is>
          <t>7291</t>
        </is>
      </c>
      <c r="I56" s="5" t="inlineStr">
        <is>
          <t>Tax Preparation Services</t>
        </is>
      </c>
      <c r="J56" s="5" t="inlineStr">
        <is>
          <t>72</t>
        </is>
      </c>
      <c r="K56" s="5" t="n">
        <v>7276</v>
      </c>
      <c r="L56" s="5" t="inlineStr">
        <is>
          <t>CA</t>
        </is>
      </c>
      <c r="M56" s="5" t="inlineStr">
        <is>
          <t>ROYAL FUNDING GROUP</t>
        </is>
      </c>
      <c r="N56" s="5" t="inlineStr">
        <is>
          <t>New Deal</t>
        </is>
      </c>
      <c r="O56" s="19" t="n">
        <v>1.499</v>
      </c>
      <c r="P56" s="20" t="n">
        <v>6500</v>
      </c>
      <c r="Q56" s="20" t="n">
        <v>910</v>
      </c>
      <c r="R56" s="20" t="n">
        <v>9743.5</v>
      </c>
      <c r="S56" s="20" t="n">
        <v>4178.4</v>
      </c>
      <c r="T56" s="20" t="n">
        <v>5565.1</v>
      </c>
      <c r="U56" s="21" t="n">
        <v>0.428839739313388</v>
      </c>
      <c r="V56" s="22" t="n">
        <v>2.295</v>
      </c>
      <c r="W56" s="17" t="n">
        <v>457</v>
      </c>
      <c r="X56" s="17" t="n">
        <v>15</v>
      </c>
      <c r="Y56" s="5" t="n"/>
      <c r="Z56" s="21" t="n">
        <v>0.08309999999999999</v>
      </c>
      <c r="AA56" s="16" t="n">
        <v>44846</v>
      </c>
      <c r="AB56" s="5">
        <f>IF(V56="","",IF(V56&lt;12,"Months","Weeks"))</f>
        <v/>
      </c>
      <c r="AC56" s="5">
        <f>IF(AB56="","",IF(AB56="Months","Daily","Weekly"))</f>
        <v/>
      </c>
      <c r="AD56" s="17">
        <f>IF(V56="","",IF(AC56="Daily",V56*Controls!$B$13,V56))</f>
        <v/>
      </c>
      <c r="AE56" s="17">
        <f>IF(V56="","",IF(AC56="Daily",V56*Controls!$B$13,V56*Controls!$B$12))</f>
        <v/>
      </c>
      <c r="AF56" s="17">
        <f>IF(OR(E56="",F56=""),"",F56-E56)</f>
        <v/>
      </c>
      <c r="AG56" s="17">
        <f>IF(OR(E56="",F56=""),"",NETWORKDAYS(E56,F56,Ref!$F$4:$F$47))</f>
        <v/>
      </c>
      <c r="AH56" s="39">
        <f>IF(IFERROR(VLOOKUP(D56,Controls!$A$25:$D$35,2,FALSE()),"No")="Yes",1,0)</f>
        <v/>
      </c>
      <c r="AI56" s="39">
        <f>IF(IFERROR(VLOOKUP(D56,Controls!$A$25:$D$35,3,FALSE()),"No")="Yes",1,0)</f>
        <v/>
      </c>
      <c r="AJ56" s="39">
        <f>IF(IFERROR(VLOOKUP(D56,Controls!$A$25:$D$35,4,FALSE()),"No")="Yes",1,0)</f>
        <v/>
      </c>
      <c r="AK56" s="96">
        <f>IF(AND($E56&gt;=Controls!$B$5,$E56&lt;=Controls!$B$6,OR(Controls!$E$9&lt;&gt;"Y",$BE56=1)),1,0)</f>
        <v/>
      </c>
      <c r="AL56" s="39">
        <f>1</f>
        <v/>
      </c>
      <c r="AM56" s="20">
        <f>S56-P56</f>
        <v/>
      </c>
      <c r="AN56" s="20">
        <f>IF(AH56=1,MAX(0,P56-S56),0)</f>
        <v/>
      </c>
      <c r="AO56" s="21">
        <f>IFERROR(S56/P56,"")</f>
        <v/>
      </c>
      <c r="AP56" s="22">
        <f>IF(Y56="","",P56/Y56)</f>
        <v/>
      </c>
      <c r="AQ56" s="39">
        <f>IF(Y56="",0,1)</f>
        <v/>
      </c>
      <c r="AR56" s="39">
        <f>IF(S56&lt;=0,1,0)</f>
        <v/>
      </c>
      <c r="AS56" s="17">
        <f>IF(AH56=1,AG56,"")</f>
        <v/>
      </c>
      <c r="AT56" s="17">
        <f>IF(AND(AH56=0,AJ56=1),AG56,"")</f>
        <v/>
      </c>
      <c r="AU56" s="5">
        <f>IF(P56&lt;10000,"Under $10K",IF(P56&lt;20000,"$10-20K",IF(P56&lt;30000,"$20-30K",IF(P56&lt;50000,"$30-50K",IF(P56&lt;100000,"$50-100K","$100K+")))))</f>
        <v/>
      </c>
      <c r="AV56" s="5">
        <f>IF(O56&lt;=1.35,"1.35 and under",IF(O56&lt;=1.42,"1.36-1.42",IF(O56&lt;=1.45,"1.43-1.45",IF(O56&lt;1.49,"1.46-1.48",IF(O56&lt;=1.49,"1.49","Above 1.49")))))</f>
        <v/>
      </c>
      <c r="AW56" s="5">
        <f>IF(AE56="","",IF(AE56&lt;60,"Under 60",IF(AE56&lt;90,"60-89",IF(AE56&lt;120,"90-119",IF(AE56&lt;150,"120-149","150+")))))</f>
        <v/>
      </c>
      <c r="AX56" s="5">
        <f>IF(AP56="","No revenue data",IF(AP56&lt;0.15,"Under 0.15x",IF(AP56&lt;0.3,"0.15-0.30x",IF(AP56&lt;0.5,"0.30-0.50x",IF(AP56&lt;1,"0.50-1.00x","1.00x+")))))</f>
        <v/>
      </c>
      <c r="AY56" s="5">
        <f>IF(J56="","No SIC",IFERROR(VLOOKUP(J56,Ref!$A$4:$C$67,2,FALSE()),"Unclassified"))</f>
        <v/>
      </c>
      <c r="AZ56" s="5">
        <f>IF(E56="","",TEXT(E56,"YYYY")&amp;"-Q"&amp;ROUNDUP(MONTH(E56)/3,0))</f>
        <v/>
      </c>
      <c r="BA56" s="5">
        <f>IF(E56="","",TEXT(E56,"YYYY-MM"))</f>
        <v/>
      </c>
      <c r="BB56" s="5">
        <f>IF(E56="","",TEXT(E56,"YYYY"))</f>
        <v/>
      </c>
      <c r="BC56" s="92">
        <f>IF($E56="","",NETWORKDAYS($E56,Controls!$B$9,Ref!$F$4:$F$47))</f>
        <v/>
      </c>
      <c r="BD56" s="92">
        <f>IF(OR($AH56=1,$AJ56=1),1,0)</f>
        <v/>
      </c>
      <c r="BE56" s="95">
        <f>IF(OR($BD56=1,AND($AE56&lt;&gt;"",$BC56&gt;=Controls!$B$10*$AE56)),1,0)</f>
        <v/>
      </c>
    </row>
    <row r="57" ht="15.75" customHeight="1" s="79">
      <c r="A57" s="5" t="inlineStr">
        <is>
          <t>5674153904</t>
        </is>
      </c>
      <c r="B57" s="5" t="inlineStr">
        <is>
          <t>RANDY ROBBINS AGENCY LLC</t>
        </is>
      </c>
      <c r="C57" s="5" t="inlineStr">
        <is>
          <t>RANDY ROBBINS AGENCY LLC</t>
        </is>
      </c>
      <c r="D57" s="5" t="inlineStr">
        <is>
          <t>Closed</t>
        </is>
      </c>
      <c r="E57" s="16" t="n">
        <v>45748</v>
      </c>
      <c r="F57" s="16" t="n">
        <v>45883</v>
      </c>
      <c r="G57" s="17" t="n">
        <v>1</v>
      </c>
      <c r="H57" s="5" t="inlineStr">
        <is>
          <t>6411</t>
        </is>
      </c>
      <c r="I57" s="5" t="inlineStr">
        <is>
          <t>Insurance Agencies and Brokerages</t>
        </is>
      </c>
      <c r="J57" s="5" t="inlineStr">
        <is>
          <t>64</t>
        </is>
      </c>
      <c r="K57" s="5" t="n">
        <v>6300</v>
      </c>
      <c r="L57" s="5" t="inlineStr">
        <is>
          <t>OK</t>
        </is>
      </c>
      <c r="M57" s="5" t="inlineStr">
        <is>
          <t>United Secured Capital 8</t>
        </is>
      </c>
      <c r="N57" s="5" t="inlineStr">
        <is>
          <t>New Deal</t>
        </is>
      </c>
      <c r="O57" s="19" t="n">
        <v>1.49</v>
      </c>
      <c r="P57" s="20" t="n">
        <v>10000</v>
      </c>
      <c r="Q57" s="20" t="n">
        <v>1400</v>
      </c>
      <c r="R57" s="20" t="n">
        <v>14900</v>
      </c>
      <c r="S57" s="20" t="n">
        <v>14900</v>
      </c>
      <c r="T57" s="20" t="n">
        <v>0</v>
      </c>
      <c r="U57" s="21" t="n">
        <v>1</v>
      </c>
      <c r="V57" s="22" t="n">
        <v>3.115</v>
      </c>
      <c r="W57" s="17" t="n">
        <v>370</v>
      </c>
      <c r="X57" s="17" t="n">
        <v>0</v>
      </c>
      <c r="Y57" s="5" t="n"/>
      <c r="Z57" s="21" t="n">
        <v>0.121</v>
      </c>
      <c r="AA57" s="16" t="n">
        <v>41821</v>
      </c>
      <c r="AB57" s="5">
        <f>IF(V57="","",IF(V57&lt;12,"Months","Weeks"))</f>
        <v/>
      </c>
      <c r="AC57" s="5">
        <f>IF(AB57="","",IF(AB57="Months","Daily","Weekly"))</f>
        <v/>
      </c>
      <c r="AD57" s="17">
        <f>IF(V57="","",IF(AC57="Daily",V57*Controls!$B$13,V57))</f>
        <v/>
      </c>
      <c r="AE57" s="17">
        <f>IF(V57="","",IF(AC57="Daily",V57*Controls!$B$13,V57*Controls!$B$12))</f>
        <v/>
      </c>
      <c r="AF57" s="17">
        <f>IF(OR(E57="",F57=""),"",F57-E57)</f>
        <v/>
      </c>
      <c r="AG57" s="17">
        <f>IF(OR(E57="",F57=""),"",NETWORKDAYS(E57,F57,Ref!$F$4:$F$47))</f>
        <v/>
      </c>
      <c r="AH57" s="39">
        <f>IF(IFERROR(VLOOKUP(D57,Controls!$A$25:$D$35,2,FALSE()),"No")="Yes",1,0)</f>
        <v/>
      </c>
      <c r="AI57" s="39">
        <f>IF(IFERROR(VLOOKUP(D57,Controls!$A$25:$D$35,3,FALSE()),"No")="Yes",1,0)</f>
        <v/>
      </c>
      <c r="AJ57" s="39">
        <f>IF(IFERROR(VLOOKUP(D57,Controls!$A$25:$D$35,4,FALSE()),"No")="Yes",1,0)</f>
        <v/>
      </c>
      <c r="AK57" s="96">
        <f>IF(AND($E57&gt;=Controls!$B$5,$E57&lt;=Controls!$B$6,OR(Controls!$E$9&lt;&gt;"Y",$BE57=1)),1,0)</f>
        <v/>
      </c>
      <c r="AL57" s="39">
        <f>1</f>
        <v/>
      </c>
      <c r="AM57" s="20">
        <f>S57-P57</f>
        <v/>
      </c>
      <c r="AN57" s="20">
        <f>IF(AH57=1,MAX(0,P57-S57),0)</f>
        <v/>
      </c>
      <c r="AO57" s="21">
        <f>IFERROR(S57/P57,"")</f>
        <v/>
      </c>
      <c r="AP57" s="22">
        <f>IF(Y57="","",P57/Y57)</f>
        <v/>
      </c>
      <c r="AQ57" s="39">
        <f>IF(Y57="",0,1)</f>
        <v/>
      </c>
      <c r="AR57" s="39">
        <f>IF(S57&lt;=0,1,0)</f>
        <v/>
      </c>
      <c r="AS57" s="17">
        <f>IF(AH57=1,AG57,"")</f>
        <v/>
      </c>
      <c r="AT57" s="17">
        <f>IF(AND(AH57=0,AJ57=1),AG57,"")</f>
        <v/>
      </c>
      <c r="AU57" s="5">
        <f>IF(P57&lt;10000,"Under $10K",IF(P57&lt;20000,"$10-20K",IF(P57&lt;30000,"$20-30K",IF(P57&lt;50000,"$30-50K",IF(P57&lt;100000,"$50-100K","$100K+")))))</f>
        <v/>
      </c>
      <c r="AV57" s="5">
        <f>IF(O57&lt;=1.35,"1.35 and under",IF(O57&lt;=1.42,"1.36-1.42",IF(O57&lt;=1.45,"1.43-1.45",IF(O57&lt;1.49,"1.46-1.48",IF(O57&lt;=1.49,"1.49","Above 1.49")))))</f>
        <v/>
      </c>
      <c r="AW57" s="5">
        <f>IF(AE57="","",IF(AE57&lt;60,"Under 60",IF(AE57&lt;90,"60-89",IF(AE57&lt;120,"90-119",IF(AE57&lt;150,"120-149","150+")))))</f>
        <v/>
      </c>
      <c r="AX57" s="5">
        <f>IF(AP57="","No revenue data",IF(AP57&lt;0.15,"Under 0.15x",IF(AP57&lt;0.3,"0.15-0.30x",IF(AP57&lt;0.5,"0.30-0.50x",IF(AP57&lt;1,"0.50-1.00x","1.00x+")))))</f>
        <v/>
      </c>
      <c r="AY57" s="5">
        <f>IF(J57="","No SIC",IFERROR(VLOOKUP(J57,Ref!$A$4:$C$67,2,FALSE()),"Unclassified"))</f>
        <v/>
      </c>
      <c r="AZ57" s="5">
        <f>IF(E57="","",TEXT(E57,"YYYY")&amp;"-Q"&amp;ROUNDUP(MONTH(E57)/3,0))</f>
        <v/>
      </c>
      <c r="BA57" s="5">
        <f>IF(E57="","",TEXT(E57,"YYYY-MM"))</f>
        <v/>
      </c>
      <c r="BB57" s="5">
        <f>IF(E57="","",TEXT(E57,"YYYY"))</f>
        <v/>
      </c>
      <c r="BC57" s="92">
        <f>IF($E57="","",NETWORKDAYS($E57,Controls!$B$9,Ref!$F$4:$F$47))</f>
        <v/>
      </c>
      <c r="BD57" s="92">
        <f>IF(OR($AH57=1,$AJ57=1),1,0)</f>
        <v/>
      </c>
      <c r="BE57" s="95">
        <f>IF(OR($BD57=1,AND($AE57&lt;&gt;"",$BC57&gt;=Controls!$B$10*$AE57)),1,0)</f>
        <v/>
      </c>
    </row>
    <row r="58" ht="15.75" customHeight="1" s="79">
      <c r="A58" s="5" t="inlineStr">
        <is>
          <t>5674153985</t>
        </is>
      </c>
      <c r="B58" s="5" t="inlineStr">
        <is>
          <t>CAREFOCUS CORPORATION</t>
        </is>
      </c>
      <c r="C58" s="5" t="inlineStr">
        <is>
          <t>CAREFOCUS CORPORATION</t>
        </is>
      </c>
      <c r="D58" s="5" t="inlineStr">
        <is>
          <t>Closed</t>
        </is>
      </c>
      <c r="E58" s="16" t="n">
        <v>45749</v>
      </c>
      <c r="F58" s="16" t="n">
        <v>45888</v>
      </c>
      <c r="G58" s="17" t="n">
        <v>4</v>
      </c>
      <c r="H58" s="5" t="inlineStr">
        <is>
          <t>8082</t>
        </is>
      </c>
      <c r="I58" s="5" t="inlineStr">
        <is>
          <t>Home Health Care Services</t>
        </is>
      </c>
      <c r="J58" s="5" t="inlineStr">
        <is>
          <t>80</t>
        </is>
      </c>
      <c r="K58" s="5" t="n">
        <v>8099</v>
      </c>
      <c r="L58" s="5" t="inlineStr">
        <is>
          <t>MN</t>
        </is>
      </c>
      <c r="M58" s="5" t="inlineStr">
        <is>
          <t>United Secured Capital 8</t>
        </is>
      </c>
      <c r="N58" s="5" t="inlineStr">
        <is>
          <t>New Deal</t>
        </is>
      </c>
      <c r="O58" s="19" t="n">
        <v>1.49</v>
      </c>
      <c r="P58" s="20" t="n">
        <v>20000</v>
      </c>
      <c r="Q58" s="20" t="n">
        <v>2800</v>
      </c>
      <c r="R58" s="20" t="n">
        <v>29800</v>
      </c>
      <c r="S58" s="20" t="n">
        <v>29800</v>
      </c>
      <c r="T58" s="20" t="n">
        <v>0</v>
      </c>
      <c r="U58" s="21" t="n">
        <v>1</v>
      </c>
      <c r="V58" s="22" t="n">
        <v>16</v>
      </c>
      <c r="W58" s="17" t="n">
        <v>365</v>
      </c>
      <c r="X58" s="17" t="n">
        <v>1</v>
      </c>
      <c r="Y58" s="5" t="n"/>
      <c r="Z58" s="21" t="n">
        <v>0.016</v>
      </c>
      <c r="AA58" s="5" t="n"/>
      <c r="AB58" s="5">
        <f>IF(V58="","",IF(V58&lt;12,"Months","Weeks"))</f>
        <v/>
      </c>
      <c r="AC58" s="5">
        <f>IF(AB58="","",IF(AB58="Months","Daily","Weekly"))</f>
        <v/>
      </c>
      <c r="AD58" s="17">
        <f>IF(V58="","",IF(AC58="Daily",V58*Controls!$B$13,V58))</f>
        <v/>
      </c>
      <c r="AE58" s="17">
        <f>IF(V58="","",IF(AC58="Daily",V58*Controls!$B$13,V58*Controls!$B$12))</f>
        <v/>
      </c>
      <c r="AF58" s="17">
        <f>IF(OR(E58="",F58=""),"",F58-E58)</f>
        <v/>
      </c>
      <c r="AG58" s="17">
        <f>IF(OR(E58="",F58=""),"",NETWORKDAYS(E58,F58,Ref!$F$4:$F$47))</f>
        <v/>
      </c>
      <c r="AH58" s="39">
        <f>IF(IFERROR(VLOOKUP(D58,Controls!$A$25:$D$35,2,FALSE()),"No")="Yes",1,0)</f>
        <v/>
      </c>
      <c r="AI58" s="39">
        <f>IF(IFERROR(VLOOKUP(D58,Controls!$A$25:$D$35,3,FALSE()),"No")="Yes",1,0)</f>
        <v/>
      </c>
      <c r="AJ58" s="39">
        <f>IF(IFERROR(VLOOKUP(D58,Controls!$A$25:$D$35,4,FALSE()),"No")="Yes",1,0)</f>
        <v/>
      </c>
      <c r="AK58" s="96">
        <f>IF(AND($E58&gt;=Controls!$B$5,$E58&lt;=Controls!$B$6,OR(Controls!$E$9&lt;&gt;"Y",$BE58=1)),1,0)</f>
        <v/>
      </c>
      <c r="AL58" s="39">
        <f>1</f>
        <v/>
      </c>
      <c r="AM58" s="20">
        <f>S58-P58</f>
        <v/>
      </c>
      <c r="AN58" s="20">
        <f>IF(AH58=1,MAX(0,P58-S58),0)</f>
        <v/>
      </c>
      <c r="AO58" s="21">
        <f>IFERROR(S58/P58,"")</f>
        <v/>
      </c>
      <c r="AP58" s="22">
        <f>IF(Y58="","",P58/Y58)</f>
        <v/>
      </c>
      <c r="AQ58" s="39">
        <f>IF(Y58="",0,1)</f>
        <v/>
      </c>
      <c r="AR58" s="39">
        <f>IF(S58&lt;=0,1,0)</f>
        <v/>
      </c>
      <c r="AS58" s="17">
        <f>IF(AH58=1,AG58,"")</f>
        <v/>
      </c>
      <c r="AT58" s="17">
        <f>IF(AND(AH58=0,AJ58=1),AG58,"")</f>
        <v/>
      </c>
      <c r="AU58" s="5">
        <f>IF(P58&lt;10000,"Under $10K",IF(P58&lt;20000,"$10-20K",IF(P58&lt;30000,"$20-30K",IF(P58&lt;50000,"$30-50K",IF(P58&lt;100000,"$50-100K","$100K+")))))</f>
        <v/>
      </c>
      <c r="AV58" s="5">
        <f>IF(O58&lt;=1.35,"1.35 and under",IF(O58&lt;=1.42,"1.36-1.42",IF(O58&lt;=1.45,"1.43-1.45",IF(O58&lt;1.49,"1.46-1.48",IF(O58&lt;=1.49,"1.49","Above 1.49")))))</f>
        <v/>
      </c>
      <c r="AW58" s="5">
        <f>IF(AE58="","",IF(AE58&lt;60,"Under 60",IF(AE58&lt;90,"60-89",IF(AE58&lt;120,"90-119",IF(AE58&lt;150,"120-149","150+")))))</f>
        <v/>
      </c>
      <c r="AX58" s="5">
        <f>IF(AP58="","No revenue data",IF(AP58&lt;0.15,"Under 0.15x",IF(AP58&lt;0.3,"0.15-0.30x",IF(AP58&lt;0.5,"0.30-0.50x",IF(AP58&lt;1,"0.50-1.00x","1.00x+")))))</f>
        <v/>
      </c>
      <c r="AY58" s="5">
        <f>IF(J58="","No SIC",IFERROR(VLOOKUP(J58,Ref!$A$4:$C$67,2,FALSE()),"Unclassified"))</f>
        <v/>
      </c>
      <c r="AZ58" s="5">
        <f>IF(E58="","",TEXT(E58,"YYYY")&amp;"-Q"&amp;ROUNDUP(MONTH(E58)/3,0))</f>
        <v/>
      </c>
      <c r="BA58" s="5">
        <f>IF(E58="","",TEXT(E58,"YYYY-MM"))</f>
        <v/>
      </c>
      <c r="BB58" s="5">
        <f>IF(E58="","",TEXT(E58,"YYYY"))</f>
        <v/>
      </c>
      <c r="BC58" s="92">
        <f>IF($E58="","",NETWORKDAYS($E58,Controls!$B$9,Ref!$F$4:$F$47))</f>
        <v/>
      </c>
      <c r="BD58" s="92">
        <f>IF(OR($AH58=1,$AJ58=1),1,0)</f>
        <v/>
      </c>
      <c r="BE58" s="95">
        <f>IF(OR($BD58=1,AND($AE58&lt;&gt;"",$BC58&gt;=Controls!$B$10*$AE58)),1,0)</f>
        <v/>
      </c>
    </row>
    <row r="59" ht="15.75" customHeight="1" s="79">
      <c r="A59" s="5" t="inlineStr">
        <is>
          <t>5674154010</t>
        </is>
      </c>
      <c r="B59" s="5" t="inlineStr">
        <is>
          <t>G Force Fiber Optics</t>
        </is>
      </c>
      <c r="C59" s="5" t="inlineStr">
        <is>
          <t>G Force Fiber Optics</t>
        </is>
      </c>
      <c r="D59" s="5" t="inlineStr">
        <is>
          <t>Legal</t>
        </is>
      </c>
      <c r="E59" s="16" t="n">
        <v>45749</v>
      </c>
      <c r="F59" s="16" t="n">
        <v>45755</v>
      </c>
      <c r="G59" s="17" t="n">
        <v>4</v>
      </c>
      <c r="H59" s="5" t="inlineStr">
        <is>
          <t>3357</t>
        </is>
      </c>
      <c r="I59" s="5" t="inlineStr">
        <is>
          <t>Fiber Optic Cable Mfg.</t>
        </is>
      </c>
      <c r="J59" s="5" t="inlineStr">
        <is>
          <t>33</t>
        </is>
      </c>
      <c r="K59" s="5" t="n">
        <v>7299</v>
      </c>
      <c r="L59" s="5" t="inlineStr">
        <is>
          <t>TX</t>
        </is>
      </c>
      <c r="M59" s="5" t="inlineStr">
        <is>
          <t>United Secured Capital 8</t>
        </is>
      </c>
      <c r="N59" s="5" t="inlineStr">
        <is>
          <t>New Deal</t>
        </is>
      </c>
      <c r="O59" s="19" t="n">
        <v>1.49</v>
      </c>
      <c r="P59" s="20" t="n">
        <v>20000</v>
      </c>
      <c r="Q59" s="20" t="n">
        <v>0</v>
      </c>
      <c r="R59" s="20" t="n">
        <v>29800</v>
      </c>
      <c r="S59" s="20" t="n">
        <v>0</v>
      </c>
      <c r="T59" s="20" t="n">
        <v>29800</v>
      </c>
      <c r="U59" s="21" t="n">
        <v>0</v>
      </c>
      <c r="V59" s="22" t="n">
        <v>16</v>
      </c>
      <c r="W59" s="17" t="n">
        <v>504</v>
      </c>
      <c r="X59" s="17" t="n">
        <v>1</v>
      </c>
      <c r="Y59" s="5" t="n"/>
      <c r="Z59" s="21" t="n">
        <v>0.0467</v>
      </c>
      <c r="AA59" s="16" t="n">
        <v>43831</v>
      </c>
      <c r="AB59" s="5">
        <f>IF(V59="","",IF(V59&lt;12,"Months","Weeks"))</f>
        <v/>
      </c>
      <c r="AC59" s="5">
        <f>IF(AB59="","",IF(AB59="Months","Daily","Weekly"))</f>
        <v/>
      </c>
      <c r="AD59" s="17">
        <f>IF(V59="","",IF(AC59="Daily",V59*Controls!$B$13,V59))</f>
        <v/>
      </c>
      <c r="AE59" s="17">
        <f>IF(V59="","",IF(AC59="Daily",V59*Controls!$B$13,V59*Controls!$B$12))</f>
        <v/>
      </c>
      <c r="AF59" s="17">
        <f>IF(OR(E59="",F59=""),"",F59-E59)</f>
        <v/>
      </c>
      <c r="AG59" s="17">
        <f>IF(OR(E59="",F59=""),"",NETWORKDAYS(E59,F59,Ref!$F$4:$F$47))</f>
        <v/>
      </c>
      <c r="AH59" s="39">
        <f>IF(IFERROR(VLOOKUP(D59,Controls!$A$25:$D$35,2,FALSE()),"No")="Yes",1,0)</f>
        <v/>
      </c>
      <c r="AI59" s="39">
        <f>IF(IFERROR(VLOOKUP(D59,Controls!$A$25:$D$35,3,FALSE()),"No")="Yes",1,0)</f>
        <v/>
      </c>
      <c r="AJ59" s="39">
        <f>IF(IFERROR(VLOOKUP(D59,Controls!$A$25:$D$35,4,FALSE()),"No")="Yes",1,0)</f>
        <v/>
      </c>
      <c r="AK59" s="96">
        <f>IF(AND($E59&gt;=Controls!$B$5,$E59&lt;=Controls!$B$6,OR(Controls!$E$9&lt;&gt;"Y",$BE59=1)),1,0)</f>
        <v/>
      </c>
      <c r="AL59" s="39">
        <f>1</f>
        <v/>
      </c>
      <c r="AM59" s="20">
        <f>S59-P59</f>
        <v/>
      </c>
      <c r="AN59" s="20">
        <f>IF(AH59=1,MAX(0,P59-S59),0)</f>
        <v/>
      </c>
      <c r="AO59" s="21">
        <f>IFERROR(S59/P59,"")</f>
        <v/>
      </c>
      <c r="AP59" s="22">
        <f>IF(Y59="","",P59/Y59)</f>
        <v/>
      </c>
      <c r="AQ59" s="39">
        <f>IF(Y59="",0,1)</f>
        <v/>
      </c>
      <c r="AR59" s="39">
        <f>IF(S59&lt;=0,1,0)</f>
        <v/>
      </c>
      <c r="AS59" s="17">
        <f>IF(AH59=1,AG59,"")</f>
        <v/>
      </c>
      <c r="AT59" s="17">
        <f>IF(AND(AH59=0,AJ59=1),AG59,"")</f>
        <v/>
      </c>
      <c r="AU59" s="5">
        <f>IF(P59&lt;10000,"Under $10K",IF(P59&lt;20000,"$10-20K",IF(P59&lt;30000,"$20-30K",IF(P59&lt;50000,"$30-50K",IF(P59&lt;100000,"$50-100K","$100K+")))))</f>
        <v/>
      </c>
      <c r="AV59" s="5">
        <f>IF(O59&lt;=1.35,"1.35 and under",IF(O59&lt;=1.42,"1.36-1.42",IF(O59&lt;=1.45,"1.43-1.45",IF(O59&lt;1.49,"1.46-1.48",IF(O59&lt;=1.49,"1.49","Above 1.49")))))</f>
        <v/>
      </c>
      <c r="AW59" s="5">
        <f>IF(AE59="","",IF(AE59&lt;60,"Under 60",IF(AE59&lt;90,"60-89",IF(AE59&lt;120,"90-119",IF(AE59&lt;150,"120-149","150+")))))</f>
        <v/>
      </c>
      <c r="AX59" s="5">
        <f>IF(AP59="","No revenue data",IF(AP59&lt;0.15,"Under 0.15x",IF(AP59&lt;0.3,"0.15-0.30x",IF(AP59&lt;0.5,"0.30-0.50x",IF(AP59&lt;1,"0.50-1.00x","1.00x+")))))</f>
        <v/>
      </c>
      <c r="AY59" s="5">
        <f>IF(J59="","No SIC",IFERROR(VLOOKUP(J59,Ref!$A$4:$C$67,2,FALSE()),"Unclassified"))</f>
        <v/>
      </c>
      <c r="AZ59" s="5">
        <f>IF(E59="","",TEXT(E59,"YYYY")&amp;"-Q"&amp;ROUNDUP(MONTH(E59)/3,0))</f>
        <v/>
      </c>
      <c r="BA59" s="5">
        <f>IF(E59="","",TEXT(E59,"YYYY-MM"))</f>
        <v/>
      </c>
      <c r="BB59" s="5">
        <f>IF(E59="","",TEXT(E59,"YYYY"))</f>
        <v/>
      </c>
      <c r="BC59" s="92">
        <f>IF($E59="","",NETWORKDAYS($E59,Controls!$B$9,Ref!$F$4:$F$47))</f>
        <v/>
      </c>
      <c r="BD59" s="92">
        <f>IF(OR($AH59=1,$AJ59=1),1,0)</f>
        <v/>
      </c>
      <c r="BE59" s="95">
        <f>IF(OR($BD59=1,AND($AE59&lt;&gt;"",$BC59&gt;=Controls!$B$10*$AE59)),1,0)</f>
        <v/>
      </c>
    </row>
    <row r="60" ht="15.75" customHeight="1" s="79">
      <c r="A60" s="5" t="inlineStr">
        <is>
          <t>5674154070</t>
        </is>
      </c>
      <c r="B60" s="5" t="inlineStr">
        <is>
          <t>HDP SERVICES</t>
        </is>
      </c>
      <c r="C60" s="5" t="inlineStr">
        <is>
          <t>HDP SERVICES</t>
        </is>
      </c>
      <c r="D60" s="5" t="inlineStr">
        <is>
          <t>Legal</t>
        </is>
      </c>
      <c r="E60" s="16" t="n">
        <v>45749</v>
      </c>
      <c r="F60" s="16" t="n">
        <v>45995</v>
      </c>
      <c r="G60" s="17" t="n">
        <v>2</v>
      </c>
      <c r="H60" s="5" t="inlineStr">
        <is>
          <t>7538</t>
        </is>
      </c>
      <c r="I60" s="5" t="inlineStr">
        <is>
          <t>General Automotive Repair</t>
        </is>
      </c>
      <c r="J60" s="5" t="inlineStr">
        <is>
          <t>75</t>
        </is>
      </c>
      <c r="K60" s="5" t="n">
        <v>7531</v>
      </c>
      <c r="L60" s="5" t="inlineStr">
        <is>
          <t>AL</t>
        </is>
      </c>
      <c r="M60" s="5" t="inlineStr">
        <is>
          <t>Secure Capital Solutions 7</t>
        </is>
      </c>
      <c r="N60" s="5" t="inlineStr">
        <is>
          <t>New Deal</t>
        </is>
      </c>
      <c r="O60" s="19" t="n">
        <v>1.49</v>
      </c>
      <c r="P60" s="20" t="n">
        <v>15000</v>
      </c>
      <c r="Q60" s="20" t="n">
        <v>2100</v>
      </c>
      <c r="R60" s="20" t="n">
        <v>22350</v>
      </c>
      <c r="S60" s="20" t="n">
        <v>12342.36</v>
      </c>
      <c r="T60" s="20" t="n">
        <v>10007.64</v>
      </c>
      <c r="U60" s="21" t="n">
        <v>0.552230872483222</v>
      </c>
      <c r="V60" s="22" t="n">
        <v>2.951</v>
      </c>
      <c r="W60" s="17" t="n">
        <v>258</v>
      </c>
      <c r="X60" s="17" t="n">
        <v>8</v>
      </c>
      <c r="Y60" s="5" t="n"/>
      <c r="Z60" s="21" t="n">
        <v>0.0757</v>
      </c>
      <c r="AA60" s="16" t="n">
        <v>43497</v>
      </c>
      <c r="AB60" s="5">
        <f>IF(V60="","",IF(V60&lt;12,"Months","Weeks"))</f>
        <v/>
      </c>
      <c r="AC60" s="5">
        <f>IF(AB60="","",IF(AB60="Months","Daily","Weekly"))</f>
        <v/>
      </c>
      <c r="AD60" s="17">
        <f>IF(V60="","",IF(AC60="Daily",V60*Controls!$B$13,V60))</f>
        <v/>
      </c>
      <c r="AE60" s="17">
        <f>IF(V60="","",IF(AC60="Daily",V60*Controls!$B$13,V60*Controls!$B$12))</f>
        <v/>
      </c>
      <c r="AF60" s="17">
        <f>IF(OR(E60="",F60=""),"",F60-E60)</f>
        <v/>
      </c>
      <c r="AG60" s="17">
        <f>IF(OR(E60="",F60=""),"",NETWORKDAYS(E60,F60,Ref!$F$4:$F$47))</f>
        <v/>
      </c>
      <c r="AH60" s="39">
        <f>IF(IFERROR(VLOOKUP(D60,Controls!$A$25:$D$35,2,FALSE()),"No")="Yes",1,0)</f>
        <v/>
      </c>
      <c r="AI60" s="39">
        <f>IF(IFERROR(VLOOKUP(D60,Controls!$A$25:$D$35,3,FALSE()),"No")="Yes",1,0)</f>
        <v/>
      </c>
      <c r="AJ60" s="39">
        <f>IF(IFERROR(VLOOKUP(D60,Controls!$A$25:$D$35,4,FALSE()),"No")="Yes",1,0)</f>
        <v/>
      </c>
      <c r="AK60" s="96">
        <f>IF(AND($E60&gt;=Controls!$B$5,$E60&lt;=Controls!$B$6,OR(Controls!$E$9&lt;&gt;"Y",$BE60=1)),1,0)</f>
        <v/>
      </c>
      <c r="AL60" s="39">
        <f>1</f>
        <v/>
      </c>
      <c r="AM60" s="20">
        <f>S60-P60</f>
        <v/>
      </c>
      <c r="AN60" s="20">
        <f>IF(AH60=1,MAX(0,P60-S60),0)</f>
        <v/>
      </c>
      <c r="AO60" s="21">
        <f>IFERROR(S60/P60,"")</f>
        <v/>
      </c>
      <c r="AP60" s="22">
        <f>IF(Y60="","",P60/Y60)</f>
        <v/>
      </c>
      <c r="AQ60" s="39">
        <f>IF(Y60="",0,1)</f>
        <v/>
      </c>
      <c r="AR60" s="39">
        <f>IF(S60&lt;=0,1,0)</f>
        <v/>
      </c>
      <c r="AS60" s="17">
        <f>IF(AH60=1,AG60,"")</f>
        <v/>
      </c>
      <c r="AT60" s="17">
        <f>IF(AND(AH60=0,AJ60=1),AG60,"")</f>
        <v/>
      </c>
      <c r="AU60" s="5">
        <f>IF(P60&lt;10000,"Under $10K",IF(P60&lt;20000,"$10-20K",IF(P60&lt;30000,"$20-30K",IF(P60&lt;50000,"$30-50K",IF(P60&lt;100000,"$50-100K","$100K+")))))</f>
        <v/>
      </c>
      <c r="AV60" s="5">
        <f>IF(O60&lt;=1.35,"1.35 and under",IF(O60&lt;=1.42,"1.36-1.42",IF(O60&lt;=1.45,"1.43-1.45",IF(O60&lt;1.49,"1.46-1.48",IF(O60&lt;=1.49,"1.49","Above 1.49")))))</f>
        <v/>
      </c>
      <c r="AW60" s="5">
        <f>IF(AE60="","",IF(AE60&lt;60,"Under 60",IF(AE60&lt;90,"60-89",IF(AE60&lt;120,"90-119",IF(AE60&lt;150,"120-149","150+")))))</f>
        <v/>
      </c>
      <c r="AX60" s="5">
        <f>IF(AP60="","No revenue data",IF(AP60&lt;0.15,"Under 0.15x",IF(AP60&lt;0.3,"0.15-0.30x",IF(AP60&lt;0.5,"0.30-0.50x",IF(AP60&lt;1,"0.50-1.00x","1.00x+")))))</f>
        <v/>
      </c>
      <c r="AY60" s="5">
        <f>IF(J60="","No SIC",IFERROR(VLOOKUP(J60,Ref!$A$4:$C$67,2,FALSE()),"Unclassified"))</f>
        <v/>
      </c>
      <c r="AZ60" s="5">
        <f>IF(E60="","",TEXT(E60,"YYYY")&amp;"-Q"&amp;ROUNDUP(MONTH(E60)/3,0))</f>
        <v/>
      </c>
      <c r="BA60" s="5">
        <f>IF(E60="","",TEXT(E60,"YYYY-MM"))</f>
        <v/>
      </c>
      <c r="BB60" s="5">
        <f>IF(E60="","",TEXT(E60,"YYYY"))</f>
        <v/>
      </c>
      <c r="BC60" s="92">
        <f>IF($E60="","",NETWORKDAYS($E60,Controls!$B$9,Ref!$F$4:$F$47))</f>
        <v/>
      </c>
      <c r="BD60" s="92">
        <f>IF(OR($AH60=1,$AJ60=1),1,0)</f>
        <v/>
      </c>
      <c r="BE60" s="95">
        <f>IF(OR($BD60=1,AND($AE60&lt;&gt;"",$BC60&gt;=Controls!$B$10*$AE60)),1,0)</f>
        <v/>
      </c>
    </row>
    <row r="61" ht="15.75" customHeight="1" s="79">
      <c r="A61" s="5" t="inlineStr">
        <is>
          <t>5674154093</t>
        </is>
      </c>
      <c r="B61" s="5" t="inlineStr">
        <is>
          <t>Alba Italian Kitchen</t>
        </is>
      </c>
      <c r="C61" s="5" t="inlineStr">
        <is>
          <t>Tirupati Enterprises Limited</t>
        </is>
      </c>
      <c r="D61" s="5" t="inlineStr">
        <is>
          <t>Written-Off</t>
        </is>
      </c>
      <c r="E61" s="16" t="n">
        <v>45750</v>
      </c>
      <c r="F61" s="16" t="n">
        <v>45995</v>
      </c>
      <c r="G61" s="17" t="n">
        <v>5</v>
      </c>
      <c r="H61" s="5" t="inlineStr">
        <is>
          <t>5812</t>
        </is>
      </c>
      <c r="I61" s="5" t="inlineStr">
        <is>
          <t>Snack and Nonalcoholic Beverage Bars</t>
        </is>
      </c>
      <c r="J61" s="5" t="inlineStr">
        <is>
          <t>58</t>
        </is>
      </c>
      <c r="K61" s="5" t="n">
        <v>5812</v>
      </c>
      <c r="L61" s="5" t="inlineStr">
        <is>
          <t>IL</t>
        </is>
      </c>
      <c r="M61" s="5" t="inlineStr">
        <is>
          <t>United Secured Capital 8</t>
        </is>
      </c>
      <c r="N61" s="5" t="inlineStr">
        <is>
          <t>New Deal</t>
        </is>
      </c>
      <c r="O61" s="19" t="n">
        <v>1.49</v>
      </c>
      <c r="P61" s="20" t="n">
        <v>15000</v>
      </c>
      <c r="Q61" s="20" t="n">
        <v>2100</v>
      </c>
      <c r="R61" s="20" t="n">
        <v>22350</v>
      </c>
      <c r="S61" s="20" t="n">
        <v>16988.01</v>
      </c>
      <c r="T61" s="20" t="n">
        <v>5361.99</v>
      </c>
      <c r="U61" s="21" t="n">
        <v>0.760089932885906</v>
      </c>
      <c r="V61" s="22" t="n">
        <v>2.951</v>
      </c>
      <c r="W61" s="17" t="n">
        <v>258</v>
      </c>
      <c r="X61" s="17" t="n">
        <v>17</v>
      </c>
      <c r="Y61" s="5" t="n"/>
      <c r="Z61" s="21" t="n">
        <v>0.1195</v>
      </c>
      <c r="AA61" s="16" t="n">
        <v>45342</v>
      </c>
      <c r="AB61" s="5">
        <f>IF(V61="","",IF(V61&lt;12,"Months","Weeks"))</f>
        <v/>
      </c>
      <c r="AC61" s="5">
        <f>IF(AB61="","",IF(AB61="Months","Daily","Weekly"))</f>
        <v/>
      </c>
      <c r="AD61" s="17">
        <f>IF(V61="","",IF(AC61="Daily",V61*Controls!$B$13,V61))</f>
        <v/>
      </c>
      <c r="AE61" s="17">
        <f>IF(V61="","",IF(AC61="Daily",V61*Controls!$B$13,V61*Controls!$B$12))</f>
        <v/>
      </c>
      <c r="AF61" s="17">
        <f>IF(OR(E61="",F61=""),"",F61-E61)</f>
        <v/>
      </c>
      <c r="AG61" s="17">
        <f>IF(OR(E61="",F61=""),"",NETWORKDAYS(E61,F61,Ref!$F$4:$F$47))</f>
        <v/>
      </c>
      <c r="AH61" s="39">
        <f>IF(IFERROR(VLOOKUP(D61,Controls!$A$25:$D$35,2,FALSE()),"No")="Yes",1,0)</f>
        <v/>
      </c>
      <c r="AI61" s="39">
        <f>IF(IFERROR(VLOOKUP(D61,Controls!$A$25:$D$35,3,FALSE()),"No")="Yes",1,0)</f>
        <v/>
      </c>
      <c r="AJ61" s="39">
        <f>IF(IFERROR(VLOOKUP(D61,Controls!$A$25:$D$35,4,FALSE()),"No")="Yes",1,0)</f>
        <v/>
      </c>
      <c r="AK61" s="96">
        <f>IF(AND($E61&gt;=Controls!$B$5,$E61&lt;=Controls!$B$6,OR(Controls!$E$9&lt;&gt;"Y",$BE61=1)),1,0)</f>
        <v/>
      </c>
      <c r="AL61" s="39">
        <f>1</f>
        <v/>
      </c>
      <c r="AM61" s="20">
        <f>S61-P61</f>
        <v/>
      </c>
      <c r="AN61" s="20">
        <f>IF(AH61=1,MAX(0,P61-S61),0)</f>
        <v/>
      </c>
      <c r="AO61" s="21">
        <f>IFERROR(S61/P61,"")</f>
        <v/>
      </c>
      <c r="AP61" s="22">
        <f>IF(Y61="","",P61/Y61)</f>
        <v/>
      </c>
      <c r="AQ61" s="39">
        <f>IF(Y61="",0,1)</f>
        <v/>
      </c>
      <c r="AR61" s="39">
        <f>IF(S61&lt;=0,1,0)</f>
        <v/>
      </c>
      <c r="AS61" s="17">
        <f>IF(AH61=1,AG61,"")</f>
        <v/>
      </c>
      <c r="AT61" s="17">
        <f>IF(AND(AH61=0,AJ61=1),AG61,"")</f>
        <v/>
      </c>
      <c r="AU61" s="5">
        <f>IF(P61&lt;10000,"Under $10K",IF(P61&lt;20000,"$10-20K",IF(P61&lt;30000,"$20-30K",IF(P61&lt;50000,"$30-50K",IF(P61&lt;100000,"$50-100K","$100K+")))))</f>
        <v/>
      </c>
      <c r="AV61" s="5">
        <f>IF(O61&lt;=1.35,"1.35 and under",IF(O61&lt;=1.42,"1.36-1.42",IF(O61&lt;=1.45,"1.43-1.45",IF(O61&lt;1.49,"1.46-1.48",IF(O61&lt;=1.49,"1.49","Above 1.49")))))</f>
        <v/>
      </c>
      <c r="AW61" s="5">
        <f>IF(AE61="","",IF(AE61&lt;60,"Under 60",IF(AE61&lt;90,"60-89",IF(AE61&lt;120,"90-119",IF(AE61&lt;150,"120-149","150+")))))</f>
        <v/>
      </c>
      <c r="AX61" s="5">
        <f>IF(AP61="","No revenue data",IF(AP61&lt;0.15,"Under 0.15x",IF(AP61&lt;0.3,"0.15-0.30x",IF(AP61&lt;0.5,"0.30-0.50x",IF(AP61&lt;1,"0.50-1.00x","1.00x+")))))</f>
        <v/>
      </c>
      <c r="AY61" s="5">
        <f>IF(J61="","No SIC",IFERROR(VLOOKUP(J61,Ref!$A$4:$C$67,2,FALSE()),"Unclassified"))</f>
        <v/>
      </c>
      <c r="AZ61" s="5">
        <f>IF(E61="","",TEXT(E61,"YYYY")&amp;"-Q"&amp;ROUNDUP(MONTH(E61)/3,0))</f>
        <v/>
      </c>
      <c r="BA61" s="5">
        <f>IF(E61="","",TEXT(E61,"YYYY-MM"))</f>
        <v/>
      </c>
      <c r="BB61" s="5">
        <f>IF(E61="","",TEXT(E61,"YYYY"))</f>
        <v/>
      </c>
      <c r="BC61" s="92">
        <f>IF($E61="","",NETWORKDAYS($E61,Controls!$B$9,Ref!$F$4:$F$47))</f>
        <v/>
      </c>
      <c r="BD61" s="92">
        <f>IF(OR($AH61=1,$AJ61=1),1,0)</f>
        <v/>
      </c>
      <c r="BE61" s="95">
        <f>IF(OR($BD61=1,AND($AE61&lt;&gt;"",$BC61&gt;=Controls!$B$10*$AE61)),1,0)</f>
        <v/>
      </c>
    </row>
    <row r="62" ht="15.75" customHeight="1" s="79">
      <c r="A62" s="5" t="inlineStr">
        <is>
          <t>5674154267</t>
        </is>
      </c>
      <c r="B62" s="5" t="inlineStr">
        <is>
          <t>MMMJ INVESTMENTS, LLC</t>
        </is>
      </c>
      <c r="C62" s="5" t="inlineStr">
        <is>
          <t>MMMJ INVESTMENTS, LLC</t>
        </is>
      </c>
      <c r="D62" s="5" t="inlineStr">
        <is>
          <t>Legal</t>
        </is>
      </c>
      <c r="E62" s="16" t="n">
        <v>45751</v>
      </c>
      <c r="F62" s="16" t="n">
        <v>45908</v>
      </c>
      <c r="G62" s="17" t="n">
        <v>4</v>
      </c>
      <c r="H62" s="5" t="inlineStr">
        <is>
          <t>5812</t>
        </is>
      </c>
      <c r="I62" s="5" t="inlineStr">
        <is>
          <t>Snack and Nonalcoholic Beverage Bars</t>
        </is>
      </c>
      <c r="J62" s="5" t="inlineStr">
        <is>
          <t>58</t>
        </is>
      </c>
      <c r="K62" s="5" t="n">
        <v>5812</v>
      </c>
      <c r="L62" s="5" t="inlineStr">
        <is>
          <t>GA</t>
        </is>
      </c>
      <c r="M62" s="5" t="inlineStr">
        <is>
          <t>United Secured Capital 8</t>
        </is>
      </c>
      <c r="N62" s="5" t="inlineStr">
        <is>
          <t>New Deal</t>
        </is>
      </c>
      <c r="O62" s="19" t="n">
        <v>1.43</v>
      </c>
      <c r="P62" s="20" t="n">
        <v>18000</v>
      </c>
      <c r="Q62" s="20" t="n">
        <v>1980</v>
      </c>
      <c r="R62" s="20" t="n">
        <v>25740</v>
      </c>
      <c r="S62" s="20" t="n">
        <v>13437.35</v>
      </c>
      <c r="T62" s="20" t="n">
        <v>12302.65</v>
      </c>
      <c r="U62" s="21" t="n">
        <v>0.52204156954157</v>
      </c>
      <c r="V62" s="22" t="n">
        <v>2.951</v>
      </c>
      <c r="W62" s="17" t="n">
        <v>393</v>
      </c>
      <c r="X62" s="17" t="n">
        <v>20</v>
      </c>
      <c r="Y62" s="5" t="n"/>
      <c r="Z62" s="21" t="n">
        <v>0.2026</v>
      </c>
      <c r="AA62" s="5" t="n"/>
      <c r="AB62" s="5">
        <f>IF(V62="","",IF(V62&lt;12,"Months","Weeks"))</f>
        <v/>
      </c>
      <c r="AC62" s="5">
        <f>IF(AB62="","",IF(AB62="Months","Daily","Weekly"))</f>
        <v/>
      </c>
      <c r="AD62" s="17">
        <f>IF(V62="","",IF(AC62="Daily",V62*Controls!$B$13,V62))</f>
        <v/>
      </c>
      <c r="AE62" s="17">
        <f>IF(V62="","",IF(AC62="Daily",V62*Controls!$B$13,V62*Controls!$B$12))</f>
        <v/>
      </c>
      <c r="AF62" s="17">
        <f>IF(OR(E62="",F62=""),"",F62-E62)</f>
        <v/>
      </c>
      <c r="AG62" s="17">
        <f>IF(OR(E62="",F62=""),"",NETWORKDAYS(E62,F62,Ref!$F$4:$F$47))</f>
        <v/>
      </c>
      <c r="AH62" s="39">
        <f>IF(IFERROR(VLOOKUP(D62,Controls!$A$25:$D$35,2,FALSE()),"No")="Yes",1,0)</f>
        <v/>
      </c>
      <c r="AI62" s="39">
        <f>IF(IFERROR(VLOOKUP(D62,Controls!$A$25:$D$35,3,FALSE()),"No")="Yes",1,0)</f>
        <v/>
      </c>
      <c r="AJ62" s="39">
        <f>IF(IFERROR(VLOOKUP(D62,Controls!$A$25:$D$35,4,FALSE()),"No")="Yes",1,0)</f>
        <v/>
      </c>
      <c r="AK62" s="96">
        <f>IF(AND($E62&gt;=Controls!$B$5,$E62&lt;=Controls!$B$6,OR(Controls!$E$9&lt;&gt;"Y",$BE62=1)),1,0)</f>
        <v/>
      </c>
      <c r="AL62" s="39">
        <f>1</f>
        <v/>
      </c>
      <c r="AM62" s="20">
        <f>S62-P62</f>
        <v/>
      </c>
      <c r="AN62" s="20">
        <f>IF(AH62=1,MAX(0,P62-S62),0)</f>
        <v/>
      </c>
      <c r="AO62" s="21">
        <f>IFERROR(S62/P62,"")</f>
        <v/>
      </c>
      <c r="AP62" s="22">
        <f>IF(Y62="","",P62/Y62)</f>
        <v/>
      </c>
      <c r="AQ62" s="39">
        <f>IF(Y62="",0,1)</f>
        <v/>
      </c>
      <c r="AR62" s="39">
        <f>IF(S62&lt;=0,1,0)</f>
        <v/>
      </c>
      <c r="AS62" s="17">
        <f>IF(AH62=1,AG62,"")</f>
        <v/>
      </c>
      <c r="AT62" s="17">
        <f>IF(AND(AH62=0,AJ62=1),AG62,"")</f>
        <v/>
      </c>
      <c r="AU62" s="5">
        <f>IF(P62&lt;10000,"Under $10K",IF(P62&lt;20000,"$10-20K",IF(P62&lt;30000,"$20-30K",IF(P62&lt;50000,"$30-50K",IF(P62&lt;100000,"$50-100K","$100K+")))))</f>
        <v/>
      </c>
      <c r="AV62" s="5">
        <f>IF(O62&lt;=1.35,"1.35 and under",IF(O62&lt;=1.42,"1.36-1.42",IF(O62&lt;=1.45,"1.43-1.45",IF(O62&lt;1.49,"1.46-1.48",IF(O62&lt;=1.49,"1.49","Above 1.49")))))</f>
        <v/>
      </c>
      <c r="AW62" s="5">
        <f>IF(AE62="","",IF(AE62&lt;60,"Under 60",IF(AE62&lt;90,"60-89",IF(AE62&lt;120,"90-119",IF(AE62&lt;150,"120-149","150+")))))</f>
        <v/>
      </c>
      <c r="AX62" s="5">
        <f>IF(AP62="","No revenue data",IF(AP62&lt;0.15,"Under 0.15x",IF(AP62&lt;0.3,"0.15-0.30x",IF(AP62&lt;0.5,"0.30-0.50x",IF(AP62&lt;1,"0.50-1.00x","1.00x+")))))</f>
        <v/>
      </c>
      <c r="AY62" s="5">
        <f>IF(J62="","No SIC",IFERROR(VLOOKUP(J62,Ref!$A$4:$C$67,2,FALSE()),"Unclassified"))</f>
        <v/>
      </c>
      <c r="AZ62" s="5">
        <f>IF(E62="","",TEXT(E62,"YYYY")&amp;"-Q"&amp;ROUNDUP(MONTH(E62)/3,0))</f>
        <v/>
      </c>
      <c r="BA62" s="5">
        <f>IF(E62="","",TEXT(E62,"YYYY-MM"))</f>
        <v/>
      </c>
      <c r="BB62" s="5">
        <f>IF(E62="","",TEXT(E62,"YYYY"))</f>
        <v/>
      </c>
      <c r="BC62" s="92">
        <f>IF($E62="","",NETWORKDAYS($E62,Controls!$B$9,Ref!$F$4:$F$47))</f>
        <v/>
      </c>
      <c r="BD62" s="92">
        <f>IF(OR($AH62=1,$AJ62=1),1,0)</f>
        <v/>
      </c>
      <c r="BE62" s="95">
        <f>IF(OR($BD62=1,AND($AE62&lt;&gt;"",$BC62&gt;=Controls!$B$10*$AE62)),1,0)</f>
        <v/>
      </c>
    </row>
    <row r="63" ht="15.75" customHeight="1" s="79">
      <c r="A63" s="5" t="inlineStr">
        <is>
          <t>5674154332</t>
        </is>
      </c>
      <c r="B63" s="5" t="inlineStr">
        <is>
          <t>Smith and Webster II Oral Springs LLC</t>
        </is>
      </c>
      <c r="C63" s="5" t="inlineStr">
        <is>
          <t>SMITH AND WEBSTER RESTAURANT CORAL SPRINGS</t>
        </is>
      </c>
      <c r="D63" s="5" t="inlineStr">
        <is>
          <t>Closed</t>
        </is>
      </c>
      <c r="E63" s="16" t="n">
        <v>45751</v>
      </c>
      <c r="F63" s="16" t="n">
        <v>45946</v>
      </c>
      <c r="G63" s="17" t="n">
        <v>4</v>
      </c>
      <c r="H63" s="5" t="inlineStr">
        <is>
          <t>5812</t>
        </is>
      </c>
      <c r="I63" s="5" t="inlineStr">
        <is>
          <t>Snack and Nonalcoholic Beverage Bars</t>
        </is>
      </c>
      <c r="J63" s="5" t="inlineStr">
        <is>
          <t>58</t>
        </is>
      </c>
      <c r="K63" s="5" t="n">
        <v>5812</v>
      </c>
      <c r="L63" s="5" t="inlineStr">
        <is>
          <t>FL</t>
        </is>
      </c>
      <c r="M63" s="5" t="inlineStr">
        <is>
          <t>Fidelity Funding</t>
        </is>
      </c>
      <c r="N63" s="5" t="inlineStr">
        <is>
          <t>New Deal</t>
        </is>
      </c>
      <c r="O63" s="19" t="n">
        <v>1.49</v>
      </c>
      <c r="P63" s="20" t="n">
        <v>33000</v>
      </c>
      <c r="Q63" s="20" t="n">
        <v>4620</v>
      </c>
      <c r="R63" s="20" t="n">
        <v>49170</v>
      </c>
      <c r="S63" s="20" t="n">
        <v>49170</v>
      </c>
      <c r="T63" s="20" t="n">
        <v>0</v>
      </c>
      <c r="U63" s="21" t="n">
        <v>1</v>
      </c>
      <c r="V63" s="22" t="n">
        <v>20</v>
      </c>
      <c r="W63" s="17" t="n">
        <v>307</v>
      </c>
      <c r="X63" s="17" t="n">
        <v>11</v>
      </c>
      <c r="Y63" s="5" t="n"/>
      <c r="Z63" s="21" t="n">
        <v>0.09810000000000001</v>
      </c>
      <c r="AA63" s="16" t="n">
        <v>45198</v>
      </c>
      <c r="AB63" s="5">
        <f>IF(V63="","",IF(V63&lt;12,"Months","Weeks"))</f>
        <v/>
      </c>
      <c r="AC63" s="5">
        <f>IF(AB63="","",IF(AB63="Months","Daily","Weekly"))</f>
        <v/>
      </c>
      <c r="AD63" s="17">
        <f>IF(V63="","",IF(AC63="Daily",V63*Controls!$B$13,V63))</f>
        <v/>
      </c>
      <c r="AE63" s="17">
        <f>IF(V63="","",IF(AC63="Daily",V63*Controls!$B$13,V63*Controls!$B$12))</f>
        <v/>
      </c>
      <c r="AF63" s="17">
        <f>IF(OR(E63="",F63=""),"",F63-E63)</f>
        <v/>
      </c>
      <c r="AG63" s="17">
        <f>IF(OR(E63="",F63=""),"",NETWORKDAYS(E63,F63,Ref!$F$4:$F$47))</f>
        <v/>
      </c>
      <c r="AH63" s="39">
        <f>IF(IFERROR(VLOOKUP(D63,Controls!$A$25:$D$35,2,FALSE()),"No")="Yes",1,0)</f>
        <v/>
      </c>
      <c r="AI63" s="39">
        <f>IF(IFERROR(VLOOKUP(D63,Controls!$A$25:$D$35,3,FALSE()),"No")="Yes",1,0)</f>
        <v/>
      </c>
      <c r="AJ63" s="39">
        <f>IF(IFERROR(VLOOKUP(D63,Controls!$A$25:$D$35,4,FALSE()),"No")="Yes",1,0)</f>
        <v/>
      </c>
      <c r="AK63" s="96">
        <f>IF(AND($E63&gt;=Controls!$B$5,$E63&lt;=Controls!$B$6,OR(Controls!$E$9&lt;&gt;"Y",$BE63=1)),1,0)</f>
        <v/>
      </c>
      <c r="AL63" s="39">
        <f>1</f>
        <v/>
      </c>
      <c r="AM63" s="20">
        <f>S63-P63</f>
        <v/>
      </c>
      <c r="AN63" s="20">
        <f>IF(AH63=1,MAX(0,P63-S63),0)</f>
        <v/>
      </c>
      <c r="AO63" s="21">
        <f>IFERROR(S63/P63,"")</f>
        <v/>
      </c>
      <c r="AP63" s="22">
        <f>IF(Y63="","",P63/Y63)</f>
        <v/>
      </c>
      <c r="AQ63" s="39">
        <f>IF(Y63="",0,1)</f>
        <v/>
      </c>
      <c r="AR63" s="39">
        <f>IF(S63&lt;=0,1,0)</f>
        <v/>
      </c>
      <c r="AS63" s="17">
        <f>IF(AH63=1,AG63,"")</f>
        <v/>
      </c>
      <c r="AT63" s="17">
        <f>IF(AND(AH63=0,AJ63=1),AG63,"")</f>
        <v/>
      </c>
      <c r="AU63" s="5">
        <f>IF(P63&lt;10000,"Under $10K",IF(P63&lt;20000,"$10-20K",IF(P63&lt;30000,"$20-30K",IF(P63&lt;50000,"$30-50K",IF(P63&lt;100000,"$50-100K","$100K+")))))</f>
        <v/>
      </c>
      <c r="AV63" s="5">
        <f>IF(O63&lt;=1.35,"1.35 and under",IF(O63&lt;=1.42,"1.36-1.42",IF(O63&lt;=1.45,"1.43-1.45",IF(O63&lt;1.49,"1.46-1.48",IF(O63&lt;=1.49,"1.49","Above 1.49")))))</f>
        <v/>
      </c>
      <c r="AW63" s="5">
        <f>IF(AE63="","",IF(AE63&lt;60,"Under 60",IF(AE63&lt;90,"60-89",IF(AE63&lt;120,"90-119",IF(AE63&lt;150,"120-149","150+")))))</f>
        <v/>
      </c>
      <c r="AX63" s="5">
        <f>IF(AP63="","No revenue data",IF(AP63&lt;0.15,"Under 0.15x",IF(AP63&lt;0.3,"0.15-0.30x",IF(AP63&lt;0.5,"0.30-0.50x",IF(AP63&lt;1,"0.50-1.00x","1.00x+")))))</f>
        <v/>
      </c>
      <c r="AY63" s="5">
        <f>IF(J63="","No SIC",IFERROR(VLOOKUP(J63,Ref!$A$4:$C$67,2,FALSE()),"Unclassified"))</f>
        <v/>
      </c>
      <c r="AZ63" s="5">
        <f>IF(E63="","",TEXT(E63,"YYYY")&amp;"-Q"&amp;ROUNDUP(MONTH(E63)/3,0))</f>
        <v/>
      </c>
      <c r="BA63" s="5">
        <f>IF(E63="","",TEXT(E63,"YYYY-MM"))</f>
        <v/>
      </c>
      <c r="BB63" s="5">
        <f>IF(E63="","",TEXT(E63,"YYYY"))</f>
        <v/>
      </c>
      <c r="BC63" s="92">
        <f>IF($E63="","",NETWORKDAYS($E63,Controls!$B$9,Ref!$F$4:$F$47))</f>
        <v/>
      </c>
      <c r="BD63" s="92">
        <f>IF(OR($AH63=1,$AJ63=1),1,0)</f>
        <v/>
      </c>
      <c r="BE63" s="95">
        <f>IF(OR($BD63=1,AND($AE63&lt;&gt;"",$BC63&gt;=Controls!$B$10*$AE63)),1,0)</f>
        <v/>
      </c>
    </row>
    <row r="64" ht="15.75" customHeight="1" s="79">
      <c r="A64" s="5" t="inlineStr">
        <is>
          <t>5674154422</t>
        </is>
      </c>
      <c r="B64" s="5" t="inlineStr">
        <is>
          <t>BUSHCO CONTRACTING</t>
        </is>
      </c>
      <c r="C64" s="5" t="inlineStr">
        <is>
          <t>BUSHCO CONTRACTING</t>
        </is>
      </c>
      <c r="D64" s="5" t="inlineStr">
        <is>
          <t>Legal</t>
        </is>
      </c>
      <c r="E64" s="16" t="n">
        <v>45754</v>
      </c>
      <c r="F64" s="16" t="n">
        <v>45786</v>
      </c>
      <c r="G64" s="17" t="n">
        <v>2</v>
      </c>
      <c r="H64" s="5" t="inlineStr">
        <is>
          <t>1521</t>
        </is>
      </c>
      <c r="I64" s="5" t="inlineStr">
        <is>
          <t>New Single-Family Housing Construction (Except For-Sale Builders)</t>
        </is>
      </c>
      <c r="J64" s="5" t="inlineStr">
        <is>
          <t>15</t>
        </is>
      </c>
      <c r="K64" s="5" t="n">
        <v>1520</v>
      </c>
      <c r="L64" s="5" t="inlineStr">
        <is>
          <t>CA</t>
        </is>
      </c>
      <c r="M64" s="5" t="inlineStr">
        <is>
          <t>GREYSTONE</t>
        </is>
      </c>
      <c r="N64" s="5" t="inlineStr">
        <is>
          <t>New Deal</t>
        </is>
      </c>
      <c r="O64" s="19" t="n">
        <v>1.49</v>
      </c>
      <c r="P64" s="20" t="n">
        <v>14000</v>
      </c>
      <c r="Q64" s="20" t="n">
        <v>1680</v>
      </c>
      <c r="R64" s="20" t="n">
        <v>20860</v>
      </c>
      <c r="S64" s="20" t="n">
        <v>2318.06</v>
      </c>
      <c r="T64" s="20" t="n">
        <v>18541.94</v>
      </c>
      <c r="U64" s="21" t="n">
        <v>0.111124640460211</v>
      </c>
      <c r="V64" s="22" t="n">
        <v>18</v>
      </c>
      <c r="W64" s="17" t="n">
        <v>488</v>
      </c>
      <c r="X64" s="17" t="n">
        <v>3</v>
      </c>
      <c r="Y64" s="5" t="n"/>
      <c r="Z64" s="21" t="n">
        <v>0.089</v>
      </c>
      <c r="AA64" s="5" t="n"/>
      <c r="AB64" s="5">
        <f>IF(V64="","",IF(V64&lt;12,"Months","Weeks"))</f>
        <v/>
      </c>
      <c r="AC64" s="5">
        <f>IF(AB64="","",IF(AB64="Months","Daily","Weekly"))</f>
        <v/>
      </c>
      <c r="AD64" s="17">
        <f>IF(V64="","",IF(AC64="Daily",V64*Controls!$B$13,V64))</f>
        <v/>
      </c>
      <c r="AE64" s="17">
        <f>IF(V64="","",IF(AC64="Daily",V64*Controls!$B$13,V64*Controls!$B$12))</f>
        <v/>
      </c>
      <c r="AF64" s="17">
        <f>IF(OR(E64="",F64=""),"",F64-E64)</f>
        <v/>
      </c>
      <c r="AG64" s="17">
        <f>IF(OR(E64="",F64=""),"",NETWORKDAYS(E64,F64,Ref!$F$4:$F$47))</f>
        <v/>
      </c>
      <c r="AH64" s="39">
        <f>IF(IFERROR(VLOOKUP(D64,Controls!$A$25:$D$35,2,FALSE()),"No")="Yes",1,0)</f>
        <v/>
      </c>
      <c r="AI64" s="39">
        <f>IF(IFERROR(VLOOKUP(D64,Controls!$A$25:$D$35,3,FALSE()),"No")="Yes",1,0)</f>
        <v/>
      </c>
      <c r="AJ64" s="39">
        <f>IF(IFERROR(VLOOKUP(D64,Controls!$A$25:$D$35,4,FALSE()),"No")="Yes",1,0)</f>
        <v/>
      </c>
      <c r="AK64" s="96">
        <f>IF(AND($E64&gt;=Controls!$B$5,$E64&lt;=Controls!$B$6,OR(Controls!$E$9&lt;&gt;"Y",$BE64=1)),1,0)</f>
        <v/>
      </c>
      <c r="AL64" s="39">
        <f>1</f>
        <v/>
      </c>
      <c r="AM64" s="20">
        <f>S64-P64</f>
        <v/>
      </c>
      <c r="AN64" s="20">
        <f>IF(AH64=1,MAX(0,P64-S64),0)</f>
        <v/>
      </c>
      <c r="AO64" s="21">
        <f>IFERROR(S64/P64,"")</f>
        <v/>
      </c>
      <c r="AP64" s="22">
        <f>IF(Y64="","",P64/Y64)</f>
        <v/>
      </c>
      <c r="AQ64" s="39">
        <f>IF(Y64="",0,1)</f>
        <v/>
      </c>
      <c r="AR64" s="39">
        <f>IF(S64&lt;=0,1,0)</f>
        <v/>
      </c>
      <c r="AS64" s="17">
        <f>IF(AH64=1,AG64,"")</f>
        <v/>
      </c>
      <c r="AT64" s="17">
        <f>IF(AND(AH64=0,AJ64=1),AG64,"")</f>
        <v/>
      </c>
      <c r="AU64" s="5">
        <f>IF(P64&lt;10000,"Under $10K",IF(P64&lt;20000,"$10-20K",IF(P64&lt;30000,"$20-30K",IF(P64&lt;50000,"$30-50K",IF(P64&lt;100000,"$50-100K","$100K+")))))</f>
        <v/>
      </c>
      <c r="AV64" s="5">
        <f>IF(O64&lt;=1.35,"1.35 and under",IF(O64&lt;=1.42,"1.36-1.42",IF(O64&lt;=1.45,"1.43-1.45",IF(O64&lt;1.49,"1.46-1.48",IF(O64&lt;=1.49,"1.49","Above 1.49")))))</f>
        <v/>
      </c>
      <c r="AW64" s="5">
        <f>IF(AE64="","",IF(AE64&lt;60,"Under 60",IF(AE64&lt;90,"60-89",IF(AE64&lt;120,"90-119",IF(AE64&lt;150,"120-149","150+")))))</f>
        <v/>
      </c>
      <c r="AX64" s="5">
        <f>IF(AP64="","No revenue data",IF(AP64&lt;0.15,"Under 0.15x",IF(AP64&lt;0.3,"0.15-0.30x",IF(AP64&lt;0.5,"0.30-0.50x",IF(AP64&lt;1,"0.50-1.00x","1.00x+")))))</f>
        <v/>
      </c>
      <c r="AY64" s="5">
        <f>IF(J64="","No SIC",IFERROR(VLOOKUP(J64,Ref!$A$4:$C$67,2,FALSE()),"Unclassified"))</f>
        <v/>
      </c>
      <c r="AZ64" s="5">
        <f>IF(E64="","",TEXT(E64,"YYYY")&amp;"-Q"&amp;ROUNDUP(MONTH(E64)/3,0))</f>
        <v/>
      </c>
      <c r="BA64" s="5">
        <f>IF(E64="","",TEXT(E64,"YYYY-MM"))</f>
        <v/>
      </c>
      <c r="BB64" s="5">
        <f>IF(E64="","",TEXT(E64,"YYYY"))</f>
        <v/>
      </c>
      <c r="BC64" s="92">
        <f>IF($E64="","",NETWORKDAYS($E64,Controls!$B$9,Ref!$F$4:$F$47))</f>
        <v/>
      </c>
      <c r="BD64" s="92">
        <f>IF(OR($AH64=1,$AJ64=1),1,0)</f>
        <v/>
      </c>
      <c r="BE64" s="95">
        <f>IF(OR($BD64=1,AND($AE64&lt;&gt;"",$BC64&gt;=Controls!$B$10*$AE64)),1,0)</f>
        <v/>
      </c>
    </row>
    <row r="65" ht="15.75" customHeight="1" s="79">
      <c r="A65" s="5" t="inlineStr">
        <is>
          <t>5674154426</t>
        </is>
      </c>
      <c r="B65" s="5" t="inlineStr">
        <is>
          <t>Zuniga Flowers</t>
        </is>
      </c>
      <c r="C65" s="5" t="inlineStr">
        <is>
          <t>Zuniga Flowers</t>
        </is>
      </c>
      <c r="D65" s="5" t="inlineStr">
        <is>
          <t>Closed</t>
        </is>
      </c>
      <c r="E65" s="16" t="n">
        <v>45754</v>
      </c>
      <c r="F65" s="16" t="n">
        <v>45911</v>
      </c>
      <c r="G65" s="17" t="n">
        <v>3</v>
      </c>
      <c r="H65" s="5" t="inlineStr">
        <is>
          <t>5992</t>
        </is>
      </c>
      <c r="I65" s="5" t="inlineStr">
        <is>
          <t>Florists</t>
        </is>
      </c>
      <c r="J65" s="5" t="inlineStr">
        <is>
          <t>59</t>
        </is>
      </c>
      <c r="K65" s="5" t="n">
        <v>5992</v>
      </c>
      <c r="L65" s="5" t="inlineStr">
        <is>
          <t>CA</t>
        </is>
      </c>
      <c r="M65" s="5" t="inlineStr">
        <is>
          <t>Premium Capital (AMRK)</t>
        </is>
      </c>
      <c r="N65" s="5" t="inlineStr">
        <is>
          <t>Renewal</t>
        </is>
      </c>
      <c r="O65" s="19" t="n">
        <v>1.5</v>
      </c>
      <c r="P65" s="20" t="n">
        <v>3000</v>
      </c>
      <c r="Q65" s="20" t="n">
        <v>420</v>
      </c>
      <c r="R65" s="20" t="n">
        <v>4500</v>
      </c>
      <c r="S65" s="20" t="n">
        <v>4500</v>
      </c>
      <c r="T65" s="20" t="n">
        <v>0</v>
      </c>
      <c r="U65" s="21" t="n">
        <v>1</v>
      </c>
      <c r="V65" s="22" t="n">
        <v>2.295</v>
      </c>
      <c r="W65" s="17" t="n">
        <v>350</v>
      </c>
      <c r="X65" s="17" t="n">
        <v>15</v>
      </c>
      <c r="Y65" s="5" t="n"/>
      <c r="Z65" s="21" t="n">
        <v>0.1024</v>
      </c>
      <c r="AA65" s="16" t="n">
        <v>42678</v>
      </c>
      <c r="AB65" s="5">
        <f>IF(V65="","",IF(V65&lt;12,"Months","Weeks"))</f>
        <v/>
      </c>
      <c r="AC65" s="5">
        <f>IF(AB65="","",IF(AB65="Months","Daily","Weekly"))</f>
        <v/>
      </c>
      <c r="AD65" s="17">
        <f>IF(V65="","",IF(AC65="Daily",V65*Controls!$B$13,V65))</f>
        <v/>
      </c>
      <c r="AE65" s="17">
        <f>IF(V65="","",IF(AC65="Daily",V65*Controls!$B$13,V65*Controls!$B$12))</f>
        <v/>
      </c>
      <c r="AF65" s="17">
        <f>IF(OR(E65="",F65=""),"",F65-E65)</f>
        <v/>
      </c>
      <c r="AG65" s="17">
        <f>IF(OR(E65="",F65=""),"",NETWORKDAYS(E65,F65,Ref!$F$4:$F$47))</f>
        <v/>
      </c>
      <c r="AH65" s="39">
        <f>IF(IFERROR(VLOOKUP(D65,Controls!$A$25:$D$35,2,FALSE()),"No")="Yes",1,0)</f>
        <v/>
      </c>
      <c r="AI65" s="39">
        <f>IF(IFERROR(VLOOKUP(D65,Controls!$A$25:$D$35,3,FALSE()),"No")="Yes",1,0)</f>
        <v/>
      </c>
      <c r="AJ65" s="39">
        <f>IF(IFERROR(VLOOKUP(D65,Controls!$A$25:$D$35,4,FALSE()),"No")="Yes",1,0)</f>
        <v/>
      </c>
      <c r="AK65" s="96">
        <f>IF(AND($E65&gt;=Controls!$B$5,$E65&lt;=Controls!$B$6,OR(Controls!$E$9&lt;&gt;"Y",$BE65=1)),1,0)</f>
        <v/>
      </c>
      <c r="AL65" s="39">
        <f>1</f>
        <v/>
      </c>
      <c r="AM65" s="20">
        <f>S65-P65</f>
        <v/>
      </c>
      <c r="AN65" s="20">
        <f>IF(AH65=1,MAX(0,P65-S65),0)</f>
        <v/>
      </c>
      <c r="AO65" s="21">
        <f>IFERROR(S65/P65,"")</f>
        <v/>
      </c>
      <c r="AP65" s="22">
        <f>IF(Y65="","",P65/Y65)</f>
        <v/>
      </c>
      <c r="AQ65" s="39">
        <f>IF(Y65="",0,1)</f>
        <v/>
      </c>
      <c r="AR65" s="39">
        <f>IF(S65&lt;=0,1,0)</f>
        <v/>
      </c>
      <c r="AS65" s="17">
        <f>IF(AH65=1,AG65,"")</f>
        <v/>
      </c>
      <c r="AT65" s="17">
        <f>IF(AND(AH65=0,AJ65=1),AG65,"")</f>
        <v/>
      </c>
      <c r="AU65" s="5">
        <f>IF(P65&lt;10000,"Under $10K",IF(P65&lt;20000,"$10-20K",IF(P65&lt;30000,"$20-30K",IF(P65&lt;50000,"$30-50K",IF(P65&lt;100000,"$50-100K","$100K+")))))</f>
        <v/>
      </c>
      <c r="AV65" s="5">
        <f>IF(O65&lt;=1.35,"1.35 and under",IF(O65&lt;=1.42,"1.36-1.42",IF(O65&lt;=1.45,"1.43-1.45",IF(O65&lt;1.49,"1.46-1.48",IF(O65&lt;=1.49,"1.49","Above 1.49")))))</f>
        <v/>
      </c>
      <c r="AW65" s="5">
        <f>IF(AE65="","",IF(AE65&lt;60,"Under 60",IF(AE65&lt;90,"60-89",IF(AE65&lt;120,"90-119",IF(AE65&lt;150,"120-149","150+")))))</f>
        <v/>
      </c>
      <c r="AX65" s="5">
        <f>IF(AP65="","No revenue data",IF(AP65&lt;0.15,"Under 0.15x",IF(AP65&lt;0.3,"0.15-0.30x",IF(AP65&lt;0.5,"0.30-0.50x",IF(AP65&lt;1,"0.50-1.00x","1.00x+")))))</f>
        <v/>
      </c>
      <c r="AY65" s="5">
        <f>IF(J65="","No SIC",IFERROR(VLOOKUP(J65,Ref!$A$4:$C$67,2,FALSE()),"Unclassified"))</f>
        <v/>
      </c>
      <c r="AZ65" s="5">
        <f>IF(E65="","",TEXT(E65,"YYYY")&amp;"-Q"&amp;ROUNDUP(MONTH(E65)/3,0))</f>
        <v/>
      </c>
      <c r="BA65" s="5">
        <f>IF(E65="","",TEXT(E65,"YYYY-MM"))</f>
        <v/>
      </c>
      <c r="BB65" s="5">
        <f>IF(E65="","",TEXT(E65,"YYYY"))</f>
        <v/>
      </c>
      <c r="BC65" s="92">
        <f>IF($E65="","",NETWORKDAYS($E65,Controls!$B$9,Ref!$F$4:$F$47))</f>
        <v/>
      </c>
      <c r="BD65" s="92">
        <f>IF(OR($AH65=1,$AJ65=1),1,0)</f>
        <v/>
      </c>
      <c r="BE65" s="95">
        <f>IF(OR($BD65=1,AND($AE65&lt;&gt;"",$BC65&gt;=Controls!$B$10*$AE65)),1,0)</f>
        <v/>
      </c>
    </row>
    <row r="66" ht="15.75" customHeight="1" s="79">
      <c r="A66" s="5" t="inlineStr">
        <is>
          <t>5674154477</t>
        </is>
      </c>
      <c r="B66" s="5" t="inlineStr">
        <is>
          <t>Fast Line Delivery</t>
        </is>
      </c>
      <c r="C66" s="5" t="inlineStr">
        <is>
          <t>Fast Line Delivery LLC</t>
        </is>
      </c>
      <c r="D66" s="5" t="inlineStr">
        <is>
          <t>Closed</t>
        </is>
      </c>
      <c r="E66" s="16" t="n">
        <v>45755</v>
      </c>
      <c r="F66" s="16" t="n">
        <v>45820</v>
      </c>
      <c r="G66" s="17" t="n">
        <v>3</v>
      </c>
      <c r="H66" s="5" t="inlineStr">
        <is>
          <t>4215</t>
        </is>
      </c>
      <c r="I66" s="5" t="inlineStr">
        <is>
          <t>Courier and Express Delivery Services</t>
        </is>
      </c>
      <c r="J66" s="5" t="inlineStr">
        <is>
          <t>42</t>
        </is>
      </c>
      <c r="K66" s="5" t="n">
        <v>4215</v>
      </c>
      <c r="L66" s="5" t="inlineStr">
        <is>
          <t>FL</t>
        </is>
      </c>
      <c r="M66" s="5" t="inlineStr">
        <is>
          <t>Diamond Bar Funding</t>
        </is>
      </c>
      <c r="N66" s="5" t="inlineStr">
        <is>
          <t>New Deal</t>
        </is>
      </c>
      <c r="O66" s="19" t="n">
        <v>1.49</v>
      </c>
      <c r="P66" s="20" t="n">
        <v>6000</v>
      </c>
      <c r="Q66" s="20" t="n">
        <v>840</v>
      </c>
      <c r="R66" s="20" t="n">
        <v>8940</v>
      </c>
      <c r="S66" s="20" t="n">
        <v>8940</v>
      </c>
      <c r="T66" s="20" t="n">
        <v>0</v>
      </c>
      <c r="U66" s="21" t="n">
        <v>1</v>
      </c>
      <c r="V66" s="22" t="n">
        <v>2.623</v>
      </c>
      <c r="W66" s="17" t="n">
        <v>433</v>
      </c>
      <c r="X66" s="17" t="n">
        <v>2</v>
      </c>
      <c r="Y66" s="5" t="n"/>
      <c r="Z66" s="21" t="n">
        <v>0.0501</v>
      </c>
      <c r="AA66" s="16" t="n">
        <v>44673</v>
      </c>
      <c r="AB66" s="5">
        <f>IF(V66="","",IF(V66&lt;12,"Months","Weeks"))</f>
        <v/>
      </c>
      <c r="AC66" s="5">
        <f>IF(AB66="","",IF(AB66="Months","Daily","Weekly"))</f>
        <v/>
      </c>
      <c r="AD66" s="17">
        <f>IF(V66="","",IF(AC66="Daily",V66*Controls!$B$13,V66))</f>
        <v/>
      </c>
      <c r="AE66" s="17">
        <f>IF(V66="","",IF(AC66="Daily",V66*Controls!$B$13,V66*Controls!$B$12))</f>
        <v/>
      </c>
      <c r="AF66" s="17">
        <f>IF(OR(E66="",F66=""),"",F66-E66)</f>
        <v/>
      </c>
      <c r="AG66" s="17">
        <f>IF(OR(E66="",F66=""),"",NETWORKDAYS(E66,F66,Ref!$F$4:$F$47))</f>
        <v/>
      </c>
      <c r="AH66" s="39">
        <f>IF(IFERROR(VLOOKUP(D66,Controls!$A$25:$D$35,2,FALSE()),"No")="Yes",1,0)</f>
        <v/>
      </c>
      <c r="AI66" s="39">
        <f>IF(IFERROR(VLOOKUP(D66,Controls!$A$25:$D$35,3,FALSE()),"No")="Yes",1,0)</f>
        <v/>
      </c>
      <c r="AJ66" s="39">
        <f>IF(IFERROR(VLOOKUP(D66,Controls!$A$25:$D$35,4,FALSE()),"No")="Yes",1,0)</f>
        <v/>
      </c>
      <c r="AK66" s="96">
        <f>IF(AND($E66&gt;=Controls!$B$5,$E66&lt;=Controls!$B$6,OR(Controls!$E$9&lt;&gt;"Y",$BE66=1)),1,0)</f>
        <v/>
      </c>
      <c r="AL66" s="39">
        <f>1</f>
        <v/>
      </c>
      <c r="AM66" s="20">
        <f>S66-P66</f>
        <v/>
      </c>
      <c r="AN66" s="20">
        <f>IF(AH66=1,MAX(0,P66-S66),0)</f>
        <v/>
      </c>
      <c r="AO66" s="21">
        <f>IFERROR(S66/P66,"")</f>
        <v/>
      </c>
      <c r="AP66" s="22">
        <f>IF(Y66="","",P66/Y66)</f>
        <v/>
      </c>
      <c r="AQ66" s="39">
        <f>IF(Y66="",0,1)</f>
        <v/>
      </c>
      <c r="AR66" s="39">
        <f>IF(S66&lt;=0,1,0)</f>
        <v/>
      </c>
      <c r="AS66" s="17">
        <f>IF(AH66=1,AG66,"")</f>
        <v/>
      </c>
      <c r="AT66" s="17">
        <f>IF(AND(AH66=0,AJ66=1),AG66,"")</f>
        <v/>
      </c>
      <c r="AU66" s="5">
        <f>IF(P66&lt;10000,"Under $10K",IF(P66&lt;20000,"$10-20K",IF(P66&lt;30000,"$20-30K",IF(P66&lt;50000,"$30-50K",IF(P66&lt;100000,"$50-100K","$100K+")))))</f>
        <v/>
      </c>
      <c r="AV66" s="5">
        <f>IF(O66&lt;=1.35,"1.35 and under",IF(O66&lt;=1.42,"1.36-1.42",IF(O66&lt;=1.45,"1.43-1.45",IF(O66&lt;1.49,"1.46-1.48",IF(O66&lt;=1.49,"1.49","Above 1.49")))))</f>
        <v/>
      </c>
      <c r="AW66" s="5">
        <f>IF(AE66="","",IF(AE66&lt;60,"Under 60",IF(AE66&lt;90,"60-89",IF(AE66&lt;120,"90-119",IF(AE66&lt;150,"120-149","150+")))))</f>
        <v/>
      </c>
      <c r="AX66" s="5">
        <f>IF(AP66="","No revenue data",IF(AP66&lt;0.15,"Under 0.15x",IF(AP66&lt;0.3,"0.15-0.30x",IF(AP66&lt;0.5,"0.30-0.50x",IF(AP66&lt;1,"0.50-1.00x","1.00x+")))))</f>
        <v/>
      </c>
      <c r="AY66" s="5">
        <f>IF(J66="","No SIC",IFERROR(VLOOKUP(J66,Ref!$A$4:$C$67,2,FALSE()),"Unclassified"))</f>
        <v/>
      </c>
      <c r="AZ66" s="5">
        <f>IF(E66="","",TEXT(E66,"YYYY")&amp;"-Q"&amp;ROUNDUP(MONTH(E66)/3,0))</f>
        <v/>
      </c>
      <c r="BA66" s="5">
        <f>IF(E66="","",TEXT(E66,"YYYY-MM"))</f>
        <v/>
      </c>
      <c r="BB66" s="5">
        <f>IF(E66="","",TEXT(E66,"YYYY"))</f>
        <v/>
      </c>
      <c r="BC66" s="92">
        <f>IF($E66="","",NETWORKDAYS($E66,Controls!$B$9,Ref!$F$4:$F$47))</f>
        <v/>
      </c>
      <c r="BD66" s="92">
        <f>IF(OR($AH66=1,$AJ66=1),1,0)</f>
        <v/>
      </c>
      <c r="BE66" s="95">
        <f>IF(OR($BD66=1,AND($AE66&lt;&gt;"",$BC66&gt;=Controls!$B$10*$AE66)),1,0)</f>
        <v/>
      </c>
    </row>
    <row r="67" ht="15.75" customHeight="1" s="79">
      <c r="A67" s="5" t="inlineStr">
        <is>
          <t>5674154563</t>
        </is>
      </c>
      <c r="B67" s="5" t="inlineStr">
        <is>
          <t>R K HOSTEL</t>
        </is>
      </c>
      <c r="C67" s="5" t="inlineStr">
        <is>
          <t>DIESTRO INC</t>
        </is>
      </c>
      <c r="D67" s="5" t="inlineStr">
        <is>
          <t>Closed</t>
        </is>
      </c>
      <c r="E67" s="16" t="n">
        <v>45756</v>
      </c>
      <c r="F67" s="16" t="n">
        <v>45895</v>
      </c>
      <c r="G67" s="17" t="n">
        <v>2</v>
      </c>
      <c r="H67" s="5" t="inlineStr">
        <is>
          <t>7011</t>
        </is>
      </c>
      <c r="I67" s="5" t="inlineStr">
        <is>
          <t>Hotels (Except Casino Hotels) and Motels</t>
        </is>
      </c>
      <c r="J67" s="5" t="inlineStr">
        <is>
          <t>70</t>
        </is>
      </c>
      <c r="K67" s="5" t="n">
        <v>3539</v>
      </c>
      <c r="L67" s="5" t="inlineStr">
        <is>
          <t>CA</t>
        </is>
      </c>
      <c r="M67" s="5" t="inlineStr">
        <is>
          <t>PMF</t>
        </is>
      </c>
      <c r="N67" s="5" t="inlineStr">
        <is>
          <t>New Deal</t>
        </is>
      </c>
      <c r="O67" s="19" t="n">
        <v>1.4</v>
      </c>
      <c r="P67" s="20" t="n">
        <v>40000</v>
      </c>
      <c r="Q67" s="20" t="n">
        <v>3800</v>
      </c>
      <c r="R67" s="20" t="n">
        <v>56000</v>
      </c>
      <c r="S67" s="20" t="n">
        <v>56000</v>
      </c>
      <c r="T67" s="20" t="n">
        <v>0</v>
      </c>
      <c r="U67" s="21" t="n">
        <v>1</v>
      </c>
      <c r="V67" s="22" t="n">
        <v>36</v>
      </c>
      <c r="W67" s="17" t="n">
        <v>358</v>
      </c>
      <c r="X67" s="17" t="n">
        <v>0</v>
      </c>
      <c r="Y67" s="5" t="n"/>
      <c r="Z67" s="21" t="n">
        <v>0.0793</v>
      </c>
      <c r="AA67" s="16" t="n">
        <v>37622</v>
      </c>
      <c r="AB67" s="5">
        <f>IF(V67="","",IF(V67&lt;12,"Months","Weeks"))</f>
        <v/>
      </c>
      <c r="AC67" s="5">
        <f>IF(AB67="","",IF(AB67="Months","Daily","Weekly"))</f>
        <v/>
      </c>
      <c r="AD67" s="17">
        <f>IF(V67="","",IF(AC67="Daily",V67*Controls!$B$13,V67))</f>
        <v/>
      </c>
      <c r="AE67" s="17">
        <f>IF(V67="","",IF(AC67="Daily",V67*Controls!$B$13,V67*Controls!$B$12))</f>
        <v/>
      </c>
      <c r="AF67" s="17">
        <f>IF(OR(E67="",F67=""),"",F67-E67)</f>
        <v/>
      </c>
      <c r="AG67" s="17">
        <f>IF(OR(E67="",F67=""),"",NETWORKDAYS(E67,F67,Ref!$F$4:$F$47))</f>
        <v/>
      </c>
      <c r="AH67" s="39">
        <f>IF(IFERROR(VLOOKUP(D67,Controls!$A$25:$D$35,2,FALSE()),"No")="Yes",1,0)</f>
        <v/>
      </c>
      <c r="AI67" s="39">
        <f>IF(IFERROR(VLOOKUP(D67,Controls!$A$25:$D$35,3,FALSE()),"No")="Yes",1,0)</f>
        <v/>
      </c>
      <c r="AJ67" s="39">
        <f>IF(IFERROR(VLOOKUP(D67,Controls!$A$25:$D$35,4,FALSE()),"No")="Yes",1,0)</f>
        <v/>
      </c>
      <c r="AK67" s="96">
        <f>IF(AND($E67&gt;=Controls!$B$5,$E67&lt;=Controls!$B$6,OR(Controls!$E$9&lt;&gt;"Y",$BE67=1)),1,0)</f>
        <v/>
      </c>
      <c r="AL67" s="39">
        <f>1</f>
        <v/>
      </c>
      <c r="AM67" s="20">
        <f>S67-P67</f>
        <v/>
      </c>
      <c r="AN67" s="20">
        <f>IF(AH67=1,MAX(0,P67-S67),0)</f>
        <v/>
      </c>
      <c r="AO67" s="21">
        <f>IFERROR(S67/P67,"")</f>
        <v/>
      </c>
      <c r="AP67" s="22">
        <f>IF(Y67="","",P67/Y67)</f>
        <v/>
      </c>
      <c r="AQ67" s="39">
        <f>IF(Y67="",0,1)</f>
        <v/>
      </c>
      <c r="AR67" s="39">
        <f>IF(S67&lt;=0,1,0)</f>
        <v/>
      </c>
      <c r="AS67" s="17">
        <f>IF(AH67=1,AG67,"")</f>
        <v/>
      </c>
      <c r="AT67" s="17">
        <f>IF(AND(AH67=0,AJ67=1),AG67,"")</f>
        <v/>
      </c>
      <c r="AU67" s="5">
        <f>IF(P67&lt;10000,"Under $10K",IF(P67&lt;20000,"$10-20K",IF(P67&lt;30000,"$20-30K",IF(P67&lt;50000,"$30-50K",IF(P67&lt;100000,"$50-100K","$100K+")))))</f>
        <v/>
      </c>
      <c r="AV67" s="5">
        <f>IF(O67&lt;=1.35,"1.35 and under",IF(O67&lt;=1.42,"1.36-1.42",IF(O67&lt;=1.45,"1.43-1.45",IF(O67&lt;1.49,"1.46-1.48",IF(O67&lt;=1.49,"1.49","Above 1.49")))))</f>
        <v/>
      </c>
      <c r="AW67" s="5">
        <f>IF(AE67="","",IF(AE67&lt;60,"Under 60",IF(AE67&lt;90,"60-89",IF(AE67&lt;120,"90-119",IF(AE67&lt;150,"120-149","150+")))))</f>
        <v/>
      </c>
      <c r="AX67" s="5">
        <f>IF(AP67="","No revenue data",IF(AP67&lt;0.15,"Under 0.15x",IF(AP67&lt;0.3,"0.15-0.30x",IF(AP67&lt;0.5,"0.30-0.50x",IF(AP67&lt;1,"0.50-1.00x","1.00x+")))))</f>
        <v/>
      </c>
      <c r="AY67" s="5">
        <f>IF(J67="","No SIC",IFERROR(VLOOKUP(J67,Ref!$A$4:$C$67,2,FALSE()),"Unclassified"))</f>
        <v/>
      </c>
      <c r="AZ67" s="5">
        <f>IF(E67="","",TEXT(E67,"YYYY")&amp;"-Q"&amp;ROUNDUP(MONTH(E67)/3,0))</f>
        <v/>
      </c>
      <c r="BA67" s="5">
        <f>IF(E67="","",TEXT(E67,"YYYY-MM"))</f>
        <v/>
      </c>
      <c r="BB67" s="5">
        <f>IF(E67="","",TEXT(E67,"YYYY"))</f>
        <v/>
      </c>
      <c r="BC67" s="92">
        <f>IF($E67="","",NETWORKDAYS($E67,Controls!$B$9,Ref!$F$4:$F$47))</f>
        <v/>
      </c>
      <c r="BD67" s="92">
        <f>IF(OR($AH67=1,$AJ67=1),1,0)</f>
        <v/>
      </c>
      <c r="BE67" s="95">
        <f>IF(OR($BD67=1,AND($AE67&lt;&gt;"",$BC67&gt;=Controls!$B$10*$AE67)),1,0)</f>
        <v/>
      </c>
    </row>
    <row r="68" ht="15.75" customHeight="1" s="79">
      <c r="A68" s="5" t="inlineStr">
        <is>
          <t>5674154668</t>
        </is>
      </c>
      <c r="B68" s="5" t="inlineStr">
        <is>
          <t>BEESON FARMS &amp; HAULING LLC</t>
        </is>
      </c>
      <c r="C68" s="5" t="inlineStr">
        <is>
          <t>BEESON FARMS &amp; HAULING LLC</t>
        </is>
      </c>
      <c r="D68" s="5" t="inlineStr">
        <is>
          <t>Legal</t>
        </is>
      </c>
      <c r="E68" s="16" t="n">
        <v>45756</v>
      </c>
      <c r="F68" s="16" t="n">
        <v>45926</v>
      </c>
      <c r="G68" s="17" t="n">
        <v>5</v>
      </c>
      <c r="H68" s="5" t="inlineStr">
        <is>
          <t>4212</t>
        </is>
      </c>
      <c r="I68" s="5" t="inlineStr">
        <is>
          <t>Specialized Freight (Except Used Goods) Trucking, Local</t>
        </is>
      </c>
      <c r="J68" s="5" t="inlineStr">
        <is>
          <t>42</t>
        </is>
      </c>
      <c r="K68" s="5" t="n">
        <v>4214</v>
      </c>
      <c r="L68" s="5" t="inlineStr">
        <is>
          <t>NC</t>
        </is>
      </c>
      <c r="M68" s="5" t="inlineStr">
        <is>
          <t>Key Capital Funding</t>
        </is>
      </c>
      <c r="N68" s="5" t="inlineStr">
        <is>
          <t>New Deal</t>
        </is>
      </c>
      <c r="O68" s="19" t="n">
        <v>1.49</v>
      </c>
      <c r="P68" s="20" t="n">
        <v>40000</v>
      </c>
      <c r="Q68" s="20" t="n">
        <v>5600</v>
      </c>
      <c r="R68" s="20" t="n">
        <v>59600</v>
      </c>
      <c r="S68" s="20" t="n">
        <v>41149.26</v>
      </c>
      <c r="T68" s="20" t="n">
        <v>18450.74</v>
      </c>
      <c r="U68" s="21" t="n">
        <v>0.690423825503356</v>
      </c>
      <c r="V68" s="22" t="n">
        <v>24</v>
      </c>
      <c r="W68" s="17" t="n">
        <v>327</v>
      </c>
      <c r="X68" s="17" t="n">
        <v>10</v>
      </c>
      <c r="Y68" s="5" t="n"/>
      <c r="Z68" s="21" t="n">
        <v>0.0561</v>
      </c>
      <c r="AA68" s="16" t="n">
        <v>43579</v>
      </c>
      <c r="AB68" s="5">
        <f>IF(V68="","",IF(V68&lt;12,"Months","Weeks"))</f>
        <v/>
      </c>
      <c r="AC68" s="5">
        <f>IF(AB68="","",IF(AB68="Months","Daily","Weekly"))</f>
        <v/>
      </c>
      <c r="AD68" s="17">
        <f>IF(V68="","",IF(AC68="Daily",V68*Controls!$B$13,V68))</f>
        <v/>
      </c>
      <c r="AE68" s="17">
        <f>IF(V68="","",IF(AC68="Daily",V68*Controls!$B$13,V68*Controls!$B$12))</f>
        <v/>
      </c>
      <c r="AF68" s="17">
        <f>IF(OR(E68="",F68=""),"",F68-E68)</f>
        <v/>
      </c>
      <c r="AG68" s="17">
        <f>IF(OR(E68="",F68=""),"",NETWORKDAYS(E68,F68,Ref!$F$4:$F$47))</f>
        <v/>
      </c>
      <c r="AH68" s="39">
        <f>IF(IFERROR(VLOOKUP(D68,Controls!$A$25:$D$35,2,FALSE()),"No")="Yes",1,0)</f>
        <v/>
      </c>
      <c r="AI68" s="39">
        <f>IF(IFERROR(VLOOKUP(D68,Controls!$A$25:$D$35,3,FALSE()),"No")="Yes",1,0)</f>
        <v/>
      </c>
      <c r="AJ68" s="39">
        <f>IF(IFERROR(VLOOKUP(D68,Controls!$A$25:$D$35,4,FALSE()),"No")="Yes",1,0)</f>
        <v/>
      </c>
      <c r="AK68" s="96">
        <f>IF(AND($E68&gt;=Controls!$B$5,$E68&lt;=Controls!$B$6,OR(Controls!$E$9&lt;&gt;"Y",$BE68=1)),1,0)</f>
        <v/>
      </c>
      <c r="AL68" s="39">
        <f>1</f>
        <v/>
      </c>
      <c r="AM68" s="20">
        <f>S68-P68</f>
        <v/>
      </c>
      <c r="AN68" s="20">
        <f>IF(AH68=1,MAX(0,P68-S68),0)</f>
        <v/>
      </c>
      <c r="AO68" s="21">
        <f>IFERROR(S68/P68,"")</f>
        <v/>
      </c>
      <c r="AP68" s="22">
        <f>IF(Y68="","",P68/Y68)</f>
        <v/>
      </c>
      <c r="AQ68" s="39">
        <f>IF(Y68="",0,1)</f>
        <v/>
      </c>
      <c r="AR68" s="39">
        <f>IF(S68&lt;=0,1,0)</f>
        <v/>
      </c>
      <c r="AS68" s="17">
        <f>IF(AH68=1,AG68,"")</f>
        <v/>
      </c>
      <c r="AT68" s="17">
        <f>IF(AND(AH68=0,AJ68=1),AG68,"")</f>
        <v/>
      </c>
      <c r="AU68" s="5">
        <f>IF(P68&lt;10000,"Under $10K",IF(P68&lt;20000,"$10-20K",IF(P68&lt;30000,"$20-30K",IF(P68&lt;50000,"$30-50K",IF(P68&lt;100000,"$50-100K","$100K+")))))</f>
        <v/>
      </c>
      <c r="AV68" s="5">
        <f>IF(O68&lt;=1.35,"1.35 and under",IF(O68&lt;=1.42,"1.36-1.42",IF(O68&lt;=1.45,"1.43-1.45",IF(O68&lt;1.49,"1.46-1.48",IF(O68&lt;=1.49,"1.49","Above 1.49")))))</f>
        <v/>
      </c>
      <c r="AW68" s="5">
        <f>IF(AE68="","",IF(AE68&lt;60,"Under 60",IF(AE68&lt;90,"60-89",IF(AE68&lt;120,"90-119",IF(AE68&lt;150,"120-149","150+")))))</f>
        <v/>
      </c>
      <c r="AX68" s="5">
        <f>IF(AP68="","No revenue data",IF(AP68&lt;0.15,"Under 0.15x",IF(AP68&lt;0.3,"0.15-0.30x",IF(AP68&lt;0.5,"0.30-0.50x",IF(AP68&lt;1,"0.50-1.00x","1.00x+")))))</f>
        <v/>
      </c>
      <c r="AY68" s="5">
        <f>IF(J68="","No SIC",IFERROR(VLOOKUP(J68,Ref!$A$4:$C$67,2,FALSE()),"Unclassified"))</f>
        <v/>
      </c>
      <c r="AZ68" s="5">
        <f>IF(E68="","",TEXT(E68,"YYYY")&amp;"-Q"&amp;ROUNDUP(MONTH(E68)/3,0))</f>
        <v/>
      </c>
      <c r="BA68" s="5">
        <f>IF(E68="","",TEXT(E68,"YYYY-MM"))</f>
        <v/>
      </c>
      <c r="BB68" s="5">
        <f>IF(E68="","",TEXT(E68,"YYYY"))</f>
        <v/>
      </c>
      <c r="BC68" s="92">
        <f>IF($E68="","",NETWORKDAYS($E68,Controls!$B$9,Ref!$F$4:$F$47))</f>
        <v/>
      </c>
      <c r="BD68" s="92">
        <f>IF(OR($AH68=1,$AJ68=1),1,0)</f>
        <v/>
      </c>
      <c r="BE68" s="95">
        <f>IF(OR($BD68=1,AND($AE68&lt;&gt;"",$BC68&gt;=Controls!$B$10*$AE68)),1,0)</f>
        <v/>
      </c>
    </row>
    <row r="69" ht="15.75" customHeight="1" s="79">
      <c r="A69" s="5" t="inlineStr">
        <is>
          <t>5674154700</t>
        </is>
      </c>
      <c r="B69" s="5" t="inlineStr">
        <is>
          <t>LRT SALES LLC</t>
        </is>
      </c>
      <c r="C69" s="5" t="inlineStr">
        <is>
          <t>LRT SALES LLC</t>
        </is>
      </c>
      <c r="D69" s="5" t="inlineStr">
        <is>
          <t>Closed</t>
        </is>
      </c>
      <c r="E69" s="16" t="n">
        <v>45757</v>
      </c>
      <c r="F69" s="16" t="n">
        <v>45938</v>
      </c>
      <c r="G69" s="17" t="n">
        <v>1</v>
      </c>
      <c r="H69" s="5" t="inlineStr">
        <is>
          <t>1796</t>
        </is>
      </c>
      <c r="I69" s="5" t="inlineStr">
        <is>
          <t>Other Building Finishing Contractors</t>
        </is>
      </c>
      <c r="J69" s="5" t="inlineStr">
        <is>
          <t>17</t>
        </is>
      </c>
      <c r="K69" s="5" t="n">
        <v>1520</v>
      </c>
      <c r="L69" s="5" t="inlineStr">
        <is>
          <t>TX</t>
        </is>
      </c>
      <c r="M69" s="5" t="inlineStr">
        <is>
          <t>PMF</t>
        </is>
      </c>
      <c r="N69" s="5" t="inlineStr">
        <is>
          <t>New Deal</t>
        </is>
      </c>
      <c r="O69" s="19" t="n">
        <v>1.43</v>
      </c>
      <c r="P69" s="20" t="n">
        <v>20000</v>
      </c>
      <c r="Q69" s="20" t="n">
        <v>2200</v>
      </c>
      <c r="R69" s="20" t="n">
        <v>28600</v>
      </c>
      <c r="S69" s="20" t="n">
        <v>28600</v>
      </c>
      <c r="T69" s="20" t="n">
        <v>0</v>
      </c>
      <c r="U69" s="21" t="n">
        <v>1</v>
      </c>
      <c r="V69" s="22" t="n">
        <v>26</v>
      </c>
      <c r="W69" s="17" t="n">
        <v>315</v>
      </c>
      <c r="X69" s="17" t="n">
        <v>0</v>
      </c>
      <c r="Y69" s="5" t="n"/>
      <c r="Z69" s="21" t="n">
        <v>0.1056</v>
      </c>
      <c r="AA69" s="16" t="n">
        <v>40963</v>
      </c>
      <c r="AB69" s="5">
        <f>IF(V69="","",IF(V69&lt;12,"Months","Weeks"))</f>
        <v/>
      </c>
      <c r="AC69" s="5">
        <f>IF(AB69="","",IF(AB69="Months","Daily","Weekly"))</f>
        <v/>
      </c>
      <c r="AD69" s="17">
        <f>IF(V69="","",IF(AC69="Daily",V69*Controls!$B$13,V69))</f>
        <v/>
      </c>
      <c r="AE69" s="17">
        <f>IF(V69="","",IF(AC69="Daily",V69*Controls!$B$13,V69*Controls!$B$12))</f>
        <v/>
      </c>
      <c r="AF69" s="17">
        <f>IF(OR(E69="",F69=""),"",F69-E69)</f>
        <v/>
      </c>
      <c r="AG69" s="17">
        <f>IF(OR(E69="",F69=""),"",NETWORKDAYS(E69,F69,Ref!$F$4:$F$47))</f>
        <v/>
      </c>
      <c r="AH69" s="39">
        <f>IF(IFERROR(VLOOKUP(D69,Controls!$A$25:$D$35,2,FALSE()),"No")="Yes",1,0)</f>
        <v/>
      </c>
      <c r="AI69" s="39">
        <f>IF(IFERROR(VLOOKUP(D69,Controls!$A$25:$D$35,3,FALSE()),"No")="Yes",1,0)</f>
        <v/>
      </c>
      <c r="AJ69" s="39">
        <f>IF(IFERROR(VLOOKUP(D69,Controls!$A$25:$D$35,4,FALSE()),"No")="Yes",1,0)</f>
        <v/>
      </c>
      <c r="AK69" s="96">
        <f>IF(AND($E69&gt;=Controls!$B$5,$E69&lt;=Controls!$B$6,OR(Controls!$E$9&lt;&gt;"Y",$BE69=1)),1,0)</f>
        <v/>
      </c>
      <c r="AL69" s="39">
        <f>1</f>
        <v/>
      </c>
      <c r="AM69" s="20">
        <f>S69-P69</f>
        <v/>
      </c>
      <c r="AN69" s="20">
        <f>IF(AH69=1,MAX(0,P69-S69),0)</f>
        <v/>
      </c>
      <c r="AO69" s="21">
        <f>IFERROR(S69/P69,"")</f>
        <v/>
      </c>
      <c r="AP69" s="22">
        <f>IF(Y69="","",P69/Y69)</f>
        <v/>
      </c>
      <c r="AQ69" s="39">
        <f>IF(Y69="",0,1)</f>
        <v/>
      </c>
      <c r="AR69" s="39">
        <f>IF(S69&lt;=0,1,0)</f>
        <v/>
      </c>
      <c r="AS69" s="17">
        <f>IF(AH69=1,AG69,"")</f>
        <v/>
      </c>
      <c r="AT69" s="17">
        <f>IF(AND(AH69=0,AJ69=1),AG69,"")</f>
        <v/>
      </c>
      <c r="AU69" s="5">
        <f>IF(P69&lt;10000,"Under $10K",IF(P69&lt;20000,"$10-20K",IF(P69&lt;30000,"$20-30K",IF(P69&lt;50000,"$30-50K",IF(P69&lt;100000,"$50-100K","$100K+")))))</f>
        <v/>
      </c>
      <c r="AV69" s="5">
        <f>IF(O69&lt;=1.35,"1.35 and under",IF(O69&lt;=1.42,"1.36-1.42",IF(O69&lt;=1.45,"1.43-1.45",IF(O69&lt;1.49,"1.46-1.48",IF(O69&lt;=1.49,"1.49","Above 1.49")))))</f>
        <v/>
      </c>
      <c r="AW69" s="5">
        <f>IF(AE69="","",IF(AE69&lt;60,"Under 60",IF(AE69&lt;90,"60-89",IF(AE69&lt;120,"90-119",IF(AE69&lt;150,"120-149","150+")))))</f>
        <v/>
      </c>
      <c r="AX69" s="5">
        <f>IF(AP69="","No revenue data",IF(AP69&lt;0.15,"Under 0.15x",IF(AP69&lt;0.3,"0.15-0.30x",IF(AP69&lt;0.5,"0.30-0.50x",IF(AP69&lt;1,"0.50-1.00x","1.00x+")))))</f>
        <v/>
      </c>
      <c r="AY69" s="5">
        <f>IF(J69="","No SIC",IFERROR(VLOOKUP(J69,Ref!$A$4:$C$67,2,FALSE()),"Unclassified"))</f>
        <v/>
      </c>
      <c r="AZ69" s="5">
        <f>IF(E69="","",TEXT(E69,"YYYY")&amp;"-Q"&amp;ROUNDUP(MONTH(E69)/3,0))</f>
        <v/>
      </c>
      <c r="BA69" s="5">
        <f>IF(E69="","",TEXT(E69,"YYYY-MM"))</f>
        <v/>
      </c>
      <c r="BB69" s="5">
        <f>IF(E69="","",TEXT(E69,"YYYY"))</f>
        <v/>
      </c>
      <c r="BC69" s="92">
        <f>IF($E69="","",NETWORKDAYS($E69,Controls!$B$9,Ref!$F$4:$F$47))</f>
        <v/>
      </c>
      <c r="BD69" s="92">
        <f>IF(OR($AH69=1,$AJ69=1),1,0)</f>
        <v/>
      </c>
      <c r="BE69" s="95">
        <f>IF(OR($BD69=1,AND($AE69&lt;&gt;"",$BC69&gt;=Controls!$B$10*$AE69)),1,0)</f>
        <v/>
      </c>
    </row>
    <row r="70" ht="15.75" customHeight="1" s="79">
      <c r="A70" s="5" t="inlineStr">
        <is>
          <t>5674154793</t>
        </is>
      </c>
      <c r="B70" s="5" t="inlineStr">
        <is>
          <t>Charlie's Electric LLC</t>
        </is>
      </c>
      <c r="C70" s="5" t="inlineStr">
        <is>
          <t>Charlie's Electric LLC</t>
        </is>
      </c>
      <c r="D70" s="5" t="inlineStr">
        <is>
          <t>Closed</t>
        </is>
      </c>
      <c r="E70" s="16" t="n">
        <v>45757</v>
      </c>
      <c r="F70" s="16" t="n">
        <v>45860</v>
      </c>
      <c r="G70" s="17" t="n">
        <v>7</v>
      </c>
      <c r="H70" s="5" t="inlineStr">
        <is>
          <t>1731</t>
        </is>
      </c>
      <c r="I70" s="5" t="inlineStr">
        <is>
          <t>Electrical Contractors and Other Wiring Installation Contractors</t>
        </is>
      </c>
      <c r="J70" s="5" t="inlineStr">
        <is>
          <t>17</t>
        </is>
      </c>
      <c r="K70" s="5" t="n">
        <v>1731</v>
      </c>
      <c r="L70" s="5" t="inlineStr">
        <is>
          <t>OH</t>
        </is>
      </c>
      <c r="M70" s="5" t="inlineStr">
        <is>
          <t>Vanguard Equities</t>
        </is>
      </c>
      <c r="N70" s="5" t="inlineStr">
        <is>
          <t>New Deal</t>
        </is>
      </c>
      <c r="O70" s="19" t="n">
        <v>1.49</v>
      </c>
      <c r="P70" s="20" t="n">
        <v>4000</v>
      </c>
      <c r="Q70" s="20" t="n">
        <v>560</v>
      </c>
      <c r="R70" s="20" t="n">
        <v>5960</v>
      </c>
      <c r="S70" s="20" t="n">
        <v>5960</v>
      </c>
      <c r="T70" s="20" t="n">
        <v>0</v>
      </c>
      <c r="U70" s="21" t="n">
        <v>1</v>
      </c>
      <c r="V70" s="22" t="n">
        <v>2.295</v>
      </c>
      <c r="W70" s="17" t="n">
        <v>393</v>
      </c>
      <c r="X70" s="17" t="n">
        <v>0</v>
      </c>
      <c r="Y70" s="5" t="n"/>
      <c r="Z70" s="21" t="n">
        <v>0.0424</v>
      </c>
      <c r="AA70" s="5" t="n"/>
      <c r="AB70" s="5">
        <f>IF(V70="","",IF(V70&lt;12,"Months","Weeks"))</f>
        <v/>
      </c>
      <c r="AC70" s="5">
        <f>IF(AB70="","",IF(AB70="Months","Daily","Weekly"))</f>
        <v/>
      </c>
      <c r="AD70" s="17">
        <f>IF(V70="","",IF(AC70="Daily",V70*Controls!$B$13,V70))</f>
        <v/>
      </c>
      <c r="AE70" s="17">
        <f>IF(V70="","",IF(AC70="Daily",V70*Controls!$B$13,V70*Controls!$B$12))</f>
        <v/>
      </c>
      <c r="AF70" s="17">
        <f>IF(OR(E70="",F70=""),"",F70-E70)</f>
        <v/>
      </c>
      <c r="AG70" s="17">
        <f>IF(OR(E70="",F70=""),"",NETWORKDAYS(E70,F70,Ref!$F$4:$F$47))</f>
        <v/>
      </c>
      <c r="AH70" s="39">
        <f>IF(IFERROR(VLOOKUP(D70,Controls!$A$25:$D$35,2,FALSE()),"No")="Yes",1,0)</f>
        <v/>
      </c>
      <c r="AI70" s="39">
        <f>IF(IFERROR(VLOOKUP(D70,Controls!$A$25:$D$35,3,FALSE()),"No")="Yes",1,0)</f>
        <v/>
      </c>
      <c r="AJ70" s="39">
        <f>IF(IFERROR(VLOOKUP(D70,Controls!$A$25:$D$35,4,FALSE()),"No")="Yes",1,0)</f>
        <v/>
      </c>
      <c r="AK70" s="96">
        <f>IF(AND($E70&gt;=Controls!$B$5,$E70&lt;=Controls!$B$6,OR(Controls!$E$9&lt;&gt;"Y",$BE70=1)),1,0)</f>
        <v/>
      </c>
      <c r="AL70" s="39">
        <f>1</f>
        <v/>
      </c>
      <c r="AM70" s="20">
        <f>S70-P70</f>
        <v/>
      </c>
      <c r="AN70" s="20">
        <f>IF(AH70=1,MAX(0,P70-S70),0)</f>
        <v/>
      </c>
      <c r="AO70" s="21">
        <f>IFERROR(S70/P70,"")</f>
        <v/>
      </c>
      <c r="AP70" s="22">
        <f>IF(Y70="","",P70/Y70)</f>
        <v/>
      </c>
      <c r="AQ70" s="39">
        <f>IF(Y70="",0,1)</f>
        <v/>
      </c>
      <c r="AR70" s="39">
        <f>IF(S70&lt;=0,1,0)</f>
        <v/>
      </c>
      <c r="AS70" s="17">
        <f>IF(AH70=1,AG70,"")</f>
        <v/>
      </c>
      <c r="AT70" s="17">
        <f>IF(AND(AH70=0,AJ70=1),AG70,"")</f>
        <v/>
      </c>
      <c r="AU70" s="5">
        <f>IF(P70&lt;10000,"Under $10K",IF(P70&lt;20000,"$10-20K",IF(P70&lt;30000,"$20-30K",IF(P70&lt;50000,"$30-50K",IF(P70&lt;100000,"$50-100K","$100K+")))))</f>
        <v/>
      </c>
      <c r="AV70" s="5">
        <f>IF(O70&lt;=1.35,"1.35 and under",IF(O70&lt;=1.42,"1.36-1.42",IF(O70&lt;=1.45,"1.43-1.45",IF(O70&lt;1.49,"1.46-1.48",IF(O70&lt;=1.49,"1.49","Above 1.49")))))</f>
        <v/>
      </c>
      <c r="AW70" s="5">
        <f>IF(AE70="","",IF(AE70&lt;60,"Under 60",IF(AE70&lt;90,"60-89",IF(AE70&lt;120,"90-119",IF(AE70&lt;150,"120-149","150+")))))</f>
        <v/>
      </c>
      <c r="AX70" s="5">
        <f>IF(AP70="","No revenue data",IF(AP70&lt;0.15,"Under 0.15x",IF(AP70&lt;0.3,"0.15-0.30x",IF(AP70&lt;0.5,"0.30-0.50x",IF(AP70&lt;1,"0.50-1.00x","1.00x+")))))</f>
        <v/>
      </c>
      <c r="AY70" s="5">
        <f>IF(J70="","No SIC",IFERROR(VLOOKUP(J70,Ref!$A$4:$C$67,2,FALSE()),"Unclassified"))</f>
        <v/>
      </c>
      <c r="AZ70" s="5">
        <f>IF(E70="","",TEXT(E70,"YYYY")&amp;"-Q"&amp;ROUNDUP(MONTH(E70)/3,0))</f>
        <v/>
      </c>
      <c r="BA70" s="5">
        <f>IF(E70="","",TEXT(E70,"YYYY-MM"))</f>
        <v/>
      </c>
      <c r="BB70" s="5">
        <f>IF(E70="","",TEXT(E70,"YYYY"))</f>
        <v/>
      </c>
      <c r="BC70" s="92">
        <f>IF($E70="","",NETWORKDAYS($E70,Controls!$B$9,Ref!$F$4:$F$47))</f>
        <v/>
      </c>
      <c r="BD70" s="92">
        <f>IF(OR($AH70=1,$AJ70=1),1,0)</f>
        <v/>
      </c>
      <c r="BE70" s="95">
        <f>IF(OR($BD70=1,AND($AE70&lt;&gt;"",$BC70&gt;=Controls!$B$10*$AE70)),1,0)</f>
        <v/>
      </c>
    </row>
    <row r="71" ht="15.75" customHeight="1" s="79">
      <c r="A71" s="5" t="inlineStr">
        <is>
          <t>5674154803</t>
        </is>
      </c>
      <c r="B71" s="5" t="inlineStr">
        <is>
          <t>BLUE SKY DESIGNER LANSCAPE</t>
        </is>
      </c>
      <c r="C71" s="5" t="inlineStr">
        <is>
          <t>BLUE SKY DESIGNER LANDSCAPE LLC</t>
        </is>
      </c>
      <c r="D71" s="5" t="inlineStr">
        <is>
          <t>Legal</t>
        </is>
      </c>
      <c r="E71" s="16" t="n">
        <v>45757</v>
      </c>
      <c r="F71" s="16" t="n">
        <v>45939</v>
      </c>
      <c r="G71" s="17" t="n">
        <v>2</v>
      </c>
      <c r="H71" s="5" t="inlineStr">
        <is>
          <t>0782</t>
        </is>
      </c>
      <c r="I71" s="5" t="inlineStr">
        <is>
          <t>Landscaping Services</t>
        </is>
      </c>
      <c r="J71" s="5" t="inlineStr">
        <is>
          <t>07</t>
        </is>
      </c>
      <c r="K71" s="5" t="n">
        <v>1520</v>
      </c>
      <c r="L71" s="5" t="inlineStr">
        <is>
          <t>AZ</t>
        </is>
      </c>
      <c r="M71" s="5" t="inlineStr">
        <is>
          <t>Platform Funding</t>
        </is>
      </c>
      <c r="N71" s="5" t="inlineStr">
        <is>
          <t>New Deal</t>
        </is>
      </c>
      <c r="O71" s="19" t="n">
        <v>1.45</v>
      </c>
      <c r="P71" s="20" t="n">
        <v>30000</v>
      </c>
      <c r="Q71" s="20" t="n">
        <v>4200</v>
      </c>
      <c r="R71" s="20" t="n">
        <v>43500</v>
      </c>
      <c r="S71" s="20" t="n">
        <v>10251.74</v>
      </c>
      <c r="T71" s="20" t="n">
        <v>33248.26</v>
      </c>
      <c r="U71" s="21" t="n">
        <v>0.235672183908046</v>
      </c>
      <c r="V71" s="22" t="n">
        <v>28</v>
      </c>
      <c r="W71" s="17" t="n">
        <v>314</v>
      </c>
      <c r="X71" s="17" t="n">
        <v>7</v>
      </c>
      <c r="Y71" s="5" t="n"/>
      <c r="Z71" s="21" t="n">
        <v>0.1161</v>
      </c>
      <c r="AA71" s="16" t="n">
        <v>44206</v>
      </c>
      <c r="AB71" s="5">
        <f>IF(V71="","",IF(V71&lt;12,"Months","Weeks"))</f>
        <v/>
      </c>
      <c r="AC71" s="5">
        <f>IF(AB71="","",IF(AB71="Months","Daily","Weekly"))</f>
        <v/>
      </c>
      <c r="AD71" s="17">
        <f>IF(V71="","",IF(AC71="Daily",V71*Controls!$B$13,V71))</f>
        <v/>
      </c>
      <c r="AE71" s="17">
        <f>IF(V71="","",IF(AC71="Daily",V71*Controls!$B$13,V71*Controls!$B$12))</f>
        <v/>
      </c>
      <c r="AF71" s="17">
        <f>IF(OR(E71="",F71=""),"",F71-E71)</f>
        <v/>
      </c>
      <c r="AG71" s="17">
        <f>IF(OR(E71="",F71=""),"",NETWORKDAYS(E71,F71,Ref!$F$4:$F$47))</f>
        <v/>
      </c>
      <c r="AH71" s="39">
        <f>IF(IFERROR(VLOOKUP(D71,Controls!$A$25:$D$35,2,FALSE()),"No")="Yes",1,0)</f>
        <v/>
      </c>
      <c r="AI71" s="39">
        <f>IF(IFERROR(VLOOKUP(D71,Controls!$A$25:$D$35,3,FALSE()),"No")="Yes",1,0)</f>
        <v/>
      </c>
      <c r="AJ71" s="39">
        <f>IF(IFERROR(VLOOKUP(D71,Controls!$A$25:$D$35,4,FALSE()),"No")="Yes",1,0)</f>
        <v/>
      </c>
      <c r="AK71" s="96">
        <f>IF(AND($E71&gt;=Controls!$B$5,$E71&lt;=Controls!$B$6,OR(Controls!$E$9&lt;&gt;"Y",$BE71=1)),1,0)</f>
        <v/>
      </c>
      <c r="AL71" s="39">
        <f>1</f>
        <v/>
      </c>
      <c r="AM71" s="20">
        <f>S71-P71</f>
        <v/>
      </c>
      <c r="AN71" s="20">
        <f>IF(AH71=1,MAX(0,P71-S71),0)</f>
        <v/>
      </c>
      <c r="AO71" s="21">
        <f>IFERROR(S71/P71,"")</f>
        <v/>
      </c>
      <c r="AP71" s="22">
        <f>IF(Y71="","",P71/Y71)</f>
        <v/>
      </c>
      <c r="AQ71" s="39">
        <f>IF(Y71="",0,1)</f>
        <v/>
      </c>
      <c r="AR71" s="39">
        <f>IF(S71&lt;=0,1,0)</f>
        <v/>
      </c>
      <c r="AS71" s="17">
        <f>IF(AH71=1,AG71,"")</f>
        <v/>
      </c>
      <c r="AT71" s="17">
        <f>IF(AND(AH71=0,AJ71=1),AG71,"")</f>
        <v/>
      </c>
      <c r="AU71" s="5">
        <f>IF(P71&lt;10000,"Under $10K",IF(P71&lt;20000,"$10-20K",IF(P71&lt;30000,"$20-30K",IF(P71&lt;50000,"$30-50K",IF(P71&lt;100000,"$50-100K","$100K+")))))</f>
        <v/>
      </c>
      <c r="AV71" s="5">
        <f>IF(O71&lt;=1.35,"1.35 and under",IF(O71&lt;=1.42,"1.36-1.42",IF(O71&lt;=1.45,"1.43-1.45",IF(O71&lt;1.49,"1.46-1.48",IF(O71&lt;=1.49,"1.49","Above 1.49")))))</f>
        <v/>
      </c>
      <c r="AW71" s="5">
        <f>IF(AE71="","",IF(AE71&lt;60,"Under 60",IF(AE71&lt;90,"60-89",IF(AE71&lt;120,"90-119",IF(AE71&lt;150,"120-149","150+")))))</f>
        <v/>
      </c>
      <c r="AX71" s="5">
        <f>IF(AP71="","No revenue data",IF(AP71&lt;0.15,"Under 0.15x",IF(AP71&lt;0.3,"0.15-0.30x",IF(AP71&lt;0.5,"0.30-0.50x",IF(AP71&lt;1,"0.50-1.00x","1.00x+")))))</f>
        <v/>
      </c>
      <c r="AY71" s="5">
        <f>IF(J71="","No SIC",IFERROR(VLOOKUP(J71,Ref!$A$4:$C$67,2,FALSE()),"Unclassified"))</f>
        <v/>
      </c>
      <c r="AZ71" s="5">
        <f>IF(E71="","",TEXT(E71,"YYYY")&amp;"-Q"&amp;ROUNDUP(MONTH(E71)/3,0))</f>
        <v/>
      </c>
      <c r="BA71" s="5">
        <f>IF(E71="","",TEXT(E71,"YYYY-MM"))</f>
        <v/>
      </c>
      <c r="BB71" s="5">
        <f>IF(E71="","",TEXT(E71,"YYYY"))</f>
        <v/>
      </c>
      <c r="BC71" s="92">
        <f>IF($E71="","",NETWORKDAYS($E71,Controls!$B$9,Ref!$F$4:$F$47))</f>
        <v/>
      </c>
      <c r="BD71" s="92">
        <f>IF(OR($AH71=1,$AJ71=1),1,0)</f>
        <v/>
      </c>
      <c r="BE71" s="95">
        <f>IF(OR($BD71=1,AND($AE71&lt;&gt;"",$BC71&gt;=Controls!$B$10*$AE71)),1,0)</f>
        <v/>
      </c>
    </row>
    <row r="72" ht="15.75" customHeight="1" s="79">
      <c r="A72" s="5" t="inlineStr">
        <is>
          <t>5674154834</t>
        </is>
      </c>
      <c r="B72" s="5" t="inlineStr">
        <is>
          <t>Doughboyz Pizzeria LLC</t>
        </is>
      </c>
      <c r="C72" s="5" t="inlineStr">
        <is>
          <t>Doughboyz Pizzeria LLC</t>
        </is>
      </c>
      <c r="D72" s="5" t="inlineStr">
        <is>
          <t>Legal</t>
        </is>
      </c>
      <c r="E72" s="16" t="n">
        <v>45757</v>
      </c>
      <c r="F72" s="16" t="n">
        <v>45925</v>
      </c>
      <c r="G72" s="17" t="n">
        <v>1</v>
      </c>
      <c r="H72" s="5" t="inlineStr">
        <is>
          <t>5812</t>
        </is>
      </c>
      <c r="I72" s="5" t="inlineStr">
        <is>
          <t>Snack and Nonalcoholic Beverage Bars</t>
        </is>
      </c>
      <c r="J72" s="5" t="inlineStr">
        <is>
          <t>58</t>
        </is>
      </c>
      <c r="K72" s="5" t="n">
        <v>5812</v>
      </c>
      <c r="L72" s="5" t="inlineStr">
        <is>
          <t>KS</t>
        </is>
      </c>
      <c r="M72" s="5" t="inlineStr">
        <is>
          <t>Vanguard Equities</t>
        </is>
      </c>
      <c r="N72" s="5" t="inlineStr">
        <is>
          <t>New Deal</t>
        </is>
      </c>
      <c r="O72" s="19" t="n">
        <v>1.499</v>
      </c>
      <c r="P72" s="20" t="n">
        <v>8000</v>
      </c>
      <c r="Q72" s="20" t="n">
        <v>1120</v>
      </c>
      <c r="R72" s="20" t="n">
        <v>11992</v>
      </c>
      <c r="S72" s="20" t="n">
        <v>9597.059999999999</v>
      </c>
      <c r="T72" s="20" t="n">
        <v>2394.94</v>
      </c>
      <c r="U72" s="21" t="n">
        <v>0.8002885256837891</v>
      </c>
      <c r="V72" s="22" t="n">
        <v>15</v>
      </c>
      <c r="W72" s="17" t="n">
        <v>356</v>
      </c>
      <c r="X72" s="17" t="n">
        <v>5</v>
      </c>
      <c r="Y72" s="5" t="n"/>
      <c r="Z72" s="21" t="n">
        <v>0.3947</v>
      </c>
      <c r="AA72" s="5" t="n"/>
      <c r="AB72" s="5">
        <f>IF(V72="","",IF(V72&lt;12,"Months","Weeks"))</f>
        <v/>
      </c>
      <c r="AC72" s="5">
        <f>IF(AB72="","",IF(AB72="Months","Daily","Weekly"))</f>
        <v/>
      </c>
      <c r="AD72" s="17">
        <f>IF(V72="","",IF(AC72="Daily",V72*Controls!$B$13,V72))</f>
        <v/>
      </c>
      <c r="AE72" s="17">
        <f>IF(V72="","",IF(AC72="Daily",V72*Controls!$B$13,V72*Controls!$B$12))</f>
        <v/>
      </c>
      <c r="AF72" s="17">
        <f>IF(OR(E72="",F72=""),"",F72-E72)</f>
        <v/>
      </c>
      <c r="AG72" s="17">
        <f>IF(OR(E72="",F72=""),"",NETWORKDAYS(E72,F72,Ref!$F$4:$F$47))</f>
        <v/>
      </c>
      <c r="AH72" s="39">
        <f>IF(IFERROR(VLOOKUP(D72,Controls!$A$25:$D$35,2,FALSE()),"No")="Yes",1,0)</f>
        <v/>
      </c>
      <c r="AI72" s="39">
        <f>IF(IFERROR(VLOOKUP(D72,Controls!$A$25:$D$35,3,FALSE()),"No")="Yes",1,0)</f>
        <v/>
      </c>
      <c r="AJ72" s="39">
        <f>IF(IFERROR(VLOOKUP(D72,Controls!$A$25:$D$35,4,FALSE()),"No")="Yes",1,0)</f>
        <v/>
      </c>
      <c r="AK72" s="96">
        <f>IF(AND($E72&gt;=Controls!$B$5,$E72&lt;=Controls!$B$6,OR(Controls!$E$9&lt;&gt;"Y",$BE72=1)),1,0)</f>
        <v/>
      </c>
      <c r="AL72" s="39">
        <f>1</f>
        <v/>
      </c>
      <c r="AM72" s="20">
        <f>S72-P72</f>
        <v/>
      </c>
      <c r="AN72" s="20">
        <f>IF(AH72=1,MAX(0,P72-S72),0)</f>
        <v/>
      </c>
      <c r="AO72" s="21">
        <f>IFERROR(S72/P72,"")</f>
        <v/>
      </c>
      <c r="AP72" s="22">
        <f>IF(Y72="","",P72/Y72)</f>
        <v/>
      </c>
      <c r="AQ72" s="39">
        <f>IF(Y72="",0,1)</f>
        <v/>
      </c>
      <c r="AR72" s="39">
        <f>IF(S72&lt;=0,1,0)</f>
        <v/>
      </c>
      <c r="AS72" s="17">
        <f>IF(AH72=1,AG72,"")</f>
        <v/>
      </c>
      <c r="AT72" s="17">
        <f>IF(AND(AH72=0,AJ72=1),AG72,"")</f>
        <v/>
      </c>
      <c r="AU72" s="5">
        <f>IF(P72&lt;10000,"Under $10K",IF(P72&lt;20000,"$10-20K",IF(P72&lt;30000,"$20-30K",IF(P72&lt;50000,"$30-50K",IF(P72&lt;100000,"$50-100K","$100K+")))))</f>
        <v/>
      </c>
      <c r="AV72" s="5">
        <f>IF(O72&lt;=1.35,"1.35 and under",IF(O72&lt;=1.42,"1.36-1.42",IF(O72&lt;=1.45,"1.43-1.45",IF(O72&lt;1.49,"1.46-1.48",IF(O72&lt;=1.49,"1.49","Above 1.49")))))</f>
        <v/>
      </c>
      <c r="AW72" s="5">
        <f>IF(AE72="","",IF(AE72&lt;60,"Under 60",IF(AE72&lt;90,"60-89",IF(AE72&lt;120,"90-119",IF(AE72&lt;150,"120-149","150+")))))</f>
        <v/>
      </c>
      <c r="AX72" s="5">
        <f>IF(AP72="","No revenue data",IF(AP72&lt;0.15,"Under 0.15x",IF(AP72&lt;0.3,"0.15-0.30x",IF(AP72&lt;0.5,"0.30-0.50x",IF(AP72&lt;1,"0.50-1.00x","1.00x+")))))</f>
        <v/>
      </c>
      <c r="AY72" s="5">
        <f>IF(J72="","No SIC",IFERROR(VLOOKUP(J72,Ref!$A$4:$C$67,2,FALSE()),"Unclassified"))</f>
        <v/>
      </c>
      <c r="AZ72" s="5">
        <f>IF(E72="","",TEXT(E72,"YYYY")&amp;"-Q"&amp;ROUNDUP(MONTH(E72)/3,0))</f>
        <v/>
      </c>
      <c r="BA72" s="5">
        <f>IF(E72="","",TEXT(E72,"YYYY-MM"))</f>
        <v/>
      </c>
      <c r="BB72" s="5">
        <f>IF(E72="","",TEXT(E72,"YYYY"))</f>
        <v/>
      </c>
      <c r="BC72" s="92">
        <f>IF($E72="","",NETWORKDAYS($E72,Controls!$B$9,Ref!$F$4:$F$47))</f>
        <v/>
      </c>
      <c r="BD72" s="92">
        <f>IF(OR($AH72=1,$AJ72=1),1,0)</f>
        <v/>
      </c>
      <c r="BE72" s="95">
        <f>IF(OR($BD72=1,AND($AE72&lt;&gt;"",$BC72&gt;=Controls!$B$10*$AE72)),1,0)</f>
        <v/>
      </c>
    </row>
    <row r="73" ht="15.75" customHeight="1" s="79">
      <c r="A73" s="5" t="inlineStr">
        <is>
          <t>5674154843</t>
        </is>
      </c>
      <c r="B73" s="5" t="inlineStr">
        <is>
          <t>K&amp;S ENGINEERS INC</t>
        </is>
      </c>
      <c r="C73" s="5" t="inlineStr">
        <is>
          <t>K&amp;S ENGINEERS INC</t>
        </is>
      </c>
      <c r="D73" s="5" t="inlineStr">
        <is>
          <t>Closed</t>
        </is>
      </c>
      <c r="E73" s="16" t="n">
        <v>45757</v>
      </c>
      <c r="F73" s="16" t="n">
        <v>45952</v>
      </c>
      <c r="G73" s="17" t="n">
        <v>1</v>
      </c>
      <c r="H73" s="5" t="inlineStr">
        <is>
          <t>8711</t>
        </is>
      </c>
      <c r="I73" s="5" t="inlineStr">
        <is>
          <t>Engineering Services</t>
        </is>
      </c>
      <c r="J73" s="5" t="inlineStr">
        <is>
          <t>87</t>
        </is>
      </c>
      <c r="K73" s="5" t="n">
        <v>8911</v>
      </c>
      <c r="L73" s="5" t="inlineStr">
        <is>
          <t>IN</t>
        </is>
      </c>
      <c r="M73" s="5" t="inlineStr">
        <is>
          <t>Fidelity Funding</t>
        </is>
      </c>
      <c r="N73" s="5" t="inlineStr">
        <is>
          <t>New Deal</t>
        </is>
      </c>
      <c r="O73" s="19" t="n">
        <v>1.35</v>
      </c>
      <c r="P73" s="20" t="n">
        <v>70000</v>
      </c>
      <c r="Q73" s="20" t="n">
        <v>4900</v>
      </c>
      <c r="R73" s="20" t="n">
        <v>94500</v>
      </c>
      <c r="S73" s="20" t="n">
        <v>94500</v>
      </c>
      <c r="T73" s="20" t="n">
        <v>0</v>
      </c>
      <c r="U73" s="21" t="n">
        <v>1</v>
      </c>
      <c r="V73" s="22" t="n">
        <v>4.262</v>
      </c>
      <c r="W73" s="17" t="n">
        <v>301</v>
      </c>
      <c r="X73" s="17" t="n">
        <v>5</v>
      </c>
      <c r="Y73" s="5" t="n"/>
      <c r="Z73" s="21" t="n">
        <v>0.0418</v>
      </c>
      <c r="AA73" s="16" t="n">
        <v>30864</v>
      </c>
      <c r="AB73" s="5">
        <f>IF(V73="","",IF(V73&lt;12,"Months","Weeks"))</f>
        <v/>
      </c>
      <c r="AC73" s="5">
        <f>IF(AB73="","",IF(AB73="Months","Daily","Weekly"))</f>
        <v/>
      </c>
      <c r="AD73" s="17">
        <f>IF(V73="","",IF(AC73="Daily",V73*Controls!$B$13,V73))</f>
        <v/>
      </c>
      <c r="AE73" s="17">
        <f>IF(V73="","",IF(AC73="Daily",V73*Controls!$B$13,V73*Controls!$B$12))</f>
        <v/>
      </c>
      <c r="AF73" s="17">
        <f>IF(OR(E73="",F73=""),"",F73-E73)</f>
        <v/>
      </c>
      <c r="AG73" s="17">
        <f>IF(OR(E73="",F73=""),"",NETWORKDAYS(E73,F73,Ref!$F$4:$F$47))</f>
        <v/>
      </c>
      <c r="AH73" s="39">
        <f>IF(IFERROR(VLOOKUP(D73,Controls!$A$25:$D$35,2,FALSE()),"No")="Yes",1,0)</f>
        <v/>
      </c>
      <c r="AI73" s="39">
        <f>IF(IFERROR(VLOOKUP(D73,Controls!$A$25:$D$35,3,FALSE()),"No")="Yes",1,0)</f>
        <v/>
      </c>
      <c r="AJ73" s="39">
        <f>IF(IFERROR(VLOOKUP(D73,Controls!$A$25:$D$35,4,FALSE()),"No")="Yes",1,0)</f>
        <v/>
      </c>
      <c r="AK73" s="96">
        <f>IF(AND($E73&gt;=Controls!$B$5,$E73&lt;=Controls!$B$6,OR(Controls!$E$9&lt;&gt;"Y",$BE73=1)),1,0)</f>
        <v/>
      </c>
      <c r="AL73" s="39">
        <f>1</f>
        <v/>
      </c>
      <c r="AM73" s="20">
        <f>S73-P73</f>
        <v/>
      </c>
      <c r="AN73" s="20">
        <f>IF(AH73=1,MAX(0,P73-S73),0)</f>
        <v/>
      </c>
      <c r="AO73" s="21">
        <f>IFERROR(S73/P73,"")</f>
        <v/>
      </c>
      <c r="AP73" s="22">
        <f>IF(Y73="","",P73/Y73)</f>
        <v/>
      </c>
      <c r="AQ73" s="39">
        <f>IF(Y73="",0,1)</f>
        <v/>
      </c>
      <c r="AR73" s="39">
        <f>IF(S73&lt;=0,1,0)</f>
        <v/>
      </c>
      <c r="AS73" s="17">
        <f>IF(AH73=1,AG73,"")</f>
        <v/>
      </c>
      <c r="AT73" s="17">
        <f>IF(AND(AH73=0,AJ73=1),AG73,"")</f>
        <v/>
      </c>
      <c r="AU73" s="5">
        <f>IF(P73&lt;10000,"Under $10K",IF(P73&lt;20000,"$10-20K",IF(P73&lt;30000,"$20-30K",IF(P73&lt;50000,"$30-50K",IF(P73&lt;100000,"$50-100K","$100K+")))))</f>
        <v/>
      </c>
      <c r="AV73" s="5">
        <f>IF(O73&lt;=1.35,"1.35 and under",IF(O73&lt;=1.42,"1.36-1.42",IF(O73&lt;=1.45,"1.43-1.45",IF(O73&lt;1.49,"1.46-1.48",IF(O73&lt;=1.49,"1.49","Above 1.49")))))</f>
        <v/>
      </c>
      <c r="AW73" s="5">
        <f>IF(AE73="","",IF(AE73&lt;60,"Under 60",IF(AE73&lt;90,"60-89",IF(AE73&lt;120,"90-119",IF(AE73&lt;150,"120-149","150+")))))</f>
        <v/>
      </c>
      <c r="AX73" s="5">
        <f>IF(AP73="","No revenue data",IF(AP73&lt;0.15,"Under 0.15x",IF(AP73&lt;0.3,"0.15-0.30x",IF(AP73&lt;0.5,"0.30-0.50x",IF(AP73&lt;1,"0.50-1.00x","1.00x+")))))</f>
        <v/>
      </c>
      <c r="AY73" s="5">
        <f>IF(J73="","No SIC",IFERROR(VLOOKUP(J73,Ref!$A$4:$C$67,2,FALSE()),"Unclassified"))</f>
        <v/>
      </c>
      <c r="AZ73" s="5">
        <f>IF(E73="","",TEXT(E73,"YYYY")&amp;"-Q"&amp;ROUNDUP(MONTH(E73)/3,0))</f>
        <v/>
      </c>
      <c r="BA73" s="5">
        <f>IF(E73="","",TEXT(E73,"YYYY-MM"))</f>
        <v/>
      </c>
      <c r="BB73" s="5">
        <f>IF(E73="","",TEXT(E73,"YYYY"))</f>
        <v/>
      </c>
      <c r="BC73" s="92">
        <f>IF($E73="","",NETWORKDAYS($E73,Controls!$B$9,Ref!$F$4:$F$47))</f>
        <v/>
      </c>
      <c r="BD73" s="92">
        <f>IF(OR($AH73=1,$AJ73=1),1,0)</f>
        <v/>
      </c>
      <c r="BE73" s="95">
        <f>IF(OR($BD73=1,AND($AE73&lt;&gt;"",$BC73&gt;=Controls!$B$10*$AE73)),1,0)</f>
        <v/>
      </c>
    </row>
    <row r="74" ht="15.75" customHeight="1" s="79">
      <c r="A74" s="5" t="inlineStr">
        <is>
          <t>5674154901</t>
        </is>
      </c>
      <c r="B74" s="5" t="inlineStr">
        <is>
          <t>Tree valley landscaping</t>
        </is>
      </c>
      <c r="C74" s="5" t="inlineStr">
        <is>
          <t>Tree valley landscaping</t>
        </is>
      </c>
      <c r="D74" s="5" t="inlineStr">
        <is>
          <t>Closed</t>
        </is>
      </c>
      <c r="E74" s="16" t="n">
        <v>45758</v>
      </c>
      <c r="F74" s="16" t="n">
        <v>45862</v>
      </c>
      <c r="G74" s="17" t="n">
        <v>1</v>
      </c>
      <c r="H74" s="5" t="inlineStr">
        <is>
          <t>0783</t>
        </is>
      </c>
      <c r="I74" s="5" t="inlineStr">
        <is>
          <t>Landscaping Services</t>
        </is>
      </c>
      <c r="J74" s="5" t="inlineStr">
        <is>
          <t>07</t>
        </is>
      </c>
      <c r="K74" s="5" t="n">
        <v>7299</v>
      </c>
      <c r="L74" s="5" t="inlineStr">
        <is>
          <t>TX</t>
        </is>
      </c>
      <c r="M74" s="5" t="inlineStr">
        <is>
          <t>Platform Funding</t>
        </is>
      </c>
      <c r="N74" s="5" t="inlineStr">
        <is>
          <t>New Deal</t>
        </is>
      </c>
      <c r="O74" s="19" t="n">
        <v>1.45</v>
      </c>
      <c r="P74" s="20" t="n">
        <v>5000</v>
      </c>
      <c r="Q74" s="20" t="n">
        <v>600</v>
      </c>
      <c r="R74" s="20" t="n">
        <v>7250</v>
      </c>
      <c r="S74" s="20" t="n">
        <v>7250</v>
      </c>
      <c r="T74" s="20" t="n">
        <v>0</v>
      </c>
      <c r="U74" s="21" t="n">
        <v>1</v>
      </c>
      <c r="V74" s="22" t="n">
        <v>1.967</v>
      </c>
      <c r="W74" s="17" t="n">
        <v>391</v>
      </c>
      <c r="X74" s="17" t="n">
        <v>7</v>
      </c>
      <c r="Y74" s="5" t="n"/>
      <c r="Z74" s="21" t="n">
        <v>0.06</v>
      </c>
      <c r="AA74" s="16" t="n">
        <v>42954</v>
      </c>
      <c r="AB74" s="5">
        <f>IF(V74="","",IF(V74&lt;12,"Months","Weeks"))</f>
        <v/>
      </c>
      <c r="AC74" s="5">
        <f>IF(AB74="","",IF(AB74="Months","Daily","Weekly"))</f>
        <v/>
      </c>
      <c r="AD74" s="17">
        <f>IF(V74="","",IF(AC74="Daily",V74*Controls!$B$13,V74))</f>
        <v/>
      </c>
      <c r="AE74" s="17">
        <f>IF(V74="","",IF(AC74="Daily",V74*Controls!$B$13,V74*Controls!$B$12))</f>
        <v/>
      </c>
      <c r="AF74" s="17">
        <f>IF(OR(E74="",F74=""),"",F74-E74)</f>
        <v/>
      </c>
      <c r="AG74" s="17">
        <f>IF(OR(E74="",F74=""),"",NETWORKDAYS(E74,F74,Ref!$F$4:$F$47))</f>
        <v/>
      </c>
      <c r="AH74" s="39">
        <f>IF(IFERROR(VLOOKUP(D74,Controls!$A$25:$D$35,2,FALSE()),"No")="Yes",1,0)</f>
        <v/>
      </c>
      <c r="AI74" s="39">
        <f>IF(IFERROR(VLOOKUP(D74,Controls!$A$25:$D$35,3,FALSE()),"No")="Yes",1,0)</f>
        <v/>
      </c>
      <c r="AJ74" s="39">
        <f>IF(IFERROR(VLOOKUP(D74,Controls!$A$25:$D$35,4,FALSE()),"No")="Yes",1,0)</f>
        <v/>
      </c>
      <c r="AK74" s="96">
        <f>IF(AND($E74&gt;=Controls!$B$5,$E74&lt;=Controls!$B$6,OR(Controls!$E$9&lt;&gt;"Y",$BE74=1)),1,0)</f>
        <v/>
      </c>
      <c r="AL74" s="39">
        <f>1</f>
        <v/>
      </c>
      <c r="AM74" s="20">
        <f>S74-P74</f>
        <v/>
      </c>
      <c r="AN74" s="20">
        <f>IF(AH74=1,MAX(0,P74-S74),0)</f>
        <v/>
      </c>
      <c r="AO74" s="21">
        <f>IFERROR(S74/P74,"")</f>
        <v/>
      </c>
      <c r="AP74" s="22">
        <f>IF(Y74="","",P74/Y74)</f>
        <v/>
      </c>
      <c r="AQ74" s="39">
        <f>IF(Y74="",0,1)</f>
        <v/>
      </c>
      <c r="AR74" s="39">
        <f>IF(S74&lt;=0,1,0)</f>
        <v/>
      </c>
      <c r="AS74" s="17">
        <f>IF(AH74=1,AG74,"")</f>
        <v/>
      </c>
      <c r="AT74" s="17">
        <f>IF(AND(AH74=0,AJ74=1),AG74,"")</f>
        <v/>
      </c>
      <c r="AU74" s="5">
        <f>IF(P74&lt;10000,"Under $10K",IF(P74&lt;20000,"$10-20K",IF(P74&lt;30000,"$20-30K",IF(P74&lt;50000,"$30-50K",IF(P74&lt;100000,"$50-100K","$100K+")))))</f>
        <v/>
      </c>
      <c r="AV74" s="5">
        <f>IF(O74&lt;=1.35,"1.35 and under",IF(O74&lt;=1.42,"1.36-1.42",IF(O74&lt;=1.45,"1.43-1.45",IF(O74&lt;1.49,"1.46-1.48",IF(O74&lt;=1.49,"1.49","Above 1.49")))))</f>
        <v/>
      </c>
      <c r="AW74" s="5">
        <f>IF(AE74="","",IF(AE74&lt;60,"Under 60",IF(AE74&lt;90,"60-89",IF(AE74&lt;120,"90-119",IF(AE74&lt;150,"120-149","150+")))))</f>
        <v/>
      </c>
      <c r="AX74" s="5">
        <f>IF(AP74="","No revenue data",IF(AP74&lt;0.15,"Under 0.15x",IF(AP74&lt;0.3,"0.15-0.30x",IF(AP74&lt;0.5,"0.30-0.50x",IF(AP74&lt;1,"0.50-1.00x","1.00x+")))))</f>
        <v/>
      </c>
      <c r="AY74" s="5">
        <f>IF(J74="","No SIC",IFERROR(VLOOKUP(J74,Ref!$A$4:$C$67,2,FALSE()),"Unclassified"))</f>
        <v/>
      </c>
      <c r="AZ74" s="5">
        <f>IF(E74="","",TEXT(E74,"YYYY")&amp;"-Q"&amp;ROUNDUP(MONTH(E74)/3,0))</f>
        <v/>
      </c>
      <c r="BA74" s="5">
        <f>IF(E74="","",TEXT(E74,"YYYY-MM"))</f>
        <v/>
      </c>
      <c r="BB74" s="5">
        <f>IF(E74="","",TEXT(E74,"YYYY"))</f>
        <v/>
      </c>
      <c r="BC74" s="92">
        <f>IF($E74="","",NETWORKDAYS($E74,Controls!$B$9,Ref!$F$4:$F$47))</f>
        <v/>
      </c>
      <c r="BD74" s="92">
        <f>IF(OR($AH74=1,$AJ74=1),1,0)</f>
        <v/>
      </c>
      <c r="BE74" s="95">
        <f>IF(OR($BD74=1,AND($AE74&lt;&gt;"",$BC74&gt;=Controls!$B$10*$AE74)),1,0)</f>
        <v/>
      </c>
    </row>
    <row r="75" ht="15.75" customHeight="1" s="79">
      <c r="A75" s="5" t="inlineStr">
        <is>
          <t>5674154923</t>
        </is>
      </c>
      <c r="B75" s="5" t="inlineStr">
        <is>
          <t>The Container Girls</t>
        </is>
      </c>
      <c r="C75" s="5" t="inlineStr">
        <is>
          <t>Containers 4 Sale, LLC</t>
        </is>
      </c>
      <c r="D75" s="5" t="inlineStr">
        <is>
          <t>Legal</t>
        </is>
      </c>
      <c r="E75" s="16" t="n">
        <v>45758</v>
      </c>
      <c r="F75" s="16" t="n">
        <v>46038</v>
      </c>
      <c r="G75" s="17" t="n">
        <v>1</v>
      </c>
      <c r="H75" s="5" t="inlineStr">
        <is>
          <t>3412</t>
        </is>
      </c>
      <c r="I75" s="5" t="inlineStr">
        <is>
          <t>Other Metal Container Mfg.</t>
        </is>
      </c>
      <c r="J75" s="5" t="inlineStr">
        <is>
          <t>34</t>
        </is>
      </c>
      <c r="K75" s="5" t="n">
        <v>7299</v>
      </c>
      <c r="L75" s="5" t="inlineStr">
        <is>
          <t>UT</t>
        </is>
      </c>
      <c r="M75" s="5" t="inlineStr">
        <is>
          <t>FC ADVANCE</t>
        </is>
      </c>
      <c r="N75" s="5" t="inlineStr">
        <is>
          <t>New Deal</t>
        </is>
      </c>
      <c r="O75" s="19" t="n">
        <v>1.49</v>
      </c>
      <c r="P75" s="20" t="n">
        <v>20000</v>
      </c>
      <c r="Q75" s="20" t="n">
        <v>0</v>
      </c>
      <c r="R75" s="20" t="n">
        <v>29800</v>
      </c>
      <c r="S75" s="20" t="n">
        <v>20003.4</v>
      </c>
      <c r="T75" s="20" t="n">
        <v>9796.6</v>
      </c>
      <c r="U75" s="21" t="n">
        <v>0.671255033557047</v>
      </c>
      <c r="V75" s="22" t="n">
        <v>18</v>
      </c>
      <c r="W75" s="17" t="n">
        <v>215</v>
      </c>
      <c r="X75" s="17" t="n">
        <v>1</v>
      </c>
      <c r="Y75" s="5" t="n"/>
      <c r="Z75" s="21" t="n">
        <v>0.09229999999999999</v>
      </c>
      <c r="AA75" s="16" t="n">
        <v>44044</v>
      </c>
      <c r="AB75" s="5">
        <f>IF(V75="","",IF(V75&lt;12,"Months","Weeks"))</f>
        <v/>
      </c>
      <c r="AC75" s="5">
        <f>IF(AB75="","",IF(AB75="Months","Daily","Weekly"))</f>
        <v/>
      </c>
      <c r="AD75" s="17">
        <f>IF(V75="","",IF(AC75="Daily",V75*Controls!$B$13,V75))</f>
        <v/>
      </c>
      <c r="AE75" s="17">
        <f>IF(V75="","",IF(AC75="Daily",V75*Controls!$B$13,V75*Controls!$B$12))</f>
        <v/>
      </c>
      <c r="AF75" s="17">
        <f>IF(OR(E75="",F75=""),"",F75-E75)</f>
        <v/>
      </c>
      <c r="AG75" s="17">
        <f>IF(OR(E75="",F75=""),"",NETWORKDAYS(E75,F75,Ref!$F$4:$F$47))</f>
        <v/>
      </c>
      <c r="AH75" s="39">
        <f>IF(IFERROR(VLOOKUP(D75,Controls!$A$25:$D$35,2,FALSE()),"No")="Yes",1,0)</f>
        <v/>
      </c>
      <c r="AI75" s="39">
        <f>IF(IFERROR(VLOOKUP(D75,Controls!$A$25:$D$35,3,FALSE()),"No")="Yes",1,0)</f>
        <v/>
      </c>
      <c r="AJ75" s="39">
        <f>IF(IFERROR(VLOOKUP(D75,Controls!$A$25:$D$35,4,FALSE()),"No")="Yes",1,0)</f>
        <v/>
      </c>
      <c r="AK75" s="96">
        <f>IF(AND($E75&gt;=Controls!$B$5,$E75&lt;=Controls!$B$6,OR(Controls!$E$9&lt;&gt;"Y",$BE75=1)),1,0)</f>
        <v/>
      </c>
      <c r="AL75" s="39">
        <f>1</f>
        <v/>
      </c>
      <c r="AM75" s="20">
        <f>S75-P75</f>
        <v/>
      </c>
      <c r="AN75" s="20">
        <f>IF(AH75=1,MAX(0,P75-S75),0)</f>
        <v/>
      </c>
      <c r="AO75" s="21">
        <f>IFERROR(S75/P75,"")</f>
        <v/>
      </c>
      <c r="AP75" s="22">
        <f>IF(Y75="","",P75/Y75)</f>
        <v/>
      </c>
      <c r="AQ75" s="39">
        <f>IF(Y75="",0,1)</f>
        <v/>
      </c>
      <c r="AR75" s="39">
        <f>IF(S75&lt;=0,1,0)</f>
        <v/>
      </c>
      <c r="AS75" s="17">
        <f>IF(AH75=1,AG75,"")</f>
        <v/>
      </c>
      <c r="AT75" s="17">
        <f>IF(AND(AH75=0,AJ75=1),AG75,"")</f>
        <v/>
      </c>
      <c r="AU75" s="5">
        <f>IF(P75&lt;10000,"Under $10K",IF(P75&lt;20000,"$10-20K",IF(P75&lt;30000,"$20-30K",IF(P75&lt;50000,"$30-50K",IF(P75&lt;100000,"$50-100K","$100K+")))))</f>
        <v/>
      </c>
      <c r="AV75" s="5">
        <f>IF(O75&lt;=1.35,"1.35 and under",IF(O75&lt;=1.42,"1.36-1.42",IF(O75&lt;=1.45,"1.43-1.45",IF(O75&lt;1.49,"1.46-1.48",IF(O75&lt;=1.49,"1.49","Above 1.49")))))</f>
        <v/>
      </c>
      <c r="AW75" s="5">
        <f>IF(AE75="","",IF(AE75&lt;60,"Under 60",IF(AE75&lt;90,"60-89",IF(AE75&lt;120,"90-119",IF(AE75&lt;150,"120-149","150+")))))</f>
        <v/>
      </c>
      <c r="AX75" s="5">
        <f>IF(AP75="","No revenue data",IF(AP75&lt;0.15,"Under 0.15x",IF(AP75&lt;0.3,"0.15-0.30x",IF(AP75&lt;0.5,"0.30-0.50x",IF(AP75&lt;1,"0.50-1.00x","1.00x+")))))</f>
        <v/>
      </c>
      <c r="AY75" s="5">
        <f>IF(J75="","No SIC",IFERROR(VLOOKUP(J75,Ref!$A$4:$C$67,2,FALSE()),"Unclassified"))</f>
        <v/>
      </c>
      <c r="AZ75" s="5">
        <f>IF(E75="","",TEXT(E75,"YYYY")&amp;"-Q"&amp;ROUNDUP(MONTH(E75)/3,0))</f>
        <v/>
      </c>
      <c r="BA75" s="5">
        <f>IF(E75="","",TEXT(E75,"YYYY-MM"))</f>
        <v/>
      </c>
      <c r="BB75" s="5">
        <f>IF(E75="","",TEXT(E75,"YYYY"))</f>
        <v/>
      </c>
      <c r="BC75" s="92">
        <f>IF($E75="","",NETWORKDAYS($E75,Controls!$B$9,Ref!$F$4:$F$47))</f>
        <v/>
      </c>
      <c r="BD75" s="92">
        <f>IF(OR($AH75=1,$AJ75=1),1,0)</f>
        <v/>
      </c>
      <c r="BE75" s="95">
        <f>IF(OR($BD75=1,AND($AE75&lt;&gt;"",$BC75&gt;=Controls!$B$10*$AE75)),1,0)</f>
        <v/>
      </c>
    </row>
    <row r="76" ht="15.75" customHeight="1" s="79">
      <c r="A76" s="5" t="inlineStr">
        <is>
          <t>5674154953</t>
        </is>
      </c>
      <c r="B76" s="5" t="inlineStr">
        <is>
          <t>NFB Venture services Corp</t>
        </is>
      </c>
      <c r="C76" s="5" t="inlineStr">
        <is>
          <t>NFB Venture services Corp</t>
        </is>
      </c>
      <c r="D76" s="5" t="inlineStr">
        <is>
          <t>Closed/NSF Unpaid</t>
        </is>
      </c>
      <c r="E76" s="16" t="n">
        <v>45758</v>
      </c>
      <c r="F76" s="16" t="n">
        <v>46007</v>
      </c>
      <c r="G76" s="17" t="n">
        <v>2</v>
      </c>
      <c r="H76" s="5" t="inlineStr">
        <is>
          <t>7542</t>
        </is>
      </c>
      <c r="I76" s="5" t="inlineStr">
        <is>
          <t>Car Washes</t>
        </is>
      </c>
      <c r="J76" s="5" t="inlineStr">
        <is>
          <t>75</t>
        </is>
      </c>
      <c r="K76" s="5" t="n">
        <v>7542</v>
      </c>
      <c r="L76" s="5" t="inlineStr">
        <is>
          <t>MA</t>
        </is>
      </c>
      <c r="M76" s="5" t="inlineStr">
        <is>
          <t>CARE FUNDING GROUP</t>
        </is>
      </c>
      <c r="N76" s="5" t="inlineStr">
        <is>
          <t>Renewal</t>
        </is>
      </c>
      <c r="O76" s="19" t="n">
        <v>1.49</v>
      </c>
      <c r="P76" s="20" t="n">
        <v>7000</v>
      </c>
      <c r="Q76" s="20" t="n">
        <v>980</v>
      </c>
      <c r="R76" s="20" t="n">
        <v>10430</v>
      </c>
      <c r="S76" s="20" t="n">
        <v>10430</v>
      </c>
      <c r="T76" s="20" t="n">
        <v>0</v>
      </c>
      <c r="U76" s="21" t="n">
        <v>1</v>
      </c>
      <c r="V76" s="22" t="n">
        <v>1.967</v>
      </c>
      <c r="W76" s="17" t="n">
        <v>246</v>
      </c>
      <c r="X76" s="17" t="n">
        <v>15</v>
      </c>
      <c r="Y76" s="5" t="n"/>
      <c r="Z76" s="21" t="n">
        <v>0.1159</v>
      </c>
      <c r="AA76" s="16" t="n">
        <v>45402</v>
      </c>
      <c r="AB76" s="5">
        <f>IF(V76="","",IF(V76&lt;12,"Months","Weeks"))</f>
        <v/>
      </c>
      <c r="AC76" s="5">
        <f>IF(AB76="","",IF(AB76="Months","Daily","Weekly"))</f>
        <v/>
      </c>
      <c r="AD76" s="17">
        <f>IF(V76="","",IF(AC76="Daily",V76*Controls!$B$13,V76))</f>
        <v/>
      </c>
      <c r="AE76" s="17">
        <f>IF(V76="","",IF(AC76="Daily",V76*Controls!$B$13,V76*Controls!$B$12))</f>
        <v/>
      </c>
      <c r="AF76" s="17">
        <f>IF(OR(E76="",F76=""),"",F76-E76)</f>
        <v/>
      </c>
      <c r="AG76" s="17">
        <f>IF(OR(E76="",F76=""),"",NETWORKDAYS(E76,F76,Ref!$F$4:$F$47))</f>
        <v/>
      </c>
      <c r="AH76" s="39">
        <f>IF(IFERROR(VLOOKUP(D76,Controls!$A$25:$D$35,2,FALSE()),"No")="Yes",1,0)</f>
        <v/>
      </c>
      <c r="AI76" s="39">
        <f>IF(IFERROR(VLOOKUP(D76,Controls!$A$25:$D$35,3,FALSE()),"No")="Yes",1,0)</f>
        <v/>
      </c>
      <c r="AJ76" s="39">
        <f>IF(IFERROR(VLOOKUP(D76,Controls!$A$25:$D$35,4,FALSE()),"No")="Yes",1,0)</f>
        <v/>
      </c>
      <c r="AK76" s="96">
        <f>IF(AND($E76&gt;=Controls!$B$5,$E76&lt;=Controls!$B$6,OR(Controls!$E$9&lt;&gt;"Y",$BE76=1)),1,0)</f>
        <v/>
      </c>
      <c r="AL76" s="39">
        <f>1</f>
        <v/>
      </c>
      <c r="AM76" s="20">
        <f>S76-P76</f>
        <v/>
      </c>
      <c r="AN76" s="20">
        <f>IF(AH76=1,MAX(0,P76-S76),0)</f>
        <v/>
      </c>
      <c r="AO76" s="21">
        <f>IFERROR(S76/P76,"")</f>
        <v/>
      </c>
      <c r="AP76" s="22">
        <f>IF(Y76="","",P76/Y76)</f>
        <v/>
      </c>
      <c r="AQ76" s="39">
        <f>IF(Y76="",0,1)</f>
        <v/>
      </c>
      <c r="AR76" s="39">
        <f>IF(S76&lt;=0,1,0)</f>
        <v/>
      </c>
      <c r="AS76" s="17">
        <f>IF(AH76=1,AG76,"")</f>
        <v/>
      </c>
      <c r="AT76" s="17">
        <f>IF(AND(AH76=0,AJ76=1),AG76,"")</f>
        <v/>
      </c>
      <c r="AU76" s="5">
        <f>IF(P76&lt;10000,"Under $10K",IF(P76&lt;20000,"$10-20K",IF(P76&lt;30000,"$20-30K",IF(P76&lt;50000,"$30-50K",IF(P76&lt;100000,"$50-100K","$100K+")))))</f>
        <v/>
      </c>
      <c r="AV76" s="5">
        <f>IF(O76&lt;=1.35,"1.35 and under",IF(O76&lt;=1.42,"1.36-1.42",IF(O76&lt;=1.45,"1.43-1.45",IF(O76&lt;1.49,"1.46-1.48",IF(O76&lt;=1.49,"1.49","Above 1.49")))))</f>
        <v/>
      </c>
      <c r="AW76" s="5">
        <f>IF(AE76="","",IF(AE76&lt;60,"Under 60",IF(AE76&lt;90,"60-89",IF(AE76&lt;120,"90-119",IF(AE76&lt;150,"120-149","150+")))))</f>
        <v/>
      </c>
      <c r="AX76" s="5">
        <f>IF(AP76="","No revenue data",IF(AP76&lt;0.15,"Under 0.15x",IF(AP76&lt;0.3,"0.15-0.30x",IF(AP76&lt;0.5,"0.30-0.50x",IF(AP76&lt;1,"0.50-1.00x","1.00x+")))))</f>
        <v/>
      </c>
      <c r="AY76" s="5">
        <f>IF(J76="","No SIC",IFERROR(VLOOKUP(J76,Ref!$A$4:$C$67,2,FALSE()),"Unclassified"))</f>
        <v/>
      </c>
      <c r="AZ76" s="5">
        <f>IF(E76="","",TEXT(E76,"YYYY")&amp;"-Q"&amp;ROUNDUP(MONTH(E76)/3,0))</f>
        <v/>
      </c>
      <c r="BA76" s="5">
        <f>IF(E76="","",TEXT(E76,"YYYY-MM"))</f>
        <v/>
      </c>
      <c r="BB76" s="5">
        <f>IF(E76="","",TEXT(E76,"YYYY"))</f>
        <v/>
      </c>
      <c r="BC76" s="92">
        <f>IF($E76="","",NETWORKDAYS($E76,Controls!$B$9,Ref!$F$4:$F$47))</f>
        <v/>
      </c>
      <c r="BD76" s="92">
        <f>IF(OR($AH76=1,$AJ76=1),1,0)</f>
        <v/>
      </c>
      <c r="BE76" s="95">
        <f>IF(OR($BD76=1,AND($AE76&lt;&gt;"",$BC76&gt;=Controls!$B$10*$AE76)),1,0)</f>
        <v/>
      </c>
    </row>
    <row r="77" ht="15.75" customHeight="1" s="79">
      <c r="A77" s="5" t="inlineStr">
        <is>
          <t>5674154958</t>
        </is>
      </c>
      <c r="B77" s="5" t="inlineStr">
        <is>
          <t>LTV EVENTS LLC</t>
        </is>
      </c>
      <c r="C77" s="5" t="inlineStr">
        <is>
          <t>LTV EVENTS LLC</t>
        </is>
      </c>
      <c r="D77" s="5" t="inlineStr">
        <is>
          <t>Closed</t>
        </is>
      </c>
      <c r="E77" s="16" t="n">
        <v>45758</v>
      </c>
      <c r="F77" s="16" t="n">
        <v>45825</v>
      </c>
      <c r="G77" s="17" t="n">
        <v>7</v>
      </c>
      <c r="H77" s="5" t="inlineStr">
        <is>
          <t>7299</t>
        </is>
      </c>
      <c r="I77" s="5" t="inlineStr">
        <is>
          <t>All Other Personal Services</t>
        </is>
      </c>
      <c r="J77" s="5" t="inlineStr">
        <is>
          <t>72</t>
        </is>
      </c>
      <c r="K77" s="5" t="n">
        <v>7299</v>
      </c>
      <c r="L77" s="5" t="inlineStr">
        <is>
          <t>IL</t>
        </is>
      </c>
      <c r="M77" s="5" t="inlineStr">
        <is>
          <t>Redline Capital</t>
        </is>
      </c>
      <c r="N77" s="5" t="inlineStr">
        <is>
          <t>New Deal</t>
        </is>
      </c>
      <c r="O77" s="19" t="n">
        <v>1.49</v>
      </c>
      <c r="P77" s="20" t="n">
        <v>10000</v>
      </c>
      <c r="Q77" s="20" t="n">
        <v>1400</v>
      </c>
      <c r="R77" s="20" t="n">
        <v>14900</v>
      </c>
      <c r="S77" s="20" t="n">
        <v>14900</v>
      </c>
      <c r="T77" s="20" t="n">
        <v>0</v>
      </c>
      <c r="U77" s="21" t="n">
        <v>1</v>
      </c>
      <c r="V77" s="22" t="n">
        <v>2.459</v>
      </c>
      <c r="W77" s="17" t="n">
        <v>428</v>
      </c>
      <c r="X77" s="17" t="n">
        <v>0</v>
      </c>
      <c r="Y77" s="5" t="n"/>
      <c r="Z77" s="21" t="n">
        <v>0.1466</v>
      </c>
      <c r="AA77" s="16" t="n">
        <v>44256</v>
      </c>
      <c r="AB77" s="5">
        <f>IF(V77="","",IF(V77&lt;12,"Months","Weeks"))</f>
        <v/>
      </c>
      <c r="AC77" s="5">
        <f>IF(AB77="","",IF(AB77="Months","Daily","Weekly"))</f>
        <v/>
      </c>
      <c r="AD77" s="17">
        <f>IF(V77="","",IF(AC77="Daily",V77*Controls!$B$13,V77))</f>
        <v/>
      </c>
      <c r="AE77" s="17">
        <f>IF(V77="","",IF(AC77="Daily",V77*Controls!$B$13,V77*Controls!$B$12))</f>
        <v/>
      </c>
      <c r="AF77" s="17">
        <f>IF(OR(E77="",F77=""),"",F77-E77)</f>
        <v/>
      </c>
      <c r="AG77" s="17">
        <f>IF(OR(E77="",F77=""),"",NETWORKDAYS(E77,F77,Ref!$F$4:$F$47))</f>
        <v/>
      </c>
      <c r="AH77" s="39">
        <f>IF(IFERROR(VLOOKUP(D77,Controls!$A$25:$D$35,2,FALSE()),"No")="Yes",1,0)</f>
        <v/>
      </c>
      <c r="AI77" s="39">
        <f>IF(IFERROR(VLOOKUP(D77,Controls!$A$25:$D$35,3,FALSE()),"No")="Yes",1,0)</f>
        <v/>
      </c>
      <c r="AJ77" s="39">
        <f>IF(IFERROR(VLOOKUP(D77,Controls!$A$25:$D$35,4,FALSE()),"No")="Yes",1,0)</f>
        <v/>
      </c>
      <c r="AK77" s="96">
        <f>IF(AND($E77&gt;=Controls!$B$5,$E77&lt;=Controls!$B$6,OR(Controls!$E$9&lt;&gt;"Y",$BE77=1)),1,0)</f>
        <v/>
      </c>
      <c r="AL77" s="39">
        <f>1</f>
        <v/>
      </c>
      <c r="AM77" s="20">
        <f>S77-P77</f>
        <v/>
      </c>
      <c r="AN77" s="20">
        <f>IF(AH77=1,MAX(0,P77-S77),0)</f>
        <v/>
      </c>
      <c r="AO77" s="21">
        <f>IFERROR(S77/P77,"")</f>
        <v/>
      </c>
      <c r="AP77" s="22">
        <f>IF(Y77="","",P77/Y77)</f>
        <v/>
      </c>
      <c r="AQ77" s="39">
        <f>IF(Y77="",0,1)</f>
        <v/>
      </c>
      <c r="AR77" s="39">
        <f>IF(S77&lt;=0,1,0)</f>
        <v/>
      </c>
      <c r="AS77" s="17">
        <f>IF(AH77=1,AG77,"")</f>
        <v/>
      </c>
      <c r="AT77" s="17">
        <f>IF(AND(AH77=0,AJ77=1),AG77,"")</f>
        <v/>
      </c>
      <c r="AU77" s="5">
        <f>IF(P77&lt;10000,"Under $10K",IF(P77&lt;20000,"$10-20K",IF(P77&lt;30000,"$20-30K",IF(P77&lt;50000,"$30-50K",IF(P77&lt;100000,"$50-100K","$100K+")))))</f>
        <v/>
      </c>
      <c r="AV77" s="5">
        <f>IF(O77&lt;=1.35,"1.35 and under",IF(O77&lt;=1.42,"1.36-1.42",IF(O77&lt;=1.45,"1.43-1.45",IF(O77&lt;1.49,"1.46-1.48",IF(O77&lt;=1.49,"1.49","Above 1.49")))))</f>
        <v/>
      </c>
      <c r="AW77" s="5">
        <f>IF(AE77="","",IF(AE77&lt;60,"Under 60",IF(AE77&lt;90,"60-89",IF(AE77&lt;120,"90-119",IF(AE77&lt;150,"120-149","150+")))))</f>
        <v/>
      </c>
      <c r="AX77" s="5">
        <f>IF(AP77="","No revenue data",IF(AP77&lt;0.15,"Under 0.15x",IF(AP77&lt;0.3,"0.15-0.30x",IF(AP77&lt;0.5,"0.30-0.50x",IF(AP77&lt;1,"0.50-1.00x","1.00x+")))))</f>
        <v/>
      </c>
      <c r="AY77" s="5">
        <f>IF(J77="","No SIC",IFERROR(VLOOKUP(J77,Ref!$A$4:$C$67,2,FALSE()),"Unclassified"))</f>
        <v/>
      </c>
      <c r="AZ77" s="5">
        <f>IF(E77="","",TEXT(E77,"YYYY")&amp;"-Q"&amp;ROUNDUP(MONTH(E77)/3,0))</f>
        <v/>
      </c>
      <c r="BA77" s="5">
        <f>IF(E77="","",TEXT(E77,"YYYY-MM"))</f>
        <v/>
      </c>
      <c r="BB77" s="5">
        <f>IF(E77="","",TEXT(E77,"YYYY"))</f>
        <v/>
      </c>
      <c r="BC77" s="92">
        <f>IF($E77="","",NETWORKDAYS($E77,Controls!$B$9,Ref!$F$4:$F$47))</f>
        <v/>
      </c>
      <c r="BD77" s="92">
        <f>IF(OR($AH77=1,$AJ77=1),1,0)</f>
        <v/>
      </c>
      <c r="BE77" s="95">
        <f>IF(OR($BD77=1,AND($AE77&lt;&gt;"",$BC77&gt;=Controls!$B$10*$AE77)),1,0)</f>
        <v/>
      </c>
    </row>
    <row r="78" ht="15.75" customHeight="1" s="79">
      <c r="A78" s="5" t="inlineStr">
        <is>
          <t>5674154965</t>
        </is>
      </c>
      <c r="B78" s="5" t="inlineStr">
        <is>
          <t>Umart</t>
        </is>
      </c>
      <c r="C78" s="5" t="inlineStr">
        <is>
          <t>Fareed Inc</t>
        </is>
      </c>
      <c r="D78" s="5" t="inlineStr">
        <is>
          <t>Legal</t>
        </is>
      </c>
      <c r="E78" s="16" t="n">
        <v>45758</v>
      </c>
      <c r="F78" s="16" t="n">
        <v>45784</v>
      </c>
      <c r="G78" s="17" t="n">
        <v>2</v>
      </c>
      <c r="H78" s="5" t="inlineStr">
        <is>
          <t>5541</t>
        </is>
      </c>
      <c r="I78" s="5" t="inlineStr">
        <is>
          <t>Gasoline Stations with Convenience Stores</t>
        </is>
      </c>
      <c r="J78" s="5" t="inlineStr">
        <is>
          <t>55</t>
        </is>
      </c>
      <c r="K78" s="5" t="n">
        <v>5541</v>
      </c>
      <c r="L78" s="5" t="inlineStr">
        <is>
          <t>FL</t>
        </is>
      </c>
      <c r="M78" s="5" t="inlineStr">
        <is>
          <t>Fundible</t>
        </is>
      </c>
      <c r="N78" s="5" t="inlineStr">
        <is>
          <t>New Deal</t>
        </is>
      </c>
      <c r="O78" s="19" t="n">
        <v>1.49</v>
      </c>
      <c r="P78" s="20" t="n">
        <v>5000</v>
      </c>
      <c r="Q78" s="20" t="n">
        <v>700</v>
      </c>
      <c r="R78" s="20" t="n">
        <v>7450</v>
      </c>
      <c r="S78" s="20" t="n">
        <v>1118.07</v>
      </c>
      <c r="T78" s="20" t="n">
        <v>6331.93</v>
      </c>
      <c r="U78" s="21" t="n">
        <v>0.150076510067114</v>
      </c>
      <c r="V78" s="22" t="n">
        <v>1.967</v>
      </c>
      <c r="W78" s="17" t="n">
        <v>481</v>
      </c>
      <c r="X78" s="17" t="n">
        <v>9</v>
      </c>
      <c r="Y78" s="5" t="n"/>
      <c r="Z78" s="5" t="n"/>
      <c r="AA78" s="16" t="n">
        <v>45170</v>
      </c>
      <c r="AB78" s="5">
        <f>IF(V78="","",IF(V78&lt;12,"Months","Weeks"))</f>
        <v/>
      </c>
      <c r="AC78" s="5">
        <f>IF(AB78="","",IF(AB78="Months","Daily","Weekly"))</f>
        <v/>
      </c>
      <c r="AD78" s="17">
        <f>IF(V78="","",IF(AC78="Daily",V78*Controls!$B$13,V78))</f>
        <v/>
      </c>
      <c r="AE78" s="17">
        <f>IF(V78="","",IF(AC78="Daily",V78*Controls!$B$13,V78*Controls!$B$12))</f>
        <v/>
      </c>
      <c r="AF78" s="17">
        <f>IF(OR(E78="",F78=""),"",F78-E78)</f>
        <v/>
      </c>
      <c r="AG78" s="17">
        <f>IF(OR(E78="",F78=""),"",NETWORKDAYS(E78,F78,Ref!$F$4:$F$47))</f>
        <v/>
      </c>
      <c r="AH78" s="39">
        <f>IF(IFERROR(VLOOKUP(D78,Controls!$A$25:$D$35,2,FALSE()),"No")="Yes",1,0)</f>
        <v/>
      </c>
      <c r="AI78" s="39">
        <f>IF(IFERROR(VLOOKUP(D78,Controls!$A$25:$D$35,3,FALSE()),"No")="Yes",1,0)</f>
        <v/>
      </c>
      <c r="AJ78" s="39">
        <f>IF(IFERROR(VLOOKUP(D78,Controls!$A$25:$D$35,4,FALSE()),"No")="Yes",1,0)</f>
        <v/>
      </c>
      <c r="AK78" s="96">
        <f>IF(AND($E78&gt;=Controls!$B$5,$E78&lt;=Controls!$B$6,OR(Controls!$E$9&lt;&gt;"Y",$BE78=1)),1,0)</f>
        <v/>
      </c>
      <c r="AL78" s="39">
        <f>1</f>
        <v/>
      </c>
      <c r="AM78" s="20">
        <f>S78-P78</f>
        <v/>
      </c>
      <c r="AN78" s="20">
        <f>IF(AH78=1,MAX(0,P78-S78),0)</f>
        <v/>
      </c>
      <c r="AO78" s="21">
        <f>IFERROR(S78/P78,"")</f>
        <v/>
      </c>
      <c r="AP78" s="22">
        <f>IF(Y78="","",P78/Y78)</f>
        <v/>
      </c>
      <c r="AQ78" s="39">
        <f>IF(Y78="",0,1)</f>
        <v/>
      </c>
      <c r="AR78" s="39">
        <f>IF(S78&lt;=0,1,0)</f>
        <v/>
      </c>
      <c r="AS78" s="17">
        <f>IF(AH78=1,AG78,"")</f>
        <v/>
      </c>
      <c r="AT78" s="17">
        <f>IF(AND(AH78=0,AJ78=1),AG78,"")</f>
        <v/>
      </c>
      <c r="AU78" s="5">
        <f>IF(P78&lt;10000,"Under $10K",IF(P78&lt;20000,"$10-20K",IF(P78&lt;30000,"$20-30K",IF(P78&lt;50000,"$30-50K",IF(P78&lt;100000,"$50-100K","$100K+")))))</f>
        <v/>
      </c>
      <c r="AV78" s="5">
        <f>IF(O78&lt;=1.35,"1.35 and under",IF(O78&lt;=1.42,"1.36-1.42",IF(O78&lt;=1.45,"1.43-1.45",IF(O78&lt;1.49,"1.46-1.48",IF(O78&lt;=1.49,"1.49","Above 1.49")))))</f>
        <v/>
      </c>
      <c r="AW78" s="5">
        <f>IF(AE78="","",IF(AE78&lt;60,"Under 60",IF(AE78&lt;90,"60-89",IF(AE78&lt;120,"90-119",IF(AE78&lt;150,"120-149","150+")))))</f>
        <v/>
      </c>
      <c r="AX78" s="5">
        <f>IF(AP78="","No revenue data",IF(AP78&lt;0.15,"Under 0.15x",IF(AP78&lt;0.3,"0.15-0.30x",IF(AP78&lt;0.5,"0.30-0.50x",IF(AP78&lt;1,"0.50-1.00x","1.00x+")))))</f>
        <v/>
      </c>
      <c r="AY78" s="5">
        <f>IF(J78="","No SIC",IFERROR(VLOOKUP(J78,Ref!$A$4:$C$67,2,FALSE()),"Unclassified"))</f>
        <v/>
      </c>
      <c r="AZ78" s="5">
        <f>IF(E78="","",TEXT(E78,"YYYY")&amp;"-Q"&amp;ROUNDUP(MONTH(E78)/3,0))</f>
        <v/>
      </c>
      <c r="BA78" s="5">
        <f>IF(E78="","",TEXT(E78,"YYYY-MM"))</f>
        <v/>
      </c>
      <c r="BB78" s="5">
        <f>IF(E78="","",TEXT(E78,"YYYY"))</f>
        <v/>
      </c>
      <c r="BC78" s="92">
        <f>IF($E78="","",NETWORKDAYS($E78,Controls!$B$9,Ref!$F$4:$F$47))</f>
        <v/>
      </c>
      <c r="BD78" s="92">
        <f>IF(OR($AH78=1,$AJ78=1),1,0)</f>
        <v/>
      </c>
      <c r="BE78" s="95">
        <f>IF(OR($BD78=1,AND($AE78&lt;&gt;"",$BC78&gt;=Controls!$B$10*$AE78)),1,0)</f>
        <v/>
      </c>
    </row>
    <row r="79" ht="15.75" customHeight="1" s="79">
      <c r="A79" s="5" t="inlineStr">
        <is>
          <t>5674155038</t>
        </is>
      </c>
      <c r="B79" s="5" t="inlineStr">
        <is>
          <t>So Baltimore, LLC</t>
        </is>
      </c>
      <c r="C79" s="5" t="inlineStr">
        <is>
          <t>So Baltimore, LLC</t>
        </is>
      </c>
      <c r="D79" s="5" t="inlineStr">
        <is>
          <t>Closed</t>
        </is>
      </c>
      <c r="E79" s="16" t="n">
        <v>45762</v>
      </c>
      <c r="F79" s="16" t="n">
        <v>45869</v>
      </c>
      <c r="G79" s="17" t="n">
        <v>5</v>
      </c>
      <c r="H79" s="5" t="inlineStr">
        <is>
          <t>5812</t>
        </is>
      </c>
      <c r="I79" s="5" t="inlineStr">
        <is>
          <t>Snack and Nonalcoholic Beverage Bars</t>
        </is>
      </c>
      <c r="J79" s="5" t="inlineStr">
        <is>
          <t>58</t>
        </is>
      </c>
      <c r="K79" s="5" t="n">
        <v>5812</v>
      </c>
      <c r="L79" s="5" t="inlineStr">
        <is>
          <t>MD</t>
        </is>
      </c>
      <c r="M79" s="5" t="inlineStr">
        <is>
          <t>Llama Loan</t>
        </is>
      </c>
      <c r="N79" s="5" t="inlineStr">
        <is>
          <t>New Deal</t>
        </is>
      </c>
      <c r="O79" s="19" t="n">
        <v>1.43</v>
      </c>
      <c r="P79" s="20" t="n">
        <v>10000</v>
      </c>
      <c r="Q79" s="20" t="n">
        <v>1100</v>
      </c>
      <c r="R79" s="20" t="n">
        <v>14300</v>
      </c>
      <c r="S79" s="20" t="n">
        <v>14300</v>
      </c>
      <c r="T79" s="20" t="n">
        <v>0</v>
      </c>
      <c r="U79" s="21" t="n">
        <v>1</v>
      </c>
      <c r="V79" s="22" t="n">
        <v>2.295</v>
      </c>
      <c r="W79" s="17" t="n">
        <v>384</v>
      </c>
      <c r="X79" s="17" t="n">
        <v>0</v>
      </c>
      <c r="Y79" s="5" t="n"/>
      <c r="Z79" s="21" t="n">
        <v>0.0756</v>
      </c>
      <c r="AA79" s="16" t="n">
        <v>44378</v>
      </c>
      <c r="AB79" s="5">
        <f>IF(V79="","",IF(V79&lt;12,"Months","Weeks"))</f>
        <v/>
      </c>
      <c r="AC79" s="5">
        <f>IF(AB79="","",IF(AB79="Months","Daily","Weekly"))</f>
        <v/>
      </c>
      <c r="AD79" s="17">
        <f>IF(V79="","",IF(AC79="Daily",V79*Controls!$B$13,V79))</f>
        <v/>
      </c>
      <c r="AE79" s="17">
        <f>IF(V79="","",IF(AC79="Daily",V79*Controls!$B$13,V79*Controls!$B$12))</f>
        <v/>
      </c>
      <c r="AF79" s="17">
        <f>IF(OR(E79="",F79=""),"",F79-E79)</f>
        <v/>
      </c>
      <c r="AG79" s="17">
        <f>IF(OR(E79="",F79=""),"",NETWORKDAYS(E79,F79,Ref!$F$4:$F$47))</f>
        <v/>
      </c>
      <c r="AH79" s="39">
        <f>IF(IFERROR(VLOOKUP(D79,Controls!$A$25:$D$35,2,FALSE()),"No")="Yes",1,0)</f>
        <v/>
      </c>
      <c r="AI79" s="39">
        <f>IF(IFERROR(VLOOKUP(D79,Controls!$A$25:$D$35,3,FALSE()),"No")="Yes",1,0)</f>
        <v/>
      </c>
      <c r="AJ79" s="39">
        <f>IF(IFERROR(VLOOKUP(D79,Controls!$A$25:$D$35,4,FALSE()),"No")="Yes",1,0)</f>
        <v/>
      </c>
      <c r="AK79" s="96">
        <f>IF(AND($E79&gt;=Controls!$B$5,$E79&lt;=Controls!$B$6,OR(Controls!$E$9&lt;&gt;"Y",$BE79=1)),1,0)</f>
        <v/>
      </c>
      <c r="AL79" s="39">
        <f>1</f>
        <v/>
      </c>
      <c r="AM79" s="20">
        <f>S79-P79</f>
        <v/>
      </c>
      <c r="AN79" s="20">
        <f>IF(AH79=1,MAX(0,P79-S79),0)</f>
        <v/>
      </c>
      <c r="AO79" s="21">
        <f>IFERROR(S79/P79,"")</f>
        <v/>
      </c>
      <c r="AP79" s="22">
        <f>IF(Y79="","",P79/Y79)</f>
        <v/>
      </c>
      <c r="AQ79" s="39">
        <f>IF(Y79="",0,1)</f>
        <v/>
      </c>
      <c r="AR79" s="39">
        <f>IF(S79&lt;=0,1,0)</f>
        <v/>
      </c>
      <c r="AS79" s="17">
        <f>IF(AH79=1,AG79,"")</f>
        <v/>
      </c>
      <c r="AT79" s="17">
        <f>IF(AND(AH79=0,AJ79=1),AG79,"")</f>
        <v/>
      </c>
      <c r="AU79" s="5">
        <f>IF(P79&lt;10000,"Under $10K",IF(P79&lt;20000,"$10-20K",IF(P79&lt;30000,"$20-30K",IF(P79&lt;50000,"$30-50K",IF(P79&lt;100000,"$50-100K","$100K+")))))</f>
        <v/>
      </c>
      <c r="AV79" s="5">
        <f>IF(O79&lt;=1.35,"1.35 and under",IF(O79&lt;=1.42,"1.36-1.42",IF(O79&lt;=1.45,"1.43-1.45",IF(O79&lt;1.49,"1.46-1.48",IF(O79&lt;=1.49,"1.49","Above 1.49")))))</f>
        <v/>
      </c>
      <c r="AW79" s="5">
        <f>IF(AE79="","",IF(AE79&lt;60,"Under 60",IF(AE79&lt;90,"60-89",IF(AE79&lt;120,"90-119",IF(AE79&lt;150,"120-149","150+")))))</f>
        <v/>
      </c>
      <c r="AX79" s="5">
        <f>IF(AP79="","No revenue data",IF(AP79&lt;0.15,"Under 0.15x",IF(AP79&lt;0.3,"0.15-0.30x",IF(AP79&lt;0.5,"0.30-0.50x",IF(AP79&lt;1,"0.50-1.00x","1.00x+")))))</f>
        <v/>
      </c>
      <c r="AY79" s="5">
        <f>IF(J79="","No SIC",IFERROR(VLOOKUP(J79,Ref!$A$4:$C$67,2,FALSE()),"Unclassified"))</f>
        <v/>
      </c>
      <c r="AZ79" s="5">
        <f>IF(E79="","",TEXT(E79,"YYYY")&amp;"-Q"&amp;ROUNDUP(MONTH(E79)/3,0))</f>
        <v/>
      </c>
      <c r="BA79" s="5">
        <f>IF(E79="","",TEXT(E79,"YYYY-MM"))</f>
        <v/>
      </c>
      <c r="BB79" s="5">
        <f>IF(E79="","",TEXT(E79,"YYYY"))</f>
        <v/>
      </c>
      <c r="BC79" s="92">
        <f>IF($E79="","",NETWORKDAYS($E79,Controls!$B$9,Ref!$F$4:$F$47))</f>
        <v/>
      </c>
      <c r="BD79" s="92">
        <f>IF(OR($AH79=1,$AJ79=1),1,0)</f>
        <v/>
      </c>
      <c r="BE79" s="95">
        <f>IF(OR($BD79=1,AND($AE79&lt;&gt;"",$BC79&gt;=Controls!$B$10*$AE79)),1,0)</f>
        <v/>
      </c>
    </row>
    <row r="80" ht="15.75" customHeight="1" s="79">
      <c r="A80" s="5" t="inlineStr">
        <is>
          <t>5674155151</t>
        </is>
      </c>
      <c r="B80" s="5" t="inlineStr">
        <is>
          <t>Bental electric</t>
        </is>
      </c>
      <c r="C80" s="5" t="inlineStr">
        <is>
          <t>Bental electric</t>
        </is>
      </c>
      <c r="D80" s="5" t="inlineStr">
        <is>
          <t>Legal</t>
        </is>
      </c>
      <c r="E80" s="16" t="n">
        <v>45763</v>
      </c>
      <c r="F80" s="16" t="n">
        <v>45866</v>
      </c>
      <c r="G80" s="17" t="n">
        <v>4</v>
      </c>
      <c r="H80" s="5" t="inlineStr">
        <is>
          <t>1731</t>
        </is>
      </c>
      <c r="I80" s="5" t="inlineStr">
        <is>
          <t>Electrical Contractors and Other Wiring Installation Contractors</t>
        </is>
      </c>
      <c r="J80" s="5" t="inlineStr">
        <is>
          <t>17</t>
        </is>
      </c>
      <c r="K80" s="5" t="n">
        <v>1731</v>
      </c>
      <c r="L80" s="5" t="inlineStr">
        <is>
          <t>CA</t>
        </is>
      </c>
      <c r="M80" s="5" t="inlineStr">
        <is>
          <t>Fund Your Bizz</t>
        </is>
      </c>
      <c r="N80" s="5" t="inlineStr">
        <is>
          <t>New Deal</t>
        </is>
      </c>
      <c r="O80" s="19" t="n">
        <v>1.49</v>
      </c>
      <c r="P80" s="20" t="n">
        <v>10000</v>
      </c>
      <c r="Q80" s="20" t="n">
        <v>0</v>
      </c>
      <c r="R80" s="20" t="n">
        <v>14900</v>
      </c>
      <c r="S80" s="20" t="n">
        <v>6411.72</v>
      </c>
      <c r="T80" s="20" t="n">
        <v>8488.280000000001</v>
      </c>
      <c r="U80" s="21" t="n">
        <v>0.43031677852349</v>
      </c>
      <c r="V80" s="22" t="n">
        <v>2.131</v>
      </c>
      <c r="W80" s="17" t="n">
        <v>447</v>
      </c>
      <c r="X80" s="17" t="n">
        <v>24</v>
      </c>
      <c r="Y80" s="5" t="n"/>
      <c r="Z80" s="21" t="n">
        <v>0.0531</v>
      </c>
      <c r="AA80" s="16" t="n">
        <v>38081</v>
      </c>
      <c r="AB80" s="5">
        <f>IF(V80="","",IF(V80&lt;12,"Months","Weeks"))</f>
        <v/>
      </c>
      <c r="AC80" s="5">
        <f>IF(AB80="","",IF(AB80="Months","Daily","Weekly"))</f>
        <v/>
      </c>
      <c r="AD80" s="17">
        <f>IF(V80="","",IF(AC80="Daily",V80*Controls!$B$13,V80))</f>
        <v/>
      </c>
      <c r="AE80" s="17">
        <f>IF(V80="","",IF(AC80="Daily",V80*Controls!$B$13,V80*Controls!$B$12))</f>
        <v/>
      </c>
      <c r="AF80" s="17">
        <f>IF(OR(E80="",F80=""),"",F80-E80)</f>
        <v/>
      </c>
      <c r="AG80" s="17">
        <f>IF(OR(E80="",F80=""),"",NETWORKDAYS(E80,F80,Ref!$F$4:$F$47))</f>
        <v/>
      </c>
      <c r="AH80" s="39">
        <f>IF(IFERROR(VLOOKUP(D80,Controls!$A$25:$D$35,2,FALSE()),"No")="Yes",1,0)</f>
        <v/>
      </c>
      <c r="AI80" s="39">
        <f>IF(IFERROR(VLOOKUP(D80,Controls!$A$25:$D$35,3,FALSE()),"No")="Yes",1,0)</f>
        <v/>
      </c>
      <c r="AJ80" s="39">
        <f>IF(IFERROR(VLOOKUP(D80,Controls!$A$25:$D$35,4,FALSE()),"No")="Yes",1,0)</f>
        <v/>
      </c>
      <c r="AK80" s="96">
        <f>IF(AND($E80&gt;=Controls!$B$5,$E80&lt;=Controls!$B$6,OR(Controls!$E$9&lt;&gt;"Y",$BE80=1)),1,0)</f>
        <v/>
      </c>
      <c r="AL80" s="39">
        <f>1</f>
        <v/>
      </c>
      <c r="AM80" s="20">
        <f>S80-P80</f>
        <v/>
      </c>
      <c r="AN80" s="20">
        <f>IF(AH80=1,MAX(0,P80-S80),0)</f>
        <v/>
      </c>
      <c r="AO80" s="21">
        <f>IFERROR(S80/P80,"")</f>
        <v/>
      </c>
      <c r="AP80" s="22">
        <f>IF(Y80="","",P80/Y80)</f>
        <v/>
      </c>
      <c r="AQ80" s="39">
        <f>IF(Y80="",0,1)</f>
        <v/>
      </c>
      <c r="AR80" s="39">
        <f>IF(S80&lt;=0,1,0)</f>
        <v/>
      </c>
      <c r="AS80" s="17">
        <f>IF(AH80=1,AG80,"")</f>
        <v/>
      </c>
      <c r="AT80" s="17">
        <f>IF(AND(AH80=0,AJ80=1),AG80,"")</f>
        <v/>
      </c>
      <c r="AU80" s="5">
        <f>IF(P80&lt;10000,"Under $10K",IF(P80&lt;20000,"$10-20K",IF(P80&lt;30000,"$20-30K",IF(P80&lt;50000,"$30-50K",IF(P80&lt;100000,"$50-100K","$100K+")))))</f>
        <v/>
      </c>
      <c r="AV80" s="5">
        <f>IF(O80&lt;=1.35,"1.35 and under",IF(O80&lt;=1.42,"1.36-1.42",IF(O80&lt;=1.45,"1.43-1.45",IF(O80&lt;1.49,"1.46-1.48",IF(O80&lt;=1.49,"1.49","Above 1.49")))))</f>
        <v/>
      </c>
      <c r="AW80" s="5">
        <f>IF(AE80="","",IF(AE80&lt;60,"Under 60",IF(AE80&lt;90,"60-89",IF(AE80&lt;120,"90-119",IF(AE80&lt;150,"120-149","150+")))))</f>
        <v/>
      </c>
      <c r="AX80" s="5">
        <f>IF(AP80="","No revenue data",IF(AP80&lt;0.15,"Under 0.15x",IF(AP80&lt;0.3,"0.15-0.30x",IF(AP80&lt;0.5,"0.30-0.50x",IF(AP80&lt;1,"0.50-1.00x","1.00x+")))))</f>
        <v/>
      </c>
      <c r="AY80" s="5">
        <f>IF(J80="","No SIC",IFERROR(VLOOKUP(J80,Ref!$A$4:$C$67,2,FALSE()),"Unclassified"))</f>
        <v/>
      </c>
      <c r="AZ80" s="5">
        <f>IF(E80="","",TEXT(E80,"YYYY")&amp;"-Q"&amp;ROUNDUP(MONTH(E80)/3,0))</f>
        <v/>
      </c>
      <c r="BA80" s="5">
        <f>IF(E80="","",TEXT(E80,"YYYY-MM"))</f>
        <v/>
      </c>
      <c r="BB80" s="5">
        <f>IF(E80="","",TEXT(E80,"YYYY"))</f>
        <v/>
      </c>
      <c r="BC80" s="92">
        <f>IF($E80="","",NETWORKDAYS($E80,Controls!$B$9,Ref!$F$4:$F$47))</f>
        <v/>
      </c>
      <c r="BD80" s="92">
        <f>IF(OR($AH80=1,$AJ80=1),1,0)</f>
        <v/>
      </c>
      <c r="BE80" s="95">
        <f>IF(OR($BD80=1,AND($AE80&lt;&gt;"",$BC80&gt;=Controls!$B$10*$AE80)),1,0)</f>
        <v/>
      </c>
    </row>
    <row r="81" ht="15.75" customHeight="1" s="79">
      <c r="A81" s="5" t="inlineStr">
        <is>
          <t>5674155206</t>
        </is>
      </c>
      <c r="B81" s="5" t="inlineStr">
        <is>
          <t>Grappling Zone</t>
        </is>
      </c>
      <c r="C81" s="5" t="inlineStr">
        <is>
          <t>Grappling Zone</t>
        </is>
      </c>
      <c r="D81" s="5" t="inlineStr">
        <is>
          <t>Legal</t>
        </is>
      </c>
      <c r="E81" s="16" t="n">
        <v>45764</v>
      </c>
      <c r="F81" s="16" t="n">
        <v>45839</v>
      </c>
      <c r="G81" s="17" t="n">
        <v>1</v>
      </c>
      <c r="H81" s="5" t="inlineStr">
        <is>
          <t>7991</t>
        </is>
      </c>
      <c r="I81" s="5" t="inlineStr">
        <is>
          <t>Fitness and Recreational Sports Centers</t>
        </is>
      </c>
      <c r="J81" s="5" t="inlineStr">
        <is>
          <t>79</t>
        </is>
      </c>
      <c r="K81" s="5" t="n">
        <v>7941</v>
      </c>
      <c r="L81" s="5" t="inlineStr">
        <is>
          <t>TX</t>
        </is>
      </c>
      <c r="M81" s="5" t="inlineStr">
        <is>
          <t>Westwood</t>
        </is>
      </c>
      <c r="N81" s="5" t="inlineStr">
        <is>
          <t>New Deal</t>
        </is>
      </c>
      <c r="O81" s="19" t="n">
        <v>1.49</v>
      </c>
      <c r="P81" s="20" t="n">
        <v>20000</v>
      </c>
      <c r="Q81" s="20" t="n">
        <v>2800</v>
      </c>
      <c r="R81" s="20" t="n">
        <v>29800</v>
      </c>
      <c r="S81" s="20" t="n">
        <v>9188.58</v>
      </c>
      <c r="T81" s="20" t="n">
        <v>20611.42</v>
      </c>
      <c r="U81" s="21" t="n">
        <v>0.308341610738255</v>
      </c>
      <c r="V81" s="22" t="n">
        <v>3.934</v>
      </c>
      <c r="W81" s="17" t="n">
        <v>427</v>
      </c>
      <c r="X81" s="17" t="n">
        <v>14</v>
      </c>
      <c r="Y81" s="5" t="n"/>
      <c r="Z81" s="21" t="n">
        <v>0.2302</v>
      </c>
      <c r="AA81" s="5" t="n"/>
      <c r="AB81" s="5">
        <f>IF(V81="","",IF(V81&lt;12,"Months","Weeks"))</f>
        <v/>
      </c>
      <c r="AC81" s="5">
        <f>IF(AB81="","",IF(AB81="Months","Daily","Weekly"))</f>
        <v/>
      </c>
      <c r="AD81" s="17">
        <f>IF(V81="","",IF(AC81="Daily",V81*Controls!$B$13,V81))</f>
        <v/>
      </c>
      <c r="AE81" s="17">
        <f>IF(V81="","",IF(AC81="Daily",V81*Controls!$B$13,V81*Controls!$B$12))</f>
        <v/>
      </c>
      <c r="AF81" s="17">
        <f>IF(OR(E81="",F81=""),"",F81-E81)</f>
        <v/>
      </c>
      <c r="AG81" s="17">
        <f>IF(OR(E81="",F81=""),"",NETWORKDAYS(E81,F81,Ref!$F$4:$F$47))</f>
        <v/>
      </c>
      <c r="AH81" s="39">
        <f>IF(IFERROR(VLOOKUP(D81,Controls!$A$25:$D$35,2,FALSE()),"No")="Yes",1,0)</f>
        <v/>
      </c>
      <c r="AI81" s="39">
        <f>IF(IFERROR(VLOOKUP(D81,Controls!$A$25:$D$35,3,FALSE()),"No")="Yes",1,0)</f>
        <v/>
      </c>
      <c r="AJ81" s="39">
        <f>IF(IFERROR(VLOOKUP(D81,Controls!$A$25:$D$35,4,FALSE()),"No")="Yes",1,0)</f>
        <v/>
      </c>
      <c r="AK81" s="96">
        <f>IF(AND($E81&gt;=Controls!$B$5,$E81&lt;=Controls!$B$6,OR(Controls!$E$9&lt;&gt;"Y",$BE81=1)),1,0)</f>
        <v/>
      </c>
      <c r="AL81" s="39">
        <f>1</f>
        <v/>
      </c>
      <c r="AM81" s="20">
        <f>S81-P81</f>
        <v/>
      </c>
      <c r="AN81" s="20">
        <f>IF(AH81=1,MAX(0,P81-S81),0)</f>
        <v/>
      </c>
      <c r="AO81" s="21">
        <f>IFERROR(S81/P81,"")</f>
        <v/>
      </c>
      <c r="AP81" s="22">
        <f>IF(Y81="","",P81/Y81)</f>
        <v/>
      </c>
      <c r="AQ81" s="39">
        <f>IF(Y81="",0,1)</f>
        <v/>
      </c>
      <c r="AR81" s="39">
        <f>IF(S81&lt;=0,1,0)</f>
        <v/>
      </c>
      <c r="AS81" s="17">
        <f>IF(AH81=1,AG81,"")</f>
        <v/>
      </c>
      <c r="AT81" s="17">
        <f>IF(AND(AH81=0,AJ81=1),AG81,"")</f>
        <v/>
      </c>
      <c r="AU81" s="5">
        <f>IF(P81&lt;10000,"Under $10K",IF(P81&lt;20000,"$10-20K",IF(P81&lt;30000,"$20-30K",IF(P81&lt;50000,"$30-50K",IF(P81&lt;100000,"$50-100K","$100K+")))))</f>
        <v/>
      </c>
      <c r="AV81" s="5">
        <f>IF(O81&lt;=1.35,"1.35 and under",IF(O81&lt;=1.42,"1.36-1.42",IF(O81&lt;=1.45,"1.43-1.45",IF(O81&lt;1.49,"1.46-1.48",IF(O81&lt;=1.49,"1.49","Above 1.49")))))</f>
        <v/>
      </c>
      <c r="AW81" s="5">
        <f>IF(AE81="","",IF(AE81&lt;60,"Under 60",IF(AE81&lt;90,"60-89",IF(AE81&lt;120,"90-119",IF(AE81&lt;150,"120-149","150+")))))</f>
        <v/>
      </c>
      <c r="AX81" s="5">
        <f>IF(AP81="","No revenue data",IF(AP81&lt;0.15,"Under 0.15x",IF(AP81&lt;0.3,"0.15-0.30x",IF(AP81&lt;0.5,"0.30-0.50x",IF(AP81&lt;1,"0.50-1.00x","1.00x+")))))</f>
        <v/>
      </c>
      <c r="AY81" s="5">
        <f>IF(J81="","No SIC",IFERROR(VLOOKUP(J81,Ref!$A$4:$C$67,2,FALSE()),"Unclassified"))</f>
        <v/>
      </c>
      <c r="AZ81" s="5">
        <f>IF(E81="","",TEXT(E81,"YYYY")&amp;"-Q"&amp;ROUNDUP(MONTH(E81)/3,0))</f>
        <v/>
      </c>
      <c r="BA81" s="5">
        <f>IF(E81="","",TEXT(E81,"YYYY-MM"))</f>
        <v/>
      </c>
      <c r="BB81" s="5">
        <f>IF(E81="","",TEXT(E81,"YYYY"))</f>
        <v/>
      </c>
      <c r="BC81" s="92">
        <f>IF($E81="","",NETWORKDAYS($E81,Controls!$B$9,Ref!$F$4:$F$47))</f>
        <v/>
      </c>
      <c r="BD81" s="92">
        <f>IF(OR($AH81=1,$AJ81=1),1,0)</f>
        <v/>
      </c>
      <c r="BE81" s="95">
        <f>IF(OR($BD81=1,AND($AE81&lt;&gt;"",$BC81&gt;=Controls!$B$10*$AE81)),1,0)</f>
        <v/>
      </c>
    </row>
    <row r="82" ht="15.75" customHeight="1" s="79">
      <c r="A82" s="5" t="inlineStr">
        <is>
          <t>5674155271</t>
        </is>
      </c>
      <c r="B82" s="5" t="inlineStr">
        <is>
          <t>M EASY LOGISTICS LLC</t>
        </is>
      </c>
      <c r="C82" s="5" t="inlineStr">
        <is>
          <t>M EASY LOGISTICS LLC</t>
        </is>
      </c>
      <c r="D82" s="5" t="inlineStr">
        <is>
          <t>Written-Off</t>
        </is>
      </c>
      <c r="E82" s="16" t="n">
        <v>45765</v>
      </c>
      <c r="F82" s="16" t="n">
        <v>45894</v>
      </c>
      <c r="G82" s="17" t="n">
        <v>3</v>
      </c>
      <c r="H82" s="5" t="inlineStr">
        <is>
          <t>4212</t>
        </is>
      </c>
      <c r="I82" s="5" t="inlineStr">
        <is>
          <t>Specialized Freight (Except Used Goods) Trucking, Local</t>
        </is>
      </c>
      <c r="J82" s="5" t="inlineStr">
        <is>
          <t>42</t>
        </is>
      </c>
      <c r="K82" s="5" t="n">
        <v>4214</v>
      </c>
      <c r="L82" s="5" t="inlineStr">
        <is>
          <t>NJ</t>
        </is>
      </c>
      <c r="M82" s="5" t="inlineStr">
        <is>
          <t>PMF</t>
        </is>
      </c>
      <c r="N82" s="5" t="inlineStr">
        <is>
          <t>New Deal</t>
        </is>
      </c>
      <c r="O82" s="19" t="n">
        <v>1.49</v>
      </c>
      <c r="P82" s="20" t="n">
        <v>8000</v>
      </c>
      <c r="Q82" s="20" t="n">
        <v>1120</v>
      </c>
      <c r="R82" s="20" t="n">
        <v>11920</v>
      </c>
      <c r="S82" s="20" t="n">
        <v>11224.71</v>
      </c>
      <c r="T82" s="20" t="n">
        <v>695.290000000001</v>
      </c>
      <c r="U82" s="21" t="n">
        <v>0.9416703020134231</v>
      </c>
      <c r="V82" s="22" t="n">
        <v>1.967</v>
      </c>
      <c r="W82" s="17" t="n">
        <v>359</v>
      </c>
      <c r="X82" s="17" t="n">
        <v>9</v>
      </c>
      <c r="Y82" s="5" t="n"/>
      <c r="Z82" s="21" t="n">
        <v>0.0494</v>
      </c>
      <c r="AA82" s="16" t="n">
        <v>43466</v>
      </c>
      <c r="AB82" s="5">
        <f>IF(V82="","",IF(V82&lt;12,"Months","Weeks"))</f>
        <v/>
      </c>
      <c r="AC82" s="5">
        <f>IF(AB82="","",IF(AB82="Months","Daily","Weekly"))</f>
        <v/>
      </c>
      <c r="AD82" s="17">
        <f>IF(V82="","",IF(AC82="Daily",V82*Controls!$B$13,V82))</f>
        <v/>
      </c>
      <c r="AE82" s="17">
        <f>IF(V82="","",IF(AC82="Daily",V82*Controls!$B$13,V82*Controls!$B$12))</f>
        <v/>
      </c>
      <c r="AF82" s="17">
        <f>IF(OR(E82="",F82=""),"",F82-E82)</f>
        <v/>
      </c>
      <c r="AG82" s="17">
        <f>IF(OR(E82="",F82=""),"",NETWORKDAYS(E82,F82,Ref!$F$4:$F$47))</f>
        <v/>
      </c>
      <c r="AH82" s="39">
        <f>IF(IFERROR(VLOOKUP(D82,Controls!$A$25:$D$35,2,FALSE()),"No")="Yes",1,0)</f>
        <v/>
      </c>
      <c r="AI82" s="39">
        <f>IF(IFERROR(VLOOKUP(D82,Controls!$A$25:$D$35,3,FALSE()),"No")="Yes",1,0)</f>
        <v/>
      </c>
      <c r="AJ82" s="39">
        <f>IF(IFERROR(VLOOKUP(D82,Controls!$A$25:$D$35,4,FALSE()),"No")="Yes",1,0)</f>
        <v/>
      </c>
      <c r="AK82" s="96">
        <f>IF(AND($E82&gt;=Controls!$B$5,$E82&lt;=Controls!$B$6,OR(Controls!$E$9&lt;&gt;"Y",$BE82=1)),1,0)</f>
        <v/>
      </c>
      <c r="AL82" s="39">
        <f>1</f>
        <v/>
      </c>
      <c r="AM82" s="20">
        <f>S82-P82</f>
        <v/>
      </c>
      <c r="AN82" s="20">
        <f>IF(AH82=1,MAX(0,P82-S82),0)</f>
        <v/>
      </c>
      <c r="AO82" s="21">
        <f>IFERROR(S82/P82,"")</f>
        <v/>
      </c>
      <c r="AP82" s="22">
        <f>IF(Y82="","",P82/Y82)</f>
        <v/>
      </c>
      <c r="AQ82" s="39">
        <f>IF(Y82="",0,1)</f>
        <v/>
      </c>
      <c r="AR82" s="39">
        <f>IF(S82&lt;=0,1,0)</f>
        <v/>
      </c>
      <c r="AS82" s="17">
        <f>IF(AH82=1,AG82,"")</f>
        <v/>
      </c>
      <c r="AT82" s="17">
        <f>IF(AND(AH82=0,AJ82=1),AG82,"")</f>
        <v/>
      </c>
      <c r="AU82" s="5">
        <f>IF(P82&lt;10000,"Under $10K",IF(P82&lt;20000,"$10-20K",IF(P82&lt;30000,"$20-30K",IF(P82&lt;50000,"$30-50K",IF(P82&lt;100000,"$50-100K","$100K+")))))</f>
        <v/>
      </c>
      <c r="AV82" s="5">
        <f>IF(O82&lt;=1.35,"1.35 and under",IF(O82&lt;=1.42,"1.36-1.42",IF(O82&lt;=1.45,"1.43-1.45",IF(O82&lt;1.49,"1.46-1.48",IF(O82&lt;=1.49,"1.49","Above 1.49")))))</f>
        <v/>
      </c>
      <c r="AW82" s="5">
        <f>IF(AE82="","",IF(AE82&lt;60,"Under 60",IF(AE82&lt;90,"60-89",IF(AE82&lt;120,"90-119",IF(AE82&lt;150,"120-149","150+")))))</f>
        <v/>
      </c>
      <c r="AX82" s="5">
        <f>IF(AP82="","No revenue data",IF(AP82&lt;0.15,"Under 0.15x",IF(AP82&lt;0.3,"0.15-0.30x",IF(AP82&lt;0.5,"0.30-0.50x",IF(AP82&lt;1,"0.50-1.00x","1.00x+")))))</f>
        <v/>
      </c>
      <c r="AY82" s="5">
        <f>IF(J82="","No SIC",IFERROR(VLOOKUP(J82,Ref!$A$4:$C$67,2,FALSE()),"Unclassified"))</f>
        <v/>
      </c>
      <c r="AZ82" s="5">
        <f>IF(E82="","",TEXT(E82,"YYYY")&amp;"-Q"&amp;ROUNDUP(MONTH(E82)/3,0))</f>
        <v/>
      </c>
      <c r="BA82" s="5">
        <f>IF(E82="","",TEXT(E82,"YYYY-MM"))</f>
        <v/>
      </c>
      <c r="BB82" s="5">
        <f>IF(E82="","",TEXT(E82,"YYYY"))</f>
        <v/>
      </c>
      <c r="BC82" s="92">
        <f>IF($E82="","",NETWORKDAYS($E82,Controls!$B$9,Ref!$F$4:$F$47))</f>
        <v/>
      </c>
      <c r="BD82" s="92">
        <f>IF(OR($AH82=1,$AJ82=1),1,0)</f>
        <v/>
      </c>
      <c r="BE82" s="95">
        <f>IF(OR($BD82=1,AND($AE82&lt;&gt;"",$BC82&gt;=Controls!$B$10*$AE82)),1,0)</f>
        <v/>
      </c>
    </row>
    <row r="83" ht="15.75" customHeight="1" s="79">
      <c r="A83" s="5" t="inlineStr">
        <is>
          <t>5674155318</t>
        </is>
      </c>
      <c r="B83" s="5" t="inlineStr">
        <is>
          <t>Team Green Contracting LLC</t>
        </is>
      </c>
      <c r="C83" s="5" t="inlineStr">
        <is>
          <t>Team Green Contracting LLC</t>
        </is>
      </c>
      <c r="D83" s="5" t="inlineStr">
        <is>
          <t>Closed</t>
        </is>
      </c>
      <c r="E83" s="16" t="n">
        <v>45768</v>
      </c>
      <c r="F83" s="16" t="n">
        <v>45840</v>
      </c>
      <c r="G83" s="17" t="n">
        <v>1</v>
      </c>
      <c r="H83" s="5" t="inlineStr">
        <is>
          <t>1799</t>
        </is>
      </c>
      <c r="I83" s="5" t="inlineStr">
        <is>
          <t>All Other Specialty Trade Contractors</t>
        </is>
      </c>
      <c r="J83" s="5" t="inlineStr">
        <is>
          <t>17</t>
        </is>
      </c>
      <c r="K83" s="5" t="n">
        <v>1799</v>
      </c>
      <c r="L83" s="5" t="inlineStr">
        <is>
          <t>MI</t>
        </is>
      </c>
      <c r="M83" s="5" t="inlineStr">
        <is>
          <t>Vanguard Equities</t>
        </is>
      </c>
      <c r="N83" s="5" t="inlineStr">
        <is>
          <t>New Deal</t>
        </is>
      </c>
      <c r="O83" s="19" t="n">
        <v>1.49</v>
      </c>
      <c r="P83" s="20" t="n">
        <v>3000</v>
      </c>
      <c r="Q83" s="20" t="n">
        <v>420</v>
      </c>
      <c r="R83" s="20" t="n">
        <v>4470</v>
      </c>
      <c r="S83" s="20" t="n">
        <v>4470</v>
      </c>
      <c r="T83" s="20" t="n">
        <v>0</v>
      </c>
      <c r="U83" s="21" t="n">
        <v>1</v>
      </c>
      <c r="V83" s="22" t="n">
        <v>1.639</v>
      </c>
      <c r="W83" s="17" t="n">
        <v>413</v>
      </c>
      <c r="X83" s="17" t="n">
        <v>0</v>
      </c>
      <c r="Y83" s="5" t="n"/>
      <c r="Z83" s="21" t="n">
        <v>0.046</v>
      </c>
      <c r="AA83" s="5" t="n"/>
      <c r="AB83" s="5">
        <f>IF(V83="","",IF(V83&lt;12,"Months","Weeks"))</f>
        <v/>
      </c>
      <c r="AC83" s="5">
        <f>IF(AB83="","",IF(AB83="Months","Daily","Weekly"))</f>
        <v/>
      </c>
      <c r="AD83" s="17">
        <f>IF(V83="","",IF(AC83="Daily",V83*Controls!$B$13,V83))</f>
        <v/>
      </c>
      <c r="AE83" s="17">
        <f>IF(V83="","",IF(AC83="Daily",V83*Controls!$B$13,V83*Controls!$B$12))</f>
        <v/>
      </c>
      <c r="AF83" s="17">
        <f>IF(OR(E83="",F83=""),"",F83-E83)</f>
        <v/>
      </c>
      <c r="AG83" s="17">
        <f>IF(OR(E83="",F83=""),"",NETWORKDAYS(E83,F83,Ref!$F$4:$F$47))</f>
        <v/>
      </c>
      <c r="AH83" s="39">
        <f>IF(IFERROR(VLOOKUP(D83,Controls!$A$25:$D$35,2,FALSE()),"No")="Yes",1,0)</f>
        <v/>
      </c>
      <c r="AI83" s="39">
        <f>IF(IFERROR(VLOOKUP(D83,Controls!$A$25:$D$35,3,FALSE()),"No")="Yes",1,0)</f>
        <v/>
      </c>
      <c r="AJ83" s="39">
        <f>IF(IFERROR(VLOOKUP(D83,Controls!$A$25:$D$35,4,FALSE()),"No")="Yes",1,0)</f>
        <v/>
      </c>
      <c r="AK83" s="96">
        <f>IF(AND($E83&gt;=Controls!$B$5,$E83&lt;=Controls!$B$6,OR(Controls!$E$9&lt;&gt;"Y",$BE83=1)),1,0)</f>
        <v/>
      </c>
      <c r="AL83" s="39">
        <f>1</f>
        <v/>
      </c>
      <c r="AM83" s="20">
        <f>S83-P83</f>
        <v/>
      </c>
      <c r="AN83" s="20">
        <f>IF(AH83=1,MAX(0,P83-S83),0)</f>
        <v/>
      </c>
      <c r="AO83" s="21">
        <f>IFERROR(S83/P83,"")</f>
        <v/>
      </c>
      <c r="AP83" s="22">
        <f>IF(Y83="","",P83/Y83)</f>
        <v/>
      </c>
      <c r="AQ83" s="39">
        <f>IF(Y83="",0,1)</f>
        <v/>
      </c>
      <c r="AR83" s="39">
        <f>IF(S83&lt;=0,1,0)</f>
        <v/>
      </c>
      <c r="AS83" s="17">
        <f>IF(AH83=1,AG83,"")</f>
        <v/>
      </c>
      <c r="AT83" s="17">
        <f>IF(AND(AH83=0,AJ83=1),AG83,"")</f>
        <v/>
      </c>
      <c r="AU83" s="5">
        <f>IF(P83&lt;10000,"Under $10K",IF(P83&lt;20000,"$10-20K",IF(P83&lt;30000,"$20-30K",IF(P83&lt;50000,"$30-50K",IF(P83&lt;100000,"$50-100K","$100K+")))))</f>
        <v/>
      </c>
      <c r="AV83" s="5">
        <f>IF(O83&lt;=1.35,"1.35 and under",IF(O83&lt;=1.42,"1.36-1.42",IF(O83&lt;=1.45,"1.43-1.45",IF(O83&lt;1.49,"1.46-1.48",IF(O83&lt;=1.49,"1.49","Above 1.49")))))</f>
        <v/>
      </c>
      <c r="AW83" s="5">
        <f>IF(AE83="","",IF(AE83&lt;60,"Under 60",IF(AE83&lt;90,"60-89",IF(AE83&lt;120,"90-119",IF(AE83&lt;150,"120-149","150+")))))</f>
        <v/>
      </c>
      <c r="AX83" s="5">
        <f>IF(AP83="","No revenue data",IF(AP83&lt;0.15,"Under 0.15x",IF(AP83&lt;0.3,"0.15-0.30x",IF(AP83&lt;0.5,"0.30-0.50x",IF(AP83&lt;1,"0.50-1.00x","1.00x+")))))</f>
        <v/>
      </c>
      <c r="AY83" s="5">
        <f>IF(J83="","No SIC",IFERROR(VLOOKUP(J83,Ref!$A$4:$C$67,2,FALSE()),"Unclassified"))</f>
        <v/>
      </c>
      <c r="AZ83" s="5">
        <f>IF(E83="","",TEXT(E83,"YYYY")&amp;"-Q"&amp;ROUNDUP(MONTH(E83)/3,0))</f>
        <v/>
      </c>
      <c r="BA83" s="5">
        <f>IF(E83="","",TEXT(E83,"YYYY-MM"))</f>
        <v/>
      </c>
      <c r="BB83" s="5">
        <f>IF(E83="","",TEXT(E83,"YYYY"))</f>
        <v/>
      </c>
      <c r="BC83" s="92">
        <f>IF($E83="","",NETWORKDAYS($E83,Controls!$B$9,Ref!$F$4:$F$47))</f>
        <v/>
      </c>
      <c r="BD83" s="92">
        <f>IF(OR($AH83=1,$AJ83=1),1,0)</f>
        <v/>
      </c>
      <c r="BE83" s="95">
        <f>IF(OR($BD83=1,AND($AE83&lt;&gt;"",$BC83&gt;=Controls!$B$10*$AE83)),1,0)</f>
        <v/>
      </c>
    </row>
    <row r="84" ht="15.75" customHeight="1" s="79">
      <c r="A84" s="5" t="inlineStr">
        <is>
          <t>5674155368</t>
        </is>
      </c>
      <c r="B84" s="5" t="inlineStr">
        <is>
          <t>CLOUD IX SALON</t>
        </is>
      </c>
      <c r="C84" s="5" t="inlineStr">
        <is>
          <t>IX LLC</t>
        </is>
      </c>
      <c r="D84" s="5" t="inlineStr">
        <is>
          <t>Bankruptcy</t>
        </is>
      </c>
      <c r="E84" s="16" t="n">
        <v>45768</v>
      </c>
      <c r="F84" s="16" t="n">
        <v>45883</v>
      </c>
      <c r="G84" s="17" t="n">
        <v>4</v>
      </c>
      <c r="H84" s="5" t="inlineStr">
        <is>
          <t>7231</t>
        </is>
      </c>
      <c r="I84" s="5" t="inlineStr">
        <is>
          <t>Beauty Salons</t>
        </is>
      </c>
      <c r="J84" s="5" t="inlineStr">
        <is>
          <t>72</t>
        </is>
      </c>
      <c r="K84" s="5" t="n">
        <v>7230</v>
      </c>
      <c r="L84" s="5" t="inlineStr">
        <is>
          <t>FL</t>
        </is>
      </c>
      <c r="M84" s="5" t="inlineStr">
        <is>
          <t>GREYSTONE</t>
        </is>
      </c>
      <c r="N84" s="5" t="inlineStr">
        <is>
          <t>New Deal</t>
        </is>
      </c>
      <c r="O84" s="19" t="n">
        <v>1.49</v>
      </c>
      <c r="P84" s="20" t="n">
        <v>15000</v>
      </c>
      <c r="Q84" s="20" t="n">
        <v>2100</v>
      </c>
      <c r="R84" s="20" t="n">
        <v>22350</v>
      </c>
      <c r="S84" s="20" t="n">
        <v>6166.26</v>
      </c>
      <c r="T84" s="20" t="n">
        <v>16183.74</v>
      </c>
      <c r="U84" s="21" t="n">
        <v>0.275895302013423</v>
      </c>
      <c r="V84" s="22" t="n">
        <v>1.803</v>
      </c>
      <c r="W84" s="17" t="n">
        <v>462</v>
      </c>
      <c r="X84" s="17" t="n">
        <v>25</v>
      </c>
      <c r="Y84" s="5" t="n"/>
      <c r="Z84" s="21" t="n">
        <v>0.0514</v>
      </c>
      <c r="AA84" s="16" t="n">
        <v>45402</v>
      </c>
      <c r="AB84" s="5">
        <f>IF(V84="","",IF(V84&lt;12,"Months","Weeks"))</f>
        <v/>
      </c>
      <c r="AC84" s="5">
        <f>IF(AB84="","",IF(AB84="Months","Daily","Weekly"))</f>
        <v/>
      </c>
      <c r="AD84" s="17">
        <f>IF(V84="","",IF(AC84="Daily",V84*Controls!$B$13,V84))</f>
        <v/>
      </c>
      <c r="AE84" s="17">
        <f>IF(V84="","",IF(AC84="Daily",V84*Controls!$B$13,V84*Controls!$B$12))</f>
        <v/>
      </c>
      <c r="AF84" s="17">
        <f>IF(OR(E84="",F84=""),"",F84-E84)</f>
        <v/>
      </c>
      <c r="AG84" s="17">
        <f>IF(OR(E84="",F84=""),"",NETWORKDAYS(E84,F84,Ref!$F$4:$F$47))</f>
        <v/>
      </c>
      <c r="AH84" s="39">
        <f>IF(IFERROR(VLOOKUP(D84,Controls!$A$25:$D$35,2,FALSE()),"No")="Yes",1,0)</f>
        <v/>
      </c>
      <c r="AI84" s="39">
        <f>IF(IFERROR(VLOOKUP(D84,Controls!$A$25:$D$35,3,FALSE()),"No")="Yes",1,0)</f>
        <v/>
      </c>
      <c r="AJ84" s="39">
        <f>IF(IFERROR(VLOOKUP(D84,Controls!$A$25:$D$35,4,FALSE()),"No")="Yes",1,0)</f>
        <v/>
      </c>
      <c r="AK84" s="96">
        <f>IF(AND($E84&gt;=Controls!$B$5,$E84&lt;=Controls!$B$6,OR(Controls!$E$9&lt;&gt;"Y",$BE84=1)),1,0)</f>
        <v/>
      </c>
      <c r="AL84" s="39">
        <f>1</f>
        <v/>
      </c>
      <c r="AM84" s="20">
        <f>S84-P84</f>
        <v/>
      </c>
      <c r="AN84" s="20">
        <f>IF(AH84=1,MAX(0,P84-S84),0)</f>
        <v/>
      </c>
      <c r="AO84" s="21">
        <f>IFERROR(S84/P84,"")</f>
        <v/>
      </c>
      <c r="AP84" s="22">
        <f>IF(Y84="","",P84/Y84)</f>
        <v/>
      </c>
      <c r="AQ84" s="39">
        <f>IF(Y84="",0,1)</f>
        <v/>
      </c>
      <c r="AR84" s="39">
        <f>IF(S84&lt;=0,1,0)</f>
        <v/>
      </c>
      <c r="AS84" s="17">
        <f>IF(AH84=1,AG84,"")</f>
        <v/>
      </c>
      <c r="AT84" s="17">
        <f>IF(AND(AH84=0,AJ84=1),AG84,"")</f>
        <v/>
      </c>
      <c r="AU84" s="5">
        <f>IF(P84&lt;10000,"Under $10K",IF(P84&lt;20000,"$10-20K",IF(P84&lt;30000,"$20-30K",IF(P84&lt;50000,"$30-50K",IF(P84&lt;100000,"$50-100K","$100K+")))))</f>
        <v/>
      </c>
      <c r="AV84" s="5">
        <f>IF(O84&lt;=1.35,"1.35 and under",IF(O84&lt;=1.42,"1.36-1.42",IF(O84&lt;=1.45,"1.43-1.45",IF(O84&lt;1.49,"1.46-1.48",IF(O84&lt;=1.49,"1.49","Above 1.49")))))</f>
        <v/>
      </c>
      <c r="AW84" s="5">
        <f>IF(AE84="","",IF(AE84&lt;60,"Under 60",IF(AE84&lt;90,"60-89",IF(AE84&lt;120,"90-119",IF(AE84&lt;150,"120-149","150+")))))</f>
        <v/>
      </c>
      <c r="AX84" s="5">
        <f>IF(AP84="","No revenue data",IF(AP84&lt;0.15,"Under 0.15x",IF(AP84&lt;0.3,"0.15-0.30x",IF(AP84&lt;0.5,"0.30-0.50x",IF(AP84&lt;1,"0.50-1.00x","1.00x+")))))</f>
        <v/>
      </c>
      <c r="AY84" s="5">
        <f>IF(J84="","No SIC",IFERROR(VLOOKUP(J84,Ref!$A$4:$C$67,2,FALSE()),"Unclassified"))</f>
        <v/>
      </c>
      <c r="AZ84" s="5">
        <f>IF(E84="","",TEXT(E84,"YYYY")&amp;"-Q"&amp;ROUNDUP(MONTH(E84)/3,0))</f>
        <v/>
      </c>
      <c r="BA84" s="5">
        <f>IF(E84="","",TEXT(E84,"YYYY-MM"))</f>
        <v/>
      </c>
      <c r="BB84" s="5">
        <f>IF(E84="","",TEXT(E84,"YYYY"))</f>
        <v/>
      </c>
      <c r="BC84" s="92">
        <f>IF($E84="","",NETWORKDAYS($E84,Controls!$B$9,Ref!$F$4:$F$47))</f>
        <v/>
      </c>
      <c r="BD84" s="92">
        <f>IF(OR($AH84=1,$AJ84=1),1,0)</f>
        <v/>
      </c>
      <c r="BE84" s="95">
        <f>IF(OR($BD84=1,AND($AE84&lt;&gt;"",$BC84&gt;=Controls!$B$10*$AE84)),1,0)</f>
        <v/>
      </c>
    </row>
    <row r="85" ht="15.75" customHeight="1" s="79">
      <c r="A85" s="5" t="inlineStr">
        <is>
          <t>5674155538</t>
        </is>
      </c>
      <c r="B85" s="71" t="inlineStr">
        <is>
          <t>﻿AlwaysHungry</t>
        </is>
      </c>
      <c r="C85" s="71" t="inlineStr">
        <is>
          <t>﻿AlwaysHungry</t>
        </is>
      </c>
      <c r="D85" s="5" t="inlineStr">
        <is>
          <t>Closed</t>
        </is>
      </c>
      <c r="E85" s="16" t="n">
        <v>45770</v>
      </c>
      <c r="F85" s="16" t="n">
        <v>45986</v>
      </c>
      <c r="G85" s="17" t="n">
        <v>2</v>
      </c>
      <c r="H85" s="5" t="inlineStr">
        <is>
          <t>5812</t>
        </is>
      </c>
      <c r="I85" s="5" t="inlineStr">
        <is>
          <t>Snack and Nonalcoholic Beverage Bars</t>
        </is>
      </c>
      <c r="J85" s="5" t="inlineStr">
        <is>
          <t>58</t>
        </is>
      </c>
      <c r="K85" s="5" t="n">
        <v>5812</v>
      </c>
      <c r="L85" s="5" t="inlineStr">
        <is>
          <t>CA</t>
        </is>
      </c>
      <c r="M85" s="5" t="inlineStr">
        <is>
          <t>Platform Funding</t>
        </is>
      </c>
      <c r="N85" s="5" t="inlineStr">
        <is>
          <t>New Deal</t>
        </is>
      </c>
      <c r="O85" s="19" t="n">
        <v>1.39</v>
      </c>
      <c r="P85" s="20" t="n">
        <v>36000</v>
      </c>
      <c r="Q85" s="20" t="n">
        <v>3240</v>
      </c>
      <c r="R85" s="20" t="n">
        <v>50040</v>
      </c>
      <c r="S85" s="20" t="n">
        <v>50040</v>
      </c>
      <c r="T85" s="20" t="n">
        <v>0</v>
      </c>
      <c r="U85" s="21" t="n">
        <v>1</v>
      </c>
      <c r="V85" s="22" t="n">
        <v>30</v>
      </c>
      <c r="W85" s="17" t="n">
        <v>267</v>
      </c>
      <c r="X85" s="17" t="n">
        <v>0</v>
      </c>
      <c r="Y85" s="5" t="n"/>
      <c r="Z85" s="21" t="n">
        <v>0.1247</v>
      </c>
      <c r="AA85" s="16" t="n">
        <v>44845</v>
      </c>
      <c r="AB85" s="5">
        <f>IF(V85="","",IF(V85&lt;12,"Months","Weeks"))</f>
        <v/>
      </c>
      <c r="AC85" s="5">
        <f>IF(AB85="","",IF(AB85="Months","Daily","Weekly"))</f>
        <v/>
      </c>
      <c r="AD85" s="17">
        <f>IF(V85="","",IF(AC85="Daily",V85*Controls!$B$13,V85))</f>
        <v/>
      </c>
      <c r="AE85" s="17">
        <f>IF(V85="","",IF(AC85="Daily",V85*Controls!$B$13,V85*Controls!$B$12))</f>
        <v/>
      </c>
      <c r="AF85" s="17">
        <f>IF(OR(E85="",F85=""),"",F85-E85)</f>
        <v/>
      </c>
      <c r="AG85" s="17">
        <f>IF(OR(E85="",F85=""),"",NETWORKDAYS(E85,F85,Ref!$F$4:$F$47))</f>
        <v/>
      </c>
      <c r="AH85" s="39">
        <f>IF(IFERROR(VLOOKUP(D85,Controls!$A$25:$D$35,2,FALSE()),"No")="Yes",1,0)</f>
        <v/>
      </c>
      <c r="AI85" s="39">
        <f>IF(IFERROR(VLOOKUP(D85,Controls!$A$25:$D$35,3,FALSE()),"No")="Yes",1,0)</f>
        <v/>
      </c>
      <c r="AJ85" s="39">
        <f>IF(IFERROR(VLOOKUP(D85,Controls!$A$25:$D$35,4,FALSE()),"No")="Yes",1,0)</f>
        <v/>
      </c>
      <c r="AK85" s="96">
        <f>IF(AND($E85&gt;=Controls!$B$5,$E85&lt;=Controls!$B$6,OR(Controls!$E$9&lt;&gt;"Y",$BE85=1)),1,0)</f>
        <v/>
      </c>
      <c r="AL85" s="39">
        <f>1</f>
        <v/>
      </c>
      <c r="AM85" s="20">
        <f>S85-P85</f>
        <v/>
      </c>
      <c r="AN85" s="20">
        <f>IF(AH85=1,MAX(0,P85-S85),0)</f>
        <v/>
      </c>
      <c r="AO85" s="21">
        <f>IFERROR(S85/P85,"")</f>
        <v/>
      </c>
      <c r="AP85" s="22">
        <f>IF(Y85="","",P85/Y85)</f>
        <v/>
      </c>
      <c r="AQ85" s="39">
        <f>IF(Y85="",0,1)</f>
        <v/>
      </c>
      <c r="AR85" s="39">
        <f>IF(S85&lt;=0,1,0)</f>
        <v/>
      </c>
      <c r="AS85" s="17">
        <f>IF(AH85=1,AG85,"")</f>
        <v/>
      </c>
      <c r="AT85" s="17">
        <f>IF(AND(AH85=0,AJ85=1),AG85,"")</f>
        <v/>
      </c>
      <c r="AU85" s="5">
        <f>IF(P85&lt;10000,"Under $10K",IF(P85&lt;20000,"$10-20K",IF(P85&lt;30000,"$20-30K",IF(P85&lt;50000,"$30-50K",IF(P85&lt;100000,"$50-100K","$100K+")))))</f>
        <v/>
      </c>
      <c r="AV85" s="5">
        <f>IF(O85&lt;=1.35,"1.35 and under",IF(O85&lt;=1.42,"1.36-1.42",IF(O85&lt;=1.45,"1.43-1.45",IF(O85&lt;1.49,"1.46-1.48",IF(O85&lt;=1.49,"1.49","Above 1.49")))))</f>
        <v/>
      </c>
      <c r="AW85" s="5">
        <f>IF(AE85="","",IF(AE85&lt;60,"Under 60",IF(AE85&lt;90,"60-89",IF(AE85&lt;120,"90-119",IF(AE85&lt;150,"120-149","150+")))))</f>
        <v/>
      </c>
      <c r="AX85" s="5">
        <f>IF(AP85="","No revenue data",IF(AP85&lt;0.15,"Under 0.15x",IF(AP85&lt;0.3,"0.15-0.30x",IF(AP85&lt;0.5,"0.30-0.50x",IF(AP85&lt;1,"0.50-1.00x","1.00x+")))))</f>
        <v/>
      </c>
      <c r="AY85" s="5">
        <f>IF(J85="","No SIC",IFERROR(VLOOKUP(J85,Ref!$A$4:$C$67,2,FALSE()),"Unclassified"))</f>
        <v/>
      </c>
      <c r="AZ85" s="5">
        <f>IF(E85="","",TEXT(E85,"YYYY")&amp;"-Q"&amp;ROUNDUP(MONTH(E85)/3,0))</f>
        <v/>
      </c>
      <c r="BA85" s="5">
        <f>IF(E85="","",TEXT(E85,"YYYY-MM"))</f>
        <v/>
      </c>
      <c r="BB85" s="5">
        <f>IF(E85="","",TEXT(E85,"YYYY"))</f>
        <v/>
      </c>
      <c r="BC85" s="92">
        <f>IF($E85="","",NETWORKDAYS($E85,Controls!$B$9,Ref!$F$4:$F$47))</f>
        <v/>
      </c>
      <c r="BD85" s="92">
        <f>IF(OR($AH85=1,$AJ85=1),1,0)</f>
        <v/>
      </c>
      <c r="BE85" s="95">
        <f>IF(OR($BD85=1,AND($AE85&lt;&gt;"",$BC85&gt;=Controls!$B$10*$AE85)),1,0)</f>
        <v/>
      </c>
    </row>
    <row r="86" ht="15.75" customHeight="1" s="79">
      <c r="A86" s="5" t="inlineStr">
        <is>
          <t>5674155549</t>
        </is>
      </c>
      <c r="B86" s="5" t="inlineStr">
        <is>
          <t>TWO STATES TACO LLC</t>
        </is>
      </c>
      <c r="C86" s="5" t="inlineStr">
        <is>
          <t>TWO STATES TACO LLC</t>
        </is>
      </c>
      <c r="D86" s="5" t="inlineStr">
        <is>
          <t>Legal</t>
        </is>
      </c>
      <c r="E86" s="16" t="n">
        <v>45770</v>
      </c>
      <c r="F86" s="16" t="n">
        <v>45908</v>
      </c>
      <c r="G86" s="17" t="n">
        <v>3</v>
      </c>
      <c r="H86" s="5" t="inlineStr">
        <is>
          <t>5812</t>
        </is>
      </c>
      <c r="I86" s="5" t="inlineStr">
        <is>
          <t>Snack and Nonalcoholic Beverage Bars</t>
        </is>
      </c>
      <c r="J86" s="5" t="inlineStr">
        <is>
          <t>58</t>
        </is>
      </c>
      <c r="K86" s="5" t="n">
        <v>5812</v>
      </c>
      <c r="L86" s="5" t="inlineStr">
        <is>
          <t>VA</t>
        </is>
      </c>
      <c r="M86" s="5" t="inlineStr">
        <is>
          <t>City Wide Capital</t>
        </is>
      </c>
      <c r="N86" s="5" t="inlineStr">
        <is>
          <t>New Deal</t>
        </is>
      </c>
      <c r="O86" s="19" t="n">
        <v>1.49</v>
      </c>
      <c r="P86" s="20" t="n">
        <v>15000</v>
      </c>
      <c r="Q86" s="20" t="n">
        <v>2100</v>
      </c>
      <c r="R86" s="20" t="n">
        <v>22350</v>
      </c>
      <c r="S86" s="20" t="n">
        <v>7982.25</v>
      </c>
      <c r="T86" s="20" t="n">
        <v>14367.75</v>
      </c>
      <c r="U86" s="21" t="n">
        <v>0.357147651006711</v>
      </c>
      <c r="V86" s="22" t="n">
        <v>2.295</v>
      </c>
      <c r="W86" s="17" t="n">
        <v>419</v>
      </c>
      <c r="X86" s="17" t="n">
        <v>58</v>
      </c>
      <c r="Y86" s="5" t="n"/>
      <c r="Z86" s="21" t="n">
        <v>0.137</v>
      </c>
      <c r="AA86" s="16" t="n">
        <v>44713</v>
      </c>
      <c r="AB86" s="5">
        <f>IF(V86="","",IF(V86&lt;12,"Months","Weeks"))</f>
        <v/>
      </c>
      <c r="AC86" s="5">
        <f>IF(AB86="","",IF(AB86="Months","Daily","Weekly"))</f>
        <v/>
      </c>
      <c r="AD86" s="17">
        <f>IF(V86="","",IF(AC86="Daily",V86*Controls!$B$13,V86))</f>
        <v/>
      </c>
      <c r="AE86" s="17">
        <f>IF(V86="","",IF(AC86="Daily",V86*Controls!$B$13,V86*Controls!$B$12))</f>
        <v/>
      </c>
      <c r="AF86" s="17">
        <f>IF(OR(E86="",F86=""),"",F86-E86)</f>
        <v/>
      </c>
      <c r="AG86" s="17">
        <f>IF(OR(E86="",F86=""),"",NETWORKDAYS(E86,F86,Ref!$F$4:$F$47))</f>
        <v/>
      </c>
      <c r="AH86" s="39">
        <f>IF(IFERROR(VLOOKUP(D86,Controls!$A$25:$D$35,2,FALSE()),"No")="Yes",1,0)</f>
        <v/>
      </c>
      <c r="AI86" s="39">
        <f>IF(IFERROR(VLOOKUP(D86,Controls!$A$25:$D$35,3,FALSE()),"No")="Yes",1,0)</f>
        <v/>
      </c>
      <c r="AJ86" s="39">
        <f>IF(IFERROR(VLOOKUP(D86,Controls!$A$25:$D$35,4,FALSE()),"No")="Yes",1,0)</f>
        <v/>
      </c>
      <c r="AK86" s="96">
        <f>IF(AND($E86&gt;=Controls!$B$5,$E86&lt;=Controls!$B$6,OR(Controls!$E$9&lt;&gt;"Y",$BE86=1)),1,0)</f>
        <v/>
      </c>
      <c r="AL86" s="39">
        <f>1</f>
        <v/>
      </c>
      <c r="AM86" s="20">
        <f>S86-P86</f>
        <v/>
      </c>
      <c r="AN86" s="20">
        <f>IF(AH86=1,MAX(0,P86-S86),0)</f>
        <v/>
      </c>
      <c r="AO86" s="21">
        <f>IFERROR(S86/P86,"")</f>
        <v/>
      </c>
      <c r="AP86" s="22">
        <f>IF(Y86="","",P86/Y86)</f>
        <v/>
      </c>
      <c r="AQ86" s="39">
        <f>IF(Y86="",0,1)</f>
        <v/>
      </c>
      <c r="AR86" s="39">
        <f>IF(S86&lt;=0,1,0)</f>
        <v/>
      </c>
      <c r="AS86" s="17">
        <f>IF(AH86=1,AG86,"")</f>
        <v/>
      </c>
      <c r="AT86" s="17">
        <f>IF(AND(AH86=0,AJ86=1),AG86,"")</f>
        <v/>
      </c>
      <c r="AU86" s="5">
        <f>IF(P86&lt;10000,"Under $10K",IF(P86&lt;20000,"$10-20K",IF(P86&lt;30000,"$20-30K",IF(P86&lt;50000,"$30-50K",IF(P86&lt;100000,"$50-100K","$100K+")))))</f>
        <v/>
      </c>
      <c r="AV86" s="5">
        <f>IF(O86&lt;=1.35,"1.35 and under",IF(O86&lt;=1.42,"1.36-1.42",IF(O86&lt;=1.45,"1.43-1.45",IF(O86&lt;1.49,"1.46-1.48",IF(O86&lt;=1.49,"1.49","Above 1.49")))))</f>
        <v/>
      </c>
      <c r="AW86" s="5">
        <f>IF(AE86="","",IF(AE86&lt;60,"Under 60",IF(AE86&lt;90,"60-89",IF(AE86&lt;120,"90-119",IF(AE86&lt;150,"120-149","150+")))))</f>
        <v/>
      </c>
      <c r="AX86" s="5">
        <f>IF(AP86="","No revenue data",IF(AP86&lt;0.15,"Under 0.15x",IF(AP86&lt;0.3,"0.15-0.30x",IF(AP86&lt;0.5,"0.30-0.50x",IF(AP86&lt;1,"0.50-1.00x","1.00x+")))))</f>
        <v/>
      </c>
      <c r="AY86" s="5">
        <f>IF(J86="","No SIC",IFERROR(VLOOKUP(J86,Ref!$A$4:$C$67,2,FALSE()),"Unclassified"))</f>
        <v/>
      </c>
      <c r="AZ86" s="5">
        <f>IF(E86="","",TEXT(E86,"YYYY")&amp;"-Q"&amp;ROUNDUP(MONTH(E86)/3,0))</f>
        <v/>
      </c>
      <c r="BA86" s="5">
        <f>IF(E86="","",TEXT(E86,"YYYY-MM"))</f>
        <v/>
      </c>
      <c r="BB86" s="5">
        <f>IF(E86="","",TEXT(E86,"YYYY"))</f>
        <v/>
      </c>
      <c r="BC86" s="92">
        <f>IF($E86="","",NETWORKDAYS($E86,Controls!$B$9,Ref!$F$4:$F$47))</f>
        <v/>
      </c>
      <c r="BD86" s="92">
        <f>IF(OR($AH86=1,$AJ86=1),1,0)</f>
        <v/>
      </c>
      <c r="BE86" s="95">
        <f>IF(OR($BD86=1,AND($AE86&lt;&gt;"",$BC86&gt;=Controls!$B$10*$AE86)),1,0)</f>
        <v/>
      </c>
    </row>
    <row r="87" ht="15.75" customHeight="1" s="79">
      <c r="A87" s="5" t="inlineStr">
        <is>
          <t>5674155635</t>
        </is>
      </c>
      <c r="B87" s="5" t="inlineStr">
        <is>
          <t>Vivid Retro Customs</t>
        </is>
      </c>
      <c r="C87" s="5" t="inlineStr">
        <is>
          <t>Vivid Retro Customs</t>
        </is>
      </c>
      <c r="D87" s="5" t="inlineStr">
        <is>
          <t>Closed</t>
        </is>
      </c>
      <c r="E87" s="16" t="n">
        <v>45771</v>
      </c>
      <c r="F87" s="16" t="n">
        <v>45881</v>
      </c>
      <c r="G87" s="17" t="n">
        <v>5</v>
      </c>
      <c r="H87" s="5" t="inlineStr">
        <is>
          <t>7532</t>
        </is>
      </c>
      <c r="I87" s="5" t="inlineStr">
        <is>
          <t>Automotive Body, Paint, and Interior Repair and Maintenance</t>
        </is>
      </c>
      <c r="J87" s="5" t="inlineStr">
        <is>
          <t>75</t>
        </is>
      </c>
      <c r="K87" s="5" t="n">
        <v>7531</v>
      </c>
      <c r="L87" s="5" t="inlineStr">
        <is>
          <t>CO</t>
        </is>
      </c>
      <c r="M87" s="5" t="inlineStr">
        <is>
          <t>Black Tie Funding</t>
        </is>
      </c>
      <c r="N87" s="5" t="inlineStr">
        <is>
          <t>New Deal</t>
        </is>
      </c>
      <c r="O87" s="19" t="n">
        <v>1.49</v>
      </c>
      <c r="P87" s="20" t="n">
        <v>11000</v>
      </c>
      <c r="Q87" s="20" t="n">
        <v>1540</v>
      </c>
      <c r="R87" s="20" t="n">
        <v>16390</v>
      </c>
      <c r="S87" s="20" t="n">
        <v>16390</v>
      </c>
      <c r="T87" s="20" t="n">
        <v>0</v>
      </c>
      <c r="U87" s="21" t="n">
        <v>1</v>
      </c>
      <c r="V87" s="22" t="n">
        <v>2.459</v>
      </c>
      <c r="W87" s="17" t="n">
        <v>372</v>
      </c>
      <c r="X87" s="17" t="n">
        <v>0</v>
      </c>
      <c r="Y87" s="5" t="n"/>
      <c r="Z87" s="21" t="n">
        <v>0.0512</v>
      </c>
      <c r="AA87" s="16" t="n">
        <v>44317</v>
      </c>
      <c r="AB87" s="5">
        <f>IF(V87="","",IF(V87&lt;12,"Months","Weeks"))</f>
        <v/>
      </c>
      <c r="AC87" s="5">
        <f>IF(AB87="","",IF(AB87="Months","Daily","Weekly"))</f>
        <v/>
      </c>
      <c r="AD87" s="17">
        <f>IF(V87="","",IF(AC87="Daily",V87*Controls!$B$13,V87))</f>
        <v/>
      </c>
      <c r="AE87" s="17">
        <f>IF(V87="","",IF(AC87="Daily",V87*Controls!$B$13,V87*Controls!$B$12))</f>
        <v/>
      </c>
      <c r="AF87" s="17">
        <f>IF(OR(E87="",F87=""),"",F87-E87)</f>
        <v/>
      </c>
      <c r="AG87" s="17">
        <f>IF(OR(E87="",F87=""),"",NETWORKDAYS(E87,F87,Ref!$F$4:$F$47))</f>
        <v/>
      </c>
      <c r="AH87" s="39">
        <f>IF(IFERROR(VLOOKUP(D87,Controls!$A$25:$D$35,2,FALSE()),"No")="Yes",1,0)</f>
        <v/>
      </c>
      <c r="AI87" s="39">
        <f>IF(IFERROR(VLOOKUP(D87,Controls!$A$25:$D$35,3,FALSE()),"No")="Yes",1,0)</f>
        <v/>
      </c>
      <c r="AJ87" s="39">
        <f>IF(IFERROR(VLOOKUP(D87,Controls!$A$25:$D$35,4,FALSE()),"No")="Yes",1,0)</f>
        <v/>
      </c>
      <c r="AK87" s="96">
        <f>IF(AND($E87&gt;=Controls!$B$5,$E87&lt;=Controls!$B$6,OR(Controls!$E$9&lt;&gt;"Y",$BE87=1)),1,0)</f>
        <v/>
      </c>
      <c r="AL87" s="39">
        <f>1</f>
        <v/>
      </c>
      <c r="AM87" s="20">
        <f>S87-P87</f>
        <v/>
      </c>
      <c r="AN87" s="20">
        <f>IF(AH87=1,MAX(0,P87-S87),0)</f>
        <v/>
      </c>
      <c r="AO87" s="21">
        <f>IFERROR(S87/P87,"")</f>
        <v/>
      </c>
      <c r="AP87" s="22">
        <f>IF(Y87="","",P87/Y87)</f>
        <v/>
      </c>
      <c r="AQ87" s="39">
        <f>IF(Y87="",0,1)</f>
        <v/>
      </c>
      <c r="AR87" s="39">
        <f>IF(S87&lt;=0,1,0)</f>
        <v/>
      </c>
      <c r="AS87" s="17">
        <f>IF(AH87=1,AG87,"")</f>
        <v/>
      </c>
      <c r="AT87" s="17">
        <f>IF(AND(AH87=0,AJ87=1),AG87,"")</f>
        <v/>
      </c>
      <c r="AU87" s="5">
        <f>IF(P87&lt;10000,"Under $10K",IF(P87&lt;20000,"$10-20K",IF(P87&lt;30000,"$20-30K",IF(P87&lt;50000,"$30-50K",IF(P87&lt;100000,"$50-100K","$100K+")))))</f>
        <v/>
      </c>
      <c r="AV87" s="5">
        <f>IF(O87&lt;=1.35,"1.35 and under",IF(O87&lt;=1.42,"1.36-1.42",IF(O87&lt;=1.45,"1.43-1.45",IF(O87&lt;1.49,"1.46-1.48",IF(O87&lt;=1.49,"1.49","Above 1.49")))))</f>
        <v/>
      </c>
      <c r="AW87" s="5">
        <f>IF(AE87="","",IF(AE87&lt;60,"Under 60",IF(AE87&lt;90,"60-89",IF(AE87&lt;120,"90-119",IF(AE87&lt;150,"120-149","150+")))))</f>
        <v/>
      </c>
      <c r="AX87" s="5">
        <f>IF(AP87="","No revenue data",IF(AP87&lt;0.15,"Under 0.15x",IF(AP87&lt;0.3,"0.15-0.30x",IF(AP87&lt;0.5,"0.30-0.50x",IF(AP87&lt;1,"0.50-1.00x","1.00x+")))))</f>
        <v/>
      </c>
      <c r="AY87" s="5">
        <f>IF(J87="","No SIC",IFERROR(VLOOKUP(J87,Ref!$A$4:$C$67,2,FALSE()),"Unclassified"))</f>
        <v/>
      </c>
      <c r="AZ87" s="5">
        <f>IF(E87="","",TEXT(E87,"YYYY")&amp;"-Q"&amp;ROUNDUP(MONTH(E87)/3,0))</f>
        <v/>
      </c>
      <c r="BA87" s="5">
        <f>IF(E87="","",TEXT(E87,"YYYY-MM"))</f>
        <v/>
      </c>
      <c r="BB87" s="5">
        <f>IF(E87="","",TEXT(E87,"YYYY"))</f>
        <v/>
      </c>
      <c r="BC87" s="92">
        <f>IF($E87="","",NETWORKDAYS($E87,Controls!$B$9,Ref!$F$4:$F$47))</f>
        <v/>
      </c>
      <c r="BD87" s="92">
        <f>IF(OR($AH87=1,$AJ87=1),1,0)</f>
        <v/>
      </c>
      <c r="BE87" s="95">
        <f>IF(OR($BD87=1,AND($AE87&lt;&gt;"",$BC87&gt;=Controls!$B$10*$AE87)),1,0)</f>
        <v/>
      </c>
    </row>
    <row r="88" ht="15.75" customHeight="1" s="79">
      <c r="A88" s="5" t="inlineStr">
        <is>
          <t>5674155766</t>
        </is>
      </c>
      <c r="B88" s="5" t="inlineStr">
        <is>
          <t>Arete Gallery Inc</t>
        </is>
      </c>
      <c r="C88" s="5" t="inlineStr">
        <is>
          <t>Arete Gallery Inc</t>
        </is>
      </c>
      <c r="D88" s="5" t="inlineStr">
        <is>
          <t>Closed</t>
        </is>
      </c>
      <c r="E88" s="16" t="n">
        <v>45772</v>
      </c>
      <c r="F88" s="16" t="n">
        <v>45862</v>
      </c>
      <c r="G88" s="17" t="n">
        <v>4</v>
      </c>
      <c r="H88" s="5" t="inlineStr">
        <is>
          <t>8412</t>
        </is>
      </c>
      <c r="I88" s="5" t="inlineStr">
        <is>
          <t>Museums</t>
        </is>
      </c>
      <c r="J88" s="5" t="inlineStr">
        <is>
          <t>84</t>
        </is>
      </c>
      <c r="K88" s="5" t="n">
        <v>5971</v>
      </c>
      <c r="L88" s="5" t="inlineStr">
        <is>
          <t>PA</t>
        </is>
      </c>
      <c r="M88" s="5" t="inlineStr">
        <is>
          <t>Pathway Catalyst</t>
        </is>
      </c>
      <c r="N88" s="5" t="inlineStr">
        <is>
          <t>New Deal</t>
        </is>
      </c>
      <c r="O88" s="19" t="n">
        <v>1.41</v>
      </c>
      <c r="P88" s="20" t="n">
        <v>7000</v>
      </c>
      <c r="Q88" s="20" t="n">
        <v>700</v>
      </c>
      <c r="R88" s="20" t="n">
        <v>9870</v>
      </c>
      <c r="S88" s="20" t="n">
        <v>9870</v>
      </c>
      <c r="T88" s="20" t="n">
        <v>0</v>
      </c>
      <c r="U88" s="21" t="n">
        <v>1</v>
      </c>
      <c r="V88" s="22" t="n">
        <v>2.623</v>
      </c>
      <c r="W88" s="17" t="n">
        <v>391</v>
      </c>
      <c r="X88" s="17" t="n">
        <v>0</v>
      </c>
      <c r="Y88" s="5" t="n"/>
      <c r="Z88" s="21" t="n">
        <v>0.1845</v>
      </c>
      <c r="AA88" s="16" t="n">
        <v>44105</v>
      </c>
      <c r="AB88" s="5">
        <f>IF(V88="","",IF(V88&lt;12,"Months","Weeks"))</f>
        <v/>
      </c>
      <c r="AC88" s="5">
        <f>IF(AB88="","",IF(AB88="Months","Daily","Weekly"))</f>
        <v/>
      </c>
      <c r="AD88" s="17">
        <f>IF(V88="","",IF(AC88="Daily",V88*Controls!$B$13,V88))</f>
        <v/>
      </c>
      <c r="AE88" s="17">
        <f>IF(V88="","",IF(AC88="Daily",V88*Controls!$B$13,V88*Controls!$B$12))</f>
        <v/>
      </c>
      <c r="AF88" s="17">
        <f>IF(OR(E88="",F88=""),"",F88-E88)</f>
        <v/>
      </c>
      <c r="AG88" s="17">
        <f>IF(OR(E88="",F88=""),"",NETWORKDAYS(E88,F88,Ref!$F$4:$F$47))</f>
        <v/>
      </c>
      <c r="AH88" s="39">
        <f>IF(IFERROR(VLOOKUP(D88,Controls!$A$25:$D$35,2,FALSE()),"No")="Yes",1,0)</f>
        <v/>
      </c>
      <c r="AI88" s="39">
        <f>IF(IFERROR(VLOOKUP(D88,Controls!$A$25:$D$35,3,FALSE()),"No")="Yes",1,0)</f>
        <v/>
      </c>
      <c r="AJ88" s="39">
        <f>IF(IFERROR(VLOOKUP(D88,Controls!$A$25:$D$35,4,FALSE()),"No")="Yes",1,0)</f>
        <v/>
      </c>
      <c r="AK88" s="96">
        <f>IF(AND($E88&gt;=Controls!$B$5,$E88&lt;=Controls!$B$6,OR(Controls!$E$9&lt;&gt;"Y",$BE88=1)),1,0)</f>
        <v/>
      </c>
      <c r="AL88" s="39">
        <f>1</f>
        <v/>
      </c>
      <c r="AM88" s="20">
        <f>S88-P88</f>
        <v/>
      </c>
      <c r="AN88" s="20">
        <f>IF(AH88=1,MAX(0,P88-S88),0)</f>
        <v/>
      </c>
      <c r="AO88" s="21">
        <f>IFERROR(S88/P88,"")</f>
        <v/>
      </c>
      <c r="AP88" s="22">
        <f>IF(Y88="","",P88/Y88)</f>
        <v/>
      </c>
      <c r="AQ88" s="39">
        <f>IF(Y88="",0,1)</f>
        <v/>
      </c>
      <c r="AR88" s="39">
        <f>IF(S88&lt;=0,1,0)</f>
        <v/>
      </c>
      <c r="AS88" s="17">
        <f>IF(AH88=1,AG88,"")</f>
        <v/>
      </c>
      <c r="AT88" s="17">
        <f>IF(AND(AH88=0,AJ88=1),AG88,"")</f>
        <v/>
      </c>
      <c r="AU88" s="5">
        <f>IF(P88&lt;10000,"Under $10K",IF(P88&lt;20000,"$10-20K",IF(P88&lt;30000,"$20-30K",IF(P88&lt;50000,"$30-50K",IF(P88&lt;100000,"$50-100K","$100K+")))))</f>
        <v/>
      </c>
      <c r="AV88" s="5">
        <f>IF(O88&lt;=1.35,"1.35 and under",IF(O88&lt;=1.42,"1.36-1.42",IF(O88&lt;=1.45,"1.43-1.45",IF(O88&lt;1.49,"1.46-1.48",IF(O88&lt;=1.49,"1.49","Above 1.49")))))</f>
        <v/>
      </c>
      <c r="AW88" s="5">
        <f>IF(AE88="","",IF(AE88&lt;60,"Under 60",IF(AE88&lt;90,"60-89",IF(AE88&lt;120,"90-119",IF(AE88&lt;150,"120-149","150+")))))</f>
        <v/>
      </c>
      <c r="AX88" s="5">
        <f>IF(AP88="","No revenue data",IF(AP88&lt;0.15,"Under 0.15x",IF(AP88&lt;0.3,"0.15-0.30x",IF(AP88&lt;0.5,"0.30-0.50x",IF(AP88&lt;1,"0.50-1.00x","1.00x+")))))</f>
        <v/>
      </c>
      <c r="AY88" s="5">
        <f>IF(J88="","No SIC",IFERROR(VLOOKUP(J88,Ref!$A$4:$C$67,2,FALSE()),"Unclassified"))</f>
        <v/>
      </c>
      <c r="AZ88" s="5">
        <f>IF(E88="","",TEXT(E88,"YYYY")&amp;"-Q"&amp;ROUNDUP(MONTH(E88)/3,0))</f>
        <v/>
      </c>
      <c r="BA88" s="5">
        <f>IF(E88="","",TEXT(E88,"YYYY-MM"))</f>
        <v/>
      </c>
      <c r="BB88" s="5">
        <f>IF(E88="","",TEXT(E88,"YYYY"))</f>
        <v/>
      </c>
      <c r="BC88" s="92">
        <f>IF($E88="","",NETWORKDAYS($E88,Controls!$B$9,Ref!$F$4:$F$47))</f>
        <v/>
      </c>
      <c r="BD88" s="92">
        <f>IF(OR($AH88=1,$AJ88=1),1,0)</f>
        <v/>
      </c>
      <c r="BE88" s="95">
        <f>IF(OR($BD88=1,AND($AE88&lt;&gt;"",$BC88&gt;=Controls!$B$10*$AE88)),1,0)</f>
        <v/>
      </c>
    </row>
    <row r="89" ht="15.75" customHeight="1" s="79">
      <c r="A89" s="5" t="inlineStr">
        <is>
          <t>5674155792</t>
        </is>
      </c>
      <c r="B89" s="5" t="inlineStr">
        <is>
          <t>Anzar Deliveries LLC</t>
        </is>
      </c>
      <c r="C89" s="5" t="inlineStr">
        <is>
          <t>Anzar Deliveries LLC</t>
        </is>
      </c>
      <c r="D89" s="5" t="inlineStr">
        <is>
          <t>Legal</t>
        </is>
      </c>
      <c r="E89" s="16" t="n">
        <v>45772</v>
      </c>
      <c r="F89" s="16" t="n">
        <v>45846</v>
      </c>
      <c r="G89" s="17" t="n">
        <v>6</v>
      </c>
      <c r="H89" s="5" t="inlineStr">
        <is>
          <t>4212</t>
        </is>
      </c>
      <c r="I89" s="5" t="inlineStr">
        <is>
          <t>Specialized Freight (Except Used Goods) Trucking, Local</t>
        </is>
      </c>
      <c r="J89" s="5" t="inlineStr">
        <is>
          <t>42</t>
        </is>
      </c>
      <c r="K89" s="5" t="n">
        <v>4214</v>
      </c>
      <c r="L89" s="5" t="inlineStr">
        <is>
          <t>TX</t>
        </is>
      </c>
      <c r="M89" s="5" t="inlineStr">
        <is>
          <t>Business Fund USA 4</t>
        </is>
      </c>
      <c r="N89" s="5" t="inlineStr">
        <is>
          <t>New Deal</t>
        </is>
      </c>
      <c r="O89" s="19" t="n">
        <v>1.49</v>
      </c>
      <c r="P89" s="20" t="n">
        <v>10000</v>
      </c>
      <c r="Q89" s="20" t="n">
        <v>1400</v>
      </c>
      <c r="R89" s="20" t="n">
        <v>14900</v>
      </c>
      <c r="S89" s="20" t="n">
        <v>3491.39</v>
      </c>
      <c r="T89" s="20" t="n">
        <v>11408.61</v>
      </c>
      <c r="U89" s="21" t="n">
        <v>0.234321476510067</v>
      </c>
      <c r="V89" s="22" t="n">
        <v>2.623</v>
      </c>
      <c r="W89" s="17" t="n">
        <v>446</v>
      </c>
      <c r="X89" s="17" t="n">
        <v>9</v>
      </c>
      <c r="Y89" s="5" t="n"/>
      <c r="Z89" s="21" t="n">
        <v>0.1024</v>
      </c>
      <c r="AA89" s="16" t="n">
        <v>44927</v>
      </c>
      <c r="AB89" s="5">
        <f>IF(V89="","",IF(V89&lt;12,"Months","Weeks"))</f>
        <v/>
      </c>
      <c r="AC89" s="5">
        <f>IF(AB89="","",IF(AB89="Months","Daily","Weekly"))</f>
        <v/>
      </c>
      <c r="AD89" s="17">
        <f>IF(V89="","",IF(AC89="Daily",V89*Controls!$B$13,V89))</f>
        <v/>
      </c>
      <c r="AE89" s="17">
        <f>IF(V89="","",IF(AC89="Daily",V89*Controls!$B$13,V89*Controls!$B$12))</f>
        <v/>
      </c>
      <c r="AF89" s="17">
        <f>IF(OR(E89="",F89=""),"",F89-E89)</f>
        <v/>
      </c>
      <c r="AG89" s="17">
        <f>IF(OR(E89="",F89=""),"",NETWORKDAYS(E89,F89,Ref!$F$4:$F$47))</f>
        <v/>
      </c>
      <c r="AH89" s="39">
        <f>IF(IFERROR(VLOOKUP(D89,Controls!$A$25:$D$35,2,FALSE()),"No")="Yes",1,0)</f>
        <v/>
      </c>
      <c r="AI89" s="39">
        <f>IF(IFERROR(VLOOKUP(D89,Controls!$A$25:$D$35,3,FALSE()),"No")="Yes",1,0)</f>
        <v/>
      </c>
      <c r="AJ89" s="39">
        <f>IF(IFERROR(VLOOKUP(D89,Controls!$A$25:$D$35,4,FALSE()),"No")="Yes",1,0)</f>
        <v/>
      </c>
      <c r="AK89" s="96">
        <f>IF(AND($E89&gt;=Controls!$B$5,$E89&lt;=Controls!$B$6,OR(Controls!$E$9&lt;&gt;"Y",$BE89=1)),1,0)</f>
        <v/>
      </c>
      <c r="AL89" s="39">
        <f>1</f>
        <v/>
      </c>
      <c r="AM89" s="20">
        <f>S89-P89</f>
        <v/>
      </c>
      <c r="AN89" s="20">
        <f>IF(AH89=1,MAX(0,P89-S89),0)</f>
        <v/>
      </c>
      <c r="AO89" s="21">
        <f>IFERROR(S89/P89,"")</f>
        <v/>
      </c>
      <c r="AP89" s="22">
        <f>IF(Y89="","",P89/Y89)</f>
        <v/>
      </c>
      <c r="AQ89" s="39">
        <f>IF(Y89="",0,1)</f>
        <v/>
      </c>
      <c r="AR89" s="39">
        <f>IF(S89&lt;=0,1,0)</f>
        <v/>
      </c>
      <c r="AS89" s="17">
        <f>IF(AH89=1,AG89,"")</f>
        <v/>
      </c>
      <c r="AT89" s="17">
        <f>IF(AND(AH89=0,AJ89=1),AG89,"")</f>
        <v/>
      </c>
      <c r="AU89" s="5">
        <f>IF(P89&lt;10000,"Under $10K",IF(P89&lt;20000,"$10-20K",IF(P89&lt;30000,"$20-30K",IF(P89&lt;50000,"$30-50K",IF(P89&lt;100000,"$50-100K","$100K+")))))</f>
        <v/>
      </c>
      <c r="AV89" s="5">
        <f>IF(O89&lt;=1.35,"1.35 and under",IF(O89&lt;=1.42,"1.36-1.42",IF(O89&lt;=1.45,"1.43-1.45",IF(O89&lt;1.49,"1.46-1.48",IF(O89&lt;=1.49,"1.49","Above 1.49")))))</f>
        <v/>
      </c>
      <c r="AW89" s="5">
        <f>IF(AE89="","",IF(AE89&lt;60,"Under 60",IF(AE89&lt;90,"60-89",IF(AE89&lt;120,"90-119",IF(AE89&lt;150,"120-149","150+")))))</f>
        <v/>
      </c>
      <c r="AX89" s="5">
        <f>IF(AP89="","No revenue data",IF(AP89&lt;0.15,"Under 0.15x",IF(AP89&lt;0.3,"0.15-0.30x",IF(AP89&lt;0.5,"0.30-0.50x",IF(AP89&lt;1,"0.50-1.00x","1.00x+")))))</f>
        <v/>
      </c>
      <c r="AY89" s="5">
        <f>IF(J89="","No SIC",IFERROR(VLOOKUP(J89,Ref!$A$4:$C$67,2,FALSE()),"Unclassified"))</f>
        <v/>
      </c>
      <c r="AZ89" s="5">
        <f>IF(E89="","",TEXT(E89,"YYYY")&amp;"-Q"&amp;ROUNDUP(MONTH(E89)/3,0))</f>
        <v/>
      </c>
      <c r="BA89" s="5">
        <f>IF(E89="","",TEXT(E89,"YYYY-MM"))</f>
        <v/>
      </c>
      <c r="BB89" s="5">
        <f>IF(E89="","",TEXT(E89,"YYYY"))</f>
        <v/>
      </c>
      <c r="BC89" s="92">
        <f>IF($E89="","",NETWORKDAYS($E89,Controls!$B$9,Ref!$F$4:$F$47))</f>
        <v/>
      </c>
      <c r="BD89" s="92">
        <f>IF(OR($AH89=1,$AJ89=1),1,0)</f>
        <v/>
      </c>
      <c r="BE89" s="95">
        <f>IF(OR($BD89=1,AND($AE89&lt;&gt;"",$BC89&gt;=Controls!$B$10*$AE89)),1,0)</f>
        <v/>
      </c>
    </row>
    <row r="90" ht="15.75" customHeight="1" s="79">
      <c r="A90" s="5" t="inlineStr">
        <is>
          <t>5674155963</t>
        </is>
      </c>
      <c r="B90" s="5" t="inlineStr">
        <is>
          <t>HIGH SIERRA CORP</t>
        </is>
      </c>
      <c r="C90" s="5" t="inlineStr">
        <is>
          <t>HIGH SIERRA CORP</t>
        </is>
      </c>
      <c r="D90" s="5" t="inlineStr">
        <is>
          <t>Closed</t>
        </is>
      </c>
      <c r="E90" s="16" t="n">
        <v>45776</v>
      </c>
      <c r="F90" s="16" t="n">
        <v>45922</v>
      </c>
      <c r="G90" s="17" t="n">
        <v>7</v>
      </c>
      <c r="H90" s="5" t="inlineStr">
        <is>
          <t>5169</t>
        </is>
      </c>
      <c r="I90" s="5" t="inlineStr">
        <is>
          <t>Other Chemical and Allied Products Merchant Wholesalers</t>
        </is>
      </c>
      <c r="J90" s="5" t="inlineStr">
        <is>
          <t>51</t>
        </is>
      </c>
      <c r="K90" s="5" t="n">
        <v>8931</v>
      </c>
      <c r="L90" s="5" t="inlineStr">
        <is>
          <t>WI</t>
        </is>
      </c>
      <c r="M90" s="5" t="inlineStr">
        <is>
          <t>United Secured Capital 8</t>
        </is>
      </c>
      <c r="N90" s="5" t="inlineStr">
        <is>
          <t>New Deal</t>
        </is>
      </c>
      <c r="O90" s="19" t="n">
        <v>1.49</v>
      </c>
      <c r="P90" s="20" t="n">
        <v>20000</v>
      </c>
      <c r="Q90" s="20" t="n">
        <v>2800</v>
      </c>
      <c r="R90" s="20" t="n">
        <v>29800</v>
      </c>
      <c r="S90" s="20" t="n">
        <v>29800</v>
      </c>
      <c r="T90" s="20" t="n">
        <v>0</v>
      </c>
      <c r="U90" s="21" t="n">
        <v>1</v>
      </c>
      <c r="V90" s="22" t="n">
        <v>20</v>
      </c>
      <c r="W90" s="17" t="n">
        <v>331</v>
      </c>
      <c r="X90" s="17" t="n">
        <v>0</v>
      </c>
      <c r="Y90" s="5" t="n"/>
      <c r="Z90" s="21" t="n">
        <v>0.0225</v>
      </c>
      <c r="AA90" s="16" t="n">
        <v>36892</v>
      </c>
      <c r="AB90" s="5">
        <f>IF(V90="","",IF(V90&lt;12,"Months","Weeks"))</f>
        <v/>
      </c>
      <c r="AC90" s="5">
        <f>IF(AB90="","",IF(AB90="Months","Daily","Weekly"))</f>
        <v/>
      </c>
      <c r="AD90" s="17">
        <f>IF(V90="","",IF(AC90="Daily",V90*Controls!$B$13,V90))</f>
        <v/>
      </c>
      <c r="AE90" s="17">
        <f>IF(V90="","",IF(AC90="Daily",V90*Controls!$B$13,V90*Controls!$B$12))</f>
        <v/>
      </c>
      <c r="AF90" s="17">
        <f>IF(OR(E90="",F90=""),"",F90-E90)</f>
        <v/>
      </c>
      <c r="AG90" s="17">
        <f>IF(OR(E90="",F90=""),"",NETWORKDAYS(E90,F90,Ref!$F$4:$F$47))</f>
        <v/>
      </c>
      <c r="AH90" s="39">
        <f>IF(IFERROR(VLOOKUP(D90,Controls!$A$25:$D$35,2,FALSE()),"No")="Yes",1,0)</f>
        <v/>
      </c>
      <c r="AI90" s="39">
        <f>IF(IFERROR(VLOOKUP(D90,Controls!$A$25:$D$35,3,FALSE()),"No")="Yes",1,0)</f>
        <v/>
      </c>
      <c r="AJ90" s="39">
        <f>IF(IFERROR(VLOOKUP(D90,Controls!$A$25:$D$35,4,FALSE()),"No")="Yes",1,0)</f>
        <v/>
      </c>
      <c r="AK90" s="96">
        <f>IF(AND($E90&gt;=Controls!$B$5,$E90&lt;=Controls!$B$6,OR(Controls!$E$9&lt;&gt;"Y",$BE90=1)),1,0)</f>
        <v/>
      </c>
      <c r="AL90" s="39">
        <f>1</f>
        <v/>
      </c>
      <c r="AM90" s="20">
        <f>S90-P90</f>
        <v/>
      </c>
      <c r="AN90" s="20">
        <f>IF(AH90=1,MAX(0,P90-S90),0)</f>
        <v/>
      </c>
      <c r="AO90" s="21">
        <f>IFERROR(S90/P90,"")</f>
        <v/>
      </c>
      <c r="AP90" s="22">
        <f>IF(Y90="","",P90/Y90)</f>
        <v/>
      </c>
      <c r="AQ90" s="39">
        <f>IF(Y90="",0,1)</f>
        <v/>
      </c>
      <c r="AR90" s="39">
        <f>IF(S90&lt;=0,1,0)</f>
        <v/>
      </c>
      <c r="AS90" s="17">
        <f>IF(AH90=1,AG90,"")</f>
        <v/>
      </c>
      <c r="AT90" s="17">
        <f>IF(AND(AH90=0,AJ90=1),AG90,"")</f>
        <v/>
      </c>
      <c r="AU90" s="5">
        <f>IF(P90&lt;10000,"Under $10K",IF(P90&lt;20000,"$10-20K",IF(P90&lt;30000,"$20-30K",IF(P90&lt;50000,"$30-50K",IF(P90&lt;100000,"$50-100K","$100K+")))))</f>
        <v/>
      </c>
      <c r="AV90" s="5">
        <f>IF(O90&lt;=1.35,"1.35 and under",IF(O90&lt;=1.42,"1.36-1.42",IF(O90&lt;=1.45,"1.43-1.45",IF(O90&lt;1.49,"1.46-1.48",IF(O90&lt;=1.49,"1.49","Above 1.49")))))</f>
        <v/>
      </c>
      <c r="AW90" s="5">
        <f>IF(AE90="","",IF(AE90&lt;60,"Under 60",IF(AE90&lt;90,"60-89",IF(AE90&lt;120,"90-119",IF(AE90&lt;150,"120-149","150+")))))</f>
        <v/>
      </c>
      <c r="AX90" s="5">
        <f>IF(AP90="","No revenue data",IF(AP90&lt;0.15,"Under 0.15x",IF(AP90&lt;0.3,"0.15-0.30x",IF(AP90&lt;0.5,"0.30-0.50x",IF(AP90&lt;1,"0.50-1.00x","1.00x+")))))</f>
        <v/>
      </c>
      <c r="AY90" s="5">
        <f>IF(J90="","No SIC",IFERROR(VLOOKUP(J90,Ref!$A$4:$C$67,2,FALSE()),"Unclassified"))</f>
        <v/>
      </c>
      <c r="AZ90" s="5">
        <f>IF(E90="","",TEXT(E90,"YYYY")&amp;"-Q"&amp;ROUNDUP(MONTH(E90)/3,0))</f>
        <v/>
      </c>
      <c r="BA90" s="5">
        <f>IF(E90="","",TEXT(E90,"YYYY-MM"))</f>
        <v/>
      </c>
      <c r="BB90" s="5">
        <f>IF(E90="","",TEXT(E90,"YYYY"))</f>
        <v/>
      </c>
      <c r="BC90" s="92">
        <f>IF($E90="","",NETWORKDAYS($E90,Controls!$B$9,Ref!$F$4:$F$47))</f>
        <v/>
      </c>
      <c r="BD90" s="92">
        <f>IF(OR($AH90=1,$AJ90=1),1,0)</f>
        <v/>
      </c>
      <c r="BE90" s="95">
        <f>IF(OR($BD90=1,AND($AE90&lt;&gt;"",$BC90&gt;=Controls!$B$10*$AE90)),1,0)</f>
        <v/>
      </c>
    </row>
    <row r="91" ht="15.75" customHeight="1" s="79">
      <c r="A91" s="5" t="inlineStr">
        <is>
          <t>5674155976</t>
        </is>
      </c>
      <c r="B91" s="5" t="inlineStr">
        <is>
          <t>PRADO SALES</t>
        </is>
      </c>
      <c r="C91" s="5" t="inlineStr">
        <is>
          <t>P &amp; F FAMILY CONSTRUCTION</t>
        </is>
      </c>
      <c r="D91" s="5" t="inlineStr">
        <is>
          <t>Closed</t>
        </is>
      </c>
      <c r="E91" s="16" t="n">
        <v>45776</v>
      </c>
      <c r="F91" s="16" t="n">
        <v>45884</v>
      </c>
      <c r="G91" s="17" t="n">
        <v>6</v>
      </c>
      <c r="H91" s="5" t="inlineStr">
        <is>
          <t>1521</t>
        </is>
      </c>
      <c r="I91" s="5" t="inlineStr">
        <is>
          <t>New Single-Family Housing Construction (Except For-Sale Builders)</t>
        </is>
      </c>
      <c r="J91" s="5" t="inlineStr">
        <is>
          <t>15</t>
        </is>
      </c>
      <c r="K91" s="5" t="n">
        <v>1520</v>
      </c>
      <c r="L91" s="5" t="inlineStr">
        <is>
          <t>CA</t>
        </is>
      </c>
      <c r="M91" s="5" t="inlineStr">
        <is>
          <t>Merchant ReFi</t>
        </is>
      </c>
      <c r="N91" s="5" t="inlineStr">
        <is>
          <t>Renewal</t>
        </is>
      </c>
      <c r="O91" s="19" t="n">
        <v>1.49</v>
      </c>
      <c r="P91" s="20" t="n">
        <v>6000</v>
      </c>
      <c r="Q91" s="20" t="n">
        <v>840</v>
      </c>
      <c r="R91" s="20" t="n">
        <v>8940</v>
      </c>
      <c r="S91" s="20" t="n">
        <v>8940</v>
      </c>
      <c r="T91" s="20" t="n">
        <v>0</v>
      </c>
      <c r="U91" s="21" t="n">
        <v>1</v>
      </c>
      <c r="V91" s="22" t="n">
        <v>2.623</v>
      </c>
      <c r="W91" s="17" t="n">
        <v>369</v>
      </c>
      <c r="X91" s="17" t="n">
        <v>0</v>
      </c>
      <c r="Y91" s="5" t="n"/>
      <c r="Z91" s="21" t="n">
        <v>0.0835</v>
      </c>
      <c r="AA91" s="16" t="n">
        <v>45447</v>
      </c>
      <c r="AB91" s="5">
        <f>IF(V91="","",IF(V91&lt;12,"Months","Weeks"))</f>
        <v/>
      </c>
      <c r="AC91" s="5">
        <f>IF(AB91="","",IF(AB91="Months","Daily","Weekly"))</f>
        <v/>
      </c>
      <c r="AD91" s="17">
        <f>IF(V91="","",IF(AC91="Daily",V91*Controls!$B$13,V91))</f>
        <v/>
      </c>
      <c r="AE91" s="17">
        <f>IF(V91="","",IF(AC91="Daily",V91*Controls!$B$13,V91*Controls!$B$12))</f>
        <v/>
      </c>
      <c r="AF91" s="17">
        <f>IF(OR(E91="",F91=""),"",F91-E91)</f>
        <v/>
      </c>
      <c r="AG91" s="17">
        <f>IF(OR(E91="",F91=""),"",NETWORKDAYS(E91,F91,Ref!$F$4:$F$47))</f>
        <v/>
      </c>
      <c r="AH91" s="39">
        <f>IF(IFERROR(VLOOKUP(D91,Controls!$A$25:$D$35,2,FALSE()),"No")="Yes",1,0)</f>
        <v/>
      </c>
      <c r="AI91" s="39">
        <f>IF(IFERROR(VLOOKUP(D91,Controls!$A$25:$D$35,3,FALSE()),"No")="Yes",1,0)</f>
        <v/>
      </c>
      <c r="AJ91" s="39">
        <f>IF(IFERROR(VLOOKUP(D91,Controls!$A$25:$D$35,4,FALSE()),"No")="Yes",1,0)</f>
        <v/>
      </c>
      <c r="AK91" s="96">
        <f>IF(AND($E91&gt;=Controls!$B$5,$E91&lt;=Controls!$B$6,OR(Controls!$E$9&lt;&gt;"Y",$BE91=1)),1,0)</f>
        <v/>
      </c>
      <c r="AL91" s="39">
        <f>1</f>
        <v/>
      </c>
      <c r="AM91" s="20">
        <f>S91-P91</f>
        <v/>
      </c>
      <c r="AN91" s="20">
        <f>IF(AH91=1,MAX(0,P91-S91),0)</f>
        <v/>
      </c>
      <c r="AO91" s="21">
        <f>IFERROR(S91/P91,"")</f>
        <v/>
      </c>
      <c r="AP91" s="22">
        <f>IF(Y91="","",P91/Y91)</f>
        <v/>
      </c>
      <c r="AQ91" s="39">
        <f>IF(Y91="",0,1)</f>
        <v/>
      </c>
      <c r="AR91" s="39">
        <f>IF(S91&lt;=0,1,0)</f>
        <v/>
      </c>
      <c r="AS91" s="17">
        <f>IF(AH91=1,AG91,"")</f>
        <v/>
      </c>
      <c r="AT91" s="17">
        <f>IF(AND(AH91=0,AJ91=1),AG91,"")</f>
        <v/>
      </c>
      <c r="AU91" s="5">
        <f>IF(P91&lt;10000,"Under $10K",IF(P91&lt;20000,"$10-20K",IF(P91&lt;30000,"$20-30K",IF(P91&lt;50000,"$30-50K",IF(P91&lt;100000,"$50-100K","$100K+")))))</f>
        <v/>
      </c>
      <c r="AV91" s="5">
        <f>IF(O91&lt;=1.35,"1.35 and under",IF(O91&lt;=1.42,"1.36-1.42",IF(O91&lt;=1.45,"1.43-1.45",IF(O91&lt;1.49,"1.46-1.48",IF(O91&lt;=1.49,"1.49","Above 1.49")))))</f>
        <v/>
      </c>
      <c r="AW91" s="5">
        <f>IF(AE91="","",IF(AE91&lt;60,"Under 60",IF(AE91&lt;90,"60-89",IF(AE91&lt;120,"90-119",IF(AE91&lt;150,"120-149","150+")))))</f>
        <v/>
      </c>
      <c r="AX91" s="5">
        <f>IF(AP91="","No revenue data",IF(AP91&lt;0.15,"Under 0.15x",IF(AP91&lt;0.3,"0.15-0.30x",IF(AP91&lt;0.5,"0.30-0.50x",IF(AP91&lt;1,"0.50-1.00x","1.00x+")))))</f>
        <v/>
      </c>
      <c r="AY91" s="5">
        <f>IF(J91="","No SIC",IFERROR(VLOOKUP(J91,Ref!$A$4:$C$67,2,FALSE()),"Unclassified"))</f>
        <v/>
      </c>
      <c r="AZ91" s="5">
        <f>IF(E91="","",TEXT(E91,"YYYY")&amp;"-Q"&amp;ROUNDUP(MONTH(E91)/3,0))</f>
        <v/>
      </c>
      <c r="BA91" s="5">
        <f>IF(E91="","",TEXT(E91,"YYYY-MM"))</f>
        <v/>
      </c>
      <c r="BB91" s="5">
        <f>IF(E91="","",TEXT(E91,"YYYY"))</f>
        <v/>
      </c>
      <c r="BC91" s="92">
        <f>IF($E91="","",NETWORKDAYS($E91,Controls!$B$9,Ref!$F$4:$F$47))</f>
        <v/>
      </c>
      <c r="BD91" s="92">
        <f>IF(OR($AH91=1,$AJ91=1),1,0)</f>
        <v/>
      </c>
      <c r="BE91" s="95">
        <f>IF(OR($BD91=1,AND($AE91&lt;&gt;"",$BC91&gt;=Controls!$B$10*$AE91)),1,0)</f>
        <v/>
      </c>
    </row>
    <row r="92" ht="15.75" customHeight="1" s="79">
      <c r="A92" s="5" t="inlineStr">
        <is>
          <t>5674156158</t>
        </is>
      </c>
      <c r="B92" s="5" t="inlineStr">
        <is>
          <t>Luxe MediGlow</t>
        </is>
      </c>
      <c r="C92" s="5" t="inlineStr">
        <is>
          <t>Judy M Perkins LLC</t>
        </is>
      </c>
      <c r="D92" s="5" t="inlineStr">
        <is>
          <t>Closed</t>
        </is>
      </c>
      <c r="E92" s="16" t="n">
        <v>45777</v>
      </c>
      <c r="F92" s="16" t="n">
        <v>45887</v>
      </c>
      <c r="G92" s="17" t="n">
        <v>2</v>
      </c>
      <c r="H92" s="5" t="inlineStr">
        <is>
          <t>7231</t>
        </is>
      </c>
      <c r="I92" s="5" t="inlineStr">
        <is>
          <t>Beauty Salons</t>
        </is>
      </c>
      <c r="J92" s="5" t="inlineStr">
        <is>
          <t>72</t>
        </is>
      </c>
      <c r="K92" s="5" t="n">
        <v>7298</v>
      </c>
      <c r="L92" s="5" t="inlineStr">
        <is>
          <t>FL</t>
        </is>
      </c>
      <c r="M92" s="5" t="inlineStr">
        <is>
          <t>Fundible</t>
        </is>
      </c>
      <c r="N92" s="5" t="inlineStr">
        <is>
          <t>New Deal</t>
        </is>
      </c>
      <c r="O92" s="19" t="n">
        <v>1.499</v>
      </c>
      <c r="P92" s="20" t="n">
        <v>5000</v>
      </c>
      <c r="Q92" s="20" t="n">
        <v>700</v>
      </c>
      <c r="R92" s="20" t="n">
        <v>7495</v>
      </c>
      <c r="S92" s="20" t="n">
        <v>7495</v>
      </c>
      <c r="T92" s="20" t="n">
        <v>9.09494701772928e-13</v>
      </c>
      <c r="U92" s="21" t="n">
        <v>1</v>
      </c>
      <c r="V92" s="22" t="n">
        <v>2.459</v>
      </c>
      <c r="W92" s="17" t="n">
        <v>366</v>
      </c>
      <c r="X92" s="17" t="n">
        <v>0</v>
      </c>
      <c r="Y92" s="5" t="n"/>
      <c r="Z92" s="21" t="n">
        <v>0.1189</v>
      </c>
      <c r="AA92" s="16" t="n">
        <v>43757</v>
      </c>
      <c r="AB92" s="5">
        <f>IF(V92="","",IF(V92&lt;12,"Months","Weeks"))</f>
        <v/>
      </c>
      <c r="AC92" s="5">
        <f>IF(AB92="","",IF(AB92="Months","Daily","Weekly"))</f>
        <v/>
      </c>
      <c r="AD92" s="17">
        <f>IF(V92="","",IF(AC92="Daily",V92*Controls!$B$13,V92))</f>
        <v/>
      </c>
      <c r="AE92" s="17">
        <f>IF(V92="","",IF(AC92="Daily",V92*Controls!$B$13,V92*Controls!$B$12))</f>
        <v/>
      </c>
      <c r="AF92" s="17">
        <f>IF(OR(E92="",F92=""),"",F92-E92)</f>
        <v/>
      </c>
      <c r="AG92" s="17">
        <f>IF(OR(E92="",F92=""),"",NETWORKDAYS(E92,F92,Ref!$F$4:$F$47))</f>
        <v/>
      </c>
      <c r="AH92" s="39">
        <f>IF(IFERROR(VLOOKUP(D92,Controls!$A$25:$D$35,2,FALSE()),"No")="Yes",1,0)</f>
        <v/>
      </c>
      <c r="AI92" s="39">
        <f>IF(IFERROR(VLOOKUP(D92,Controls!$A$25:$D$35,3,FALSE()),"No")="Yes",1,0)</f>
        <v/>
      </c>
      <c r="AJ92" s="39">
        <f>IF(IFERROR(VLOOKUP(D92,Controls!$A$25:$D$35,4,FALSE()),"No")="Yes",1,0)</f>
        <v/>
      </c>
      <c r="AK92" s="96">
        <f>IF(AND($E92&gt;=Controls!$B$5,$E92&lt;=Controls!$B$6,OR(Controls!$E$9&lt;&gt;"Y",$BE92=1)),1,0)</f>
        <v/>
      </c>
      <c r="AL92" s="39">
        <f>1</f>
        <v/>
      </c>
      <c r="AM92" s="20">
        <f>S92-P92</f>
        <v/>
      </c>
      <c r="AN92" s="20">
        <f>IF(AH92=1,MAX(0,P92-S92),0)</f>
        <v/>
      </c>
      <c r="AO92" s="21">
        <f>IFERROR(S92/P92,"")</f>
        <v/>
      </c>
      <c r="AP92" s="22">
        <f>IF(Y92="","",P92/Y92)</f>
        <v/>
      </c>
      <c r="AQ92" s="39">
        <f>IF(Y92="",0,1)</f>
        <v/>
      </c>
      <c r="AR92" s="39">
        <f>IF(S92&lt;=0,1,0)</f>
        <v/>
      </c>
      <c r="AS92" s="17">
        <f>IF(AH92=1,AG92,"")</f>
        <v/>
      </c>
      <c r="AT92" s="17">
        <f>IF(AND(AH92=0,AJ92=1),AG92,"")</f>
        <v/>
      </c>
      <c r="AU92" s="5">
        <f>IF(P92&lt;10000,"Under $10K",IF(P92&lt;20000,"$10-20K",IF(P92&lt;30000,"$20-30K",IF(P92&lt;50000,"$30-50K",IF(P92&lt;100000,"$50-100K","$100K+")))))</f>
        <v/>
      </c>
      <c r="AV92" s="5">
        <f>IF(O92&lt;=1.35,"1.35 and under",IF(O92&lt;=1.42,"1.36-1.42",IF(O92&lt;=1.45,"1.43-1.45",IF(O92&lt;1.49,"1.46-1.48",IF(O92&lt;=1.49,"1.49","Above 1.49")))))</f>
        <v/>
      </c>
      <c r="AW92" s="5">
        <f>IF(AE92="","",IF(AE92&lt;60,"Under 60",IF(AE92&lt;90,"60-89",IF(AE92&lt;120,"90-119",IF(AE92&lt;150,"120-149","150+")))))</f>
        <v/>
      </c>
      <c r="AX92" s="5">
        <f>IF(AP92="","No revenue data",IF(AP92&lt;0.15,"Under 0.15x",IF(AP92&lt;0.3,"0.15-0.30x",IF(AP92&lt;0.5,"0.30-0.50x",IF(AP92&lt;1,"0.50-1.00x","1.00x+")))))</f>
        <v/>
      </c>
      <c r="AY92" s="5">
        <f>IF(J92="","No SIC",IFERROR(VLOOKUP(J92,Ref!$A$4:$C$67,2,FALSE()),"Unclassified"))</f>
        <v/>
      </c>
      <c r="AZ92" s="5">
        <f>IF(E92="","",TEXT(E92,"YYYY")&amp;"-Q"&amp;ROUNDUP(MONTH(E92)/3,0))</f>
        <v/>
      </c>
      <c r="BA92" s="5">
        <f>IF(E92="","",TEXT(E92,"YYYY-MM"))</f>
        <v/>
      </c>
      <c r="BB92" s="5">
        <f>IF(E92="","",TEXT(E92,"YYYY"))</f>
        <v/>
      </c>
      <c r="BC92" s="92">
        <f>IF($E92="","",NETWORKDAYS($E92,Controls!$B$9,Ref!$F$4:$F$47))</f>
        <v/>
      </c>
      <c r="BD92" s="92">
        <f>IF(OR($AH92=1,$AJ92=1),1,0)</f>
        <v/>
      </c>
      <c r="BE92" s="95">
        <f>IF(OR($BD92=1,AND($AE92&lt;&gt;"",$BC92&gt;=Controls!$B$10*$AE92)),1,0)</f>
        <v/>
      </c>
    </row>
    <row r="93" ht="15.75" customHeight="1" s="79">
      <c r="A93" s="5" t="inlineStr">
        <is>
          <t>5674156261</t>
        </is>
      </c>
      <c r="B93" s="5" t="inlineStr">
        <is>
          <t>plush nails &amp; spa</t>
        </is>
      </c>
      <c r="C93" s="5" t="inlineStr">
        <is>
          <t>Huyen and Vu Bui Inc</t>
        </is>
      </c>
      <c r="D93" s="5" t="inlineStr">
        <is>
          <t>Closed</t>
        </is>
      </c>
      <c r="E93" s="16" t="n">
        <v>45778</v>
      </c>
      <c r="F93" s="16" t="n">
        <v>45896</v>
      </c>
      <c r="G93" s="17" t="n">
        <v>3</v>
      </c>
      <c r="H93" s="5" t="inlineStr">
        <is>
          <t>7231</t>
        </is>
      </c>
      <c r="I93" s="5" t="inlineStr">
        <is>
          <t>Nail Salons</t>
        </is>
      </c>
      <c r="J93" s="5" t="inlineStr">
        <is>
          <t>72</t>
        </is>
      </c>
      <c r="K93" s="5" t="n">
        <v>7230</v>
      </c>
      <c r="L93" s="5" t="inlineStr">
        <is>
          <t>OK</t>
        </is>
      </c>
      <c r="M93" s="5" t="inlineStr">
        <is>
          <t>GROWTH RATE CAPITAL INC</t>
        </is>
      </c>
      <c r="N93" s="5" t="inlineStr">
        <is>
          <t>New Deal</t>
        </is>
      </c>
      <c r="O93" s="19" t="n">
        <v>1.499</v>
      </c>
      <c r="P93" s="20" t="n">
        <v>20000</v>
      </c>
      <c r="Q93" s="20" t="n">
        <v>2800</v>
      </c>
      <c r="R93" s="20" t="n">
        <v>29980</v>
      </c>
      <c r="S93" s="20" t="n">
        <v>29980</v>
      </c>
      <c r="T93" s="20" t="n">
        <v>3.63797880709171e-12</v>
      </c>
      <c r="U93" s="21" t="n">
        <v>1</v>
      </c>
      <c r="V93" s="22" t="n">
        <v>2.623</v>
      </c>
      <c r="W93" s="17" t="n">
        <v>357</v>
      </c>
      <c r="X93" s="17" t="n">
        <v>1</v>
      </c>
      <c r="Y93" s="5" t="n"/>
      <c r="Z93" s="21" t="n">
        <v>0.1117</v>
      </c>
      <c r="AA93" s="16" t="n">
        <v>43166</v>
      </c>
      <c r="AB93" s="5">
        <f>IF(V93="","",IF(V93&lt;12,"Months","Weeks"))</f>
        <v/>
      </c>
      <c r="AC93" s="5">
        <f>IF(AB93="","",IF(AB93="Months","Daily","Weekly"))</f>
        <v/>
      </c>
      <c r="AD93" s="17">
        <f>IF(V93="","",IF(AC93="Daily",V93*Controls!$B$13,V93))</f>
        <v/>
      </c>
      <c r="AE93" s="17">
        <f>IF(V93="","",IF(AC93="Daily",V93*Controls!$B$13,V93*Controls!$B$12))</f>
        <v/>
      </c>
      <c r="AF93" s="17">
        <f>IF(OR(E93="",F93=""),"",F93-E93)</f>
        <v/>
      </c>
      <c r="AG93" s="17">
        <f>IF(OR(E93="",F93=""),"",NETWORKDAYS(E93,F93,Ref!$F$4:$F$47))</f>
        <v/>
      </c>
      <c r="AH93" s="39">
        <f>IF(IFERROR(VLOOKUP(D93,Controls!$A$25:$D$35,2,FALSE()),"No")="Yes",1,0)</f>
        <v/>
      </c>
      <c r="AI93" s="39">
        <f>IF(IFERROR(VLOOKUP(D93,Controls!$A$25:$D$35,3,FALSE()),"No")="Yes",1,0)</f>
        <v/>
      </c>
      <c r="AJ93" s="39">
        <f>IF(IFERROR(VLOOKUP(D93,Controls!$A$25:$D$35,4,FALSE()),"No")="Yes",1,0)</f>
        <v/>
      </c>
      <c r="AK93" s="96">
        <f>IF(AND($E93&gt;=Controls!$B$5,$E93&lt;=Controls!$B$6,OR(Controls!$E$9&lt;&gt;"Y",$BE93=1)),1,0)</f>
        <v/>
      </c>
      <c r="AL93" s="39">
        <f>1</f>
        <v/>
      </c>
      <c r="AM93" s="20">
        <f>S93-P93</f>
        <v/>
      </c>
      <c r="AN93" s="20">
        <f>IF(AH93=1,MAX(0,P93-S93),0)</f>
        <v/>
      </c>
      <c r="AO93" s="21">
        <f>IFERROR(S93/P93,"")</f>
        <v/>
      </c>
      <c r="AP93" s="22">
        <f>IF(Y93="","",P93/Y93)</f>
        <v/>
      </c>
      <c r="AQ93" s="39">
        <f>IF(Y93="",0,1)</f>
        <v/>
      </c>
      <c r="AR93" s="39">
        <f>IF(S93&lt;=0,1,0)</f>
        <v/>
      </c>
      <c r="AS93" s="17">
        <f>IF(AH93=1,AG93,"")</f>
        <v/>
      </c>
      <c r="AT93" s="17">
        <f>IF(AND(AH93=0,AJ93=1),AG93,"")</f>
        <v/>
      </c>
      <c r="AU93" s="5">
        <f>IF(P93&lt;10000,"Under $10K",IF(P93&lt;20000,"$10-20K",IF(P93&lt;30000,"$20-30K",IF(P93&lt;50000,"$30-50K",IF(P93&lt;100000,"$50-100K","$100K+")))))</f>
        <v/>
      </c>
      <c r="AV93" s="5">
        <f>IF(O93&lt;=1.35,"1.35 and under",IF(O93&lt;=1.42,"1.36-1.42",IF(O93&lt;=1.45,"1.43-1.45",IF(O93&lt;1.49,"1.46-1.48",IF(O93&lt;=1.49,"1.49","Above 1.49")))))</f>
        <v/>
      </c>
      <c r="AW93" s="5">
        <f>IF(AE93="","",IF(AE93&lt;60,"Under 60",IF(AE93&lt;90,"60-89",IF(AE93&lt;120,"90-119",IF(AE93&lt;150,"120-149","150+")))))</f>
        <v/>
      </c>
      <c r="AX93" s="5">
        <f>IF(AP93="","No revenue data",IF(AP93&lt;0.15,"Under 0.15x",IF(AP93&lt;0.3,"0.15-0.30x",IF(AP93&lt;0.5,"0.30-0.50x",IF(AP93&lt;1,"0.50-1.00x","1.00x+")))))</f>
        <v/>
      </c>
      <c r="AY93" s="5">
        <f>IF(J93="","No SIC",IFERROR(VLOOKUP(J93,Ref!$A$4:$C$67,2,FALSE()),"Unclassified"))</f>
        <v/>
      </c>
      <c r="AZ93" s="5">
        <f>IF(E93="","",TEXT(E93,"YYYY")&amp;"-Q"&amp;ROUNDUP(MONTH(E93)/3,0))</f>
        <v/>
      </c>
      <c r="BA93" s="5">
        <f>IF(E93="","",TEXT(E93,"YYYY-MM"))</f>
        <v/>
      </c>
      <c r="BB93" s="5">
        <f>IF(E93="","",TEXT(E93,"YYYY"))</f>
        <v/>
      </c>
      <c r="BC93" s="92">
        <f>IF($E93="","",NETWORKDAYS($E93,Controls!$B$9,Ref!$F$4:$F$47))</f>
        <v/>
      </c>
      <c r="BD93" s="92">
        <f>IF(OR($AH93=1,$AJ93=1),1,0)</f>
        <v/>
      </c>
      <c r="BE93" s="95">
        <f>IF(OR($BD93=1,AND($AE93&lt;&gt;"",$BC93&gt;=Controls!$B$10*$AE93)),1,0)</f>
        <v/>
      </c>
    </row>
    <row r="94" ht="15.75" customHeight="1" s="79">
      <c r="A94" s="5" t="inlineStr">
        <is>
          <t>5674156303</t>
        </is>
      </c>
      <c r="B94" s="5" t="inlineStr">
        <is>
          <t>Hiway House</t>
        </is>
      </c>
      <c r="C94" s="5" t="inlineStr">
        <is>
          <t>Belle's Hiway House</t>
        </is>
      </c>
      <c r="D94" s="5" t="inlineStr">
        <is>
          <t>Closed</t>
        </is>
      </c>
      <c r="E94" s="16" t="n">
        <v>45778</v>
      </c>
      <c r="F94" s="16" t="n">
        <v>45958</v>
      </c>
      <c r="G94" s="17" t="n">
        <v>2</v>
      </c>
      <c r="H94" s="5" t="inlineStr">
        <is>
          <t>5812</t>
        </is>
      </c>
      <c r="I94" s="5" t="inlineStr">
        <is>
          <t>Snack and Nonalcoholic Beverage Bars</t>
        </is>
      </c>
      <c r="J94" s="5" t="inlineStr">
        <is>
          <t>58</t>
        </is>
      </c>
      <c r="K94" s="5" t="n">
        <v>5813</v>
      </c>
      <c r="L94" s="5" t="inlineStr">
        <is>
          <t>OR</t>
        </is>
      </c>
      <c r="M94" s="5" t="inlineStr">
        <is>
          <t>JABSCAP</t>
        </is>
      </c>
      <c r="N94" s="5" t="inlineStr">
        <is>
          <t>New Deal</t>
        </is>
      </c>
      <c r="O94" s="19" t="n">
        <v>1.47</v>
      </c>
      <c r="P94" s="20" t="n">
        <v>15000</v>
      </c>
      <c r="Q94" s="20" t="n">
        <v>1950</v>
      </c>
      <c r="R94" s="20" t="n">
        <v>22050</v>
      </c>
      <c r="S94" s="20" t="n">
        <v>22050</v>
      </c>
      <c r="T94" s="20" t="n">
        <v>0</v>
      </c>
      <c r="U94" s="21" t="n">
        <v>1</v>
      </c>
      <c r="V94" s="22" t="n">
        <v>2.623</v>
      </c>
      <c r="W94" s="17" t="n">
        <v>295</v>
      </c>
      <c r="X94" s="17" t="n">
        <v>40</v>
      </c>
      <c r="Y94" s="5" t="n"/>
      <c r="Z94" s="21" t="n">
        <v>0.0757</v>
      </c>
      <c r="AA94" s="16" t="n">
        <v>45450</v>
      </c>
      <c r="AB94" s="5">
        <f>IF(V94="","",IF(V94&lt;12,"Months","Weeks"))</f>
        <v/>
      </c>
      <c r="AC94" s="5">
        <f>IF(AB94="","",IF(AB94="Months","Daily","Weekly"))</f>
        <v/>
      </c>
      <c r="AD94" s="17">
        <f>IF(V94="","",IF(AC94="Daily",V94*Controls!$B$13,V94))</f>
        <v/>
      </c>
      <c r="AE94" s="17">
        <f>IF(V94="","",IF(AC94="Daily",V94*Controls!$B$13,V94*Controls!$B$12))</f>
        <v/>
      </c>
      <c r="AF94" s="17">
        <f>IF(OR(E94="",F94=""),"",F94-E94)</f>
        <v/>
      </c>
      <c r="AG94" s="17">
        <f>IF(OR(E94="",F94=""),"",NETWORKDAYS(E94,F94,Ref!$F$4:$F$47))</f>
        <v/>
      </c>
      <c r="AH94" s="39">
        <f>IF(IFERROR(VLOOKUP(D94,Controls!$A$25:$D$35,2,FALSE()),"No")="Yes",1,0)</f>
        <v/>
      </c>
      <c r="AI94" s="39">
        <f>IF(IFERROR(VLOOKUP(D94,Controls!$A$25:$D$35,3,FALSE()),"No")="Yes",1,0)</f>
        <v/>
      </c>
      <c r="AJ94" s="39">
        <f>IF(IFERROR(VLOOKUP(D94,Controls!$A$25:$D$35,4,FALSE()),"No")="Yes",1,0)</f>
        <v/>
      </c>
      <c r="AK94" s="96">
        <f>IF(AND($E94&gt;=Controls!$B$5,$E94&lt;=Controls!$B$6,OR(Controls!$E$9&lt;&gt;"Y",$BE94=1)),1,0)</f>
        <v/>
      </c>
      <c r="AL94" s="39">
        <f>1</f>
        <v/>
      </c>
      <c r="AM94" s="20">
        <f>S94-P94</f>
        <v/>
      </c>
      <c r="AN94" s="20">
        <f>IF(AH94=1,MAX(0,P94-S94),0)</f>
        <v/>
      </c>
      <c r="AO94" s="21">
        <f>IFERROR(S94/P94,"")</f>
        <v/>
      </c>
      <c r="AP94" s="22">
        <f>IF(Y94="","",P94/Y94)</f>
        <v/>
      </c>
      <c r="AQ94" s="39">
        <f>IF(Y94="",0,1)</f>
        <v/>
      </c>
      <c r="AR94" s="39">
        <f>IF(S94&lt;=0,1,0)</f>
        <v/>
      </c>
      <c r="AS94" s="17">
        <f>IF(AH94=1,AG94,"")</f>
        <v/>
      </c>
      <c r="AT94" s="17">
        <f>IF(AND(AH94=0,AJ94=1),AG94,"")</f>
        <v/>
      </c>
      <c r="AU94" s="5">
        <f>IF(P94&lt;10000,"Under $10K",IF(P94&lt;20000,"$10-20K",IF(P94&lt;30000,"$20-30K",IF(P94&lt;50000,"$30-50K",IF(P94&lt;100000,"$50-100K","$100K+")))))</f>
        <v/>
      </c>
      <c r="AV94" s="5">
        <f>IF(O94&lt;=1.35,"1.35 and under",IF(O94&lt;=1.42,"1.36-1.42",IF(O94&lt;=1.45,"1.43-1.45",IF(O94&lt;1.49,"1.46-1.48",IF(O94&lt;=1.49,"1.49","Above 1.49")))))</f>
        <v/>
      </c>
      <c r="AW94" s="5">
        <f>IF(AE94="","",IF(AE94&lt;60,"Under 60",IF(AE94&lt;90,"60-89",IF(AE94&lt;120,"90-119",IF(AE94&lt;150,"120-149","150+")))))</f>
        <v/>
      </c>
      <c r="AX94" s="5">
        <f>IF(AP94="","No revenue data",IF(AP94&lt;0.15,"Under 0.15x",IF(AP94&lt;0.3,"0.15-0.30x",IF(AP94&lt;0.5,"0.30-0.50x",IF(AP94&lt;1,"0.50-1.00x","1.00x+")))))</f>
        <v/>
      </c>
      <c r="AY94" s="5">
        <f>IF(J94="","No SIC",IFERROR(VLOOKUP(J94,Ref!$A$4:$C$67,2,FALSE()),"Unclassified"))</f>
        <v/>
      </c>
      <c r="AZ94" s="5">
        <f>IF(E94="","",TEXT(E94,"YYYY")&amp;"-Q"&amp;ROUNDUP(MONTH(E94)/3,0))</f>
        <v/>
      </c>
      <c r="BA94" s="5">
        <f>IF(E94="","",TEXT(E94,"YYYY-MM"))</f>
        <v/>
      </c>
      <c r="BB94" s="5">
        <f>IF(E94="","",TEXT(E94,"YYYY"))</f>
        <v/>
      </c>
      <c r="BC94" s="92">
        <f>IF($E94="","",NETWORKDAYS($E94,Controls!$B$9,Ref!$F$4:$F$47))</f>
        <v/>
      </c>
      <c r="BD94" s="92">
        <f>IF(OR($AH94=1,$AJ94=1),1,0)</f>
        <v/>
      </c>
      <c r="BE94" s="95">
        <f>IF(OR($BD94=1,AND($AE94&lt;&gt;"",$BC94&gt;=Controls!$B$10*$AE94)),1,0)</f>
        <v/>
      </c>
    </row>
    <row r="95" ht="15.75" customHeight="1" s="79">
      <c r="A95" s="5" t="inlineStr">
        <is>
          <t>5674156693</t>
        </is>
      </c>
      <c r="B95" s="5" t="inlineStr">
        <is>
          <t>ATX Fleet Services Truck and Trailer Repair, LLC</t>
        </is>
      </c>
      <c r="C95" s="5" t="inlineStr">
        <is>
          <t>ATX Fleet Services Truck and Trailer Repair, LLC</t>
        </is>
      </c>
      <c r="D95" s="5" t="inlineStr">
        <is>
          <t>Legal</t>
        </is>
      </c>
      <c r="E95" s="16" t="n">
        <v>45784</v>
      </c>
      <c r="F95" s="16" t="n">
        <v>45831</v>
      </c>
      <c r="G95" s="17" t="n">
        <v>4</v>
      </c>
      <c r="H95" s="5" t="inlineStr">
        <is>
          <t>7538</t>
        </is>
      </c>
      <c r="I95" s="5" t="inlineStr">
        <is>
          <t>General Automotive Repair</t>
        </is>
      </c>
      <c r="J95" s="5" t="inlineStr">
        <is>
          <t>75</t>
        </is>
      </c>
      <c r="K95" s="5" t="n">
        <v>7538</v>
      </c>
      <c r="L95" s="5" t="inlineStr">
        <is>
          <t>TX</t>
        </is>
      </c>
      <c r="M95" s="5" t="inlineStr">
        <is>
          <t>Milestone Capital Funding Inc</t>
        </is>
      </c>
      <c r="N95" s="5" t="inlineStr">
        <is>
          <t>New Deal</t>
        </is>
      </c>
      <c r="O95" s="19" t="n">
        <v>1.49</v>
      </c>
      <c r="P95" s="20" t="n">
        <v>15000</v>
      </c>
      <c r="Q95" s="20" t="n">
        <v>2100</v>
      </c>
      <c r="R95" s="20" t="n">
        <v>22350</v>
      </c>
      <c r="S95" s="20" t="n">
        <v>6046.24</v>
      </c>
      <c r="T95" s="20" t="n">
        <v>16303.76</v>
      </c>
      <c r="U95" s="21" t="n">
        <v>0.270525279642058</v>
      </c>
      <c r="V95" s="22" t="n">
        <v>2.787</v>
      </c>
      <c r="W95" s="17" t="n">
        <v>436</v>
      </c>
      <c r="X95" s="17" t="n">
        <v>8</v>
      </c>
      <c r="Y95" s="5" t="n"/>
      <c r="Z95" s="21" t="n">
        <v>0.1029</v>
      </c>
      <c r="AA95" s="5" t="n"/>
      <c r="AB95" s="5">
        <f>IF(V95="","",IF(V95&lt;12,"Months","Weeks"))</f>
        <v/>
      </c>
      <c r="AC95" s="5">
        <f>IF(AB95="","",IF(AB95="Months","Daily","Weekly"))</f>
        <v/>
      </c>
      <c r="AD95" s="17">
        <f>IF(V95="","",IF(AC95="Daily",V95*Controls!$B$13,V95))</f>
        <v/>
      </c>
      <c r="AE95" s="17">
        <f>IF(V95="","",IF(AC95="Daily",V95*Controls!$B$13,V95*Controls!$B$12))</f>
        <v/>
      </c>
      <c r="AF95" s="17">
        <f>IF(OR(E95="",F95=""),"",F95-E95)</f>
        <v/>
      </c>
      <c r="AG95" s="17">
        <f>IF(OR(E95="",F95=""),"",NETWORKDAYS(E95,F95,Ref!$F$4:$F$47))</f>
        <v/>
      </c>
      <c r="AH95" s="39">
        <f>IF(IFERROR(VLOOKUP(D95,Controls!$A$25:$D$35,2,FALSE()),"No")="Yes",1,0)</f>
        <v/>
      </c>
      <c r="AI95" s="39">
        <f>IF(IFERROR(VLOOKUP(D95,Controls!$A$25:$D$35,3,FALSE()),"No")="Yes",1,0)</f>
        <v/>
      </c>
      <c r="AJ95" s="39">
        <f>IF(IFERROR(VLOOKUP(D95,Controls!$A$25:$D$35,4,FALSE()),"No")="Yes",1,0)</f>
        <v/>
      </c>
      <c r="AK95" s="96">
        <f>IF(AND($E95&gt;=Controls!$B$5,$E95&lt;=Controls!$B$6,OR(Controls!$E$9&lt;&gt;"Y",$BE95=1)),1,0)</f>
        <v/>
      </c>
      <c r="AL95" s="39">
        <f>1</f>
        <v/>
      </c>
      <c r="AM95" s="20">
        <f>S95-P95</f>
        <v/>
      </c>
      <c r="AN95" s="20">
        <f>IF(AH95=1,MAX(0,P95-S95),0)</f>
        <v/>
      </c>
      <c r="AO95" s="21">
        <f>IFERROR(S95/P95,"")</f>
        <v/>
      </c>
      <c r="AP95" s="22">
        <f>IF(Y95="","",P95/Y95)</f>
        <v/>
      </c>
      <c r="AQ95" s="39">
        <f>IF(Y95="",0,1)</f>
        <v/>
      </c>
      <c r="AR95" s="39">
        <f>IF(S95&lt;=0,1,0)</f>
        <v/>
      </c>
      <c r="AS95" s="17">
        <f>IF(AH95=1,AG95,"")</f>
        <v/>
      </c>
      <c r="AT95" s="17">
        <f>IF(AND(AH95=0,AJ95=1),AG95,"")</f>
        <v/>
      </c>
      <c r="AU95" s="5">
        <f>IF(P95&lt;10000,"Under $10K",IF(P95&lt;20000,"$10-20K",IF(P95&lt;30000,"$20-30K",IF(P95&lt;50000,"$30-50K",IF(P95&lt;100000,"$50-100K","$100K+")))))</f>
        <v/>
      </c>
      <c r="AV95" s="5">
        <f>IF(O95&lt;=1.35,"1.35 and under",IF(O95&lt;=1.42,"1.36-1.42",IF(O95&lt;=1.45,"1.43-1.45",IF(O95&lt;1.49,"1.46-1.48",IF(O95&lt;=1.49,"1.49","Above 1.49")))))</f>
        <v/>
      </c>
      <c r="AW95" s="5">
        <f>IF(AE95="","",IF(AE95&lt;60,"Under 60",IF(AE95&lt;90,"60-89",IF(AE95&lt;120,"90-119",IF(AE95&lt;150,"120-149","150+")))))</f>
        <v/>
      </c>
      <c r="AX95" s="5">
        <f>IF(AP95="","No revenue data",IF(AP95&lt;0.15,"Under 0.15x",IF(AP95&lt;0.3,"0.15-0.30x",IF(AP95&lt;0.5,"0.30-0.50x",IF(AP95&lt;1,"0.50-1.00x","1.00x+")))))</f>
        <v/>
      </c>
      <c r="AY95" s="5">
        <f>IF(J95="","No SIC",IFERROR(VLOOKUP(J95,Ref!$A$4:$C$67,2,FALSE()),"Unclassified"))</f>
        <v/>
      </c>
      <c r="AZ95" s="5">
        <f>IF(E95="","",TEXT(E95,"YYYY")&amp;"-Q"&amp;ROUNDUP(MONTH(E95)/3,0))</f>
        <v/>
      </c>
      <c r="BA95" s="5">
        <f>IF(E95="","",TEXT(E95,"YYYY-MM"))</f>
        <v/>
      </c>
      <c r="BB95" s="5">
        <f>IF(E95="","",TEXT(E95,"YYYY"))</f>
        <v/>
      </c>
      <c r="BC95" s="92">
        <f>IF($E95="","",NETWORKDAYS($E95,Controls!$B$9,Ref!$F$4:$F$47))</f>
        <v/>
      </c>
      <c r="BD95" s="92">
        <f>IF(OR($AH95=1,$AJ95=1),1,0)</f>
        <v/>
      </c>
      <c r="BE95" s="95">
        <f>IF(OR($BD95=1,AND($AE95&lt;&gt;"",$BC95&gt;=Controls!$B$10*$AE95)),1,0)</f>
        <v/>
      </c>
    </row>
    <row r="96" ht="15.75" customHeight="1" s="79">
      <c r="A96" s="5" t="inlineStr">
        <is>
          <t>5674156847</t>
        </is>
      </c>
      <c r="B96" s="5" t="inlineStr">
        <is>
          <t>NCW Basketball Group Llc</t>
        </is>
      </c>
      <c r="C96" s="5" t="inlineStr">
        <is>
          <t>NCW Basketball Group Llc</t>
        </is>
      </c>
      <c r="D96" s="5" t="inlineStr">
        <is>
          <t>Closed</t>
        </is>
      </c>
      <c r="E96" s="16" t="n">
        <v>45785</v>
      </c>
      <c r="F96" s="16" t="n">
        <v>45895</v>
      </c>
      <c r="G96" s="17" t="n">
        <v>1</v>
      </c>
      <c r="H96" s="5" t="inlineStr">
        <is>
          <t>7997</t>
        </is>
      </c>
      <c r="I96" s="5" t="inlineStr">
        <is>
          <t>Fitness and Recreational Sports Centers</t>
        </is>
      </c>
      <c r="J96" s="5" t="inlineStr">
        <is>
          <t>79</t>
        </is>
      </c>
      <c r="K96" s="5" t="n">
        <v>7997</v>
      </c>
      <c r="L96" s="5" t="inlineStr">
        <is>
          <t>OR</t>
        </is>
      </c>
      <c r="M96" s="5" t="inlineStr">
        <is>
          <t>Premium Capital (AMRK)</t>
        </is>
      </c>
      <c r="N96" s="5" t="inlineStr">
        <is>
          <t>New Deal</t>
        </is>
      </c>
      <c r="O96" s="19" t="n">
        <v>1.499</v>
      </c>
      <c r="P96" s="20" t="n">
        <v>6000</v>
      </c>
      <c r="Q96" s="20" t="n">
        <v>840</v>
      </c>
      <c r="R96" s="20" t="n">
        <v>8994</v>
      </c>
      <c r="S96" s="20" t="n">
        <v>8994</v>
      </c>
      <c r="T96" s="20" t="n">
        <v>0</v>
      </c>
      <c r="U96" s="21" t="n">
        <v>1</v>
      </c>
      <c r="V96" s="22" t="n">
        <v>2.459</v>
      </c>
      <c r="W96" s="17" t="n">
        <v>358</v>
      </c>
      <c r="X96" s="17" t="n">
        <v>0</v>
      </c>
      <c r="Y96" s="5" t="n"/>
      <c r="Z96" s="21" t="n">
        <v>0.0702</v>
      </c>
      <c r="AA96" s="5" t="n"/>
      <c r="AB96" s="5">
        <f>IF(V96="","",IF(V96&lt;12,"Months","Weeks"))</f>
        <v/>
      </c>
      <c r="AC96" s="5">
        <f>IF(AB96="","",IF(AB96="Months","Daily","Weekly"))</f>
        <v/>
      </c>
      <c r="AD96" s="17">
        <f>IF(V96="","",IF(AC96="Daily",V96*Controls!$B$13,V96))</f>
        <v/>
      </c>
      <c r="AE96" s="17">
        <f>IF(V96="","",IF(AC96="Daily",V96*Controls!$B$13,V96*Controls!$B$12))</f>
        <v/>
      </c>
      <c r="AF96" s="17">
        <f>IF(OR(E96="",F96=""),"",F96-E96)</f>
        <v/>
      </c>
      <c r="AG96" s="17">
        <f>IF(OR(E96="",F96=""),"",NETWORKDAYS(E96,F96,Ref!$F$4:$F$47))</f>
        <v/>
      </c>
      <c r="AH96" s="39">
        <f>IF(IFERROR(VLOOKUP(D96,Controls!$A$25:$D$35,2,FALSE()),"No")="Yes",1,0)</f>
        <v/>
      </c>
      <c r="AI96" s="39">
        <f>IF(IFERROR(VLOOKUP(D96,Controls!$A$25:$D$35,3,FALSE()),"No")="Yes",1,0)</f>
        <v/>
      </c>
      <c r="AJ96" s="39">
        <f>IF(IFERROR(VLOOKUP(D96,Controls!$A$25:$D$35,4,FALSE()),"No")="Yes",1,0)</f>
        <v/>
      </c>
      <c r="AK96" s="96">
        <f>IF(AND($E96&gt;=Controls!$B$5,$E96&lt;=Controls!$B$6,OR(Controls!$E$9&lt;&gt;"Y",$BE96=1)),1,0)</f>
        <v/>
      </c>
      <c r="AL96" s="39">
        <f>1</f>
        <v/>
      </c>
      <c r="AM96" s="20">
        <f>S96-P96</f>
        <v/>
      </c>
      <c r="AN96" s="20">
        <f>IF(AH96=1,MAX(0,P96-S96),0)</f>
        <v/>
      </c>
      <c r="AO96" s="21">
        <f>IFERROR(S96/P96,"")</f>
        <v/>
      </c>
      <c r="AP96" s="22">
        <f>IF(Y96="","",P96/Y96)</f>
        <v/>
      </c>
      <c r="AQ96" s="39">
        <f>IF(Y96="",0,1)</f>
        <v/>
      </c>
      <c r="AR96" s="39">
        <f>IF(S96&lt;=0,1,0)</f>
        <v/>
      </c>
      <c r="AS96" s="17">
        <f>IF(AH96=1,AG96,"")</f>
        <v/>
      </c>
      <c r="AT96" s="17">
        <f>IF(AND(AH96=0,AJ96=1),AG96,"")</f>
        <v/>
      </c>
      <c r="AU96" s="5">
        <f>IF(P96&lt;10000,"Under $10K",IF(P96&lt;20000,"$10-20K",IF(P96&lt;30000,"$20-30K",IF(P96&lt;50000,"$30-50K",IF(P96&lt;100000,"$50-100K","$100K+")))))</f>
        <v/>
      </c>
      <c r="AV96" s="5">
        <f>IF(O96&lt;=1.35,"1.35 and under",IF(O96&lt;=1.42,"1.36-1.42",IF(O96&lt;=1.45,"1.43-1.45",IF(O96&lt;1.49,"1.46-1.48",IF(O96&lt;=1.49,"1.49","Above 1.49")))))</f>
        <v/>
      </c>
      <c r="AW96" s="5">
        <f>IF(AE96="","",IF(AE96&lt;60,"Under 60",IF(AE96&lt;90,"60-89",IF(AE96&lt;120,"90-119",IF(AE96&lt;150,"120-149","150+")))))</f>
        <v/>
      </c>
      <c r="AX96" s="5">
        <f>IF(AP96="","No revenue data",IF(AP96&lt;0.15,"Under 0.15x",IF(AP96&lt;0.3,"0.15-0.30x",IF(AP96&lt;0.5,"0.30-0.50x",IF(AP96&lt;1,"0.50-1.00x","1.00x+")))))</f>
        <v/>
      </c>
      <c r="AY96" s="5">
        <f>IF(J96="","No SIC",IFERROR(VLOOKUP(J96,Ref!$A$4:$C$67,2,FALSE()),"Unclassified"))</f>
        <v/>
      </c>
      <c r="AZ96" s="5">
        <f>IF(E96="","",TEXT(E96,"YYYY")&amp;"-Q"&amp;ROUNDUP(MONTH(E96)/3,0))</f>
        <v/>
      </c>
      <c r="BA96" s="5">
        <f>IF(E96="","",TEXT(E96,"YYYY-MM"))</f>
        <v/>
      </c>
      <c r="BB96" s="5">
        <f>IF(E96="","",TEXT(E96,"YYYY"))</f>
        <v/>
      </c>
      <c r="BC96" s="92">
        <f>IF($E96="","",NETWORKDAYS($E96,Controls!$B$9,Ref!$F$4:$F$47))</f>
        <v/>
      </c>
      <c r="BD96" s="92">
        <f>IF(OR($AH96=1,$AJ96=1),1,0)</f>
        <v/>
      </c>
      <c r="BE96" s="95">
        <f>IF(OR($BD96=1,AND($AE96&lt;&gt;"",$BC96&gt;=Controls!$B$10*$AE96)),1,0)</f>
        <v/>
      </c>
    </row>
    <row r="97" ht="15.75" customHeight="1" s="79">
      <c r="A97" s="5" t="inlineStr">
        <is>
          <t>5674156897</t>
        </is>
      </c>
      <c r="B97" s="5" t="inlineStr">
        <is>
          <t>Crafty Steere</t>
        </is>
      </c>
      <c r="C97" s="5" t="inlineStr">
        <is>
          <t>Crafty Steere</t>
        </is>
      </c>
      <c r="D97" s="5" t="inlineStr">
        <is>
          <t>Closed</t>
        </is>
      </c>
      <c r="E97" s="16" t="n">
        <v>45785</v>
      </c>
      <c r="F97" s="16" t="n">
        <v>45903</v>
      </c>
      <c r="G97" s="17" t="n">
        <v>5</v>
      </c>
      <c r="H97" s="5" t="inlineStr">
        <is>
          <t>5331</t>
        </is>
      </c>
      <c r="I97" s="5" t="inlineStr">
        <is>
          <t>All Other General Merchandise Stores</t>
        </is>
      </c>
      <c r="J97" s="5" t="inlineStr">
        <is>
          <t>53</t>
        </is>
      </c>
      <c r="K97" s="5" t="n">
        <v>5331</v>
      </c>
      <c r="L97" s="5" t="inlineStr">
        <is>
          <t>OH</t>
        </is>
      </c>
      <c r="M97" s="5" t="inlineStr">
        <is>
          <t>Vanguard Equities</t>
        </is>
      </c>
      <c r="N97" s="5" t="inlineStr">
        <is>
          <t>New Deal</t>
        </is>
      </c>
      <c r="O97" s="19" t="n">
        <v>1.5</v>
      </c>
      <c r="P97" s="20" t="n">
        <v>10000</v>
      </c>
      <c r="Q97" s="20" t="n">
        <v>1400</v>
      </c>
      <c r="R97" s="20" t="n">
        <v>15000</v>
      </c>
      <c r="S97" s="20" t="n">
        <v>15000</v>
      </c>
      <c r="T97" s="20" t="n">
        <v>0</v>
      </c>
      <c r="U97" s="21" t="n">
        <v>1</v>
      </c>
      <c r="V97" s="22" t="n">
        <v>2.623</v>
      </c>
      <c r="W97" s="17" t="n">
        <v>350</v>
      </c>
      <c r="X97" s="17" t="n">
        <v>0</v>
      </c>
      <c r="Y97" s="5" t="n"/>
      <c r="Z97" s="21" t="n">
        <v>0.0915</v>
      </c>
      <c r="AA97" s="5" t="n"/>
      <c r="AB97" s="5">
        <f>IF(V97="","",IF(V97&lt;12,"Months","Weeks"))</f>
        <v/>
      </c>
      <c r="AC97" s="5">
        <f>IF(AB97="","",IF(AB97="Months","Daily","Weekly"))</f>
        <v/>
      </c>
      <c r="AD97" s="17">
        <f>IF(V97="","",IF(AC97="Daily",V97*Controls!$B$13,V97))</f>
        <v/>
      </c>
      <c r="AE97" s="17">
        <f>IF(V97="","",IF(AC97="Daily",V97*Controls!$B$13,V97*Controls!$B$12))</f>
        <v/>
      </c>
      <c r="AF97" s="17">
        <f>IF(OR(E97="",F97=""),"",F97-E97)</f>
        <v/>
      </c>
      <c r="AG97" s="17">
        <f>IF(OR(E97="",F97=""),"",NETWORKDAYS(E97,F97,Ref!$F$4:$F$47))</f>
        <v/>
      </c>
      <c r="AH97" s="39">
        <f>IF(IFERROR(VLOOKUP(D97,Controls!$A$25:$D$35,2,FALSE()),"No")="Yes",1,0)</f>
        <v/>
      </c>
      <c r="AI97" s="39">
        <f>IF(IFERROR(VLOOKUP(D97,Controls!$A$25:$D$35,3,FALSE()),"No")="Yes",1,0)</f>
        <v/>
      </c>
      <c r="AJ97" s="39">
        <f>IF(IFERROR(VLOOKUP(D97,Controls!$A$25:$D$35,4,FALSE()),"No")="Yes",1,0)</f>
        <v/>
      </c>
      <c r="AK97" s="96">
        <f>IF(AND($E97&gt;=Controls!$B$5,$E97&lt;=Controls!$B$6,OR(Controls!$E$9&lt;&gt;"Y",$BE97=1)),1,0)</f>
        <v/>
      </c>
      <c r="AL97" s="39">
        <f>1</f>
        <v/>
      </c>
      <c r="AM97" s="20">
        <f>S97-P97</f>
        <v/>
      </c>
      <c r="AN97" s="20">
        <f>IF(AH97=1,MAX(0,P97-S97),0)</f>
        <v/>
      </c>
      <c r="AO97" s="21">
        <f>IFERROR(S97/P97,"")</f>
        <v/>
      </c>
      <c r="AP97" s="22">
        <f>IF(Y97="","",P97/Y97)</f>
        <v/>
      </c>
      <c r="AQ97" s="39">
        <f>IF(Y97="",0,1)</f>
        <v/>
      </c>
      <c r="AR97" s="39">
        <f>IF(S97&lt;=0,1,0)</f>
        <v/>
      </c>
      <c r="AS97" s="17">
        <f>IF(AH97=1,AG97,"")</f>
        <v/>
      </c>
      <c r="AT97" s="17">
        <f>IF(AND(AH97=0,AJ97=1),AG97,"")</f>
        <v/>
      </c>
      <c r="AU97" s="5">
        <f>IF(P97&lt;10000,"Under $10K",IF(P97&lt;20000,"$10-20K",IF(P97&lt;30000,"$20-30K",IF(P97&lt;50000,"$30-50K",IF(P97&lt;100000,"$50-100K","$100K+")))))</f>
        <v/>
      </c>
      <c r="AV97" s="5">
        <f>IF(O97&lt;=1.35,"1.35 and under",IF(O97&lt;=1.42,"1.36-1.42",IF(O97&lt;=1.45,"1.43-1.45",IF(O97&lt;1.49,"1.46-1.48",IF(O97&lt;=1.49,"1.49","Above 1.49")))))</f>
        <v/>
      </c>
      <c r="AW97" s="5">
        <f>IF(AE97="","",IF(AE97&lt;60,"Under 60",IF(AE97&lt;90,"60-89",IF(AE97&lt;120,"90-119",IF(AE97&lt;150,"120-149","150+")))))</f>
        <v/>
      </c>
      <c r="AX97" s="5">
        <f>IF(AP97="","No revenue data",IF(AP97&lt;0.15,"Under 0.15x",IF(AP97&lt;0.3,"0.15-0.30x",IF(AP97&lt;0.5,"0.30-0.50x",IF(AP97&lt;1,"0.50-1.00x","1.00x+")))))</f>
        <v/>
      </c>
      <c r="AY97" s="5">
        <f>IF(J97="","No SIC",IFERROR(VLOOKUP(J97,Ref!$A$4:$C$67,2,FALSE()),"Unclassified"))</f>
        <v/>
      </c>
      <c r="AZ97" s="5">
        <f>IF(E97="","",TEXT(E97,"YYYY")&amp;"-Q"&amp;ROUNDUP(MONTH(E97)/3,0))</f>
        <v/>
      </c>
      <c r="BA97" s="5">
        <f>IF(E97="","",TEXT(E97,"YYYY-MM"))</f>
        <v/>
      </c>
      <c r="BB97" s="5">
        <f>IF(E97="","",TEXT(E97,"YYYY"))</f>
        <v/>
      </c>
      <c r="BC97" s="92">
        <f>IF($E97="","",NETWORKDAYS($E97,Controls!$B$9,Ref!$F$4:$F$47))</f>
        <v/>
      </c>
      <c r="BD97" s="92">
        <f>IF(OR($AH97=1,$AJ97=1),1,0)</f>
        <v/>
      </c>
      <c r="BE97" s="95">
        <f>IF(OR($BD97=1,AND($AE97&lt;&gt;"",$BC97&gt;=Controls!$B$10*$AE97)),1,0)</f>
        <v/>
      </c>
    </row>
    <row r="98" ht="15.75" customHeight="1" s="79">
      <c r="A98" s="5" t="inlineStr">
        <is>
          <t>5674157134</t>
        </is>
      </c>
      <c r="B98" s="5" t="inlineStr">
        <is>
          <t>COREY'S SOUTHERN CATERING</t>
        </is>
      </c>
      <c r="C98" s="5" t="inlineStr">
        <is>
          <t>FAVOR ONE LLC</t>
        </is>
      </c>
      <c r="D98" s="5" t="inlineStr">
        <is>
          <t>Closed</t>
        </is>
      </c>
      <c r="E98" s="16" t="n">
        <v>45789</v>
      </c>
      <c r="F98" s="16" t="n">
        <v>45929</v>
      </c>
      <c r="G98" s="17" t="n">
        <v>1</v>
      </c>
      <c r="H98" s="5" t="inlineStr">
        <is>
          <t>5812</t>
        </is>
      </c>
      <c r="I98" s="5" t="inlineStr">
        <is>
          <t>Snack and Nonalcoholic Beverage Bars</t>
        </is>
      </c>
      <c r="J98" s="5" t="inlineStr">
        <is>
          <t>58</t>
        </is>
      </c>
      <c r="K98" s="5" t="n">
        <v>5812</v>
      </c>
      <c r="L98" s="5" t="inlineStr">
        <is>
          <t>VA</t>
        </is>
      </c>
      <c r="M98" s="5" t="inlineStr">
        <is>
          <t>Premium Capital (AMRK)</t>
        </is>
      </c>
      <c r="N98" s="5" t="inlineStr">
        <is>
          <t>New Deal</t>
        </is>
      </c>
      <c r="O98" s="19" t="n">
        <v>1.49</v>
      </c>
      <c r="P98" s="20" t="n">
        <v>10000</v>
      </c>
      <c r="Q98" s="20" t="n">
        <v>1400</v>
      </c>
      <c r="R98" s="20" t="n">
        <v>14900</v>
      </c>
      <c r="S98" s="20" t="n">
        <v>14900</v>
      </c>
      <c r="T98" s="20" t="n">
        <v>0</v>
      </c>
      <c r="U98" s="21" t="n">
        <v>1</v>
      </c>
      <c r="V98" s="22" t="n">
        <v>4.59</v>
      </c>
      <c r="W98" s="17" t="n">
        <v>324</v>
      </c>
      <c r="X98" s="17" t="n">
        <v>0</v>
      </c>
      <c r="Y98" s="5" t="n"/>
      <c r="Z98" s="21" t="n">
        <v>0.0283</v>
      </c>
      <c r="AA98" s="5" t="n"/>
      <c r="AB98" s="5">
        <f>IF(V98="","",IF(V98&lt;12,"Months","Weeks"))</f>
        <v/>
      </c>
      <c r="AC98" s="5">
        <f>IF(AB98="","",IF(AB98="Months","Daily","Weekly"))</f>
        <v/>
      </c>
      <c r="AD98" s="17">
        <f>IF(V98="","",IF(AC98="Daily",V98*Controls!$B$13,V98))</f>
        <v/>
      </c>
      <c r="AE98" s="17">
        <f>IF(V98="","",IF(AC98="Daily",V98*Controls!$B$13,V98*Controls!$B$12))</f>
        <v/>
      </c>
      <c r="AF98" s="17">
        <f>IF(OR(E98="",F98=""),"",F98-E98)</f>
        <v/>
      </c>
      <c r="AG98" s="17">
        <f>IF(OR(E98="",F98=""),"",NETWORKDAYS(E98,F98,Ref!$F$4:$F$47))</f>
        <v/>
      </c>
      <c r="AH98" s="39">
        <f>IF(IFERROR(VLOOKUP(D98,Controls!$A$25:$D$35,2,FALSE()),"No")="Yes",1,0)</f>
        <v/>
      </c>
      <c r="AI98" s="39">
        <f>IF(IFERROR(VLOOKUP(D98,Controls!$A$25:$D$35,3,FALSE()),"No")="Yes",1,0)</f>
        <v/>
      </c>
      <c r="AJ98" s="39">
        <f>IF(IFERROR(VLOOKUP(D98,Controls!$A$25:$D$35,4,FALSE()),"No")="Yes",1,0)</f>
        <v/>
      </c>
      <c r="AK98" s="96">
        <f>IF(AND($E98&gt;=Controls!$B$5,$E98&lt;=Controls!$B$6,OR(Controls!$E$9&lt;&gt;"Y",$BE98=1)),1,0)</f>
        <v/>
      </c>
      <c r="AL98" s="39">
        <f>1</f>
        <v/>
      </c>
      <c r="AM98" s="20">
        <f>S98-P98</f>
        <v/>
      </c>
      <c r="AN98" s="20">
        <f>IF(AH98=1,MAX(0,P98-S98),0)</f>
        <v/>
      </c>
      <c r="AO98" s="21">
        <f>IFERROR(S98/P98,"")</f>
        <v/>
      </c>
      <c r="AP98" s="22">
        <f>IF(Y98="","",P98/Y98)</f>
        <v/>
      </c>
      <c r="AQ98" s="39">
        <f>IF(Y98="",0,1)</f>
        <v/>
      </c>
      <c r="AR98" s="39">
        <f>IF(S98&lt;=0,1,0)</f>
        <v/>
      </c>
      <c r="AS98" s="17">
        <f>IF(AH98=1,AG98,"")</f>
        <v/>
      </c>
      <c r="AT98" s="17">
        <f>IF(AND(AH98=0,AJ98=1),AG98,"")</f>
        <v/>
      </c>
      <c r="AU98" s="5">
        <f>IF(P98&lt;10000,"Under $10K",IF(P98&lt;20000,"$10-20K",IF(P98&lt;30000,"$20-30K",IF(P98&lt;50000,"$30-50K",IF(P98&lt;100000,"$50-100K","$100K+")))))</f>
        <v/>
      </c>
      <c r="AV98" s="5">
        <f>IF(O98&lt;=1.35,"1.35 and under",IF(O98&lt;=1.42,"1.36-1.42",IF(O98&lt;=1.45,"1.43-1.45",IF(O98&lt;1.49,"1.46-1.48",IF(O98&lt;=1.49,"1.49","Above 1.49")))))</f>
        <v/>
      </c>
      <c r="AW98" s="5">
        <f>IF(AE98="","",IF(AE98&lt;60,"Under 60",IF(AE98&lt;90,"60-89",IF(AE98&lt;120,"90-119",IF(AE98&lt;150,"120-149","150+")))))</f>
        <v/>
      </c>
      <c r="AX98" s="5">
        <f>IF(AP98="","No revenue data",IF(AP98&lt;0.15,"Under 0.15x",IF(AP98&lt;0.3,"0.15-0.30x",IF(AP98&lt;0.5,"0.30-0.50x",IF(AP98&lt;1,"0.50-1.00x","1.00x+")))))</f>
        <v/>
      </c>
      <c r="AY98" s="5">
        <f>IF(J98="","No SIC",IFERROR(VLOOKUP(J98,Ref!$A$4:$C$67,2,FALSE()),"Unclassified"))</f>
        <v/>
      </c>
      <c r="AZ98" s="5">
        <f>IF(E98="","",TEXT(E98,"YYYY")&amp;"-Q"&amp;ROUNDUP(MONTH(E98)/3,0))</f>
        <v/>
      </c>
      <c r="BA98" s="5">
        <f>IF(E98="","",TEXT(E98,"YYYY-MM"))</f>
        <v/>
      </c>
      <c r="BB98" s="5">
        <f>IF(E98="","",TEXT(E98,"YYYY"))</f>
        <v/>
      </c>
      <c r="BC98" s="92">
        <f>IF($E98="","",NETWORKDAYS($E98,Controls!$B$9,Ref!$F$4:$F$47))</f>
        <v/>
      </c>
      <c r="BD98" s="92">
        <f>IF(OR($AH98=1,$AJ98=1),1,0)</f>
        <v/>
      </c>
      <c r="BE98" s="95">
        <f>IF(OR($BD98=1,AND($AE98&lt;&gt;"",$BC98&gt;=Controls!$B$10*$AE98)),1,0)</f>
        <v/>
      </c>
    </row>
    <row r="99" ht="15.75" customHeight="1" s="79">
      <c r="A99" s="5" t="inlineStr">
        <is>
          <t>5674157207</t>
        </is>
      </c>
      <c r="B99" s="5" t="inlineStr">
        <is>
          <t>JACKS PEST MGMT LLC</t>
        </is>
      </c>
      <c r="C99" s="5" t="inlineStr">
        <is>
          <t>JACKS PEST MGMT LLC</t>
        </is>
      </c>
      <c r="D99" s="5" t="inlineStr">
        <is>
          <t>Closed</t>
        </is>
      </c>
      <c r="E99" s="16" t="n">
        <v>45790</v>
      </c>
      <c r="F99" s="16" t="n">
        <v>45904</v>
      </c>
      <c r="G99" s="17" t="n">
        <v>3</v>
      </c>
      <c r="H99" s="5" t="inlineStr">
        <is>
          <t>7342</t>
        </is>
      </c>
      <c r="I99" s="5" t="inlineStr">
        <is>
          <t>Exterminating and Pest Control Services</t>
        </is>
      </c>
      <c r="J99" s="5" t="inlineStr">
        <is>
          <t>73</t>
        </is>
      </c>
      <c r="K99" s="5" t="n">
        <v>7342</v>
      </c>
      <c r="L99" s="5" t="inlineStr">
        <is>
          <t>MO</t>
        </is>
      </c>
      <c r="M99" s="5" t="inlineStr">
        <is>
          <t>Samson Funding</t>
        </is>
      </c>
      <c r="N99" s="5" t="inlineStr">
        <is>
          <t>Renewal</t>
        </is>
      </c>
      <c r="O99" s="19" t="n">
        <v>1.5</v>
      </c>
      <c r="P99" s="20" t="n">
        <v>7500</v>
      </c>
      <c r="Q99" s="20" t="n">
        <v>1050</v>
      </c>
      <c r="R99" s="20" t="n">
        <v>11250</v>
      </c>
      <c r="S99" s="20" t="n">
        <v>11250</v>
      </c>
      <c r="T99" s="20" t="n">
        <v>0</v>
      </c>
      <c r="U99" s="21" t="n">
        <v>1</v>
      </c>
      <c r="V99" s="22" t="n">
        <v>2.951</v>
      </c>
      <c r="W99" s="17" t="n">
        <v>349</v>
      </c>
      <c r="X99" s="17" t="n">
        <v>2</v>
      </c>
      <c r="Y99" s="5" t="n"/>
      <c r="Z99" s="21" t="n">
        <v>0.2411</v>
      </c>
      <c r="AA99" s="16" t="n">
        <v>45790</v>
      </c>
      <c r="AB99" s="5">
        <f>IF(V99="","",IF(V99&lt;12,"Months","Weeks"))</f>
        <v/>
      </c>
      <c r="AC99" s="5">
        <f>IF(AB99="","",IF(AB99="Months","Daily","Weekly"))</f>
        <v/>
      </c>
      <c r="AD99" s="17">
        <f>IF(V99="","",IF(AC99="Daily",V99*Controls!$B$13,V99))</f>
        <v/>
      </c>
      <c r="AE99" s="17">
        <f>IF(V99="","",IF(AC99="Daily",V99*Controls!$B$13,V99*Controls!$B$12))</f>
        <v/>
      </c>
      <c r="AF99" s="17">
        <f>IF(OR(E99="",F99=""),"",F99-E99)</f>
        <v/>
      </c>
      <c r="AG99" s="17">
        <f>IF(OR(E99="",F99=""),"",NETWORKDAYS(E99,F99,Ref!$F$4:$F$47))</f>
        <v/>
      </c>
      <c r="AH99" s="39">
        <f>IF(IFERROR(VLOOKUP(D99,Controls!$A$25:$D$35,2,FALSE()),"No")="Yes",1,0)</f>
        <v/>
      </c>
      <c r="AI99" s="39">
        <f>IF(IFERROR(VLOOKUP(D99,Controls!$A$25:$D$35,3,FALSE()),"No")="Yes",1,0)</f>
        <v/>
      </c>
      <c r="AJ99" s="39">
        <f>IF(IFERROR(VLOOKUP(D99,Controls!$A$25:$D$35,4,FALSE()),"No")="Yes",1,0)</f>
        <v/>
      </c>
      <c r="AK99" s="96">
        <f>IF(AND($E99&gt;=Controls!$B$5,$E99&lt;=Controls!$B$6,OR(Controls!$E$9&lt;&gt;"Y",$BE99=1)),1,0)</f>
        <v/>
      </c>
      <c r="AL99" s="39">
        <f>1</f>
        <v/>
      </c>
      <c r="AM99" s="20">
        <f>S99-P99</f>
        <v/>
      </c>
      <c r="AN99" s="20">
        <f>IF(AH99=1,MAX(0,P99-S99),0)</f>
        <v/>
      </c>
      <c r="AO99" s="21">
        <f>IFERROR(S99/P99,"")</f>
        <v/>
      </c>
      <c r="AP99" s="22">
        <f>IF(Y99="","",P99/Y99)</f>
        <v/>
      </c>
      <c r="AQ99" s="39">
        <f>IF(Y99="",0,1)</f>
        <v/>
      </c>
      <c r="AR99" s="39">
        <f>IF(S99&lt;=0,1,0)</f>
        <v/>
      </c>
      <c r="AS99" s="17">
        <f>IF(AH99=1,AG99,"")</f>
        <v/>
      </c>
      <c r="AT99" s="17">
        <f>IF(AND(AH99=0,AJ99=1),AG99,"")</f>
        <v/>
      </c>
      <c r="AU99" s="5">
        <f>IF(P99&lt;10000,"Under $10K",IF(P99&lt;20000,"$10-20K",IF(P99&lt;30000,"$20-30K",IF(P99&lt;50000,"$30-50K",IF(P99&lt;100000,"$50-100K","$100K+")))))</f>
        <v/>
      </c>
      <c r="AV99" s="5">
        <f>IF(O99&lt;=1.35,"1.35 and under",IF(O99&lt;=1.42,"1.36-1.42",IF(O99&lt;=1.45,"1.43-1.45",IF(O99&lt;1.49,"1.46-1.48",IF(O99&lt;=1.49,"1.49","Above 1.49")))))</f>
        <v/>
      </c>
      <c r="AW99" s="5">
        <f>IF(AE99="","",IF(AE99&lt;60,"Under 60",IF(AE99&lt;90,"60-89",IF(AE99&lt;120,"90-119",IF(AE99&lt;150,"120-149","150+")))))</f>
        <v/>
      </c>
      <c r="AX99" s="5">
        <f>IF(AP99="","No revenue data",IF(AP99&lt;0.15,"Under 0.15x",IF(AP99&lt;0.3,"0.15-0.30x",IF(AP99&lt;0.5,"0.30-0.50x",IF(AP99&lt;1,"0.50-1.00x","1.00x+")))))</f>
        <v/>
      </c>
      <c r="AY99" s="5">
        <f>IF(J99="","No SIC",IFERROR(VLOOKUP(J99,Ref!$A$4:$C$67,2,FALSE()),"Unclassified"))</f>
        <v/>
      </c>
      <c r="AZ99" s="5">
        <f>IF(E99="","",TEXT(E99,"YYYY")&amp;"-Q"&amp;ROUNDUP(MONTH(E99)/3,0))</f>
        <v/>
      </c>
      <c r="BA99" s="5">
        <f>IF(E99="","",TEXT(E99,"YYYY-MM"))</f>
        <v/>
      </c>
      <c r="BB99" s="5">
        <f>IF(E99="","",TEXT(E99,"YYYY"))</f>
        <v/>
      </c>
      <c r="BC99" s="92">
        <f>IF($E99="","",NETWORKDAYS($E99,Controls!$B$9,Ref!$F$4:$F$47))</f>
        <v/>
      </c>
      <c r="BD99" s="92">
        <f>IF(OR($AH99=1,$AJ99=1),1,0)</f>
        <v/>
      </c>
      <c r="BE99" s="95">
        <f>IF(OR($BD99=1,AND($AE99&lt;&gt;"",$BC99&gt;=Controls!$B$10*$AE99)),1,0)</f>
        <v/>
      </c>
    </row>
    <row r="100" ht="15.75" customHeight="1" s="79">
      <c r="A100" s="5" t="inlineStr">
        <is>
          <t>5674157269</t>
        </is>
      </c>
      <c r="B100" s="5" t="inlineStr">
        <is>
          <t>Scholte Plumbing Co</t>
        </is>
      </c>
      <c r="C100" s="5" t="inlineStr">
        <is>
          <t>Scholte Plumbing Co., Inc.</t>
        </is>
      </c>
      <c r="D100" s="5" t="inlineStr">
        <is>
          <t>Legal</t>
        </is>
      </c>
      <c r="E100" s="16" t="n">
        <v>45790</v>
      </c>
      <c r="F100" s="16" t="n">
        <v>46234</v>
      </c>
      <c r="G100" s="17" t="n">
        <v>3</v>
      </c>
      <c r="H100" s="5" t="inlineStr">
        <is>
          <t>1711</t>
        </is>
      </c>
      <c r="I100" s="5" t="inlineStr">
        <is>
          <t>Plumbing, Heating, and Air Conditioning Contractors</t>
        </is>
      </c>
      <c r="J100" s="5" t="inlineStr">
        <is>
          <t>17</t>
        </is>
      </c>
      <c r="K100" s="5" t="n">
        <v>5074</v>
      </c>
      <c r="L100" s="5" t="inlineStr">
        <is>
          <t>CA</t>
        </is>
      </c>
      <c r="M100" s="5" t="inlineStr">
        <is>
          <t>Fund Your Bizz</t>
        </is>
      </c>
      <c r="N100" s="5" t="inlineStr">
        <is>
          <t>New Deal</t>
        </is>
      </c>
      <c r="O100" s="19" t="n">
        <v>1.49</v>
      </c>
      <c r="P100" s="20" t="n">
        <v>8000</v>
      </c>
      <c r="Q100" s="20" t="n">
        <v>1120</v>
      </c>
      <c r="R100" s="20" t="n">
        <v>11920</v>
      </c>
      <c r="S100" s="20" t="n">
        <v>11825.46</v>
      </c>
      <c r="T100" s="20" t="n">
        <v>94.5400000000009</v>
      </c>
      <c r="U100" s="21" t="n">
        <v>0.992068791946309</v>
      </c>
      <c r="V100" s="22" t="n">
        <v>2.295</v>
      </c>
      <c r="W100" s="17" t="n">
        <v>19</v>
      </c>
      <c r="X100" s="17" t="n">
        <v>22</v>
      </c>
      <c r="Y100" s="5" t="n"/>
      <c r="Z100" s="21" t="n">
        <v>0.0849</v>
      </c>
      <c r="AA100" s="16" t="n">
        <v>37165</v>
      </c>
      <c r="AB100" s="5">
        <f>IF(V100="","",IF(V100&lt;12,"Months","Weeks"))</f>
        <v/>
      </c>
      <c r="AC100" s="5">
        <f>IF(AB100="","",IF(AB100="Months","Daily","Weekly"))</f>
        <v/>
      </c>
      <c r="AD100" s="17">
        <f>IF(V100="","",IF(AC100="Daily",V100*Controls!$B$13,V100))</f>
        <v/>
      </c>
      <c r="AE100" s="17">
        <f>IF(V100="","",IF(AC100="Daily",V100*Controls!$B$13,V100*Controls!$B$12))</f>
        <v/>
      </c>
      <c r="AF100" s="17">
        <f>IF(OR(E100="",F100=""),"",F100-E100)</f>
        <v/>
      </c>
      <c r="AG100" s="17">
        <f>IF(OR(E100="",F100=""),"",NETWORKDAYS(E100,F100,Ref!$F$4:$F$47))</f>
        <v/>
      </c>
      <c r="AH100" s="39">
        <f>IF(IFERROR(VLOOKUP(D100,Controls!$A$25:$D$35,2,FALSE()),"No")="Yes",1,0)</f>
        <v/>
      </c>
      <c r="AI100" s="39">
        <f>IF(IFERROR(VLOOKUP(D100,Controls!$A$25:$D$35,3,FALSE()),"No")="Yes",1,0)</f>
        <v/>
      </c>
      <c r="AJ100" s="39">
        <f>IF(IFERROR(VLOOKUP(D100,Controls!$A$25:$D$35,4,FALSE()),"No")="Yes",1,0)</f>
        <v/>
      </c>
      <c r="AK100" s="96">
        <f>IF(AND($E100&gt;=Controls!$B$5,$E100&lt;=Controls!$B$6,OR(Controls!$E$9&lt;&gt;"Y",$BE100=1)),1,0)</f>
        <v/>
      </c>
      <c r="AL100" s="39">
        <f>1</f>
        <v/>
      </c>
      <c r="AM100" s="20">
        <f>S100-P100</f>
        <v/>
      </c>
      <c r="AN100" s="20">
        <f>IF(AH100=1,MAX(0,P100-S100),0)</f>
        <v/>
      </c>
      <c r="AO100" s="21">
        <f>IFERROR(S100/P100,"")</f>
        <v/>
      </c>
      <c r="AP100" s="22">
        <f>IF(Y100="","",P100/Y100)</f>
        <v/>
      </c>
      <c r="AQ100" s="39">
        <f>IF(Y100="",0,1)</f>
        <v/>
      </c>
      <c r="AR100" s="39">
        <f>IF(S100&lt;=0,1,0)</f>
        <v/>
      </c>
      <c r="AS100" s="17">
        <f>IF(AH100=1,AG100,"")</f>
        <v/>
      </c>
      <c r="AT100" s="17">
        <f>IF(AND(AH100=0,AJ100=1),AG100,"")</f>
        <v/>
      </c>
      <c r="AU100" s="5">
        <f>IF(P100&lt;10000,"Under $10K",IF(P100&lt;20000,"$10-20K",IF(P100&lt;30000,"$20-30K",IF(P100&lt;50000,"$30-50K",IF(P100&lt;100000,"$50-100K","$100K+")))))</f>
        <v/>
      </c>
      <c r="AV100" s="5">
        <f>IF(O100&lt;=1.35,"1.35 and under",IF(O100&lt;=1.42,"1.36-1.42",IF(O100&lt;=1.45,"1.43-1.45",IF(O100&lt;1.49,"1.46-1.48",IF(O100&lt;=1.49,"1.49","Above 1.49")))))</f>
        <v/>
      </c>
      <c r="AW100" s="5">
        <f>IF(AE100="","",IF(AE100&lt;60,"Under 60",IF(AE100&lt;90,"60-89",IF(AE100&lt;120,"90-119",IF(AE100&lt;150,"120-149","150+")))))</f>
        <v/>
      </c>
      <c r="AX100" s="5">
        <f>IF(AP100="","No revenue data",IF(AP100&lt;0.15,"Under 0.15x",IF(AP100&lt;0.3,"0.15-0.30x",IF(AP100&lt;0.5,"0.30-0.50x",IF(AP100&lt;1,"0.50-1.00x","1.00x+")))))</f>
        <v/>
      </c>
      <c r="AY100" s="5">
        <f>IF(J100="","No SIC",IFERROR(VLOOKUP(J100,Ref!$A$4:$C$67,2,FALSE()),"Unclassified"))</f>
        <v/>
      </c>
      <c r="AZ100" s="5">
        <f>IF(E100="","",TEXT(E100,"YYYY")&amp;"-Q"&amp;ROUNDUP(MONTH(E100)/3,0))</f>
        <v/>
      </c>
      <c r="BA100" s="5">
        <f>IF(E100="","",TEXT(E100,"YYYY-MM"))</f>
        <v/>
      </c>
      <c r="BB100" s="5">
        <f>IF(E100="","",TEXT(E100,"YYYY"))</f>
        <v/>
      </c>
      <c r="BC100" s="92">
        <f>IF($E100="","",NETWORKDAYS($E100,Controls!$B$9,Ref!$F$4:$F$47))</f>
        <v/>
      </c>
      <c r="BD100" s="92">
        <f>IF(OR($AH100=1,$AJ100=1),1,0)</f>
        <v/>
      </c>
      <c r="BE100" s="95">
        <f>IF(OR($BD100=1,AND($AE100&lt;&gt;"",$BC100&gt;=Controls!$B$10*$AE100)),1,0)</f>
        <v/>
      </c>
    </row>
    <row r="101" ht="15.75" customHeight="1" s="79">
      <c r="A101" s="5" t="inlineStr">
        <is>
          <t>5674157427</t>
        </is>
      </c>
      <c r="B101" s="5" t="inlineStr">
        <is>
          <t>AMERICAN WEST</t>
        </is>
      </c>
      <c r="C101" s="5" t="inlineStr">
        <is>
          <t>AMERICAN WEST</t>
        </is>
      </c>
      <c r="D101" s="5" t="inlineStr">
        <is>
          <t>Legal</t>
        </is>
      </c>
      <c r="E101" s="16" t="n">
        <v>45791</v>
      </c>
      <c r="F101" s="16" t="n">
        <v>45805</v>
      </c>
      <c r="G101" s="17" t="n">
        <v>3</v>
      </c>
      <c r="H101" s="5" t="inlineStr">
        <is>
          <t>4212</t>
        </is>
      </c>
      <c r="I101" s="5" t="inlineStr">
        <is>
          <t>General Freight Trucking, Local</t>
        </is>
      </c>
      <c r="J101" s="5" t="inlineStr">
        <is>
          <t>42</t>
        </is>
      </c>
      <c r="K101" s="5" t="n">
        <v>4214</v>
      </c>
      <c r="L101" s="5" t="inlineStr">
        <is>
          <t>CA</t>
        </is>
      </c>
      <c r="M101" s="5" t="inlineStr">
        <is>
          <t>EVR GREEN LLC</t>
        </is>
      </c>
      <c r="N101" s="5" t="inlineStr">
        <is>
          <t>New Deal</t>
        </is>
      </c>
      <c r="O101" s="19" t="n">
        <v>1.499</v>
      </c>
      <c r="P101" s="20" t="n">
        <v>8500</v>
      </c>
      <c r="Q101" s="20" t="n">
        <v>0</v>
      </c>
      <c r="R101" s="20" t="n">
        <v>12741.5</v>
      </c>
      <c r="S101" s="20" t="n">
        <v>-418.87</v>
      </c>
      <c r="T101" s="20" t="n">
        <v>13160.37</v>
      </c>
      <c r="U101" s="21" t="n">
        <v>-0.0328744653298277</v>
      </c>
      <c r="V101" s="22" t="n">
        <v>2.295</v>
      </c>
      <c r="W101" s="17" t="n">
        <v>461</v>
      </c>
      <c r="X101" s="17" t="n">
        <v>7</v>
      </c>
      <c r="Y101" s="5" t="n"/>
      <c r="Z101" s="21" t="n">
        <v>0.0437</v>
      </c>
      <c r="AA101" s="16" t="n">
        <v>44552</v>
      </c>
      <c r="AB101" s="5">
        <f>IF(V101="","",IF(V101&lt;12,"Months","Weeks"))</f>
        <v/>
      </c>
      <c r="AC101" s="5">
        <f>IF(AB101="","",IF(AB101="Months","Daily","Weekly"))</f>
        <v/>
      </c>
      <c r="AD101" s="17">
        <f>IF(V101="","",IF(AC101="Daily",V101*Controls!$B$13,V101))</f>
        <v/>
      </c>
      <c r="AE101" s="17">
        <f>IF(V101="","",IF(AC101="Daily",V101*Controls!$B$13,V101*Controls!$B$12))</f>
        <v/>
      </c>
      <c r="AF101" s="17">
        <f>IF(OR(E101="",F101=""),"",F101-E101)</f>
        <v/>
      </c>
      <c r="AG101" s="17">
        <f>IF(OR(E101="",F101=""),"",NETWORKDAYS(E101,F101,Ref!$F$4:$F$47))</f>
        <v/>
      </c>
      <c r="AH101" s="39">
        <f>IF(IFERROR(VLOOKUP(D101,Controls!$A$25:$D$35,2,FALSE()),"No")="Yes",1,0)</f>
        <v/>
      </c>
      <c r="AI101" s="39">
        <f>IF(IFERROR(VLOOKUP(D101,Controls!$A$25:$D$35,3,FALSE()),"No")="Yes",1,0)</f>
        <v/>
      </c>
      <c r="AJ101" s="39">
        <f>IF(IFERROR(VLOOKUP(D101,Controls!$A$25:$D$35,4,FALSE()),"No")="Yes",1,0)</f>
        <v/>
      </c>
      <c r="AK101" s="96">
        <f>IF(AND($E101&gt;=Controls!$B$5,$E101&lt;=Controls!$B$6,OR(Controls!$E$9&lt;&gt;"Y",$BE101=1)),1,0)</f>
        <v/>
      </c>
      <c r="AL101" s="39">
        <f>1</f>
        <v/>
      </c>
      <c r="AM101" s="20">
        <f>S101-P101</f>
        <v/>
      </c>
      <c r="AN101" s="20">
        <f>IF(AH101=1,MAX(0,P101-S101),0)</f>
        <v/>
      </c>
      <c r="AO101" s="21">
        <f>IFERROR(S101/P101,"")</f>
        <v/>
      </c>
      <c r="AP101" s="22">
        <f>IF(Y101="","",P101/Y101)</f>
        <v/>
      </c>
      <c r="AQ101" s="39">
        <f>IF(Y101="",0,1)</f>
        <v/>
      </c>
      <c r="AR101" s="39">
        <f>IF(S101&lt;=0,1,0)</f>
        <v/>
      </c>
      <c r="AS101" s="17">
        <f>IF(AH101=1,AG101,"")</f>
        <v/>
      </c>
      <c r="AT101" s="17">
        <f>IF(AND(AH101=0,AJ101=1),AG101,"")</f>
        <v/>
      </c>
      <c r="AU101" s="5">
        <f>IF(P101&lt;10000,"Under $10K",IF(P101&lt;20000,"$10-20K",IF(P101&lt;30000,"$20-30K",IF(P101&lt;50000,"$30-50K",IF(P101&lt;100000,"$50-100K","$100K+")))))</f>
        <v/>
      </c>
      <c r="AV101" s="5">
        <f>IF(O101&lt;=1.35,"1.35 and under",IF(O101&lt;=1.42,"1.36-1.42",IF(O101&lt;=1.45,"1.43-1.45",IF(O101&lt;1.49,"1.46-1.48",IF(O101&lt;=1.49,"1.49","Above 1.49")))))</f>
        <v/>
      </c>
      <c r="AW101" s="5">
        <f>IF(AE101="","",IF(AE101&lt;60,"Under 60",IF(AE101&lt;90,"60-89",IF(AE101&lt;120,"90-119",IF(AE101&lt;150,"120-149","150+")))))</f>
        <v/>
      </c>
      <c r="AX101" s="5">
        <f>IF(AP101="","No revenue data",IF(AP101&lt;0.15,"Under 0.15x",IF(AP101&lt;0.3,"0.15-0.30x",IF(AP101&lt;0.5,"0.30-0.50x",IF(AP101&lt;1,"0.50-1.00x","1.00x+")))))</f>
        <v/>
      </c>
      <c r="AY101" s="5">
        <f>IF(J101="","No SIC",IFERROR(VLOOKUP(J101,Ref!$A$4:$C$67,2,FALSE()),"Unclassified"))</f>
        <v/>
      </c>
      <c r="AZ101" s="5">
        <f>IF(E101="","",TEXT(E101,"YYYY")&amp;"-Q"&amp;ROUNDUP(MONTH(E101)/3,0))</f>
        <v/>
      </c>
      <c r="BA101" s="5">
        <f>IF(E101="","",TEXT(E101,"YYYY-MM"))</f>
        <v/>
      </c>
      <c r="BB101" s="5">
        <f>IF(E101="","",TEXT(E101,"YYYY"))</f>
        <v/>
      </c>
      <c r="BC101" s="92">
        <f>IF($E101="","",NETWORKDAYS($E101,Controls!$B$9,Ref!$F$4:$F$47))</f>
        <v/>
      </c>
      <c r="BD101" s="92">
        <f>IF(OR($AH101=1,$AJ101=1),1,0)</f>
        <v/>
      </c>
      <c r="BE101" s="95">
        <f>IF(OR($BD101=1,AND($AE101&lt;&gt;"",$BC101&gt;=Controls!$B$10*$AE101)),1,0)</f>
        <v/>
      </c>
    </row>
    <row r="102" ht="15.75" customHeight="1" s="79">
      <c r="A102" s="5" t="inlineStr">
        <is>
          <t>5674157511</t>
        </is>
      </c>
      <c r="B102" s="5" t="inlineStr">
        <is>
          <t>LV9 TAX SERVICES</t>
        </is>
      </c>
      <c r="C102" s="5" t="inlineStr">
        <is>
          <t>Villalobos Lizett</t>
        </is>
      </c>
      <c r="D102" s="5" t="inlineStr">
        <is>
          <t>Legal</t>
        </is>
      </c>
      <c r="E102" s="16" t="n">
        <v>45792</v>
      </c>
      <c r="F102" s="16" t="n">
        <v>45915</v>
      </c>
      <c r="G102" s="17" t="n">
        <v>2</v>
      </c>
      <c r="H102" s="5" t="inlineStr">
        <is>
          <t>7291</t>
        </is>
      </c>
      <c r="I102" s="5" t="inlineStr">
        <is>
          <t>Tax Preparation Services</t>
        </is>
      </c>
      <c r="J102" s="5" t="inlineStr">
        <is>
          <t>72</t>
        </is>
      </c>
      <c r="K102" s="5" t="n">
        <v>7276</v>
      </c>
      <c r="L102" s="5" t="inlineStr">
        <is>
          <t>TX</t>
        </is>
      </c>
      <c r="M102" s="5" t="inlineStr">
        <is>
          <t>Premium Capital (AMRK)</t>
        </is>
      </c>
      <c r="N102" s="5" t="inlineStr">
        <is>
          <t>New Deal</t>
        </is>
      </c>
      <c r="O102" s="19" t="n">
        <v>1.499</v>
      </c>
      <c r="P102" s="20" t="n">
        <v>5000</v>
      </c>
      <c r="Q102" s="20" t="n">
        <v>700</v>
      </c>
      <c r="R102" s="20" t="n">
        <v>7495</v>
      </c>
      <c r="S102" s="20" t="n">
        <v>4256.8</v>
      </c>
      <c r="T102" s="20" t="n">
        <v>3238.2</v>
      </c>
      <c r="U102" s="21" t="n">
        <v>0.567951967978652</v>
      </c>
      <c r="V102" s="22" t="n">
        <v>2.295</v>
      </c>
      <c r="W102" s="17" t="n">
        <v>401</v>
      </c>
      <c r="X102" s="17" t="n">
        <v>20</v>
      </c>
      <c r="Y102" s="5" t="n"/>
      <c r="Z102" s="21" t="n">
        <v>0.0789</v>
      </c>
      <c r="AA102" s="5" t="n"/>
      <c r="AB102" s="5">
        <f>IF(V102="","",IF(V102&lt;12,"Months","Weeks"))</f>
        <v/>
      </c>
      <c r="AC102" s="5">
        <f>IF(AB102="","",IF(AB102="Months","Daily","Weekly"))</f>
        <v/>
      </c>
      <c r="AD102" s="17">
        <f>IF(V102="","",IF(AC102="Daily",V102*Controls!$B$13,V102))</f>
        <v/>
      </c>
      <c r="AE102" s="17">
        <f>IF(V102="","",IF(AC102="Daily",V102*Controls!$B$13,V102*Controls!$B$12))</f>
        <v/>
      </c>
      <c r="AF102" s="17">
        <f>IF(OR(E102="",F102=""),"",F102-E102)</f>
        <v/>
      </c>
      <c r="AG102" s="17">
        <f>IF(OR(E102="",F102=""),"",NETWORKDAYS(E102,F102,Ref!$F$4:$F$47))</f>
        <v/>
      </c>
      <c r="AH102" s="39">
        <f>IF(IFERROR(VLOOKUP(D102,Controls!$A$25:$D$35,2,FALSE()),"No")="Yes",1,0)</f>
        <v/>
      </c>
      <c r="AI102" s="39">
        <f>IF(IFERROR(VLOOKUP(D102,Controls!$A$25:$D$35,3,FALSE()),"No")="Yes",1,0)</f>
        <v/>
      </c>
      <c r="AJ102" s="39">
        <f>IF(IFERROR(VLOOKUP(D102,Controls!$A$25:$D$35,4,FALSE()),"No")="Yes",1,0)</f>
        <v/>
      </c>
      <c r="AK102" s="96">
        <f>IF(AND($E102&gt;=Controls!$B$5,$E102&lt;=Controls!$B$6,OR(Controls!$E$9&lt;&gt;"Y",$BE102=1)),1,0)</f>
        <v/>
      </c>
      <c r="AL102" s="39">
        <f>1</f>
        <v/>
      </c>
      <c r="AM102" s="20">
        <f>S102-P102</f>
        <v/>
      </c>
      <c r="AN102" s="20">
        <f>IF(AH102=1,MAX(0,P102-S102),0)</f>
        <v/>
      </c>
      <c r="AO102" s="21">
        <f>IFERROR(S102/P102,"")</f>
        <v/>
      </c>
      <c r="AP102" s="22">
        <f>IF(Y102="","",P102/Y102)</f>
        <v/>
      </c>
      <c r="AQ102" s="39">
        <f>IF(Y102="",0,1)</f>
        <v/>
      </c>
      <c r="AR102" s="39">
        <f>IF(S102&lt;=0,1,0)</f>
        <v/>
      </c>
      <c r="AS102" s="17">
        <f>IF(AH102=1,AG102,"")</f>
        <v/>
      </c>
      <c r="AT102" s="17">
        <f>IF(AND(AH102=0,AJ102=1),AG102,"")</f>
        <v/>
      </c>
      <c r="AU102" s="5">
        <f>IF(P102&lt;10000,"Under $10K",IF(P102&lt;20000,"$10-20K",IF(P102&lt;30000,"$20-30K",IF(P102&lt;50000,"$30-50K",IF(P102&lt;100000,"$50-100K","$100K+")))))</f>
        <v/>
      </c>
      <c r="AV102" s="5">
        <f>IF(O102&lt;=1.35,"1.35 and under",IF(O102&lt;=1.42,"1.36-1.42",IF(O102&lt;=1.45,"1.43-1.45",IF(O102&lt;1.49,"1.46-1.48",IF(O102&lt;=1.49,"1.49","Above 1.49")))))</f>
        <v/>
      </c>
      <c r="AW102" s="5">
        <f>IF(AE102="","",IF(AE102&lt;60,"Under 60",IF(AE102&lt;90,"60-89",IF(AE102&lt;120,"90-119",IF(AE102&lt;150,"120-149","150+")))))</f>
        <v/>
      </c>
      <c r="AX102" s="5">
        <f>IF(AP102="","No revenue data",IF(AP102&lt;0.15,"Under 0.15x",IF(AP102&lt;0.3,"0.15-0.30x",IF(AP102&lt;0.5,"0.30-0.50x",IF(AP102&lt;1,"0.50-1.00x","1.00x+")))))</f>
        <v/>
      </c>
      <c r="AY102" s="5">
        <f>IF(J102="","No SIC",IFERROR(VLOOKUP(J102,Ref!$A$4:$C$67,2,FALSE()),"Unclassified"))</f>
        <v/>
      </c>
      <c r="AZ102" s="5">
        <f>IF(E102="","",TEXT(E102,"YYYY")&amp;"-Q"&amp;ROUNDUP(MONTH(E102)/3,0))</f>
        <v/>
      </c>
      <c r="BA102" s="5">
        <f>IF(E102="","",TEXT(E102,"YYYY-MM"))</f>
        <v/>
      </c>
      <c r="BB102" s="5">
        <f>IF(E102="","",TEXT(E102,"YYYY"))</f>
        <v/>
      </c>
      <c r="BC102" s="92">
        <f>IF($E102="","",NETWORKDAYS($E102,Controls!$B$9,Ref!$F$4:$F$47))</f>
        <v/>
      </c>
      <c r="BD102" s="92">
        <f>IF(OR($AH102=1,$AJ102=1),1,0)</f>
        <v/>
      </c>
      <c r="BE102" s="95">
        <f>IF(OR($BD102=1,AND($AE102&lt;&gt;"",$BC102&gt;=Controls!$B$10*$AE102)),1,0)</f>
        <v/>
      </c>
    </row>
    <row r="103" ht="15.75" customHeight="1" s="79">
      <c r="A103" s="5" t="inlineStr">
        <is>
          <t>5674157548</t>
        </is>
      </c>
      <c r="B103" s="5" t="inlineStr">
        <is>
          <t>Auto tech tire and service</t>
        </is>
      </c>
      <c r="C103" s="5" t="inlineStr">
        <is>
          <t>APAS inc</t>
        </is>
      </c>
      <c r="D103" s="5" t="inlineStr">
        <is>
          <t>Closed</t>
        </is>
      </c>
      <c r="E103" s="16" t="n">
        <v>45793</v>
      </c>
      <c r="F103" s="16" t="n">
        <v>45882</v>
      </c>
      <c r="G103" s="17" t="n">
        <v>3</v>
      </c>
      <c r="H103" s="5" t="inlineStr">
        <is>
          <t>7538</t>
        </is>
      </c>
      <c r="I103" s="5" t="inlineStr">
        <is>
          <t>General Automotive Repair</t>
        </is>
      </c>
      <c r="J103" s="5" t="inlineStr">
        <is>
          <t>75</t>
        </is>
      </c>
      <c r="K103" s="5" t="n">
        <v>7538</v>
      </c>
      <c r="L103" s="5" t="inlineStr">
        <is>
          <t>NJ</t>
        </is>
      </c>
      <c r="M103" s="5" t="inlineStr">
        <is>
          <t>Fundible</t>
        </is>
      </c>
      <c r="N103" s="5" t="inlineStr">
        <is>
          <t>New Deal</t>
        </is>
      </c>
      <c r="O103" s="19" t="n">
        <v>1.49</v>
      </c>
      <c r="P103" s="20" t="n">
        <v>10000</v>
      </c>
      <c r="Q103" s="20" t="n">
        <v>1400</v>
      </c>
      <c r="R103" s="20" t="n">
        <v>14900</v>
      </c>
      <c r="S103" s="20" t="n">
        <v>14900</v>
      </c>
      <c r="T103" s="20" t="n">
        <v>0</v>
      </c>
      <c r="U103" s="21" t="n">
        <v>1</v>
      </c>
      <c r="V103" s="22" t="n">
        <v>1.967</v>
      </c>
      <c r="W103" s="17" t="n">
        <v>371</v>
      </c>
      <c r="X103" s="17" t="n">
        <v>0</v>
      </c>
      <c r="Y103" s="5" t="n"/>
      <c r="Z103" s="21" t="n">
        <v>0.0859</v>
      </c>
      <c r="AA103" s="16" t="n">
        <v>37104</v>
      </c>
      <c r="AB103" s="5">
        <f>IF(V103="","",IF(V103&lt;12,"Months","Weeks"))</f>
        <v/>
      </c>
      <c r="AC103" s="5">
        <f>IF(AB103="","",IF(AB103="Months","Daily","Weekly"))</f>
        <v/>
      </c>
      <c r="AD103" s="17">
        <f>IF(V103="","",IF(AC103="Daily",V103*Controls!$B$13,V103))</f>
        <v/>
      </c>
      <c r="AE103" s="17">
        <f>IF(V103="","",IF(AC103="Daily",V103*Controls!$B$13,V103*Controls!$B$12))</f>
        <v/>
      </c>
      <c r="AF103" s="17">
        <f>IF(OR(E103="",F103=""),"",F103-E103)</f>
        <v/>
      </c>
      <c r="AG103" s="17">
        <f>IF(OR(E103="",F103=""),"",NETWORKDAYS(E103,F103,Ref!$F$4:$F$47))</f>
        <v/>
      </c>
      <c r="AH103" s="39">
        <f>IF(IFERROR(VLOOKUP(D103,Controls!$A$25:$D$35,2,FALSE()),"No")="Yes",1,0)</f>
        <v/>
      </c>
      <c r="AI103" s="39">
        <f>IF(IFERROR(VLOOKUP(D103,Controls!$A$25:$D$35,3,FALSE()),"No")="Yes",1,0)</f>
        <v/>
      </c>
      <c r="AJ103" s="39">
        <f>IF(IFERROR(VLOOKUP(D103,Controls!$A$25:$D$35,4,FALSE()),"No")="Yes",1,0)</f>
        <v/>
      </c>
      <c r="AK103" s="96">
        <f>IF(AND($E103&gt;=Controls!$B$5,$E103&lt;=Controls!$B$6,OR(Controls!$E$9&lt;&gt;"Y",$BE103=1)),1,0)</f>
        <v/>
      </c>
      <c r="AL103" s="39">
        <f>1</f>
        <v/>
      </c>
      <c r="AM103" s="20">
        <f>S103-P103</f>
        <v/>
      </c>
      <c r="AN103" s="20">
        <f>IF(AH103=1,MAX(0,P103-S103),0)</f>
        <v/>
      </c>
      <c r="AO103" s="21">
        <f>IFERROR(S103/P103,"")</f>
        <v/>
      </c>
      <c r="AP103" s="22">
        <f>IF(Y103="","",P103/Y103)</f>
        <v/>
      </c>
      <c r="AQ103" s="39">
        <f>IF(Y103="",0,1)</f>
        <v/>
      </c>
      <c r="AR103" s="39">
        <f>IF(S103&lt;=0,1,0)</f>
        <v/>
      </c>
      <c r="AS103" s="17">
        <f>IF(AH103=1,AG103,"")</f>
        <v/>
      </c>
      <c r="AT103" s="17">
        <f>IF(AND(AH103=0,AJ103=1),AG103,"")</f>
        <v/>
      </c>
      <c r="AU103" s="5">
        <f>IF(P103&lt;10000,"Under $10K",IF(P103&lt;20000,"$10-20K",IF(P103&lt;30000,"$20-30K",IF(P103&lt;50000,"$30-50K",IF(P103&lt;100000,"$50-100K","$100K+")))))</f>
        <v/>
      </c>
      <c r="AV103" s="5">
        <f>IF(O103&lt;=1.35,"1.35 and under",IF(O103&lt;=1.42,"1.36-1.42",IF(O103&lt;=1.45,"1.43-1.45",IF(O103&lt;1.49,"1.46-1.48",IF(O103&lt;=1.49,"1.49","Above 1.49")))))</f>
        <v/>
      </c>
      <c r="AW103" s="5">
        <f>IF(AE103="","",IF(AE103&lt;60,"Under 60",IF(AE103&lt;90,"60-89",IF(AE103&lt;120,"90-119",IF(AE103&lt;150,"120-149","150+")))))</f>
        <v/>
      </c>
      <c r="AX103" s="5">
        <f>IF(AP103="","No revenue data",IF(AP103&lt;0.15,"Under 0.15x",IF(AP103&lt;0.3,"0.15-0.30x",IF(AP103&lt;0.5,"0.30-0.50x",IF(AP103&lt;1,"0.50-1.00x","1.00x+")))))</f>
        <v/>
      </c>
      <c r="AY103" s="5">
        <f>IF(J103="","No SIC",IFERROR(VLOOKUP(J103,Ref!$A$4:$C$67,2,FALSE()),"Unclassified"))</f>
        <v/>
      </c>
      <c r="AZ103" s="5">
        <f>IF(E103="","",TEXT(E103,"YYYY")&amp;"-Q"&amp;ROUNDUP(MONTH(E103)/3,0))</f>
        <v/>
      </c>
      <c r="BA103" s="5">
        <f>IF(E103="","",TEXT(E103,"YYYY-MM"))</f>
        <v/>
      </c>
      <c r="BB103" s="5">
        <f>IF(E103="","",TEXT(E103,"YYYY"))</f>
        <v/>
      </c>
      <c r="BC103" s="92">
        <f>IF($E103="","",NETWORKDAYS($E103,Controls!$B$9,Ref!$F$4:$F$47))</f>
        <v/>
      </c>
      <c r="BD103" s="92">
        <f>IF(OR($AH103=1,$AJ103=1),1,0)</f>
        <v/>
      </c>
      <c r="BE103" s="95">
        <f>IF(OR($BD103=1,AND($AE103&lt;&gt;"",$BC103&gt;=Controls!$B$10*$AE103)),1,0)</f>
        <v/>
      </c>
    </row>
    <row r="104" ht="15.75" customHeight="1" s="79">
      <c r="A104" s="5" t="inlineStr">
        <is>
          <t>5674157640</t>
        </is>
      </c>
      <c r="B104" s="5" t="inlineStr">
        <is>
          <t>ORB Customs</t>
        </is>
      </c>
      <c r="C104" s="5" t="inlineStr">
        <is>
          <t>Off Roading Beast</t>
        </is>
      </c>
      <c r="D104" s="5" t="inlineStr">
        <is>
          <t>Written-Off</t>
        </is>
      </c>
      <c r="E104" s="16" t="n">
        <v>45793</v>
      </c>
      <c r="F104" s="16" t="n">
        <v>46155</v>
      </c>
      <c r="G104" s="17" t="n">
        <v>3</v>
      </c>
      <c r="H104" s="5" t="inlineStr">
        <is>
          <t>5999</t>
        </is>
      </c>
      <c r="I104" s="5" t="inlineStr">
        <is>
          <t>All Other Misc. Store Retailers (Except Tobacco Stores)</t>
        </is>
      </c>
      <c r="J104" s="5" t="inlineStr">
        <is>
          <t>59</t>
        </is>
      </c>
      <c r="K104" s="5" t="n">
        <v>5999</v>
      </c>
      <c r="L104" s="5" t="inlineStr">
        <is>
          <t>CA</t>
        </is>
      </c>
      <c r="M104" s="5" t="inlineStr">
        <is>
          <t>Qualifier</t>
        </is>
      </c>
      <c r="N104" s="5" t="inlineStr">
        <is>
          <t>New Deal</t>
        </is>
      </c>
      <c r="O104" s="19" t="n">
        <v>1.49</v>
      </c>
      <c r="P104" s="20" t="n">
        <v>5000</v>
      </c>
      <c r="Q104" s="20" t="n">
        <v>700</v>
      </c>
      <c r="R104" s="20" t="n">
        <v>7450</v>
      </c>
      <c r="S104" s="20" t="n">
        <v>4657.29</v>
      </c>
      <c r="T104" s="20" t="n">
        <v>2792.71</v>
      </c>
      <c r="U104" s="21" t="n">
        <v>0.625139597315436</v>
      </c>
      <c r="V104" s="22" t="n">
        <v>2.459</v>
      </c>
      <c r="W104" s="17" t="n">
        <v>317</v>
      </c>
      <c r="X104" s="17" t="n">
        <v>33</v>
      </c>
      <c r="Y104" s="5" t="n"/>
      <c r="Z104" s="21" t="n">
        <v>0.0449</v>
      </c>
      <c r="AA104" s="16" t="n">
        <v>44317</v>
      </c>
      <c r="AB104" s="5">
        <f>IF(V104="","",IF(V104&lt;12,"Months","Weeks"))</f>
        <v/>
      </c>
      <c r="AC104" s="5">
        <f>IF(AB104="","",IF(AB104="Months","Daily","Weekly"))</f>
        <v/>
      </c>
      <c r="AD104" s="17">
        <f>IF(V104="","",IF(AC104="Daily",V104*Controls!$B$13,V104))</f>
        <v/>
      </c>
      <c r="AE104" s="17">
        <f>IF(V104="","",IF(AC104="Daily",V104*Controls!$B$13,V104*Controls!$B$12))</f>
        <v/>
      </c>
      <c r="AF104" s="17">
        <f>IF(OR(E104="",F104=""),"",F104-E104)</f>
        <v/>
      </c>
      <c r="AG104" s="17">
        <f>IF(OR(E104="",F104=""),"",NETWORKDAYS(E104,F104,Ref!$F$4:$F$47))</f>
        <v/>
      </c>
      <c r="AH104" s="39">
        <f>IF(IFERROR(VLOOKUP(D104,Controls!$A$25:$D$35,2,FALSE()),"No")="Yes",1,0)</f>
        <v/>
      </c>
      <c r="AI104" s="39">
        <f>IF(IFERROR(VLOOKUP(D104,Controls!$A$25:$D$35,3,FALSE()),"No")="Yes",1,0)</f>
        <v/>
      </c>
      <c r="AJ104" s="39">
        <f>IF(IFERROR(VLOOKUP(D104,Controls!$A$25:$D$35,4,FALSE()),"No")="Yes",1,0)</f>
        <v/>
      </c>
      <c r="AK104" s="96">
        <f>IF(AND($E104&gt;=Controls!$B$5,$E104&lt;=Controls!$B$6,OR(Controls!$E$9&lt;&gt;"Y",$BE104=1)),1,0)</f>
        <v/>
      </c>
      <c r="AL104" s="39">
        <f>1</f>
        <v/>
      </c>
      <c r="AM104" s="20">
        <f>S104-P104</f>
        <v/>
      </c>
      <c r="AN104" s="20">
        <f>IF(AH104=1,MAX(0,P104-S104),0)</f>
        <v/>
      </c>
      <c r="AO104" s="21">
        <f>IFERROR(S104/P104,"")</f>
        <v/>
      </c>
      <c r="AP104" s="22">
        <f>IF(Y104="","",P104/Y104)</f>
        <v/>
      </c>
      <c r="AQ104" s="39">
        <f>IF(Y104="",0,1)</f>
        <v/>
      </c>
      <c r="AR104" s="39">
        <f>IF(S104&lt;=0,1,0)</f>
        <v/>
      </c>
      <c r="AS104" s="17">
        <f>IF(AH104=1,AG104,"")</f>
        <v/>
      </c>
      <c r="AT104" s="17">
        <f>IF(AND(AH104=0,AJ104=1),AG104,"")</f>
        <v/>
      </c>
      <c r="AU104" s="5">
        <f>IF(P104&lt;10000,"Under $10K",IF(P104&lt;20000,"$10-20K",IF(P104&lt;30000,"$20-30K",IF(P104&lt;50000,"$30-50K",IF(P104&lt;100000,"$50-100K","$100K+")))))</f>
        <v/>
      </c>
      <c r="AV104" s="5">
        <f>IF(O104&lt;=1.35,"1.35 and under",IF(O104&lt;=1.42,"1.36-1.42",IF(O104&lt;=1.45,"1.43-1.45",IF(O104&lt;1.49,"1.46-1.48",IF(O104&lt;=1.49,"1.49","Above 1.49")))))</f>
        <v/>
      </c>
      <c r="AW104" s="5">
        <f>IF(AE104="","",IF(AE104&lt;60,"Under 60",IF(AE104&lt;90,"60-89",IF(AE104&lt;120,"90-119",IF(AE104&lt;150,"120-149","150+")))))</f>
        <v/>
      </c>
      <c r="AX104" s="5">
        <f>IF(AP104="","No revenue data",IF(AP104&lt;0.15,"Under 0.15x",IF(AP104&lt;0.3,"0.15-0.30x",IF(AP104&lt;0.5,"0.30-0.50x",IF(AP104&lt;1,"0.50-1.00x","1.00x+")))))</f>
        <v/>
      </c>
      <c r="AY104" s="5">
        <f>IF(J104="","No SIC",IFERROR(VLOOKUP(J104,Ref!$A$4:$C$67,2,FALSE()),"Unclassified"))</f>
        <v/>
      </c>
      <c r="AZ104" s="5">
        <f>IF(E104="","",TEXT(E104,"YYYY")&amp;"-Q"&amp;ROUNDUP(MONTH(E104)/3,0))</f>
        <v/>
      </c>
      <c r="BA104" s="5">
        <f>IF(E104="","",TEXT(E104,"YYYY-MM"))</f>
        <v/>
      </c>
      <c r="BB104" s="5">
        <f>IF(E104="","",TEXT(E104,"YYYY"))</f>
        <v/>
      </c>
      <c r="BC104" s="92">
        <f>IF($E104="","",NETWORKDAYS($E104,Controls!$B$9,Ref!$F$4:$F$47))</f>
        <v/>
      </c>
      <c r="BD104" s="92">
        <f>IF(OR($AH104=1,$AJ104=1),1,0)</f>
        <v/>
      </c>
      <c r="BE104" s="95">
        <f>IF(OR($BD104=1,AND($AE104&lt;&gt;"",$BC104&gt;=Controls!$B$10*$AE104)),1,0)</f>
        <v/>
      </c>
    </row>
    <row r="105" ht="15.75" customHeight="1" s="79">
      <c r="A105" s="5" t="inlineStr">
        <is>
          <t>5674157665</t>
        </is>
      </c>
      <c r="B105" s="5" t="inlineStr">
        <is>
          <t>LINCOLN BABIGUMIRA PAIN CLINIC, LTD.</t>
        </is>
      </c>
      <c r="C105" s="5" t="inlineStr">
        <is>
          <t>LINCOLN BABIGUMIRA PAIN CLINIC, LTD.</t>
        </is>
      </c>
      <c r="D105" s="5" t="inlineStr">
        <is>
          <t>Closed</t>
        </is>
      </c>
      <c r="E105" s="16" t="n">
        <v>45796</v>
      </c>
      <c r="F105" s="16" t="n">
        <v>45835</v>
      </c>
      <c r="G105" s="17" t="n">
        <v>7</v>
      </c>
      <c r="H105" s="5" t="inlineStr">
        <is>
          <t>8011</t>
        </is>
      </c>
      <c r="I105" s="5" t="inlineStr">
        <is>
          <t>Offices of Physicians (Except Mental Health Specialists)</t>
        </is>
      </c>
      <c r="J105" s="5" t="inlineStr">
        <is>
          <t>80</t>
        </is>
      </c>
      <c r="K105" s="5" t="n">
        <v>8011</v>
      </c>
      <c r="L105" s="5" t="inlineStr">
        <is>
          <t>IL</t>
        </is>
      </c>
      <c r="M105" s="5" t="inlineStr">
        <is>
          <t>United Secured Capital 8</t>
        </is>
      </c>
      <c r="N105" s="5" t="inlineStr">
        <is>
          <t>New Deal</t>
        </is>
      </c>
      <c r="O105" s="19" t="n">
        <v>1.5</v>
      </c>
      <c r="P105" s="20" t="n">
        <v>8000</v>
      </c>
      <c r="Q105" s="20" t="n">
        <v>1120</v>
      </c>
      <c r="R105" s="20" t="n">
        <v>12000</v>
      </c>
      <c r="S105" s="20" t="n">
        <v>12000</v>
      </c>
      <c r="T105" s="20" t="n">
        <v>0</v>
      </c>
      <c r="U105" s="21" t="n">
        <v>1</v>
      </c>
      <c r="V105" s="22" t="n">
        <v>1.639</v>
      </c>
      <c r="W105" s="17" t="n">
        <v>418</v>
      </c>
      <c r="X105" s="17" t="n">
        <v>2</v>
      </c>
      <c r="Y105" s="5" t="n"/>
      <c r="Z105" s="21" t="n">
        <v>0.0508</v>
      </c>
      <c r="AA105" s="16" t="n">
        <v>45796</v>
      </c>
      <c r="AB105" s="5">
        <f>IF(V105="","",IF(V105&lt;12,"Months","Weeks"))</f>
        <v/>
      </c>
      <c r="AC105" s="5">
        <f>IF(AB105="","",IF(AB105="Months","Daily","Weekly"))</f>
        <v/>
      </c>
      <c r="AD105" s="17">
        <f>IF(V105="","",IF(AC105="Daily",V105*Controls!$B$13,V105))</f>
        <v/>
      </c>
      <c r="AE105" s="17">
        <f>IF(V105="","",IF(AC105="Daily",V105*Controls!$B$13,V105*Controls!$B$12))</f>
        <v/>
      </c>
      <c r="AF105" s="17">
        <f>IF(OR(E105="",F105=""),"",F105-E105)</f>
        <v/>
      </c>
      <c r="AG105" s="17">
        <f>IF(OR(E105="",F105=""),"",NETWORKDAYS(E105,F105,Ref!$F$4:$F$47))</f>
        <v/>
      </c>
      <c r="AH105" s="39">
        <f>IF(IFERROR(VLOOKUP(D105,Controls!$A$25:$D$35,2,FALSE()),"No")="Yes",1,0)</f>
        <v/>
      </c>
      <c r="AI105" s="39">
        <f>IF(IFERROR(VLOOKUP(D105,Controls!$A$25:$D$35,3,FALSE()),"No")="Yes",1,0)</f>
        <v/>
      </c>
      <c r="AJ105" s="39">
        <f>IF(IFERROR(VLOOKUP(D105,Controls!$A$25:$D$35,4,FALSE()),"No")="Yes",1,0)</f>
        <v/>
      </c>
      <c r="AK105" s="96">
        <f>IF(AND($E105&gt;=Controls!$B$5,$E105&lt;=Controls!$B$6,OR(Controls!$E$9&lt;&gt;"Y",$BE105=1)),1,0)</f>
        <v/>
      </c>
      <c r="AL105" s="39">
        <f>1</f>
        <v/>
      </c>
      <c r="AM105" s="20">
        <f>S105-P105</f>
        <v/>
      </c>
      <c r="AN105" s="20">
        <f>IF(AH105=1,MAX(0,P105-S105),0)</f>
        <v/>
      </c>
      <c r="AO105" s="21">
        <f>IFERROR(S105/P105,"")</f>
        <v/>
      </c>
      <c r="AP105" s="22">
        <f>IF(Y105="","",P105/Y105)</f>
        <v/>
      </c>
      <c r="AQ105" s="39">
        <f>IF(Y105="",0,1)</f>
        <v/>
      </c>
      <c r="AR105" s="39">
        <f>IF(S105&lt;=0,1,0)</f>
        <v/>
      </c>
      <c r="AS105" s="17">
        <f>IF(AH105=1,AG105,"")</f>
        <v/>
      </c>
      <c r="AT105" s="17">
        <f>IF(AND(AH105=0,AJ105=1),AG105,"")</f>
        <v/>
      </c>
      <c r="AU105" s="5">
        <f>IF(P105&lt;10000,"Under $10K",IF(P105&lt;20000,"$10-20K",IF(P105&lt;30000,"$20-30K",IF(P105&lt;50000,"$30-50K",IF(P105&lt;100000,"$50-100K","$100K+")))))</f>
        <v/>
      </c>
      <c r="AV105" s="5">
        <f>IF(O105&lt;=1.35,"1.35 and under",IF(O105&lt;=1.42,"1.36-1.42",IF(O105&lt;=1.45,"1.43-1.45",IF(O105&lt;1.49,"1.46-1.48",IF(O105&lt;=1.49,"1.49","Above 1.49")))))</f>
        <v/>
      </c>
      <c r="AW105" s="5">
        <f>IF(AE105="","",IF(AE105&lt;60,"Under 60",IF(AE105&lt;90,"60-89",IF(AE105&lt;120,"90-119",IF(AE105&lt;150,"120-149","150+")))))</f>
        <v/>
      </c>
      <c r="AX105" s="5">
        <f>IF(AP105="","No revenue data",IF(AP105&lt;0.15,"Under 0.15x",IF(AP105&lt;0.3,"0.15-0.30x",IF(AP105&lt;0.5,"0.30-0.50x",IF(AP105&lt;1,"0.50-1.00x","1.00x+")))))</f>
        <v/>
      </c>
      <c r="AY105" s="5">
        <f>IF(J105="","No SIC",IFERROR(VLOOKUP(J105,Ref!$A$4:$C$67,2,FALSE()),"Unclassified"))</f>
        <v/>
      </c>
      <c r="AZ105" s="5">
        <f>IF(E105="","",TEXT(E105,"YYYY")&amp;"-Q"&amp;ROUNDUP(MONTH(E105)/3,0))</f>
        <v/>
      </c>
      <c r="BA105" s="5">
        <f>IF(E105="","",TEXT(E105,"YYYY-MM"))</f>
        <v/>
      </c>
      <c r="BB105" s="5">
        <f>IF(E105="","",TEXT(E105,"YYYY"))</f>
        <v/>
      </c>
      <c r="BC105" s="92">
        <f>IF($E105="","",NETWORKDAYS($E105,Controls!$B$9,Ref!$F$4:$F$47))</f>
        <v/>
      </c>
      <c r="BD105" s="92">
        <f>IF(OR($AH105=1,$AJ105=1),1,0)</f>
        <v/>
      </c>
      <c r="BE105" s="95">
        <f>IF(OR($BD105=1,AND($AE105&lt;&gt;"",$BC105&gt;=Controls!$B$10*$AE105)),1,0)</f>
        <v/>
      </c>
    </row>
    <row r="106" ht="15.75" customHeight="1" s="79">
      <c r="A106" s="5" t="inlineStr">
        <is>
          <t>5674157964</t>
        </is>
      </c>
      <c r="B106" s="5" t="inlineStr">
        <is>
          <t>ROBOLA PIZZERIA</t>
        </is>
      </c>
      <c r="C106" s="5" t="inlineStr">
        <is>
          <t>AMC FAIR DEALING</t>
        </is>
      </c>
      <c r="D106" s="5" t="inlineStr">
        <is>
          <t>Legal</t>
        </is>
      </c>
      <c r="E106" s="16" t="n">
        <v>45798</v>
      </c>
      <c r="F106" s="16" t="n">
        <v>45834</v>
      </c>
      <c r="G106" s="17" t="n">
        <v>6</v>
      </c>
      <c r="H106" s="5" t="inlineStr">
        <is>
          <t>5812</t>
        </is>
      </c>
      <c r="I106" s="5" t="inlineStr">
        <is>
          <t>Snack and Nonalcoholic Beverage Bars</t>
        </is>
      </c>
      <c r="J106" s="5" t="inlineStr">
        <is>
          <t>58</t>
        </is>
      </c>
      <c r="K106" s="5" t="n">
        <v>5812</v>
      </c>
      <c r="L106" s="5" t="inlineStr">
        <is>
          <t>PA</t>
        </is>
      </c>
      <c r="M106" s="5" t="inlineStr">
        <is>
          <t>Splash</t>
        </is>
      </c>
      <c r="N106" s="5" t="inlineStr">
        <is>
          <t>Renewal</t>
        </is>
      </c>
      <c r="O106" s="19" t="n">
        <v>1.49</v>
      </c>
      <c r="P106" s="20" t="n">
        <v>8000</v>
      </c>
      <c r="Q106" s="20" t="n">
        <v>0</v>
      </c>
      <c r="R106" s="20" t="n">
        <v>11920</v>
      </c>
      <c r="S106" s="20" t="n">
        <v>1510.15</v>
      </c>
      <c r="T106" s="20" t="n">
        <v>10409.85</v>
      </c>
      <c r="U106" s="21" t="n">
        <v>0.126690436241611</v>
      </c>
      <c r="V106" s="22" t="n">
        <v>2.459</v>
      </c>
      <c r="W106" s="17" t="n">
        <v>443</v>
      </c>
      <c r="X106" s="17" t="n">
        <v>12</v>
      </c>
      <c r="Y106" s="5" t="n"/>
      <c r="Z106" s="21" t="n">
        <v>0.1429</v>
      </c>
      <c r="AA106" s="16" t="n">
        <v>45798</v>
      </c>
      <c r="AB106" s="5">
        <f>IF(V106="","",IF(V106&lt;12,"Months","Weeks"))</f>
        <v/>
      </c>
      <c r="AC106" s="5">
        <f>IF(AB106="","",IF(AB106="Months","Daily","Weekly"))</f>
        <v/>
      </c>
      <c r="AD106" s="17">
        <f>IF(V106="","",IF(AC106="Daily",V106*Controls!$B$13,V106))</f>
        <v/>
      </c>
      <c r="AE106" s="17">
        <f>IF(V106="","",IF(AC106="Daily",V106*Controls!$B$13,V106*Controls!$B$12))</f>
        <v/>
      </c>
      <c r="AF106" s="17">
        <f>IF(OR(E106="",F106=""),"",F106-E106)</f>
        <v/>
      </c>
      <c r="AG106" s="17">
        <f>IF(OR(E106="",F106=""),"",NETWORKDAYS(E106,F106,Ref!$F$4:$F$47))</f>
        <v/>
      </c>
      <c r="AH106" s="39">
        <f>IF(IFERROR(VLOOKUP(D106,Controls!$A$25:$D$35,2,FALSE()),"No")="Yes",1,0)</f>
        <v/>
      </c>
      <c r="AI106" s="39">
        <f>IF(IFERROR(VLOOKUP(D106,Controls!$A$25:$D$35,3,FALSE()),"No")="Yes",1,0)</f>
        <v/>
      </c>
      <c r="AJ106" s="39">
        <f>IF(IFERROR(VLOOKUP(D106,Controls!$A$25:$D$35,4,FALSE()),"No")="Yes",1,0)</f>
        <v/>
      </c>
      <c r="AK106" s="96">
        <f>IF(AND($E106&gt;=Controls!$B$5,$E106&lt;=Controls!$B$6,OR(Controls!$E$9&lt;&gt;"Y",$BE106=1)),1,0)</f>
        <v/>
      </c>
      <c r="AL106" s="39">
        <f>1</f>
        <v/>
      </c>
      <c r="AM106" s="20">
        <f>S106-P106</f>
        <v/>
      </c>
      <c r="AN106" s="20">
        <f>IF(AH106=1,MAX(0,P106-S106),0)</f>
        <v/>
      </c>
      <c r="AO106" s="21">
        <f>IFERROR(S106/P106,"")</f>
        <v/>
      </c>
      <c r="AP106" s="22">
        <f>IF(Y106="","",P106/Y106)</f>
        <v/>
      </c>
      <c r="AQ106" s="39">
        <f>IF(Y106="",0,1)</f>
        <v/>
      </c>
      <c r="AR106" s="39">
        <f>IF(S106&lt;=0,1,0)</f>
        <v/>
      </c>
      <c r="AS106" s="17">
        <f>IF(AH106=1,AG106,"")</f>
        <v/>
      </c>
      <c r="AT106" s="17">
        <f>IF(AND(AH106=0,AJ106=1),AG106,"")</f>
        <v/>
      </c>
      <c r="AU106" s="5">
        <f>IF(P106&lt;10000,"Under $10K",IF(P106&lt;20000,"$10-20K",IF(P106&lt;30000,"$20-30K",IF(P106&lt;50000,"$30-50K",IF(P106&lt;100000,"$50-100K","$100K+")))))</f>
        <v/>
      </c>
      <c r="AV106" s="5">
        <f>IF(O106&lt;=1.35,"1.35 and under",IF(O106&lt;=1.42,"1.36-1.42",IF(O106&lt;=1.45,"1.43-1.45",IF(O106&lt;1.49,"1.46-1.48",IF(O106&lt;=1.49,"1.49","Above 1.49")))))</f>
        <v/>
      </c>
      <c r="AW106" s="5">
        <f>IF(AE106="","",IF(AE106&lt;60,"Under 60",IF(AE106&lt;90,"60-89",IF(AE106&lt;120,"90-119",IF(AE106&lt;150,"120-149","150+")))))</f>
        <v/>
      </c>
      <c r="AX106" s="5">
        <f>IF(AP106="","No revenue data",IF(AP106&lt;0.15,"Under 0.15x",IF(AP106&lt;0.3,"0.15-0.30x",IF(AP106&lt;0.5,"0.30-0.50x",IF(AP106&lt;1,"0.50-1.00x","1.00x+")))))</f>
        <v/>
      </c>
      <c r="AY106" s="5">
        <f>IF(J106="","No SIC",IFERROR(VLOOKUP(J106,Ref!$A$4:$C$67,2,FALSE()),"Unclassified"))</f>
        <v/>
      </c>
      <c r="AZ106" s="5">
        <f>IF(E106="","",TEXT(E106,"YYYY")&amp;"-Q"&amp;ROUNDUP(MONTH(E106)/3,0))</f>
        <v/>
      </c>
      <c r="BA106" s="5">
        <f>IF(E106="","",TEXT(E106,"YYYY-MM"))</f>
        <v/>
      </c>
      <c r="BB106" s="5">
        <f>IF(E106="","",TEXT(E106,"YYYY"))</f>
        <v/>
      </c>
      <c r="BC106" s="92">
        <f>IF($E106="","",NETWORKDAYS($E106,Controls!$B$9,Ref!$F$4:$F$47))</f>
        <v/>
      </c>
      <c r="BD106" s="92">
        <f>IF(OR($AH106=1,$AJ106=1),1,0)</f>
        <v/>
      </c>
      <c r="BE106" s="95">
        <f>IF(OR($BD106=1,AND($AE106&lt;&gt;"",$BC106&gt;=Controls!$B$10*$AE106)),1,0)</f>
        <v/>
      </c>
    </row>
    <row r="107" ht="15.75" customHeight="1" s="79">
      <c r="A107" s="5" t="inlineStr">
        <is>
          <t>5674157967</t>
        </is>
      </c>
      <c r="B107" s="5" t="inlineStr">
        <is>
          <t>Cafe Gripon's</t>
        </is>
      </c>
      <c r="C107" s="5" t="inlineStr">
        <is>
          <t>Gripon Group LLC</t>
        </is>
      </c>
      <c r="D107" s="5" t="inlineStr">
        <is>
          <t>Closed</t>
        </is>
      </c>
      <c r="E107" s="16" t="n">
        <v>45798</v>
      </c>
      <c r="F107" s="16" t="n">
        <v>45953</v>
      </c>
      <c r="G107" s="17" t="n">
        <v>6</v>
      </c>
      <c r="H107" s="5" t="inlineStr">
        <is>
          <t>5812</t>
        </is>
      </c>
      <c r="I107" s="5" t="inlineStr">
        <is>
          <t>Snack and Nonalcoholic Beverage Bars</t>
        </is>
      </c>
      <c r="J107" s="5" t="inlineStr">
        <is>
          <t>58</t>
        </is>
      </c>
      <c r="K107" s="5" t="n">
        <v>5812</v>
      </c>
      <c r="L107" s="5" t="inlineStr">
        <is>
          <t>TX</t>
        </is>
      </c>
      <c r="M107" s="5" t="inlineStr">
        <is>
          <t>Samson Funding</t>
        </is>
      </c>
      <c r="N107" s="5" t="inlineStr">
        <is>
          <t>New Deal</t>
        </is>
      </c>
      <c r="O107" s="19" t="n">
        <v>1.49</v>
      </c>
      <c r="P107" s="20" t="n">
        <v>30000</v>
      </c>
      <c r="Q107" s="20" t="n">
        <v>4200</v>
      </c>
      <c r="R107" s="20" t="n">
        <v>44700</v>
      </c>
      <c r="S107" s="20" t="n">
        <v>44700</v>
      </c>
      <c r="T107" s="20" t="n">
        <v>0</v>
      </c>
      <c r="U107" s="21" t="n">
        <v>1</v>
      </c>
      <c r="V107" s="22" t="n">
        <v>4.262</v>
      </c>
      <c r="W107" s="17" t="n">
        <v>300</v>
      </c>
      <c r="X107" s="17" t="n">
        <v>13</v>
      </c>
      <c r="Y107" s="5" t="n"/>
      <c r="Z107" s="21" t="n">
        <v>0.08019999999999999</v>
      </c>
      <c r="AA107" s="16" t="n">
        <v>45798</v>
      </c>
      <c r="AB107" s="5">
        <f>IF(V107="","",IF(V107&lt;12,"Months","Weeks"))</f>
        <v/>
      </c>
      <c r="AC107" s="5">
        <f>IF(AB107="","",IF(AB107="Months","Daily","Weekly"))</f>
        <v/>
      </c>
      <c r="AD107" s="17">
        <f>IF(V107="","",IF(AC107="Daily",V107*Controls!$B$13,V107))</f>
        <v/>
      </c>
      <c r="AE107" s="17">
        <f>IF(V107="","",IF(AC107="Daily",V107*Controls!$B$13,V107*Controls!$B$12))</f>
        <v/>
      </c>
      <c r="AF107" s="17">
        <f>IF(OR(E107="",F107=""),"",F107-E107)</f>
        <v/>
      </c>
      <c r="AG107" s="17">
        <f>IF(OR(E107="",F107=""),"",NETWORKDAYS(E107,F107,Ref!$F$4:$F$47))</f>
        <v/>
      </c>
      <c r="AH107" s="39">
        <f>IF(IFERROR(VLOOKUP(D107,Controls!$A$25:$D$35,2,FALSE()),"No")="Yes",1,0)</f>
        <v/>
      </c>
      <c r="AI107" s="39">
        <f>IF(IFERROR(VLOOKUP(D107,Controls!$A$25:$D$35,3,FALSE()),"No")="Yes",1,0)</f>
        <v/>
      </c>
      <c r="AJ107" s="39">
        <f>IF(IFERROR(VLOOKUP(D107,Controls!$A$25:$D$35,4,FALSE()),"No")="Yes",1,0)</f>
        <v/>
      </c>
      <c r="AK107" s="96">
        <f>IF(AND($E107&gt;=Controls!$B$5,$E107&lt;=Controls!$B$6,OR(Controls!$E$9&lt;&gt;"Y",$BE107=1)),1,0)</f>
        <v/>
      </c>
      <c r="AL107" s="39">
        <f>1</f>
        <v/>
      </c>
      <c r="AM107" s="20">
        <f>S107-P107</f>
        <v/>
      </c>
      <c r="AN107" s="20">
        <f>IF(AH107=1,MAX(0,P107-S107),0)</f>
        <v/>
      </c>
      <c r="AO107" s="21">
        <f>IFERROR(S107/P107,"")</f>
        <v/>
      </c>
      <c r="AP107" s="22">
        <f>IF(Y107="","",P107/Y107)</f>
        <v/>
      </c>
      <c r="AQ107" s="39">
        <f>IF(Y107="",0,1)</f>
        <v/>
      </c>
      <c r="AR107" s="39">
        <f>IF(S107&lt;=0,1,0)</f>
        <v/>
      </c>
      <c r="AS107" s="17">
        <f>IF(AH107=1,AG107,"")</f>
        <v/>
      </c>
      <c r="AT107" s="17">
        <f>IF(AND(AH107=0,AJ107=1),AG107,"")</f>
        <v/>
      </c>
      <c r="AU107" s="5">
        <f>IF(P107&lt;10000,"Under $10K",IF(P107&lt;20000,"$10-20K",IF(P107&lt;30000,"$20-30K",IF(P107&lt;50000,"$30-50K",IF(P107&lt;100000,"$50-100K","$100K+")))))</f>
        <v/>
      </c>
      <c r="AV107" s="5">
        <f>IF(O107&lt;=1.35,"1.35 and under",IF(O107&lt;=1.42,"1.36-1.42",IF(O107&lt;=1.45,"1.43-1.45",IF(O107&lt;1.49,"1.46-1.48",IF(O107&lt;=1.49,"1.49","Above 1.49")))))</f>
        <v/>
      </c>
      <c r="AW107" s="5">
        <f>IF(AE107="","",IF(AE107&lt;60,"Under 60",IF(AE107&lt;90,"60-89",IF(AE107&lt;120,"90-119",IF(AE107&lt;150,"120-149","150+")))))</f>
        <v/>
      </c>
      <c r="AX107" s="5">
        <f>IF(AP107="","No revenue data",IF(AP107&lt;0.15,"Under 0.15x",IF(AP107&lt;0.3,"0.15-0.30x",IF(AP107&lt;0.5,"0.30-0.50x",IF(AP107&lt;1,"0.50-1.00x","1.00x+")))))</f>
        <v/>
      </c>
      <c r="AY107" s="5">
        <f>IF(J107="","No SIC",IFERROR(VLOOKUP(J107,Ref!$A$4:$C$67,2,FALSE()),"Unclassified"))</f>
        <v/>
      </c>
      <c r="AZ107" s="5">
        <f>IF(E107="","",TEXT(E107,"YYYY")&amp;"-Q"&amp;ROUNDUP(MONTH(E107)/3,0))</f>
        <v/>
      </c>
      <c r="BA107" s="5">
        <f>IF(E107="","",TEXT(E107,"YYYY-MM"))</f>
        <v/>
      </c>
      <c r="BB107" s="5">
        <f>IF(E107="","",TEXT(E107,"YYYY"))</f>
        <v/>
      </c>
      <c r="BC107" s="92">
        <f>IF($E107="","",NETWORKDAYS($E107,Controls!$B$9,Ref!$F$4:$F$47))</f>
        <v/>
      </c>
      <c r="BD107" s="92">
        <f>IF(OR($AH107=1,$AJ107=1),1,0)</f>
        <v/>
      </c>
      <c r="BE107" s="95">
        <f>IF(OR($BD107=1,AND($AE107&lt;&gt;"",$BC107&gt;=Controls!$B$10*$AE107)),1,0)</f>
        <v/>
      </c>
    </row>
    <row r="108" ht="15.75" customHeight="1" s="79">
      <c r="A108" s="5" t="inlineStr">
        <is>
          <t>5674157987</t>
        </is>
      </c>
      <c r="B108" s="5" t="inlineStr">
        <is>
          <t>Organ Mountain Food Group NM</t>
        </is>
      </c>
      <c r="C108" s="5" t="inlineStr">
        <is>
          <t>ORGAN MOUNTAIN FOOD GROUP NM LLC</t>
        </is>
      </c>
      <c r="D108" s="5" t="inlineStr">
        <is>
          <t>Closed</t>
        </is>
      </c>
      <c r="E108" s="16" t="n">
        <v>45798</v>
      </c>
      <c r="F108" s="16" t="n">
        <v>45869</v>
      </c>
      <c r="G108" s="17" t="n">
        <v>3</v>
      </c>
      <c r="H108" s="5" t="inlineStr">
        <is>
          <t>5812</t>
        </is>
      </c>
      <c r="I108" s="5" t="inlineStr">
        <is>
          <t>Snack and Nonalcoholic Beverage Bars</t>
        </is>
      </c>
      <c r="J108" s="5" t="inlineStr">
        <is>
          <t>58</t>
        </is>
      </c>
      <c r="K108" s="5" t="n">
        <v>5812</v>
      </c>
      <c r="L108" s="5" t="inlineStr">
        <is>
          <t>NM</t>
        </is>
      </c>
      <c r="M108" s="5" t="inlineStr">
        <is>
          <t>Premium Capital (AMRK)</t>
        </is>
      </c>
      <c r="N108" s="5" t="inlineStr">
        <is>
          <t>New Deal</t>
        </is>
      </c>
      <c r="O108" s="19" t="n">
        <v>1.49</v>
      </c>
      <c r="P108" s="20" t="n">
        <v>25000</v>
      </c>
      <c r="Q108" s="20" t="n">
        <v>3500</v>
      </c>
      <c r="R108" s="20" t="n">
        <v>37250</v>
      </c>
      <c r="S108" s="20" t="n">
        <v>37250</v>
      </c>
      <c r="T108" s="20" t="n">
        <v>0</v>
      </c>
      <c r="U108" s="21" t="n">
        <v>1</v>
      </c>
      <c r="V108" s="22" t="n">
        <v>3.279</v>
      </c>
      <c r="W108" s="17" t="n">
        <v>384</v>
      </c>
      <c r="X108" s="17" t="n">
        <v>0</v>
      </c>
      <c r="Y108" s="5" t="n"/>
      <c r="Z108" s="21" t="n">
        <v>0.1105</v>
      </c>
      <c r="AA108" s="16" t="n">
        <v>45798</v>
      </c>
      <c r="AB108" s="5">
        <f>IF(V108="","",IF(V108&lt;12,"Months","Weeks"))</f>
        <v/>
      </c>
      <c r="AC108" s="5">
        <f>IF(AB108="","",IF(AB108="Months","Daily","Weekly"))</f>
        <v/>
      </c>
      <c r="AD108" s="17">
        <f>IF(V108="","",IF(AC108="Daily",V108*Controls!$B$13,V108))</f>
        <v/>
      </c>
      <c r="AE108" s="17">
        <f>IF(V108="","",IF(AC108="Daily",V108*Controls!$B$13,V108*Controls!$B$12))</f>
        <v/>
      </c>
      <c r="AF108" s="17">
        <f>IF(OR(E108="",F108=""),"",F108-E108)</f>
        <v/>
      </c>
      <c r="AG108" s="17">
        <f>IF(OR(E108="",F108=""),"",NETWORKDAYS(E108,F108,Ref!$F$4:$F$47))</f>
        <v/>
      </c>
      <c r="AH108" s="39">
        <f>IF(IFERROR(VLOOKUP(D108,Controls!$A$25:$D$35,2,FALSE()),"No")="Yes",1,0)</f>
        <v/>
      </c>
      <c r="AI108" s="39">
        <f>IF(IFERROR(VLOOKUP(D108,Controls!$A$25:$D$35,3,FALSE()),"No")="Yes",1,0)</f>
        <v/>
      </c>
      <c r="AJ108" s="39">
        <f>IF(IFERROR(VLOOKUP(D108,Controls!$A$25:$D$35,4,FALSE()),"No")="Yes",1,0)</f>
        <v/>
      </c>
      <c r="AK108" s="96">
        <f>IF(AND($E108&gt;=Controls!$B$5,$E108&lt;=Controls!$B$6,OR(Controls!$E$9&lt;&gt;"Y",$BE108=1)),1,0)</f>
        <v/>
      </c>
      <c r="AL108" s="39">
        <f>1</f>
        <v/>
      </c>
      <c r="AM108" s="20">
        <f>S108-P108</f>
        <v/>
      </c>
      <c r="AN108" s="20">
        <f>IF(AH108=1,MAX(0,P108-S108),0)</f>
        <v/>
      </c>
      <c r="AO108" s="21">
        <f>IFERROR(S108/P108,"")</f>
        <v/>
      </c>
      <c r="AP108" s="22">
        <f>IF(Y108="","",P108/Y108)</f>
        <v/>
      </c>
      <c r="AQ108" s="39">
        <f>IF(Y108="",0,1)</f>
        <v/>
      </c>
      <c r="AR108" s="39">
        <f>IF(S108&lt;=0,1,0)</f>
        <v/>
      </c>
      <c r="AS108" s="17">
        <f>IF(AH108=1,AG108,"")</f>
        <v/>
      </c>
      <c r="AT108" s="17">
        <f>IF(AND(AH108=0,AJ108=1),AG108,"")</f>
        <v/>
      </c>
      <c r="AU108" s="5">
        <f>IF(P108&lt;10000,"Under $10K",IF(P108&lt;20000,"$10-20K",IF(P108&lt;30000,"$20-30K",IF(P108&lt;50000,"$30-50K",IF(P108&lt;100000,"$50-100K","$100K+")))))</f>
        <v/>
      </c>
      <c r="AV108" s="5">
        <f>IF(O108&lt;=1.35,"1.35 and under",IF(O108&lt;=1.42,"1.36-1.42",IF(O108&lt;=1.45,"1.43-1.45",IF(O108&lt;1.49,"1.46-1.48",IF(O108&lt;=1.49,"1.49","Above 1.49")))))</f>
        <v/>
      </c>
      <c r="AW108" s="5">
        <f>IF(AE108="","",IF(AE108&lt;60,"Under 60",IF(AE108&lt;90,"60-89",IF(AE108&lt;120,"90-119",IF(AE108&lt;150,"120-149","150+")))))</f>
        <v/>
      </c>
      <c r="AX108" s="5">
        <f>IF(AP108="","No revenue data",IF(AP108&lt;0.15,"Under 0.15x",IF(AP108&lt;0.3,"0.15-0.30x",IF(AP108&lt;0.5,"0.30-0.50x",IF(AP108&lt;1,"0.50-1.00x","1.00x+")))))</f>
        <v/>
      </c>
      <c r="AY108" s="5">
        <f>IF(J108="","No SIC",IFERROR(VLOOKUP(J108,Ref!$A$4:$C$67,2,FALSE()),"Unclassified"))</f>
        <v/>
      </c>
      <c r="AZ108" s="5">
        <f>IF(E108="","",TEXT(E108,"YYYY")&amp;"-Q"&amp;ROUNDUP(MONTH(E108)/3,0))</f>
        <v/>
      </c>
      <c r="BA108" s="5">
        <f>IF(E108="","",TEXT(E108,"YYYY-MM"))</f>
        <v/>
      </c>
      <c r="BB108" s="5">
        <f>IF(E108="","",TEXT(E108,"YYYY"))</f>
        <v/>
      </c>
      <c r="BC108" s="92">
        <f>IF($E108="","",NETWORKDAYS($E108,Controls!$B$9,Ref!$F$4:$F$47))</f>
        <v/>
      </c>
      <c r="BD108" s="92">
        <f>IF(OR($AH108=1,$AJ108=1),1,0)</f>
        <v/>
      </c>
      <c r="BE108" s="95">
        <f>IF(OR($BD108=1,AND($AE108&lt;&gt;"",$BC108&gt;=Controls!$B$10*$AE108)),1,0)</f>
        <v/>
      </c>
    </row>
    <row r="109" ht="15.75" customHeight="1" s="79">
      <c r="A109" s="5" t="inlineStr">
        <is>
          <t>5674158038</t>
        </is>
      </c>
      <c r="B109" s="5" t="inlineStr">
        <is>
          <t>Tillis Transportation LLC</t>
        </is>
      </c>
      <c r="C109" s="5" t="inlineStr">
        <is>
          <t>Tillis Transportation LLC</t>
        </is>
      </c>
      <c r="D109" s="5" t="inlineStr">
        <is>
          <t>Legal</t>
        </is>
      </c>
      <c r="E109" s="16" t="n">
        <v>45799</v>
      </c>
      <c r="F109" s="16" t="n">
        <v>45812</v>
      </c>
      <c r="G109" s="17" t="n">
        <v>3</v>
      </c>
      <c r="H109" s="5" t="inlineStr">
        <is>
          <t>4212</t>
        </is>
      </c>
      <c r="I109" s="5" t="inlineStr">
        <is>
          <t>General Freight Trucking, Local</t>
        </is>
      </c>
      <c r="J109" s="5" t="inlineStr">
        <is>
          <t>42</t>
        </is>
      </c>
      <c r="K109" s="5" t="n">
        <v>4214</v>
      </c>
      <c r="L109" s="5" t="inlineStr">
        <is>
          <t>AL</t>
        </is>
      </c>
      <c r="M109" s="5" t="inlineStr">
        <is>
          <t>Viking Funding LLC</t>
        </is>
      </c>
      <c r="N109" s="5" t="inlineStr">
        <is>
          <t>New Deal</t>
        </is>
      </c>
      <c r="O109" s="19" t="n">
        <v>1.45</v>
      </c>
      <c r="P109" s="20" t="n">
        <v>10000</v>
      </c>
      <c r="Q109" s="20" t="n">
        <v>0</v>
      </c>
      <c r="R109" s="20" t="n">
        <v>14500</v>
      </c>
      <c r="S109" s="20" t="n">
        <v>181.11</v>
      </c>
      <c r="T109" s="20" t="n">
        <v>14318.89</v>
      </c>
      <c r="U109" s="21" t="n">
        <v>0.0124903448275862</v>
      </c>
      <c r="V109" s="22" t="n">
        <v>2.623</v>
      </c>
      <c r="W109" s="17" t="n">
        <v>454</v>
      </c>
      <c r="X109" s="17" t="n">
        <v>7</v>
      </c>
      <c r="Y109" s="5" t="n"/>
      <c r="Z109" s="21" t="n">
        <v>0.0589</v>
      </c>
      <c r="AA109" s="16" t="n">
        <v>45799</v>
      </c>
      <c r="AB109" s="5">
        <f>IF(V109="","",IF(V109&lt;12,"Months","Weeks"))</f>
        <v/>
      </c>
      <c r="AC109" s="5">
        <f>IF(AB109="","",IF(AB109="Months","Daily","Weekly"))</f>
        <v/>
      </c>
      <c r="AD109" s="17">
        <f>IF(V109="","",IF(AC109="Daily",V109*Controls!$B$13,V109))</f>
        <v/>
      </c>
      <c r="AE109" s="17">
        <f>IF(V109="","",IF(AC109="Daily",V109*Controls!$B$13,V109*Controls!$B$12))</f>
        <v/>
      </c>
      <c r="AF109" s="17">
        <f>IF(OR(E109="",F109=""),"",F109-E109)</f>
        <v/>
      </c>
      <c r="AG109" s="17">
        <f>IF(OR(E109="",F109=""),"",NETWORKDAYS(E109,F109,Ref!$F$4:$F$47))</f>
        <v/>
      </c>
      <c r="AH109" s="39">
        <f>IF(IFERROR(VLOOKUP(D109,Controls!$A$25:$D$35,2,FALSE()),"No")="Yes",1,0)</f>
        <v/>
      </c>
      <c r="AI109" s="39">
        <f>IF(IFERROR(VLOOKUP(D109,Controls!$A$25:$D$35,3,FALSE()),"No")="Yes",1,0)</f>
        <v/>
      </c>
      <c r="AJ109" s="39">
        <f>IF(IFERROR(VLOOKUP(D109,Controls!$A$25:$D$35,4,FALSE()),"No")="Yes",1,0)</f>
        <v/>
      </c>
      <c r="AK109" s="96">
        <f>IF(AND($E109&gt;=Controls!$B$5,$E109&lt;=Controls!$B$6,OR(Controls!$E$9&lt;&gt;"Y",$BE109=1)),1,0)</f>
        <v/>
      </c>
      <c r="AL109" s="39">
        <f>1</f>
        <v/>
      </c>
      <c r="AM109" s="20">
        <f>S109-P109</f>
        <v/>
      </c>
      <c r="AN109" s="20">
        <f>IF(AH109=1,MAX(0,P109-S109),0)</f>
        <v/>
      </c>
      <c r="AO109" s="21">
        <f>IFERROR(S109/P109,"")</f>
        <v/>
      </c>
      <c r="AP109" s="22">
        <f>IF(Y109="","",P109/Y109)</f>
        <v/>
      </c>
      <c r="AQ109" s="39">
        <f>IF(Y109="",0,1)</f>
        <v/>
      </c>
      <c r="AR109" s="39">
        <f>IF(S109&lt;=0,1,0)</f>
        <v/>
      </c>
      <c r="AS109" s="17">
        <f>IF(AH109=1,AG109,"")</f>
        <v/>
      </c>
      <c r="AT109" s="17">
        <f>IF(AND(AH109=0,AJ109=1),AG109,"")</f>
        <v/>
      </c>
      <c r="AU109" s="5">
        <f>IF(P109&lt;10000,"Under $10K",IF(P109&lt;20000,"$10-20K",IF(P109&lt;30000,"$20-30K",IF(P109&lt;50000,"$30-50K",IF(P109&lt;100000,"$50-100K","$100K+")))))</f>
        <v/>
      </c>
      <c r="AV109" s="5">
        <f>IF(O109&lt;=1.35,"1.35 and under",IF(O109&lt;=1.42,"1.36-1.42",IF(O109&lt;=1.45,"1.43-1.45",IF(O109&lt;1.49,"1.46-1.48",IF(O109&lt;=1.49,"1.49","Above 1.49")))))</f>
        <v/>
      </c>
      <c r="AW109" s="5">
        <f>IF(AE109="","",IF(AE109&lt;60,"Under 60",IF(AE109&lt;90,"60-89",IF(AE109&lt;120,"90-119",IF(AE109&lt;150,"120-149","150+")))))</f>
        <v/>
      </c>
      <c r="AX109" s="5">
        <f>IF(AP109="","No revenue data",IF(AP109&lt;0.15,"Under 0.15x",IF(AP109&lt;0.3,"0.15-0.30x",IF(AP109&lt;0.5,"0.30-0.50x",IF(AP109&lt;1,"0.50-1.00x","1.00x+")))))</f>
        <v/>
      </c>
      <c r="AY109" s="5">
        <f>IF(J109="","No SIC",IFERROR(VLOOKUP(J109,Ref!$A$4:$C$67,2,FALSE()),"Unclassified"))</f>
        <v/>
      </c>
      <c r="AZ109" s="5">
        <f>IF(E109="","",TEXT(E109,"YYYY")&amp;"-Q"&amp;ROUNDUP(MONTH(E109)/3,0))</f>
        <v/>
      </c>
      <c r="BA109" s="5">
        <f>IF(E109="","",TEXT(E109,"YYYY-MM"))</f>
        <v/>
      </c>
      <c r="BB109" s="5">
        <f>IF(E109="","",TEXT(E109,"YYYY"))</f>
        <v/>
      </c>
      <c r="BC109" s="92">
        <f>IF($E109="","",NETWORKDAYS($E109,Controls!$B$9,Ref!$F$4:$F$47))</f>
        <v/>
      </c>
      <c r="BD109" s="92">
        <f>IF(OR($AH109=1,$AJ109=1),1,0)</f>
        <v/>
      </c>
      <c r="BE109" s="95">
        <f>IF(OR($BD109=1,AND($AE109&lt;&gt;"",$BC109&gt;=Controls!$B$10*$AE109)),1,0)</f>
        <v/>
      </c>
    </row>
    <row r="110" ht="15.75" customHeight="1" s="79">
      <c r="A110" s="5" t="inlineStr">
        <is>
          <t>5674158061</t>
        </is>
      </c>
      <c r="B110" s="5" t="inlineStr">
        <is>
          <t>Skoog Construction</t>
        </is>
      </c>
      <c r="C110" s="5" t="inlineStr">
        <is>
          <t>Skoog Construction</t>
        </is>
      </c>
      <c r="D110" s="5" t="inlineStr">
        <is>
          <t>Legal</t>
        </is>
      </c>
      <c r="E110" s="16" t="n">
        <v>45799</v>
      </c>
      <c r="F110" s="16" t="n">
        <v>46234</v>
      </c>
      <c r="G110" s="17" t="n">
        <v>3</v>
      </c>
      <c r="H110" s="5" t="inlineStr">
        <is>
          <t>1522</t>
        </is>
      </c>
      <c r="I110" s="5" t="inlineStr">
        <is>
          <t>New Multifamily Housing Construction (Except For-Sale Builders)</t>
        </is>
      </c>
      <c r="J110" s="5" t="inlineStr">
        <is>
          <t>15</t>
        </is>
      </c>
      <c r="K110" s="5" t="n">
        <v>1520</v>
      </c>
      <c r="L110" s="5" t="inlineStr">
        <is>
          <t>ID</t>
        </is>
      </c>
      <c r="M110" s="5" t="inlineStr">
        <is>
          <t>Westwood</t>
        </is>
      </c>
      <c r="N110" s="5" t="inlineStr">
        <is>
          <t>New Deal</t>
        </is>
      </c>
      <c r="O110" s="19" t="n">
        <v>1.49</v>
      </c>
      <c r="P110" s="20" t="n">
        <v>10000</v>
      </c>
      <c r="Q110" s="20" t="n">
        <v>1400</v>
      </c>
      <c r="R110" s="20" t="n">
        <v>14900</v>
      </c>
      <c r="S110" s="20" t="n">
        <v>14829.18</v>
      </c>
      <c r="T110" s="20" t="n">
        <v>70.81999999999969</v>
      </c>
      <c r="U110" s="21" t="n">
        <v>0.995246979865772</v>
      </c>
      <c r="V110" s="22" t="n">
        <v>1.967</v>
      </c>
      <c r="W110" s="17" t="n">
        <v>19</v>
      </c>
      <c r="X110" s="17" t="n">
        <v>8</v>
      </c>
      <c r="Y110" s="5" t="n"/>
      <c r="Z110" s="21" t="n">
        <v>0.1254</v>
      </c>
      <c r="AA110" s="16" t="n">
        <v>45799</v>
      </c>
      <c r="AB110" s="5">
        <f>IF(V110="","",IF(V110&lt;12,"Months","Weeks"))</f>
        <v/>
      </c>
      <c r="AC110" s="5">
        <f>IF(AB110="","",IF(AB110="Months","Daily","Weekly"))</f>
        <v/>
      </c>
      <c r="AD110" s="17">
        <f>IF(V110="","",IF(AC110="Daily",V110*Controls!$B$13,V110))</f>
        <v/>
      </c>
      <c r="AE110" s="17">
        <f>IF(V110="","",IF(AC110="Daily",V110*Controls!$B$13,V110*Controls!$B$12))</f>
        <v/>
      </c>
      <c r="AF110" s="17">
        <f>IF(OR(E110="",F110=""),"",F110-E110)</f>
        <v/>
      </c>
      <c r="AG110" s="17">
        <f>IF(OR(E110="",F110=""),"",NETWORKDAYS(E110,F110,Ref!$F$4:$F$47))</f>
        <v/>
      </c>
      <c r="AH110" s="39">
        <f>IF(IFERROR(VLOOKUP(D110,Controls!$A$25:$D$35,2,FALSE()),"No")="Yes",1,0)</f>
        <v/>
      </c>
      <c r="AI110" s="39">
        <f>IF(IFERROR(VLOOKUP(D110,Controls!$A$25:$D$35,3,FALSE()),"No")="Yes",1,0)</f>
        <v/>
      </c>
      <c r="AJ110" s="39">
        <f>IF(IFERROR(VLOOKUP(D110,Controls!$A$25:$D$35,4,FALSE()),"No")="Yes",1,0)</f>
        <v/>
      </c>
      <c r="AK110" s="96">
        <f>IF(AND($E110&gt;=Controls!$B$5,$E110&lt;=Controls!$B$6,OR(Controls!$E$9&lt;&gt;"Y",$BE110=1)),1,0)</f>
        <v/>
      </c>
      <c r="AL110" s="39">
        <f>1</f>
        <v/>
      </c>
      <c r="AM110" s="20">
        <f>S110-P110</f>
        <v/>
      </c>
      <c r="AN110" s="20">
        <f>IF(AH110=1,MAX(0,P110-S110),0)</f>
        <v/>
      </c>
      <c r="AO110" s="21">
        <f>IFERROR(S110/P110,"")</f>
        <v/>
      </c>
      <c r="AP110" s="22">
        <f>IF(Y110="","",P110/Y110)</f>
        <v/>
      </c>
      <c r="AQ110" s="39">
        <f>IF(Y110="",0,1)</f>
        <v/>
      </c>
      <c r="AR110" s="39">
        <f>IF(S110&lt;=0,1,0)</f>
        <v/>
      </c>
      <c r="AS110" s="17">
        <f>IF(AH110=1,AG110,"")</f>
        <v/>
      </c>
      <c r="AT110" s="17">
        <f>IF(AND(AH110=0,AJ110=1),AG110,"")</f>
        <v/>
      </c>
      <c r="AU110" s="5">
        <f>IF(P110&lt;10000,"Under $10K",IF(P110&lt;20000,"$10-20K",IF(P110&lt;30000,"$20-30K",IF(P110&lt;50000,"$30-50K",IF(P110&lt;100000,"$50-100K","$100K+")))))</f>
        <v/>
      </c>
      <c r="AV110" s="5">
        <f>IF(O110&lt;=1.35,"1.35 and under",IF(O110&lt;=1.42,"1.36-1.42",IF(O110&lt;=1.45,"1.43-1.45",IF(O110&lt;1.49,"1.46-1.48",IF(O110&lt;=1.49,"1.49","Above 1.49")))))</f>
        <v/>
      </c>
      <c r="AW110" s="5">
        <f>IF(AE110="","",IF(AE110&lt;60,"Under 60",IF(AE110&lt;90,"60-89",IF(AE110&lt;120,"90-119",IF(AE110&lt;150,"120-149","150+")))))</f>
        <v/>
      </c>
      <c r="AX110" s="5">
        <f>IF(AP110="","No revenue data",IF(AP110&lt;0.15,"Under 0.15x",IF(AP110&lt;0.3,"0.15-0.30x",IF(AP110&lt;0.5,"0.30-0.50x",IF(AP110&lt;1,"0.50-1.00x","1.00x+")))))</f>
        <v/>
      </c>
      <c r="AY110" s="5">
        <f>IF(J110="","No SIC",IFERROR(VLOOKUP(J110,Ref!$A$4:$C$67,2,FALSE()),"Unclassified"))</f>
        <v/>
      </c>
      <c r="AZ110" s="5">
        <f>IF(E110="","",TEXT(E110,"YYYY")&amp;"-Q"&amp;ROUNDUP(MONTH(E110)/3,0))</f>
        <v/>
      </c>
      <c r="BA110" s="5">
        <f>IF(E110="","",TEXT(E110,"YYYY-MM"))</f>
        <v/>
      </c>
      <c r="BB110" s="5">
        <f>IF(E110="","",TEXT(E110,"YYYY"))</f>
        <v/>
      </c>
      <c r="BC110" s="92">
        <f>IF($E110="","",NETWORKDAYS($E110,Controls!$B$9,Ref!$F$4:$F$47))</f>
        <v/>
      </c>
      <c r="BD110" s="92">
        <f>IF(OR($AH110=1,$AJ110=1),1,0)</f>
        <v/>
      </c>
      <c r="BE110" s="95">
        <f>IF(OR($BD110=1,AND($AE110&lt;&gt;"",$BC110&gt;=Controls!$B$10*$AE110)),1,0)</f>
        <v/>
      </c>
    </row>
    <row r="111" ht="15.75" customHeight="1" s="79">
      <c r="A111" s="5" t="inlineStr">
        <is>
          <t>5674158214</t>
        </is>
      </c>
      <c r="B111" s="5" t="inlineStr">
        <is>
          <t>KCG LLC</t>
        </is>
      </c>
      <c r="C111" s="5" t="inlineStr">
        <is>
          <t>KCG LLC</t>
        </is>
      </c>
      <c r="D111" s="5" t="inlineStr">
        <is>
          <t>Closed</t>
        </is>
      </c>
      <c r="E111" s="16" t="n">
        <v>45800</v>
      </c>
      <c r="F111" s="16" t="n">
        <v>45905</v>
      </c>
      <c r="G111" s="17" t="n">
        <v>4</v>
      </c>
      <c r="H111" s="5" t="inlineStr">
        <is>
          <t>1521</t>
        </is>
      </c>
      <c r="I111" s="5" t="inlineStr">
        <is>
          <t>Residential Remodelers</t>
        </is>
      </c>
      <c r="J111" s="5" t="inlineStr">
        <is>
          <t>15</t>
        </is>
      </c>
      <c r="K111" s="5" t="n">
        <v>1520</v>
      </c>
      <c r="L111" s="5" t="inlineStr">
        <is>
          <t>No state</t>
        </is>
      </c>
      <c r="M111" s="5" t="inlineStr">
        <is>
          <t>Elite Advance 5</t>
        </is>
      </c>
      <c r="N111" s="5" t="inlineStr">
        <is>
          <t>New Deal</t>
        </is>
      </c>
      <c r="O111" s="19" t="n">
        <v>1.499</v>
      </c>
      <c r="P111" s="20" t="n">
        <v>7000</v>
      </c>
      <c r="Q111" s="20" t="n">
        <v>980</v>
      </c>
      <c r="R111" s="20" t="n">
        <v>10493</v>
      </c>
      <c r="S111" s="20" t="n">
        <v>10493</v>
      </c>
      <c r="T111" s="20" t="n">
        <v>0</v>
      </c>
      <c r="U111" s="21" t="n">
        <v>1</v>
      </c>
      <c r="V111" s="22" t="n">
        <v>2.459</v>
      </c>
      <c r="W111" s="17" t="n">
        <v>348</v>
      </c>
      <c r="X111" s="17" t="n">
        <v>9</v>
      </c>
      <c r="Y111" s="5" t="n"/>
      <c r="Z111" s="21" t="n">
        <v>0.0229</v>
      </c>
      <c r="AA111" s="16" t="n">
        <v>45800</v>
      </c>
      <c r="AB111" s="5">
        <f>IF(V111="","",IF(V111&lt;12,"Months","Weeks"))</f>
        <v/>
      </c>
      <c r="AC111" s="5">
        <f>IF(AB111="","",IF(AB111="Months","Daily","Weekly"))</f>
        <v/>
      </c>
      <c r="AD111" s="17">
        <f>IF(V111="","",IF(AC111="Daily",V111*Controls!$B$13,V111))</f>
        <v/>
      </c>
      <c r="AE111" s="17">
        <f>IF(V111="","",IF(AC111="Daily",V111*Controls!$B$13,V111*Controls!$B$12))</f>
        <v/>
      </c>
      <c r="AF111" s="17">
        <f>IF(OR(E111="",F111=""),"",F111-E111)</f>
        <v/>
      </c>
      <c r="AG111" s="17">
        <f>IF(OR(E111="",F111=""),"",NETWORKDAYS(E111,F111,Ref!$F$4:$F$47))</f>
        <v/>
      </c>
      <c r="AH111" s="39">
        <f>IF(IFERROR(VLOOKUP(D111,Controls!$A$25:$D$35,2,FALSE()),"No")="Yes",1,0)</f>
        <v/>
      </c>
      <c r="AI111" s="39">
        <f>IF(IFERROR(VLOOKUP(D111,Controls!$A$25:$D$35,3,FALSE()),"No")="Yes",1,0)</f>
        <v/>
      </c>
      <c r="AJ111" s="39">
        <f>IF(IFERROR(VLOOKUP(D111,Controls!$A$25:$D$35,4,FALSE()),"No")="Yes",1,0)</f>
        <v/>
      </c>
      <c r="AK111" s="96">
        <f>IF(AND($E111&gt;=Controls!$B$5,$E111&lt;=Controls!$B$6,OR(Controls!$E$9&lt;&gt;"Y",$BE111=1)),1,0)</f>
        <v/>
      </c>
      <c r="AL111" s="39">
        <f>1</f>
        <v/>
      </c>
      <c r="AM111" s="20">
        <f>S111-P111</f>
        <v/>
      </c>
      <c r="AN111" s="20">
        <f>IF(AH111=1,MAX(0,P111-S111),0)</f>
        <v/>
      </c>
      <c r="AO111" s="21">
        <f>IFERROR(S111/P111,"")</f>
        <v/>
      </c>
      <c r="AP111" s="22">
        <f>IF(Y111="","",P111/Y111)</f>
        <v/>
      </c>
      <c r="AQ111" s="39">
        <f>IF(Y111="",0,1)</f>
        <v/>
      </c>
      <c r="AR111" s="39">
        <f>IF(S111&lt;=0,1,0)</f>
        <v/>
      </c>
      <c r="AS111" s="17">
        <f>IF(AH111=1,AG111,"")</f>
        <v/>
      </c>
      <c r="AT111" s="17">
        <f>IF(AND(AH111=0,AJ111=1),AG111,"")</f>
        <v/>
      </c>
      <c r="AU111" s="5">
        <f>IF(P111&lt;10000,"Under $10K",IF(P111&lt;20000,"$10-20K",IF(P111&lt;30000,"$20-30K",IF(P111&lt;50000,"$30-50K",IF(P111&lt;100000,"$50-100K","$100K+")))))</f>
        <v/>
      </c>
      <c r="AV111" s="5">
        <f>IF(O111&lt;=1.35,"1.35 and under",IF(O111&lt;=1.42,"1.36-1.42",IF(O111&lt;=1.45,"1.43-1.45",IF(O111&lt;1.49,"1.46-1.48",IF(O111&lt;=1.49,"1.49","Above 1.49")))))</f>
        <v/>
      </c>
      <c r="AW111" s="5">
        <f>IF(AE111="","",IF(AE111&lt;60,"Under 60",IF(AE111&lt;90,"60-89",IF(AE111&lt;120,"90-119",IF(AE111&lt;150,"120-149","150+")))))</f>
        <v/>
      </c>
      <c r="AX111" s="5">
        <f>IF(AP111="","No revenue data",IF(AP111&lt;0.15,"Under 0.15x",IF(AP111&lt;0.3,"0.15-0.30x",IF(AP111&lt;0.5,"0.30-0.50x",IF(AP111&lt;1,"0.50-1.00x","1.00x+")))))</f>
        <v/>
      </c>
      <c r="AY111" s="5">
        <f>IF(J111="","No SIC",IFERROR(VLOOKUP(J111,Ref!$A$4:$C$67,2,FALSE()),"Unclassified"))</f>
        <v/>
      </c>
      <c r="AZ111" s="5">
        <f>IF(E111="","",TEXT(E111,"YYYY")&amp;"-Q"&amp;ROUNDUP(MONTH(E111)/3,0))</f>
        <v/>
      </c>
      <c r="BA111" s="5">
        <f>IF(E111="","",TEXT(E111,"YYYY-MM"))</f>
        <v/>
      </c>
      <c r="BB111" s="5">
        <f>IF(E111="","",TEXT(E111,"YYYY"))</f>
        <v/>
      </c>
      <c r="BC111" s="92">
        <f>IF($E111="","",NETWORKDAYS($E111,Controls!$B$9,Ref!$F$4:$F$47))</f>
        <v/>
      </c>
      <c r="BD111" s="92">
        <f>IF(OR($AH111=1,$AJ111=1),1,0)</f>
        <v/>
      </c>
      <c r="BE111" s="95">
        <f>IF(OR($BD111=1,AND($AE111&lt;&gt;"",$BC111&gt;=Controls!$B$10*$AE111)),1,0)</f>
        <v/>
      </c>
    </row>
    <row r="112" ht="15.75" customHeight="1" s="79">
      <c r="A112" s="5" t="inlineStr">
        <is>
          <t>5674158234</t>
        </is>
      </c>
      <c r="B112" s="5" t="inlineStr">
        <is>
          <t>Synergy Circuits, Inc</t>
        </is>
      </c>
      <c r="C112" s="5" t="inlineStr">
        <is>
          <t>Synergy Circuits, Inc.</t>
        </is>
      </c>
      <c r="D112" s="5" t="inlineStr">
        <is>
          <t>Closed</t>
        </is>
      </c>
      <c r="E112" s="16" t="n">
        <v>45800</v>
      </c>
      <c r="F112" s="16" t="n">
        <v>45960</v>
      </c>
      <c r="G112" s="17" t="n">
        <v>1</v>
      </c>
      <c r="H112" s="5" t="inlineStr">
        <is>
          <t>3672</t>
        </is>
      </c>
      <c r="I112" s="5" t="inlineStr">
        <is>
          <t>Bare Printed Circuit Board Mfg.</t>
        </is>
      </c>
      <c r="J112" s="5" t="inlineStr">
        <is>
          <t>36</t>
        </is>
      </c>
      <c r="K112" s="5" t="n">
        <v>2741</v>
      </c>
      <c r="L112" s="5" t="inlineStr">
        <is>
          <t>No state</t>
        </is>
      </c>
      <c r="M112" s="5" t="inlineStr">
        <is>
          <t>GREYSTONE</t>
        </is>
      </c>
      <c r="N112" s="5" t="inlineStr">
        <is>
          <t>New Deal</t>
        </is>
      </c>
      <c r="O112" s="19" t="n">
        <v>1.47</v>
      </c>
      <c r="P112" s="20" t="n">
        <v>17500</v>
      </c>
      <c r="Q112" s="20" t="n">
        <v>2275</v>
      </c>
      <c r="R112" s="20" t="n">
        <v>25725</v>
      </c>
      <c r="S112" s="20" t="n">
        <v>25725</v>
      </c>
      <c r="T112" s="20" t="n">
        <v>0</v>
      </c>
      <c r="U112" s="21" t="n">
        <v>1</v>
      </c>
      <c r="V112" s="22" t="n">
        <v>20</v>
      </c>
      <c r="W112" s="17" t="n">
        <v>293</v>
      </c>
      <c r="X112" s="17" t="n">
        <v>3</v>
      </c>
      <c r="Y112" s="5" t="n"/>
      <c r="Z112" s="21" t="n">
        <v>0.07679999999999999</v>
      </c>
      <c r="AA112" s="16" t="n">
        <v>45800</v>
      </c>
      <c r="AB112" s="5">
        <f>IF(V112="","",IF(V112&lt;12,"Months","Weeks"))</f>
        <v/>
      </c>
      <c r="AC112" s="5">
        <f>IF(AB112="","",IF(AB112="Months","Daily","Weekly"))</f>
        <v/>
      </c>
      <c r="AD112" s="17">
        <f>IF(V112="","",IF(AC112="Daily",V112*Controls!$B$13,V112))</f>
        <v/>
      </c>
      <c r="AE112" s="17">
        <f>IF(V112="","",IF(AC112="Daily",V112*Controls!$B$13,V112*Controls!$B$12))</f>
        <v/>
      </c>
      <c r="AF112" s="17">
        <f>IF(OR(E112="",F112=""),"",F112-E112)</f>
        <v/>
      </c>
      <c r="AG112" s="17">
        <f>IF(OR(E112="",F112=""),"",NETWORKDAYS(E112,F112,Ref!$F$4:$F$47))</f>
        <v/>
      </c>
      <c r="AH112" s="39">
        <f>IF(IFERROR(VLOOKUP(D112,Controls!$A$25:$D$35,2,FALSE()),"No")="Yes",1,0)</f>
        <v/>
      </c>
      <c r="AI112" s="39">
        <f>IF(IFERROR(VLOOKUP(D112,Controls!$A$25:$D$35,3,FALSE()),"No")="Yes",1,0)</f>
        <v/>
      </c>
      <c r="AJ112" s="39">
        <f>IF(IFERROR(VLOOKUP(D112,Controls!$A$25:$D$35,4,FALSE()),"No")="Yes",1,0)</f>
        <v/>
      </c>
      <c r="AK112" s="96">
        <f>IF(AND($E112&gt;=Controls!$B$5,$E112&lt;=Controls!$B$6,OR(Controls!$E$9&lt;&gt;"Y",$BE112=1)),1,0)</f>
        <v/>
      </c>
      <c r="AL112" s="39">
        <f>1</f>
        <v/>
      </c>
      <c r="AM112" s="20">
        <f>S112-P112</f>
        <v/>
      </c>
      <c r="AN112" s="20">
        <f>IF(AH112=1,MAX(0,P112-S112),0)</f>
        <v/>
      </c>
      <c r="AO112" s="21">
        <f>IFERROR(S112/P112,"")</f>
        <v/>
      </c>
      <c r="AP112" s="22">
        <f>IF(Y112="","",P112/Y112)</f>
        <v/>
      </c>
      <c r="AQ112" s="39">
        <f>IF(Y112="",0,1)</f>
        <v/>
      </c>
      <c r="AR112" s="39">
        <f>IF(S112&lt;=0,1,0)</f>
        <v/>
      </c>
      <c r="AS112" s="17">
        <f>IF(AH112=1,AG112,"")</f>
        <v/>
      </c>
      <c r="AT112" s="17">
        <f>IF(AND(AH112=0,AJ112=1),AG112,"")</f>
        <v/>
      </c>
      <c r="AU112" s="5">
        <f>IF(P112&lt;10000,"Under $10K",IF(P112&lt;20000,"$10-20K",IF(P112&lt;30000,"$20-30K",IF(P112&lt;50000,"$30-50K",IF(P112&lt;100000,"$50-100K","$100K+")))))</f>
        <v/>
      </c>
      <c r="AV112" s="5">
        <f>IF(O112&lt;=1.35,"1.35 and under",IF(O112&lt;=1.42,"1.36-1.42",IF(O112&lt;=1.45,"1.43-1.45",IF(O112&lt;1.49,"1.46-1.48",IF(O112&lt;=1.49,"1.49","Above 1.49")))))</f>
        <v/>
      </c>
      <c r="AW112" s="5">
        <f>IF(AE112="","",IF(AE112&lt;60,"Under 60",IF(AE112&lt;90,"60-89",IF(AE112&lt;120,"90-119",IF(AE112&lt;150,"120-149","150+")))))</f>
        <v/>
      </c>
      <c r="AX112" s="5">
        <f>IF(AP112="","No revenue data",IF(AP112&lt;0.15,"Under 0.15x",IF(AP112&lt;0.3,"0.15-0.30x",IF(AP112&lt;0.5,"0.30-0.50x",IF(AP112&lt;1,"0.50-1.00x","1.00x+")))))</f>
        <v/>
      </c>
      <c r="AY112" s="5">
        <f>IF(J112="","No SIC",IFERROR(VLOOKUP(J112,Ref!$A$4:$C$67,2,FALSE()),"Unclassified"))</f>
        <v/>
      </c>
      <c r="AZ112" s="5">
        <f>IF(E112="","",TEXT(E112,"YYYY")&amp;"-Q"&amp;ROUNDUP(MONTH(E112)/3,0))</f>
        <v/>
      </c>
      <c r="BA112" s="5">
        <f>IF(E112="","",TEXT(E112,"YYYY-MM"))</f>
        <v/>
      </c>
      <c r="BB112" s="5">
        <f>IF(E112="","",TEXT(E112,"YYYY"))</f>
        <v/>
      </c>
      <c r="BC112" s="92">
        <f>IF($E112="","",NETWORKDAYS($E112,Controls!$B$9,Ref!$F$4:$F$47))</f>
        <v/>
      </c>
      <c r="BD112" s="92">
        <f>IF(OR($AH112=1,$AJ112=1),1,0)</f>
        <v/>
      </c>
      <c r="BE112" s="95">
        <f>IF(OR($BD112=1,AND($AE112&lt;&gt;"",$BC112&gt;=Controls!$B$10*$AE112)),1,0)</f>
        <v/>
      </c>
    </row>
    <row r="113" ht="15.75" customHeight="1" s="79">
      <c r="A113" s="5" t="inlineStr">
        <is>
          <t>5674158253</t>
        </is>
      </c>
      <c r="B113" s="5" t="inlineStr">
        <is>
          <t>Shoperies NE LLC</t>
        </is>
      </c>
      <c r="C113" s="5" t="inlineStr">
        <is>
          <t>Shoperies NE LLC</t>
        </is>
      </c>
      <c r="D113" s="5" t="inlineStr">
        <is>
          <t>Closed</t>
        </is>
      </c>
      <c r="E113" s="16" t="n">
        <v>45800</v>
      </c>
      <c r="F113" s="16" t="n">
        <v>45867</v>
      </c>
      <c r="G113" s="17" t="n">
        <v>3</v>
      </c>
      <c r="H113" s="5" t="inlineStr">
        <is>
          <t>5999</t>
        </is>
      </c>
      <c r="I113" s="5" t="inlineStr">
        <is>
          <t>All Other Misc. Store Retailers (Except Tobacco Stores)</t>
        </is>
      </c>
      <c r="J113" s="5" t="inlineStr">
        <is>
          <t>59</t>
        </is>
      </c>
      <c r="K113" s="5" t="n">
        <v>5999</v>
      </c>
      <c r="L113" s="5" t="inlineStr">
        <is>
          <t>No state</t>
        </is>
      </c>
      <c r="M113" s="5" t="inlineStr">
        <is>
          <t>Westwood</t>
        </is>
      </c>
      <c r="N113" s="5" t="inlineStr">
        <is>
          <t>New Deal</t>
        </is>
      </c>
      <c r="O113" s="19" t="n">
        <v>1.499</v>
      </c>
      <c r="P113" s="20" t="n">
        <v>15000</v>
      </c>
      <c r="Q113" s="20" t="n">
        <v>2100</v>
      </c>
      <c r="R113" s="20" t="n">
        <v>22485</v>
      </c>
      <c r="S113" s="20" t="n">
        <v>22485</v>
      </c>
      <c r="T113" s="20" t="n">
        <v>0</v>
      </c>
      <c r="U113" s="21" t="n">
        <v>1</v>
      </c>
      <c r="V113" s="22" t="n">
        <v>2.295</v>
      </c>
      <c r="W113" s="17" t="n">
        <v>386</v>
      </c>
      <c r="X113" s="17" t="n">
        <v>2</v>
      </c>
      <c r="Y113" s="5" t="n"/>
      <c r="Z113" s="21" t="n">
        <v>0.061</v>
      </c>
      <c r="AA113" s="16" t="n">
        <v>45800</v>
      </c>
      <c r="AB113" s="5">
        <f>IF(V113="","",IF(V113&lt;12,"Months","Weeks"))</f>
        <v/>
      </c>
      <c r="AC113" s="5">
        <f>IF(AB113="","",IF(AB113="Months","Daily","Weekly"))</f>
        <v/>
      </c>
      <c r="AD113" s="17">
        <f>IF(V113="","",IF(AC113="Daily",V113*Controls!$B$13,V113))</f>
        <v/>
      </c>
      <c r="AE113" s="17">
        <f>IF(V113="","",IF(AC113="Daily",V113*Controls!$B$13,V113*Controls!$B$12))</f>
        <v/>
      </c>
      <c r="AF113" s="17">
        <f>IF(OR(E113="",F113=""),"",F113-E113)</f>
        <v/>
      </c>
      <c r="AG113" s="17">
        <f>IF(OR(E113="",F113=""),"",NETWORKDAYS(E113,F113,Ref!$F$4:$F$47))</f>
        <v/>
      </c>
      <c r="AH113" s="39">
        <f>IF(IFERROR(VLOOKUP(D113,Controls!$A$25:$D$35,2,FALSE()),"No")="Yes",1,0)</f>
        <v/>
      </c>
      <c r="AI113" s="39">
        <f>IF(IFERROR(VLOOKUP(D113,Controls!$A$25:$D$35,3,FALSE()),"No")="Yes",1,0)</f>
        <v/>
      </c>
      <c r="AJ113" s="39">
        <f>IF(IFERROR(VLOOKUP(D113,Controls!$A$25:$D$35,4,FALSE()),"No")="Yes",1,0)</f>
        <v/>
      </c>
      <c r="AK113" s="96">
        <f>IF(AND($E113&gt;=Controls!$B$5,$E113&lt;=Controls!$B$6,OR(Controls!$E$9&lt;&gt;"Y",$BE113=1)),1,0)</f>
        <v/>
      </c>
      <c r="AL113" s="39">
        <f>1</f>
        <v/>
      </c>
      <c r="AM113" s="20">
        <f>S113-P113</f>
        <v/>
      </c>
      <c r="AN113" s="20">
        <f>IF(AH113=1,MAX(0,P113-S113),0)</f>
        <v/>
      </c>
      <c r="AO113" s="21">
        <f>IFERROR(S113/P113,"")</f>
        <v/>
      </c>
      <c r="AP113" s="22">
        <f>IF(Y113="","",P113/Y113)</f>
        <v/>
      </c>
      <c r="AQ113" s="39">
        <f>IF(Y113="",0,1)</f>
        <v/>
      </c>
      <c r="AR113" s="39">
        <f>IF(S113&lt;=0,1,0)</f>
        <v/>
      </c>
      <c r="AS113" s="17">
        <f>IF(AH113=1,AG113,"")</f>
        <v/>
      </c>
      <c r="AT113" s="17">
        <f>IF(AND(AH113=0,AJ113=1),AG113,"")</f>
        <v/>
      </c>
      <c r="AU113" s="5">
        <f>IF(P113&lt;10000,"Under $10K",IF(P113&lt;20000,"$10-20K",IF(P113&lt;30000,"$20-30K",IF(P113&lt;50000,"$30-50K",IF(P113&lt;100000,"$50-100K","$100K+")))))</f>
        <v/>
      </c>
      <c r="AV113" s="5">
        <f>IF(O113&lt;=1.35,"1.35 and under",IF(O113&lt;=1.42,"1.36-1.42",IF(O113&lt;=1.45,"1.43-1.45",IF(O113&lt;1.49,"1.46-1.48",IF(O113&lt;=1.49,"1.49","Above 1.49")))))</f>
        <v/>
      </c>
      <c r="AW113" s="5">
        <f>IF(AE113="","",IF(AE113&lt;60,"Under 60",IF(AE113&lt;90,"60-89",IF(AE113&lt;120,"90-119",IF(AE113&lt;150,"120-149","150+")))))</f>
        <v/>
      </c>
      <c r="AX113" s="5">
        <f>IF(AP113="","No revenue data",IF(AP113&lt;0.15,"Under 0.15x",IF(AP113&lt;0.3,"0.15-0.30x",IF(AP113&lt;0.5,"0.30-0.50x",IF(AP113&lt;1,"0.50-1.00x","1.00x+")))))</f>
        <v/>
      </c>
      <c r="AY113" s="5">
        <f>IF(J113="","No SIC",IFERROR(VLOOKUP(J113,Ref!$A$4:$C$67,2,FALSE()),"Unclassified"))</f>
        <v/>
      </c>
      <c r="AZ113" s="5">
        <f>IF(E113="","",TEXT(E113,"YYYY")&amp;"-Q"&amp;ROUNDUP(MONTH(E113)/3,0))</f>
        <v/>
      </c>
      <c r="BA113" s="5">
        <f>IF(E113="","",TEXT(E113,"YYYY-MM"))</f>
        <v/>
      </c>
      <c r="BB113" s="5">
        <f>IF(E113="","",TEXT(E113,"YYYY"))</f>
        <v/>
      </c>
      <c r="BC113" s="92">
        <f>IF($E113="","",NETWORKDAYS($E113,Controls!$B$9,Ref!$F$4:$F$47))</f>
        <v/>
      </c>
      <c r="BD113" s="92">
        <f>IF(OR($AH113=1,$AJ113=1),1,0)</f>
        <v/>
      </c>
      <c r="BE113" s="95">
        <f>IF(OR($BD113=1,AND($AE113&lt;&gt;"",$BC113&gt;=Controls!$B$10*$AE113)),1,0)</f>
        <v/>
      </c>
    </row>
    <row r="114" ht="15.75" customHeight="1" s="79">
      <c r="A114" s="5" t="inlineStr">
        <is>
          <t>5674158274</t>
        </is>
      </c>
      <c r="B114" s="5" t="inlineStr">
        <is>
          <t>S&amp;E ENTERPRISE LLC</t>
        </is>
      </c>
      <c r="C114" s="5" t="inlineStr">
        <is>
          <t>S&amp;E ENTERPRISE LLC</t>
        </is>
      </c>
      <c r="D114" s="5" t="inlineStr">
        <is>
          <t>Closed</t>
        </is>
      </c>
      <c r="E114" s="16" t="n">
        <v>45804</v>
      </c>
      <c r="F114" s="16" t="n">
        <v>45894</v>
      </c>
      <c r="G114" s="17" t="n">
        <v>2</v>
      </c>
      <c r="H114" s="5" t="inlineStr">
        <is>
          <t>1622</t>
        </is>
      </c>
      <c r="I114" s="5" t="inlineStr">
        <is>
          <t>Other Heavy and Civil Engineering Construction</t>
        </is>
      </c>
      <c r="J114" s="5" t="inlineStr">
        <is>
          <t>16</t>
        </is>
      </c>
      <c r="K114" s="5" t="n">
        <v>1520</v>
      </c>
      <c r="L114" s="5" t="inlineStr">
        <is>
          <t>No state</t>
        </is>
      </c>
      <c r="M114" s="5" t="inlineStr">
        <is>
          <t>Triumph Cap Fund</t>
        </is>
      </c>
      <c r="N114" s="5" t="inlineStr">
        <is>
          <t>Renewal</t>
        </is>
      </c>
      <c r="O114" s="19" t="n">
        <v>1.49</v>
      </c>
      <c r="P114" s="20" t="n">
        <v>27000</v>
      </c>
      <c r="Q114" s="20" t="n">
        <v>3780</v>
      </c>
      <c r="R114" s="20" t="n">
        <v>40230</v>
      </c>
      <c r="S114" s="20" t="n">
        <v>40230</v>
      </c>
      <c r="T114" s="20" t="n">
        <v>0</v>
      </c>
      <c r="U114" s="21" t="n">
        <v>1</v>
      </c>
      <c r="V114" s="22" t="n">
        <v>3.279</v>
      </c>
      <c r="W114" s="17" t="n">
        <v>359</v>
      </c>
      <c r="X114" s="17" t="n">
        <v>4</v>
      </c>
      <c r="Y114" s="5" t="n"/>
      <c r="Z114" s="21" t="n">
        <v>0.2408</v>
      </c>
      <c r="AA114" s="16" t="n">
        <v>45804</v>
      </c>
      <c r="AB114" s="5">
        <f>IF(V114="","",IF(V114&lt;12,"Months","Weeks"))</f>
        <v/>
      </c>
      <c r="AC114" s="5">
        <f>IF(AB114="","",IF(AB114="Months","Daily","Weekly"))</f>
        <v/>
      </c>
      <c r="AD114" s="17">
        <f>IF(V114="","",IF(AC114="Daily",V114*Controls!$B$13,V114))</f>
        <v/>
      </c>
      <c r="AE114" s="17">
        <f>IF(V114="","",IF(AC114="Daily",V114*Controls!$B$13,V114*Controls!$B$12))</f>
        <v/>
      </c>
      <c r="AF114" s="17">
        <f>IF(OR(E114="",F114=""),"",F114-E114)</f>
        <v/>
      </c>
      <c r="AG114" s="17">
        <f>IF(OR(E114="",F114=""),"",NETWORKDAYS(E114,F114,Ref!$F$4:$F$47))</f>
        <v/>
      </c>
      <c r="AH114" s="39">
        <f>IF(IFERROR(VLOOKUP(D114,Controls!$A$25:$D$35,2,FALSE()),"No")="Yes",1,0)</f>
        <v/>
      </c>
      <c r="AI114" s="39">
        <f>IF(IFERROR(VLOOKUP(D114,Controls!$A$25:$D$35,3,FALSE()),"No")="Yes",1,0)</f>
        <v/>
      </c>
      <c r="AJ114" s="39">
        <f>IF(IFERROR(VLOOKUP(D114,Controls!$A$25:$D$35,4,FALSE()),"No")="Yes",1,0)</f>
        <v/>
      </c>
      <c r="AK114" s="96">
        <f>IF(AND($E114&gt;=Controls!$B$5,$E114&lt;=Controls!$B$6,OR(Controls!$E$9&lt;&gt;"Y",$BE114=1)),1,0)</f>
        <v/>
      </c>
      <c r="AL114" s="39">
        <f>1</f>
        <v/>
      </c>
      <c r="AM114" s="20">
        <f>S114-P114</f>
        <v/>
      </c>
      <c r="AN114" s="20">
        <f>IF(AH114=1,MAX(0,P114-S114),0)</f>
        <v/>
      </c>
      <c r="AO114" s="21">
        <f>IFERROR(S114/P114,"")</f>
        <v/>
      </c>
      <c r="AP114" s="22">
        <f>IF(Y114="","",P114/Y114)</f>
        <v/>
      </c>
      <c r="AQ114" s="39">
        <f>IF(Y114="",0,1)</f>
        <v/>
      </c>
      <c r="AR114" s="39">
        <f>IF(S114&lt;=0,1,0)</f>
        <v/>
      </c>
      <c r="AS114" s="17">
        <f>IF(AH114=1,AG114,"")</f>
        <v/>
      </c>
      <c r="AT114" s="17">
        <f>IF(AND(AH114=0,AJ114=1),AG114,"")</f>
        <v/>
      </c>
      <c r="AU114" s="5">
        <f>IF(P114&lt;10000,"Under $10K",IF(P114&lt;20000,"$10-20K",IF(P114&lt;30000,"$20-30K",IF(P114&lt;50000,"$30-50K",IF(P114&lt;100000,"$50-100K","$100K+")))))</f>
        <v/>
      </c>
      <c r="AV114" s="5">
        <f>IF(O114&lt;=1.35,"1.35 and under",IF(O114&lt;=1.42,"1.36-1.42",IF(O114&lt;=1.45,"1.43-1.45",IF(O114&lt;1.49,"1.46-1.48",IF(O114&lt;=1.49,"1.49","Above 1.49")))))</f>
        <v/>
      </c>
      <c r="AW114" s="5">
        <f>IF(AE114="","",IF(AE114&lt;60,"Under 60",IF(AE114&lt;90,"60-89",IF(AE114&lt;120,"90-119",IF(AE114&lt;150,"120-149","150+")))))</f>
        <v/>
      </c>
      <c r="AX114" s="5">
        <f>IF(AP114="","No revenue data",IF(AP114&lt;0.15,"Under 0.15x",IF(AP114&lt;0.3,"0.15-0.30x",IF(AP114&lt;0.5,"0.30-0.50x",IF(AP114&lt;1,"0.50-1.00x","1.00x+")))))</f>
        <v/>
      </c>
      <c r="AY114" s="5">
        <f>IF(J114="","No SIC",IFERROR(VLOOKUP(J114,Ref!$A$4:$C$67,2,FALSE()),"Unclassified"))</f>
        <v/>
      </c>
      <c r="AZ114" s="5">
        <f>IF(E114="","",TEXT(E114,"YYYY")&amp;"-Q"&amp;ROUNDUP(MONTH(E114)/3,0))</f>
        <v/>
      </c>
      <c r="BA114" s="5">
        <f>IF(E114="","",TEXT(E114,"YYYY-MM"))</f>
        <v/>
      </c>
      <c r="BB114" s="5">
        <f>IF(E114="","",TEXT(E114,"YYYY"))</f>
        <v/>
      </c>
      <c r="BC114" s="92">
        <f>IF($E114="","",NETWORKDAYS($E114,Controls!$B$9,Ref!$F$4:$F$47))</f>
        <v/>
      </c>
      <c r="BD114" s="92">
        <f>IF(OR($AH114=1,$AJ114=1),1,0)</f>
        <v/>
      </c>
      <c r="BE114" s="95">
        <f>IF(OR($BD114=1,AND($AE114&lt;&gt;"",$BC114&gt;=Controls!$B$10*$AE114)),1,0)</f>
        <v/>
      </c>
    </row>
    <row r="115" ht="15.75" customHeight="1" s="79">
      <c r="A115" s="5" t="inlineStr">
        <is>
          <t>5674158299</t>
        </is>
      </c>
      <c r="B115" s="5" t="inlineStr">
        <is>
          <t>Boston's Good Eatz &amp; Caribbean Treatz</t>
        </is>
      </c>
      <c r="C115" s="5" t="inlineStr">
        <is>
          <t>Boston's Good Eatz &amp; Carribean Treatz</t>
        </is>
      </c>
      <c r="D115" s="5" t="inlineStr">
        <is>
          <t>Legal</t>
        </is>
      </c>
      <c r="E115" s="16" t="n">
        <v>45804</v>
      </c>
      <c r="F115" s="16" t="n">
        <v>45999</v>
      </c>
      <c r="G115" s="17" t="n">
        <v>4</v>
      </c>
      <c r="H115" s="5" t="inlineStr">
        <is>
          <t>5812</t>
        </is>
      </c>
      <c r="I115" s="5" t="inlineStr">
        <is>
          <t>Snack and Nonalcoholic Beverage Bars</t>
        </is>
      </c>
      <c r="J115" s="5" t="inlineStr">
        <is>
          <t>58</t>
        </is>
      </c>
      <c r="K115" s="5" t="n">
        <v>5812</v>
      </c>
      <c r="L115" s="5" t="inlineStr">
        <is>
          <t>No state</t>
        </is>
      </c>
      <c r="M115" s="5" t="inlineStr">
        <is>
          <t>Fundible</t>
        </is>
      </c>
      <c r="N115" s="5" t="inlineStr">
        <is>
          <t>New Deal</t>
        </is>
      </c>
      <c r="O115" s="19" t="n">
        <v>1.5</v>
      </c>
      <c r="P115" s="20" t="n">
        <v>5000</v>
      </c>
      <c r="Q115" s="20" t="n">
        <v>700</v>
      </c>
      <c r="R115" s="20" t="n">
        <v>7500</v>
      </c>
      <c r="S115" s="20" t="n">
        <v>2772.36</v>
      </c>
      <c r="T115" s="20" t="n">
        <v>4727.64</v>
      </c>
      <c r="U115" s="21" t="n">
        <v>0.369648</v>
      </c>
      <c r="V115" s="22" t="n">
        <v>2.295</v>
      </c>
      <c r="W115" s="17" t="n">
        <v>254</v>
      </c>
      <c r="X115" s="17" t="n">
        <v>23</v>
      </c>
      <c r="Y115" s="5" t="n"/>
      <c r="Z115" s="21" t="n">
        <v>0.06370000000000001</v>
      </c>
      <c r="AA115" s="16" t="n">
        <v>45804</v>
      </c>
      <c r="AB115" s="5">
        <f>IF(V115="","",IF(V115&lt;12,"Months","Weeks"))</f>
        <v/>
      </c>
      <c r="AC115" s="5">
        <f>IF(AB115="","",IF(AB115="Months","Daily","Weekly"))</f>
        <v/>
      </c>
      <c r="AD115" s="17">
        <f>IF(V115="","",IF(AC115="Daily",V115*Controls!$B$13,V115))</f>
        <v/>
      </c>
      <c r="AE115" s="17">
        <f>IF(V115="","",IF(AC115="Daily",V115*Controls!$B$13,V115*Controls!$B$12))</f>
        <v/>
      </c>
      <c r="AF115" s="17">
        <f>IF(OR(E115="",F115=""),"",F115-E115)</f>
        <v/>
      </c>
      <c r="AG115" s="17">
        <f>IF(OR(E115="",F115=""),"",NETWORKDAYS(E115,F115,Ref!$F$4:$F$47))</f>
        <v/>
      </c>
      <c r="AH115" s="39">
        <f>IF(IFERROR(VLOOKUP(D115,Controls!$A$25:$D$35,2,FALSE()),"No")="Yes",1,0)</f>
        <v/>
      </c>
      <c r="AI115" s="39">
        <f>IF(IFERROR(VLOOKUP(D115,Controls!$A$25:$D$35,3,FALSE()),"No")="Yes",1,0)</f>
        <v/>
      </c>
      <c r="AJ115" s="39">
        <f>IF(IFERROR(VLOOKUP(D115,Controls!$A$25:$D$35,4,FALSE()),"No")="Yes",1,0)</f>
        <v/>
      </c>
      <c r="AK115" s="96">
        <f>IF(AND($E115&gt;=Controls!$B$5,$E115&lt;=Controls!$B$6,OR(Controls!$E$9&lt;&gt;"Y",$BE115=1)),1,0)</f>
        <v/>
      </c>
      <c r="AL115" s="39">
        <f>1</f>
        <v/>
      </c>
      <c r="AM115" s="20">
        <f>S115-P115</f>
        <v/>
      </c>
      <c r="AN115" s="20">
        <f>IF(AH115=1,MAX(0,P115-S115),0)</f>
        <v/>
      </c>
      <c r="AO115" s="21">
        <f>IFERROR(S115/P115,"")</f>
        <v/>
      </c>
      <c r="AP115" s="22">
        <f>IF(Y115="","",P115/Y115)</f>
        <v/>
      </c>
      <c r="AQ115" s="39">
        <f>IF(Y115="",0,1)</f>
        <v/>
      </c>
      <c r="AR115" s="39">
        <f>IF(S115&lt;=0,1,0)</f>
        <v/>
      </c>
      <c r="AS115" s="17">
        <f>IF(AH115=1,AG115,"")</f>
        <v/>
      </c>
      <c r="AT115" s="17">
        <f>IF(AND(AH115=0,AJ115=1),AG115,"")</f>
        <v/>
      </c>
      <c r="AU115" s="5">
        <f>IF(P115&lt;10000,"Under $10K",IF(P115&lt;20000,"$10-20K",IF(P115&lt;30000,"$20-30K",IF(P115&lt;50000,"$30-50K",IF(P115&lt;100000,"$50-100K","$100K+")))))</f>
        <v/>
      </c>
      <c r="AV115" s="5">
        <f>IF(O115&lt;=1.35,"1.35 and under",IF(O115&lt;=1.42,"1.36-1.42",IF(O115&lt;=1.45,"1.43-1.45",IF(O115&lt;1.49,"1.46-1.48",IF(O115&lt;=1.49,"1.49","Above 1.49")))))</f>
        <v/>
      </c>
      <c r="AW115" s="5">
        <f>IF(AE115="","",IF(AE115&lt;60,"Under 60",IF(AE115&lt;90,"60-89",IF(AE115&lt;120,"90-119",IF(AE115&lt;150,"120-149","150+")))))</f>
        <v/>
      </c>
      <c r="AX115" s="5">
        <f>IF(AP115="","No revenue data",IF(AP115&lt;0.15,"Under 0.15x",IF(AP115&lt;0.3,"0.15-0.30x",IF(AP115&lt;0.5,"0.30-0.50x",IF(AP115&lt;1,"0.50-1.00x","1.00x+")))))</f>
        <v/>
      </c>
      <c r="AY115" s="5">
        <f>IF(J115="","No SIC",IFERROR(VLOOKUP(J115,Ref!$A$4:$C$67,2,FALSE()),"Unclassified"))</f>
        <v/>
      </c>
      <c r="AZ115" s="5">
        <f>IF(E115="","",TEXT(E115,"YYYY")&amp;"-Q"&amp;ROUNDUP(MONTH(E115)/3,0))</f>
        <v/>
      </c>
      <c r="BA115" s="5">
        <f>IF(E115="","",TEXT(E115,"YYYY-MM"))</f>
        <v/>
      </c>
      <c r="BB115" s="5">
        <f>IF(E115="","",TEXT(E115,"YYYY"))</f>
        <v/>
      </c>
      <c r="BC115" s="92">
        <f>IF($E115="","",NETWORKDAYS($E115,Controls!$B$9,Ref!$F$4:$F$47))</f>
        <v/>
      </c>
      <c r="BD115" s="92">
        <f>IF(OR($AH115=1,$AJ115=1),1,0)</f>
        <v/>
      </c>
      <c r="BE115" s="95">
        <f>IF(OR($BD115=1,AND($AE115&lt;&gt;"",$BC115&gt;=Controls!$B$10*$AE115)),1,0)</f>
        <v/>
      </c>
    </row>
    <row r="116" ht="15.75" customHeight="1" s="79">
      <c r="A116" s="5" t="inlineStr">
        <is>
          <t>5674158307</t>
        </is>
      </c>
      <c r="B116" s="5" t="inlineStr">
        <is>
          <t>Wig world</t>
        </is>
      </c>
      <c r="C116" s="5" t="inlineStr">
        <is>
          <t>GLAMSTYLUX LLC</t>
        </is>
      </c>
      <c r="D116" s="5" t="inlineStr">
        <is>
          <t>Written-Off</t>
        </is>
      </c>
      <c r="E116" s="16" t="n">
        <v>45804</v>
      </c>
      <c r="F116" s="16" t="n">
        <v>45898</v>
      </c>
      <c r="G116" s="17" t="n">
        <v>2</v>
      </c>
      <c r="H116" s="5" t="inlineStr">
        <is>
          <t>7231</t>
        </is>
      </c>
      <c r="I116" s="5" t="inlineStr">
        <is>
          <t>Beauty Salons</t>
        </is>
      </c>
      <c r="J116" s="5" t="inlineStr">
        <is>
          <t>72</t>
        </is>
      </c>
      <c r="K116" s="5" t="n">
        <v>7230</v>
      </c>
      <c r="L116" s="5" t="inlineStr">
        <is>
          <t>No state</t>
        </is>
      </c>
      <c r="M116" s="5" t="inlineStr">
        <is>
          <t>Viking Funding LLC</t>
        </is>
      </c>
      <c r="N116" s="5" t="inlineStr">
        <is>
          <t>New Deal</t>
        </is>
      </c>
      <c r="O116" s="19" t="n">
        <v>1.499</v>
      </c>
      <c r="P116" s="20" t="n">
        <v>5000</v>
      </c>
      <c r="Q116" s="20" t="n">
        <v>700</v>
      </c>
      <c r="R116" s="20" t="n">
        <v>7495</v>
      </c>
      <c r="S116" s="20" t="n">
        <v>2159.67</v>
      </c>
      <c r="T116" s="20" t="n">
        <v>5335.33</v>
      </c>
      <c r="U116" s="21" t="n">
        <v>0.288148098732488</v>
      </c>
      <c r="V116" s="22" t="n">
        <v>1.967</v>
      </c>
      <c r="W116" s="17" t="n">
        <v>355</v>
      </c>
      <c r="X116" s="17" t="n">
        <v>22</v>
      </c>
      <c r="Y116" s="5" t="n"/>
      <c r="Z116" s="21" t="n">
        <v>0.1145</v>
      </c>
      <c r="AA116" s="16" t="n">
        <v>45804</v>
      </c>
      <c r="AB116" s="5">
        <f>IF(V116="","",IF(V116&lt;12,"Months","Weeks"))</f>
        <v/>
      </c>
      <c r="AC116" s="5">
        <f>IF(AB116="","",IF(AB116="Months","Daily","Weekly"))</f>
        <v/>
      </c>
      <c r="AD116" s="17">
        <f>IF(V116="","",IF(AC116="Daily",V116*Controls!$B$13,V116))</f>
        <v/>
      </c>
      <c r="AE116" s="17">
        <f>IF(V116="","",IF(AC116="Daily",V116*Controls!$B$13,V116*Controls!$B$12))</f>
        <v/>
      </c>
      <c r="AF116" s="17">
        <f>IF(OR(E116="",F116=""),"",F116-E116)</f>
        <v/>
      </c>
      <c r="AG116" s="17">
        <f>IF(OR(E116="",F116=""),"",NETWORKDAYS(E116,F116,Ref!$F$4:$F$47))</f>
        <v/>
      </c>
      <c r="AH116" s="39">
        <f>IF(IFERROR(VLOOKUP(D116,Controls!$A$25:$D$35,2,FALSE()),"No")="Yes",1,0)</f>
        <v/>
      </c>
      <c r="AI116" s="39">
        <f>IF(IFERROR(VLOOKUP(D116,Controls!$A$25:$D$35,3,FALSE()),"No")="Yes",1,0)</f>
        <v/>
      </c>
      <c r="AJ116" s="39">
        <f>IF(IFERROR(VLOOKUP(D116,Controls!$A$25:$D$35,4,FALSE()),"No")="Yes",1,0)</f>
        <v/>
      </c>
      <c r="AK116" s="96">
        <f>IF(AND($E116&gt;=Controls!$B$5,$E116&lt;=Controls!$B$6,OR(Controls!$E$9&lt;&gt;"Y",$BE116=1)),1,0)</f>
        <v/>
      </c>
      <c r="AL116" s="39">
        <f>1</f>
        <v/>
      </c>
      <c r="AM116" s="20">
        <f>S116-P116</f>
        <v/>
      </c>
      <c r="AN116" s="20">
        <f>IF(AH116=1,MAX(0,P116-S116),0)</f>
        <v/>
      </c>
      <c r="AO116" s="21">
        <f>IFERROR(S116/P116,"")</f>
        <v/>
      </c>
      <c r="AP116" s="22">
        <f>IF(Y116="","",P116/Y116)</f>
        <v/>
      </c>
      <c r="AQ116" s="39">
        <f>IF(Y116="",0,1)</f>
        <v/>
      </c>
      <c r="AR116" s="39">
        <f>IF(S116&lt;=0,1,0)</f>
        <v/>
      </c>
      <c r="AS116" s="17">
        <f>IF(AH116=1,AG116,"")</f>
        <v/>
      </c>
      <c r="AT116" s="17">
        <f>IF(AND(AH116=0,AJ116=1),AG116,"")</f>
        <v/>
      </c>
      <c r="AU116" s="5">
        <f>IF(P116&lt;10000,"Under $10K",IF(P116&lt;20000,"$10-20K",IF(P116&lt;30000,"$20-30K",IF(P116&lt;50000,"$30-50K",IF(P116&lt;100000,"$50-100K","$100K+")))))</f>
        <v/>
      </c>
      <c r="AV116" s="5">
        <f>IF(O116&lt;=1.35,"1.35 and under",IF(O116&lt;=1.42,"1.36-1.42",IF(O116&lt;=1.45,"1.43-1.45",IF(O116&lt;1.49,"1.46-1.48",IF(O116&lt;=1.49,"1.49","Above 1.49")))))</f>
        <v/>
      </c>
      <c r="AW116" s="5">
        <f>IF(AE116="","",IF(AE116&lt;60,"Under 60",IF(AE116&lt;90,"60-89",IF(AE116&lt;120,"90-119",IF(AE116&lt;150,"120-149","150+")))))</f>
        <v/>
      </c>
      <c r="AX116" s="5">
        <f>IF(AP116="","No revenue data",IF(AP116&lt;0.15,"Under 0.15x",IF(AP116&lt;0.3,"0.15-0.30x",IF(AP116&lt;0.5,"0.30-0.50x",IF(AP116&lt;1,"0.50-1.00x","1.00x+")))))</f>
        <v/>
      </c>
      <c r="AY116" s="5">
        <f>IF(J116="","No SIC",IFERROR(VLOOKUP(J116,Ref!$A$4:$C$67,2,FALSE()),"Unclassified"))</f>
        <v/>
      </c>
      <c r="AZ116" s="5">
        <f>IF(E116="","",TEXT(E116,"YYYY")&amp;"-Q"&amp;ROUNDUP(MONTH(E116)/3,0))</f>
        <v/>
      </c>
      <c r="BA116" s="5">
        <f>IF(E116="","",TEXT(E116,"YYYY-MM"))</f>
        <v/>
      </c>
      <c r="BB116" s="5">
        <f>IF(E116="","",TEXT(E116,"YYYY"))</f>
        <v/>
      </c>
      <c r="BC116" s="92">
        <f>IF($E116="","",NETWORKDAYS($E116,Controls!$B$9,Ref!$F$4:$F$47))</f>
        <v/>
      </c>
      <c r="BD116" s="92">
        <f>IF(OR($AH116=1,$AJ116=1),1,0)</f>
        <v/>
      </c>
      <c r="BE116" s="95">
        <f>IF(OR($BD116=1,AND($AE116&lt;&gt;"",$BC116&gt;=Controls!$B$10*$AE116)),1,0)</f>
        <v/>
      </c>
    </row>
    <row r="117" ht="15.75" customHeight="1" s="79">
      <c r="A117" s="5" t="inlineStr">
        <is>
          <t>5674158319</t>
        </is>
      </c>
      <c r="B117" s="5" t="inlineStr">
        <is>
          <t>M. Delaney LLC</t>
        </is>
      </c>
      <c r="C117" s="5" t="inlineStr">
        <is>
          <t>M. Delaney LLC</t>
        </is>
      </c>
      <c r="D117" s="5" t="inlineStr">
        <is>
          <t>Closed</t>
        </is>
      </c>
      <c r="E117" s="16" t="n">
        <v>45804</v>
      </c>
      <c r="F117" s="16" t="n">
        <v>45884</v>
      </c>
      <c r="G117" s="17" t="n">
        <v>3</v>
      </c>
      <c r="H117" s="5" t="inlineStr">
        <is>
          <t>5812</t>
        </is>
      </c>
      <c r="I117" s="5" t="inlineStr">
        <is>
          <t>Snack and Nonalcoholic Beverage Bars</t>
        </is>
      </c>
      <c r="J117" s="5" t="inlineStr">
        <is>
          <t>58</t>
        </is>
      </c>
      <c r="K117" s="5" t="n">
        <v>5812</v>
      </c>
      <c r="L117" s="5" t="inlineStr">
        <is>
          <t>No state</t>
        </is>
      </c>
      <c r="M117" s="5" t="inlineStr">
        <is>
          <t>Llama Loan</t>
        </is>
      </c>
      <c r="N117" s="5" t="inlineStr">
        <is>
          <t>New Deal</t>
        </is>
      </c>
      <c r="O117" s="19" t="n">
        <v>1.43</v>
      </c>
      <c r="P117" s="20" t="n">
        <v>12000</v>
      </c>
      <c r="Q117" s="20" t="n">
        <v>1320</v>
      </c>
      <c r="R117" s="20" t="n">
        <v>17160</v>
      </c>
      <c r="S117" s="20" t="n">
        <v>17160</v>
      </c>
      <c r="T117" s="20" t="n">
        <v>0</v>
      </c>
      <c r="U117" s="21" t="n">
        <v>1</v>
      </c>
      <c r="V117" s="22" t="n">
        <v>3.115</v>
      </c>
      <c r="W117" s="17" t="n">
        <v>369</v>
      </c>
      <c r="X117" s="17" t="n">
        <v>0</v>
      </c>
      <c r="Y117" s="5" t="n"/>
      <c r="Z117" s="21" t="n">
        <v>0.0732</v>
      </c>
      <c r="AA117" s="16" t="n">
        <v>45804</v>
      </c>
      <c r="AB117" s="5">
        <f>IF(V117="","",IF(V117&lt;12,"Months","Weeks"))</f>
        <v/>
      </c>
      <c r="AC117" s="5">
        <f>IF(AB117="","",IF(AB117="Months","Daily","Weekly"))</f>
        <v/>
      </c>
      <c r="AD117" s="17">
        <f>IF(V117="","",IF(AC117="Daily",V117*Controls!$B$13,V117))</f>
        <v/>
      </c>
      <c r="AE117" s="17">
        <f>IF(V117="","",IF(AC117="Daily",V117*Controls!$B$13,V117*Controls!$B$12))</f>
        <v/>
      </c>
      <c r="AF117" s="17">
        <f>IF(OR(E117="",F117=""),"",F117-E117)</f>
        <v/>
      </c>
      <c r="AG117" s="17">
        <f>IF(OR(E117="",F117=""),"",NETWORKDAYS(E117,F117,Ref!$F$4:$F$47))</f>
        <v/>
      </c>
      <c r="AH117" s="39">
        <f>IF(IFERROR(VLOOKUP(D117,Controls!$A$25:$D$35,2,FALSE()),"No")="Yes",1,0)</f>
        <v/>
      </c>
      <c r="AI117" s="39">
        <f>IF(IFERROR(VLOOKUP(D117,Controls!$A$25:$D$35,3,FALSE()),"No")="Yes",1,0)</f>
        <v/>
      </c>
      <c r="AJ117" s="39">
        <f>IF(IFERROR(VLOOKUP(D117,Controls!$A$25:$D$35,4,FALSE()),"No")="Yes",1,0)</f>
        <v/>
      </c>
      <c r="AK117" s="96">
        <f>IF(AND($E117&gt;=Controls!$B$5,$E117&lt;=Controls!$B$6,OR(Controls!$E$9&lt;&gt;"Y",$BE117=1)),1,0)</f>
        <v/>
      </c>
      <c r="AL117" s="39">
        <f>1</f>
        <v/>
      </c>
      <c r="AM117" s="20">
        <f>S117-P117</f>
        <v/>
      </c>
      <c r="AN117" s="20">
        <f>IF(AH117=1,MAX(0,P117-S117),0)</f>
        <v/>
      </c>
      <c r="AO117" s="21">
        <f>IFERROR(S117/P117,"")</f>
        <v/>
      </c>
      <c r="AP117" s="22">
        <f>IF(Y117="","",P117/Y117)</f>
        <v/>
      </c>
      <c r="AQ117" s="39">
        <f>IF(Y117="",0,1)</f>
        <v/>
      </c>
      <c r="AR117" s="39">
        <f>IF(S117&lt;=0,1,0)</f>
        <v/>
      </c>
      <c r="AS117" s="17">
        <f>IF(AH117=1,AG117,"")</f>
        <v/>
      </c>
      <c r="AT117" s="17">
        <f>IF(AND(AH117=0,AJ117=1),AG117,"")</f>
        <v/>
      </c>
      <c r="AU117" s="5">
        <f>IF(P117&lt;10000,"Under $10K",IF(P117&lt;20000,"$10-20K",IF(P117&lt;30000,"$20-30K",IF(P117&lt;50000,"$30-50K",IF(P117&lt;100000,"$50-100K","$100K+")))))</f>
        <v/>
      </c>
      <c r="AV117" s="5">
        <f>IF(O117&lt;=1.35,"1.35 and under",IF(O117&lt;=1.42,"1.36-1.42",IF(O117&lt;=1.45,"1.43-1.45",IF(O117&lt;1.49,"1.46-1.48",IF(O117&lt;=1.49,"1.49","Above 1.49")))))</f>
        <v/>
      </c>
      <c r="AW117" s="5">
        <f>IF(AE117="","",IF(AE117&lt;60,"Under 60",IF(AE117&lt;90,"60-89",IF(AE117&lt;120,"90-119",IF(AE117&lt;150,"120-149","150+")))))</f>
        <v/>
      </c>
      <c r="AX117" s="5">
        <f>IF(AP117="","No revenue data",IF(AP117&lt;0.15,"Under 0.15x",IF(AP117&lt;0.3,"0.15-0.30x",IF(AP117&lt;0.5,"0.30-0.50x",IF(AP117&lt;1,"0.50-1.00x","1.00x+")))))</f>
        <v/>
      </c>
      <c r="AY117" s="5">
        <f>IF(J117="","No SIC",IFERROR(VLOOKUP(J117,Ref!$A$4:$C$67,2,FALSE()),"Unclassified"))</f>
        <v/>
      </c>
      <c r="AZ117" s="5">
        <f>IF(E117="","",TEXT(E117,"YYYY")&amp;"-Q"&amp;ROUNDUP(MONTH(E117)/3,0))</f>
        <v/>
      </c>
      <c r="BA117" s="5">
        <f>IF(E117="","",TEXT(E117,"YYYY-MM"))</f>
        <v/>
      </c>
      <c r="BB117" s="5">
        <f>IF(E117="","",TEXT(E117,"YYYY"))</f>
        <v/>
      </c>
      <c r="BC117" s="92">
        <f>IF($E117="","",NETWORKDAYS($E117,Controls!$B$9,Ref!$F$4:$F$47))</f>
        <v/>
      </c>
      <c r="BD117" s="92">
        <f>IF(OR($AH117=1,$AJ117=1),1,0)</f>
        <v/>
      </c>
      <c r="BE117" s="95">
        <f>IF(OR($BD117=1,AND($AE117&lt;&gt;"",$BC117&gt;=Controls!$B$10*$AE117)),1,0)</f>
        <v/>
      </c>
    </row>
    <row r="118" ht="15.75" customHeight="1" s="79">
      <c r="A118" s="5" t="inlineStr">
        <is>
          <t>5674158406</t>
        </is>
      </c>
      <c r="B118" s="5" t="inlineStr">
        <is>
          <t>Gordos tacos 9015 e via linda</t>
        </is>
      </c>
      <c r="C118" s="5" t="inlineStr">
        <is>
          <t>Twins creative Mexican food llc</t>
        </is>
      </c>
      <c r="D118" s="5" t="inlineStr">
        <is>
          <t>Closed</t>
        </is>
      </c>
      <c r="E118" s="16" t="n">
        <v>45805</v>
      </c>
      <c r="F118" s="16" t="n">
        <v>45925</v>
      </c>
      <c r="G118" s="17" t="n">
        <v>3</v>
      </c>
      <c r="H118" s="5" t="inlineStr">
        <is>
          <t>5812</t>
        </is>
      </c>
      <c r="I118" s="5" t="inlineStr">
        <is>
          <t>Snack and Nonalcoholic Beverage Bars</t>
        </is>
      </c>
      <c r="J118" s="5" t="inlineStr">
        <is>
          <t>58</t>
        </is>
      </c>
      <c r="K118" s="5" t="n">
        <v>5812</v>
      </c>
      <c r="L118" s="5" t="inlineStr">
        <is>
          <t>No state</t>
        </is>
      </c>
      <c r="M118" s="5" t="inlineStr">
        <is>
          <t>PMF</t>
        </is>
      </c>
      <c r="N118" s="5" t="inlineStr">
        <is>
          <t>New Deal</t>
        </is>
      </c>
      <c r="O118" s="19" t="n">
        <v>1.37</v>
      </c>
      <c r="P118" s="20" t="n">
        <v>21000</v>
      </c>
      <c r="Q118" s="20" t="n">
        <v>1680</v>
      </c>
      <c r="R118" s="20" t="n">
        <v>28770</v>
      </c>
      <c r="S118" s="20" t="n">
        <v>28770</v>
      </c>
      <c r="T118" s="20" t="n">
        <v>3.63797880709171e-12</v>
      </c>
      <c r="U118" s="21" t="n">
        <v>1</v>
      </c>
      <c r="V118" s="22" t="n">
        <v>4.525</v>
      </c>
      <c r="W118" s="17" t="n">
        <v>328</v>
      </c>
      <c r="X118" s="17" t="n">
        <v>0</v>
      </c>
      <c r="Y118" s="5" t="n"/>
      <c r="Z118" s="21" t="n">
        <v>0.0471</v>
      </c>
      <c r="AA118" s="16" t="n">
        <v>45805</v>
      </c>
      <c r="AB118" s="5">
        <f>IF(V118="","",IF(V118&lt;12,"Months","Weeks"))</f>
        <v/>
      </c>
      <c r="AC118" s="5">
        <f>IF(AB118="","",IF(AB118="Months","Daily","Weekly"))</f>
        <v/>
      </c>
      <c r="AD118" s="17">
        <f>IF(V118="","",IF(AC118="Daily",V118*Controls!$B$13,V118))</f>
        <v/>
      </c>
      <c r="AE118" s="17">
        <f>IF(V118="","",IF(AC118="Daily",V118*Controls!$B$13,V118*Controls!$B$12))</f>
        <v/>
      </c>
      <c r="AF118" s="17">
        <f>IF(OR(E118="",F118=""),"",F118-E118)</f>
        <v/>
      </c>
      <c r="AG118" s="17">
        <f>IF(OR(E118="",F118=""),"",NETWORKDAYS(E118,F118,Ref!$F$4:$F$47))</f>
        <v/>
      </c>
      <c r="AH118" s="39">
        <f>IF(IFERROR(VLOOKUP(D118,Controls!$A$25:$D$35,2,FALSE()),"No")="Yes",1,0)</f>
        <v/>
      </c>
      <c r="AI118" s="39">
        <f>IF(IFERROR(VLOOKUP(D118,Controls!$A$25:$D$35,3,FALSE()),"No")="Yes",1,0)</f>
        <v/>
      </c>
      <c r="AJ118" s="39">
        <f>IF(IFERROR(VLOOKUP(D118,Controls!$A$25:$D$35,4,FALSE()),"No")="Yes",1,0)</f>
        <v/>
      </c>
      <c r="AK118" s="96">
        <f>IF(AND($E118&gt;=Controls!$B$5,$E118&lt;=Controls!$B$6,OR(Controls!$E$9&lt;&gt;"Y",$BE118=1)),1,0)</f>
        <v/>
      </c>
      <c r="AL118" s="39">
        <f>1</f>
        <v/>
      </c>
      <c r="AM118" s="20">
        <f>S118-P118</f>
        <v/>
      </c>
      <c r="AN118" s="20">
        <f>IF(AH118=1,MAX(0,P118-S118),0)</f>
        <v/>
      </c>
      <c r="AO118" s="21">
        <f>IFERROR(S118/P118,"")</f>
        <v/>
      </c>
      <c r="AP118" s="22">
        <f>IF(Y118="","",P118/Y118)</f>
        <v/>
      </c>
      <c r="AQ118" s="39">
        <f>IF(Y118="",0,1)</f>
        <v/>
      </c>
      <c r="AR118" s="39">
        <f>IF(S118&lt;=0,1,0)</f>
        <v/>
      </c>
      <c r="AS118" s="17">
        <f>IF(AH118=1,AG118,"")</f>
        <v/>
      </c>
      <c r="AT118" s="17">
        <f>IF(AND(AH118=0,AJ118=1),AG118,"")</f>
        <v/>
      </c>
      <c r="AU118" s="5">
        <f>IF(P118&lt;10000,"Under $10K",IF(P118&lt;20000,"$10-20K",IF(P118&lt;30000,"$20-30K",IF(P118&lt;50000,"$30-50K",IF(P118&lt;100000,"$50-100K","$100K+")))))</f>
        <v/>
      </c>
      <c r="AV118" s="5">
        <f>IF(O118&lt;=1.35,"1.35 and under",IF(O118&lt;=1.42,"1.36-1.42",IF(O118&lt;=1.45,"1.43-1.45",IF(O118&lt;1.49,"1.46-1.48",IF(O118&lt;=1.49,"1.49","Above 1.49")))))</f>
        <v/>
      </c>
      <c r="AW118" s="5">
        <f>IF(AE118="","",IF(AE118&lt;60,"Under 60",IF(AE118&lt;90,"60-89",IF(AE118&lt;120,"90-119",IF(AE118&lt;150,"120-149","150+")))))</f>
        <v/>
      </c>
      <c r="AX118" s="5">
        <f>IF(AP118="","No revenue data",IF(AP118&lt;0.15,"Under 0.15x",IF(AP118&lt;0.3,"0.15-0.30x",IF(AP118&lt;0.5,"0.30-0.50x",IF(AP118&lt;1,"0.50-1.00x","1.00x+")))))</f>
        <v/>
      </c>
      <c r="AY118" s="5">
        <f>IF(J118="","No SIC",IFERROR(VLOOKUP(J118,Ref!$A$4:$C$67,2,FALSE()),"Unclassified"))</f>
        <v/>
      </c>
      <c r="AZ118" s="5">
        <f>IF(E118="","",TEXT(E118,"YYYY")&amp;"-Q"&amp;ROUNDUP(MONTH(E118)/3,0))</f>
        <v/>
      </c>
      <c r="BA118" s="5">
        <f>IF(E118="","",TEXT(E118,"YYYY-MM"))</f>
        <v/>
      </c>
      <c r="BB118" s="5">
        <f>IF(E118="","",TEXT(E118,"YYYY"))</f>
        <v/>
      </c>
      <c r="BC118" s="92">
        <f>IF($E118="","",NETWORKDAYS($E118,Controls!$B$9,Ref!$F$4:$F$47))</f>
        <v/>
      </c>
      <c r="BD118" s="92">
        <f>IF(OR($AH118=1,$AJ118=1),1,0)</f>
        <v/>
      </c>
      <c r="BE118" s="95">
        <f>IF(OR($BD118=1,AND($AE118&lt;&gt;"",$BC118&gt;=Controls!$B$10*$AE118)),1,0)</f>
        <v/>
      </c>
    </row>
    <row r="119" ht="15.75" customHeight="1" s="79">
      <c r="A119" s="5" t="inlineStr">
        <is>
          <t>5674158425</t>
        </is>
      </c>
      <c r="B119" s="5" t="inlineStr">
        <is>
          <t>TBVB CORP</t>
        </is>
      </c>
      <c r="C119" s="5" t="inlineStr">
        <is>
          <t>TBVB CORP</t>
        </is>
      </c>
      <c r="D119" s="5" t="inlineStr">
        <is>
          <t>Legal</t>
        </is>
      </c>
      <c r="E119" s="16" t="n">
        <v>45805</v>
      </c>
      <c r="F119" s="16" t="n">
        <v>45834</v>
      </c>
      <c r="G119" s="17" t="n">
        <v>1</v>
      </c>
      <c r="H119" s="5" t="inlineStr">
        <is>
          <t>5812</t>
        </is>
      </c>
      <c r="I119" s="5" t="inlineStr">
        <is>
          <t>Snack and Nonalcoholic Beverage Bars</t>
        </is>
      </c>
      <c r="J119" s="5" t="inlineStr">
        <is>
          <t>58</t>
        </is>
      </c>
      <c r="K119" s="5" t="n">
        <v>5812</v>
      </c>
      <c r="L119" s="5" t="inlineStr">
        <is>
          <t>No state</t>
        </is>
      </c>
      <c r="M119" s="5" t="inlineStr">
        <is>
          <t>United Secured Capital 8</t>
        </is>
      </c>
      <c r="N119" s="5" t="inlineStr">
        <is>
          <t>New Deal</t>
        </is>
      </c>
      <c r="O119" s="19" t="n">
        <v>1.499</v>
      </c>
      <c r="P119" s="20" t="n">
        <v>5000</v>
      </c>
      <c r="Q119" s="20" t="n">
        <v>0</v>
      </c>
      <c r="R119" s="20" t="n">
        <v>7495</v>
      </c>
      <c r="S119" s="20" t="n">
        <v>958.23</v>
      </c>
      <c r="T119" s="20" t="n">
        <v>6536.77</v>
      </c>
      <c r="U119" s="21" t="n">
        <v>0.127849232821881</v>
      </c>
      <c r="V119" s="22" t="n">
        <v>2.295</v>
      </c>
      <c r="W119" s="17" t="n">
        <v>420</v>
      </c>
      <c r="X119" s="17" t="n">
        <v>11</v>
      </c>
      <c r="Y119" s="5" t="n"/>
      <c r="Z119" s="21" t="n">
        <v>0.0132</v>
      </c>
      <c r="AA119" s="16" t="n">
        <v>45805</v>
      </c>
      <c r="AB119" s="5">
        <f>IF(V119="","",IF(V119&lt;12,"Months","Weeks"))</f>
        <v/>
      </c>
      <c r="AC119" s="5">
        <f>IF(AB119="","",IF(AB119="Months","Daily","Weekly"))</f>
        <v/>
      </c>
      <c r="AD119" s="17">
        <f>IF(V119="","",IF(AC119="Daily",V119*Controls!$B$13,V119))</f>
        <v/>
      </c>
      <c r="AE119" s="17">
        <f>IF(V119="","",IF(AC119="Daily",V119*Controls!$B$13,V119*Controls!$B$12))</f>
        <v/>
      </c>
      <c r="AF119" s="17">
        <f>IF(OR(E119="",F119=""),"",F119-E119)</f>
        <v/>
      </c>
      <c r="AG119" s="17">
        <f>IF(OR(E119="",F119=""),"",NETWORKDAYS(E119,F119,Ref!$F$4:$F$47))</f>
        <v/>
      </c>
      <c r="AH119" s="39">
        <f>IF(IFERROR(VLOOKUP(D119,Controls!$A$25:$D$35,2,FALSE()),"No")="Yes",1,0)</f>
        <v/>
      </c>
      <c r="AI119" s="39">
        <f>IF(IFERROR(VLOOKUP(D119,Controls!$A$25:$D$35,3,FALSE()),"No")="Yes",1,0)</f>
        <v/>
      </c>
      <c r="AJ119" s="39">
        <f>IF(IFERROR(VLOOKUP(D119,Controls!$A$25:$D$35,4,FALSE()),"No")="Yes",1,0)</f>
        <v/>
      </c>
      <c r="AK119" s="96">
        <f>IF(AND($E119&gt;=Controls!$B$5,$E119&lt;=Controls!$B$6,OR(Controls!$E$9&lt;&gt;"Y",$BE119=1)),1,0)</f>
        <v/>
      </c>
      <c r="AL119" s="39">
        <f>1</f>
        <v/>
      </c>
      <c r="AM119" s="20">
        <f>S119-P119</f>
        <v/>
      </c>
      <c r="AN119" s="20">
        <f>IF(AH119=1,MAX(0,P119-S119),0)</f>
        <v/>
      </c>
      <c r="AO119" s="21">
        <f>IFERROR(S119/P119,"")</f>
        <v/>
      </c>
      <c r="AP119" s="22">
        <f>IF(Y119="","",P119/Y119)</f>
        <v/>
      </c>
      <c r="AQ119" s="39">
        <f>IF(Y119="",0,1)</f>
        <v/>
      </c>
      <c r="AR119" s="39">
        <f>IF(S119&lt;=0,1,0)</f>
        <v/>
      </c>
      <c r="AS119" s="17">
        <f>IF(AH119=1,AG119,"")</f>
        <v/>
      </c>
      <c r="AT119" s="17">
        <f>IF(AND(AH119=0,AJ119=1),AG119,"")</f>
        <v/>
      </c>
      <c r="AU119" s="5">
        <f>IF(P119&lt;10000,"Under $10K",IF(P119&lt;20000,"$10-20K",IF(P119&lt;30000,"$20-30K",IF(P119&lt;50000,"$30-50K",IF(P119&lt;100000,"$50-100K","$100K+")))))</f>
        <v/>
      </c>
      <c r="AV119" s="5">
        <f>IF(O119&lt;=1.35,"1.35 and under",IF(O119&lt;=1.42,"1.36-1.42",IF(O119&lt;=1.45,"1.43-1.45",IF(O119&lt;1.49,"1.46-1.48",IF(O119&lt;=1.49,"1.49","Above 1.49")))))</f>
        <v/>
      </c>
      <c r="AW119" s="5">
        <f>IF(AE119="","",IF(AE119&lt;60,"Under 60",IF(AE119&lt;90,"60-89",IF(AE119&lt;120,"90-119",IF(AE119&lt;150,"120-149","150+")))))</f>
        <v/>
      </c>
      <c r="AX119" s="5">
        <f>IF(AP119="","No revenue data",IF(AP119&lt;0.15,"Under 0.15x",IF(AP119&lt;0.3,"0.15-0.30x",IF(AP119&lt;0.5,"0.30-0.50x",IF(AP119&lt;1,"0.50-1.00x","1.00x+")))))</f>
        <v/>
      </c>
      <c r="AY119" s="5">
        <f>IF(J119="","No SIC",IFERROR(VLOOKUP(J119,Ref!$A$4:$C$67,2,FALSE()),"Unclassified"))</f>
        <v/>
      </c>
      <c r="AZ119" s="5">
        <f>IF(E119="","",TEXT(E119,"YYYY")&amp;"-Q"&amp;ROUNDUP(MONTH(E119)/3,0))</f>
        <v/>
      </c>
      <c r="BA119" s="5">
        <f>IF(E119="","",TEXT(E119,"YYYY-MM"))</f>
        <v/>
      </c>
      <c r="BB119" s="5">
        <f>IF(E119="","",TEXT(E119,"YYYY"))</f>
        <v/>
      </c>
      <c r="BC119" s="92">
        <f>IF($E119="","",NETWORKDAYS($E119,Controls!$B$9,Ref!$F$4:$F$47))</f>
        <v/>
      </c>
      <c r="BD119" s="92">
        <f>IF(OR($AH119=1,$AJ119=1),1,0)</f>
        <v/>
      </c>
      <c r="BE119" s="95">
        <f>IF(OR($BD119=1,AND($AE119&lt;&gt;"",$BC119&gt;=Controls!$B$10*$AE119)),1,0)</f>
        <v/>
      </c>
    </row>
    <row r="120" ht="15.75" customHeight="1" s="79">
      <c r="A120" s="5" t="inlineStr">
        <is>
          <t>5674158531</t>
        </is>
      </c>
      <c r="B120" s="5" t="inlineStr">
        <is>
          <t>THE CANDLEWYCK INN</t>
        </is>
      </c>
      <c r="C120" s="5" t="inlineStr">
        <is>
          <t>THE CANDLEWYCK INN, INC</t>
        </is>
      </c>
      <c r="D120" s="5" t="inlineStr">
        <is>
          <t>Closed</t>
        </is>
      </c>
      <c r="E120" s="16" t="n">
        <v>45806</v>
      </c>
      <c r="F120" s="16" t="n">
        <v>45883</v>
      </c>
      <c r="G120" s="17" t="n">
        <v>7</v>
      </c>
      <c r="H120" s="5" t="inlineStr">
        <is>
          <t>5812</t>
        </is>
      </c>
      <c r="I120" s="5" t="inlineStr">
        <is>
          <t>Snack and Nonalcoholic Beverage Bars</t>
        </is>
      </c>
      <c r="J120" s="5" t="inlineStr">
        <is>
          <t>58</t>
        </is>
      </c>
      <c r="K120" s="5" t="n">
        <v>5812</v>
      </c>
      <c r="L120" s="5" t="inlineStr">
        <is>
          <t>WV</t>
        </is>
      </c>
      <c r="M120" s="5" t="inlineStr">
        <is>
          <t>PMF</t>
        </is>
      </c>
      <c r="N120" s="5" t="inlineStr">
        <is>
          <t>Renewal</t>
        </is>
      </c>
      <c r="O120" s="19" t="n">
        <v>1.499</v>
      </c>
      <c r="P120" s="20" t="n">
        <v>10000</v>
      </c>
      <c r="Q120" s="20" t="n">
        <v>1400</v>
      </c>
      <c r="R120" s="20" t="n">
        <v>14990</v>
      </c>
      <c r="S120" s="20" t="n">
        <v>14990</v>
      </c>
      <c r="T120" s="20" t="n">
        <v>1.81898940354586e-12</v>
      </c>
      <c r="U120" s="21" t="n">
        <v>1</v>
      </c>
      <c r="V120" s="22" t="n">
        <v>2.295</v>
      </c>
      <c r="W120" s="17" t="n">
        <v>370</v>
      </c>
      <c r="X120" s="17" t="n">
        <v>10</v>
      </c>
      <c r="Y120" s="5" t="n"/>
      <c r="Z120" s="21" t="n">
        <v>0.1959</v>
      </c>
      <c r="AA120" s="16" t="n">
        <v>45806</v>
      </c>
      <c r="AB120" s="5">
        <f>IF(V120="","",IF(V120&lt;12,"Months","Weeks"))</f>
        <v/>
      </c>
      <c r="AC120" s="5">
        <f>IF(AB120="","",IF(AB120="Months","Daily","Weekly"))</f>
        <v/>
      </c>
      <c r="AD120" s="17">
        <f>IF(V120="","",IF(AC120="Daily",V120*Controls!$B$13,V120))</f>
        <v/>
      </c>
      <c r="AE120" s="17">
        <f>IF(V120="","",IF(AC120="Daily",V120*Controls!$B$13,V120*Controls!$B$12))</f>
        <v/>
      </c>
      <c r="AF120" s="17">
        <f>IF(OR(E120="",F120=""),"",F120-E120)</f>
        <v/>
      </c>
      <c r="AG120" s="17">
        <f>IF(OR(E120="",F120=""),"",NETWORKDAYS(E120,F120,Ref!$F$4:$F$47))</f>
        <v/>
      </c>
      <c r="AH120" s="39">
        <f>IF(IFERROR(VLOOKUP(D120,Controls!$A$25:$D$35,2,FALSE()),"No")="Yes",1,0)</f>
        <v/>
      </c>
      <c r="AI120" s="39">
        <f>IF(IFERROR(VLOOKUP(D120,Controls!$A$25:$D$35,3,FALSE()),"No")="Yes",1,0)</f>
        <v/>
      </c>
      <c r="AJ120" s="39">
        <f>IF(IFERROR(VLOOKUP(D120,Controls!$A$25:$D$35,4,FALSE()),"No")="Yes",1,0)</f>
        <v/>
      </c>
      <c r="AK120" s="96">
        <f>IF(AND($E120&gt;=Controls!$B$5,$E120&lt;=Controls!$B$6,OR(Controls!$E$9&lt;&gt;"Y",$BE120=1)),1,0)</f>
        <v/>
      </c>
      <c r="AL120" s="39">
        <f>1</f>
        <v/>
      </c>
      <c r="AM120" s="20">
        <f>S120-P120</f>
        <v/>
      </c>
      <c r="AN120" s="20">
        <f>IF(AH120=1,MAX(0,P120-S120),0)</f>
        <v/>
      </c>
      <c r="AO120" s="21">
        <f>IFERROR(S120/P120,"")</f>
        <v/>
      </c>
      <c r="AP120" s="22">
        <f>IF(Y120="","",P120/Y120)</f>
        <v/>
      </c>
      <c r="AQ120" s="39">
        <f>IF(Y120="",0,1)</f>
        <v/>
      </c>
      <c r="AR120" s="39">
        <f>IF(S120&lt;=0,1,0)</f>
        <v/>
      </c>
      <c r="AS120" s="17">
        <f>IF(AH120=1,AG120,"")</f>
        <v/>
      </c>
      <c r="AT120" s="17">
        <f>IF(AND(AH120=0,AJ120=1),AG120,"")</f>
        <v/>
      </c>
      <c r="AU120" s="5">
        <f>IF(P120&lt;10000,"Under $10K",IF(P120&lt;20000,"$10-20K",IF(P120&lt;30000,"$20-30K",IF(P120&lt;50000,"$30-50K",IF(P120&lt;100000,"$50-100K","$100K+")))))</f>
        <v/>
      </c>
      <c r="AV120" s="5">
        <f>IF(O120&lt;=1.35,"1.35 and under",IF(O120&lt;=1.42,"1.36-1.42",IF(O120&lt;=1.45,"1.43-1.45",IF(O120&lt;1.49,"1.46-1.48",IF(O120&lt;=1.49,"1.49","Above 1.49")))))</f>
        <v/>
      </c>
      <c r="AW120" s="5">
        <f>IF(AE120="","",IF(AE120&lt;60,"Under 60",IF(AE120&lt;90,"60-89",IF(AE120&lt;120,"90-119",IF(AE120&lt;150,"120-149","150+")))))</f>
        <v/>
      </c>
      <c r="AX120" s="5">
        <f>IF(AP120="","No revenue data",IF(AP120&lt;0.15,"Under 0.15x",IF(AP120&lt;0.3,"0.15-0.30x",IF(AP120&lt;0.5,"0.30-0.50x",IF(AP120&lt;1,"0.50-1.00x","1.00x+")))))</f>
        <v/>
      </c>
      <c r="AY120" s="5">
        <f>IF(J120="","No SIC",IFERROR(VLOOKUP(J120,Ref!$A$4:$C$67,2,FALSE()),"Unclassified"))</f>
        <v/>
      </c>
      <c r="AZ120" s="5">
        <f>IF(E120="","",TEXT(E120,"YYYY")&amp;"-Q"&amp;ROUNDUP(MONTH(E120)/3,0))</f>
        <v/>
      </c>
      <c r="BA120" s="5">
        <f>IF(E120="","",TEXT(E120,"YYYY-MM"))</f>
        <v/>
      </c>
      <c r="BB120" s="5">
        <f>IF(E120="","",TEXT(E120,"YYYY"))</f>
        <v/>
      </c>
      <c r="BC120" s="92">
        <f>IF($E120="","",NETWORKDAYS($E120,Controls!$B$9,Ref!$F$4:$F$47))</f>
        <v/>
      </c>
      <c r="BD120" s="92">
        <f>IF(OR($AH120=1,$AJ120=1),1,0)</f>
        <v/>
      </c>
      <c r="BE120" s="95">
        <f>IF(OR($BD120=1,AND($AE120&lt;&gt;"",$BC120&gt;=Controls!$B$10*$AE120)),1,0)</f>
        <v/>
      </c>
    </row>
    <row r="121" ht="15.75" customHeight="1" s="79">
      <c r="A121" s="5" t="inlineStr">
        <is>
          <t>5674158547</t>
        </is>
      </c>
      <c r="B121" s="5" t="inlineStr">
        <is>
          <t>TAQUERIA Y ANTOJITOS EL GUANACO LLC</t>
        </is>
      </c>
      <c r="C121" s="5" t="inlineStr">
        <is>
          <t>TAQUERIA Y ANTOJITOS EL GUANACO LLC</t>
        </is>
      </c>
      <c r="D121" s="5" t="inlineStr">
        <is>
          <t>Closed</t>
        </is>
      </c>
      <c r="E121" s="16" t="n">
        <v>45806</v>
      </c>
      <c r="F121" s="16" t="n">
        <v>45866</v>
      </c>
      <c r="G121" s="17" t="n">
        <v>7</v>
      </c>
      <c r="H121" s="5" t="inlineStr">
        <is>
          <t>5812</t>
        </is>
      </c>
      <c r="I121" s="5" t="inlineStr">
        <is>
          <t>Snack and Nonalcoholic Beverage Bars</t>
        </is>
      </c>
      <c r="J121" s="5" t="inlineStr">
        <is>
          <t>58</t>
        </is>
      </c>
      <c r="K121" s="5" t="n">
        <v>5812</v>
      </c>
      <c r="L121" s="5" t="inlineStr">
        <is>
          <t>No state</t>
        </is>
      </c>
      <c r="M121" s="5" t="inlineStr">
        <is>
          <t>PMF</t>
        </is>
      </c>
      <c r="N121" s="5" t="inlineStr">
        <is>
          <t>New Deal</t>
        </is>
      </c>
      <c r="O121" s="19" t="n">
        <v>1.49</v>
      </c>
      <c r="P121" s="20" t="n">
        <v>20000</v>
      </c>
      <c r="Q121" s="20" t="n">
        <v>2800</v>
      </c>
      <c r="R121" s="20" t="n">
        <v>29800</v>
      </c>
      <c r="S121" s="20" t="n">
        <v>29800</v>
      </c>
      <c r="T121" s="20" t="n">
        <v>0</v>
      </c>
      <c r="U121" s="21" t="n">
        <v>1</v>
      </c>
      <c r="V121" s="22" t="n">
        <v>2.623</v>
      </c>
      <c r="W121" s="17" t="n">
        <v>387</v>
      </c>
      <c r="X121" s="17" t="n">
        <v>1</v>
      </c>
      <c r="Y121" s="5" t="n"/>
      <c r="Z121" s="21" t="n">
        <v>0.0565</v>
      </c>
      <c r="AA121" s="16" t="n">
        <v>45806</v>
      </c>
      <c r="AB121" s="5">
        <f>IF(V121="","",IF(V121&lt;12,"Months","Weeks"))</f>
        <v/>
      </c>
      <c r="AC121" s="5">
        <f>IF(AB121="","",IF(AB121="Months","Daily","Weekly"))</f>
        <v/>
      </c>
      <c r="AD121" s="17">
        <f>IF(V121="","",IF(AC121="Daily",V121*Controls!$B$13,V121))</f>
        <v/>
      </c>
      <c r="AE121" s="17">
        <f>IF(V121="","",IF(AC121="Daily",V121*Controls!$B$13,V121*Controls!$B$12))</f>
        <v/>
      </c>
      <c r="AF121" s="17">
        <f>IF(OR(E121="",F121=""),"",F121-E121)</f>
        <v/>
      </c>
      <c r="AG121" s="17">
        <f>IF(OR(E121="",F121=""),"",NETWORKDAYS(E121,F121,Ref!$F$4:$F$47))</f>
        <v/>
      </c>
      <c r="AH121" s="39">
        <f>IF(IFERROR(VLOOKUP(D121,Controls!$A$25:$D$35,2,FALSE()),"No")="Yes",1,0)</f>
        <v/>
      </c>
      <c r="AI121" s="39">
        <f>IF(IFERROR(VLOOKUP(D121,Controls!$A$25:$D$35,3,FALSE()),"No")="Yes",1,0)</f>
        <v/>
      </c>
      <c r="AJ121" s="39">
        <f>IF(IFERROR(VLOOKUP(D121,Controls!$A$25:$D$35,4,FALSE()),"No")="Yes",1,0)</f>
        <v/>
      </c>
      <c r="AK121" s="96">
        <f>IF(AND($E121&gt;=Controls!$B$5,$E121&lt;=Controls!$B$6,OR(Controls!$E$9&lt;&gt;"Y",$BE121=1)),1,0)</f>
        <v/>
      </c>
      <c r="AL121" s="39">
        <f>1</f>
        <v/>
      </c>
      <c r="AM121" s="20">
        <f>S121-P121</f>
        <v/>
      </c>
      <c r="AN121" s="20">
        <f>IF(AH121=1,MAX(0,P121-S121),0)</f>
        <v/>
      </c>
      <c r="AO121" s="21">
        <f>IFERROR(S121/P121,"")</f>
        <v/>
      </c>
      <c r="AP121" s="22">
        <f>IF(Y121="","",P121/Y121)</f>
        <v/>
      </c>
      <c r="AQ121" s="39">
        <f>IF(Y121="",0,1)</f>
        <v/>
      </c>
      <c r="AR121" s="39">
        <f>IF(S121&lt;=0,1,0)</f>
        <v/>
      </c>
      <c r="AS121" s="17">
        <f>IF(AH121=1,AG121,"")</f>
        <v/>
      </c>
      <c r="AT121" s="17">
        <f>IF(AND(AH121=0,AJ121=1),AG121,"")</f>
        <v/>
      </c>
      <c r="AU121" s="5">
        <f>IF(P121&lt;10000,"Under $10K",IF(P121&lt;20000,"$10-20K",IF(P121&lt;30000,"$20-30K",IF(P121&lt;50000,"$30-50K",IF(P121&lt;100000,"$50-100K","$100K+")))))</f>
        <v/>
      </c>
      <c r="AV121" s="5">
        <f>IF(O121&lt;=1.35,"1.35 and under",IF(O121&lt;=1.42,"1.36-1.42",IF(O121&lt;=1.45,"1.43-1.45",IF(O121&lt;1.49,"1.46-1.48",IF(O121&lt;=1.49,"1.49","Above 1.49")))))</f>
        <v/>
      </c>
      <c r="AW121" s="5">
        <f>IF(AE121="","",IF(AE121&lt;60,"Under 60",IF(AE121&lt;90,"60-89",IF(AE121&lt;120,"90-119",IF(AE121&lt;150,"120-149","150+")))))</f>
        <v/>
      </c>
      <c r="AX121" s="5">
        <f>IF(AP121="","No revenue data",IF(AP121&lt;0.15,"Under 0.15x",IF(AP121&lt;0.3,"0.15-0.30x",IF(AP121&lt;0.5,"0.30-0.50x",IF(AP121&lt;1,"0.50-1.00x","1.00x+")))))</f>
        <v/>
      </c>
      <c r="AY121" s="5">
        <f>IF(J121="","No SIC",IFERROR(VLOOKUP(J121,Ref!$A$4:$C$67,2,FALSE()),"Unclassified"))</f>
        <v/>
      </c>
      <c r="AZ121" s="5">
        <f>IF(E121="","",TEXT(E121,"YYYY")&amp;"-Q"&amp;ROUNDUP(MONTH(E121)/3,0))</f>
        <v/>
      </c>
      <c r="BA121" s="5">
        <f>IF(E121="","",TEXT(E121,"YYYY-MM"))</f>
        <v/>
      </c>
      <c r="BB121" s="5">
        <f>IF(E121="","",TEXT(E121,"YYYY"))</f>
        <v/>
      </c>
      <c r="BC121" s="92">
        <f>IF($E121="","",NETWORKDAYS($E121,Controls!$B$9,Ref!$F$4:$F$47))</f>
        <v/>
      </c>
      <c r="BD121" s="92">
        <f>IF(OR($AH121=1,$AJ121=1),1,0)</f>
        <v/>
      </c>
      <c r="BE121" s="95">
        <f>IF(OR($BD121=1,AND($AE121&lt;&gt;"",$BC121&gt;=Controls!$B$10*$AE121)),1,0)</f>
        <v/>
      </c>
    </row>
    <row r="122" ht="15.75" customHeight="1" s="79">
      <c r="A122" s="5" t="inlineStr">
        <is>
          <t>5674158572</t>
        </is>
      </c>
      <c r="B122" s="5" t="inlineStr">
        <is>
          <t>Pet Dynasty</t>
        </is>
      </c>
      <c r="C122" s="5" t="inlineStr">
        <is>
          <t>MOO-VA-PET</t>
        </is>
      </c>
      <c r="D122" s="5" t="inlineStr">
        <is>
          <t>Closed</t>
        </is>
      </c>
      <c r="E122" s="16" t="n">
        <v>45806</v>
      </c>
      <c r="F122" s="16" t="n">
        <v>45915</v>
      </c>
      <c r="G122" s="17" t="n">
        <v>2</v>
      </c>
      <c r="H122" s="5" t="inlineStr">
        <is>
          <t>0742</t>
        </is>
      </c>
      <c r="I122" s="5" t="inlineStr">
        <is>
          <t>Veterinary Services</t>
        </is>
      </c>
      <c r="J122" s="5" t="inlineStr">
        <is>
          <t>07</t>
        </is>
      </c>
      <c r="K122" s="5" t="n">
        <v>742</v>
      </c>
      <c r="L122" s="5" t="inlineStr">
        <is>
          <t>No state</t>
        </is>
      </c>
      <c r="M122" s="5" t="inlineStr">
        <is>
          <t>FC ADVANCE</t>
        </is>
      </c>
      <c r="N122" s="5" t="inlineStr">
        <is>
          <t>New Deal</t>
        </is>
      </c>
      <c r="O122" s="19" t="n">
        <v>1.499</v>
      </c>
      <c r="P122" s="20" t="n">
        <v>6500</v>
      </c>
      <c r="Q122" s="20" t="n">
        <v>910</v>
      </c>
      <c r="R122" s="20" t="n">
        <v>9743.5</v>
      </c>
      <c r="S122" s="20" t="n">
        <v>9743.5</v>
      </c>
      <c r="T122" s="20" t="n">
        <v>0</v>
      </c>
      <c r="U122" s="21" t="n">
        <v>1</v>
      </c>
      <c r="V122" s="22" t="n">
        <v>1.967</v>
      </c>
      <c r="W122" s="17" t="n">
        <v>338</v>
      </c>
      <c r="X122" s="17" t="n">
        <v>10</v>
      </c>
      <c r="Y122" s="5" t="n"/>
      <c r="Z122" s="21" t="n">
        <v>0.08210000000000001</v>
      </c>
      <c r="AA122" s="16" t="n">
        <v>45806</v>
      </c>
      <c r="AB122" s="5">
        <f>IF(V122="","",IF(V122&lt;12,"Months","Weeks"))</f>
        <v/>
      </c>
      <c r="AC122" s="5">
        <f>IF(AB122="","",IF(AB122="Months","Daily","Weekly"))</f>
        <v/>
      </c>
      <c r="AD122" s="17">
        <f>IF(V122="","",IF(AC122="Daily",V122*Controls!$B$13,V122))</f>
        <v/>
      </c>
      <c r="AE122" s="17">
        <f>IF(V122="","",IF(AC122="Daily",V122*Controls!$B$13,V122*Controls!$B$12))</f>
        <v/>
      </c>
      <c r="AF122" s="17">
        <f>IF(OR(E122="",F122=""),"",F122-E122)</f>
        <v/>
      </c>
      <c r="AG122" s="17">
        <f>IF(OR(E122="",F122=""),"",NETWORKDAYS(E122,F122,Ref!$F$4:$F$47))</f>
        <v/>
      </c>
      <c r="AH122" s="39">
        <f>IF(IFERROR(VLOOKUP(D122,Controls!$A$25:$D$35,2,FALSE()),"No")="Yes",1,0)</f>
        <v/>
      </c>
      <c r="AI122" s="39">
        <f>IF(IFERROR(VLOOKUP(D122,Controls!$A$25:$D$35,3,FALSE()),"No")="Yes",1,0)</f>
        <v/>
      </c>
      <c r="AJ122" s="39">
        <f>IF(IFERROR(VLOOKUP(D122,Controls!$A$25:$D$35,4,FALSE()),"No")="Yes",1,0)</f>
        <v/>
      </c>
      <c r="AK122" s="96">
        <f>IF(AND($E122&gt;=Controls!$B$5,$E122&lt;=Controls!$B$6,OR(Controls!$E$9&lt;&gt;"Y",$BE122=1)),1,0)</f>
        <v/>
      </c>
      <c r="AL122" s="39">
        <f>1</f>
        <v/>
      </c>
      <c r="AM122" s="20">
        <f>S122-P122</f>
        <v/>
      </c>
      <c r="AN122" s="20">
        <f>IF(AH122=1,MAX(0,P122-S122),0)</f>
        <v/>
      </c>
      <c r="AO122" s="21">
        <f>IFERROR(S122/P122,"")</f>
        <v/>
      </c>
      <c r="AP122" s="22">
        <f>IF(Y122="","",P122/Y122)</f>
        <v/>
      </c>
      <c r="AQ122" s="39">
        <f>IF(Y122="",0,1)</f>
        <v/>
      </c>
      <c r="AR122" s="39">
        <f>IF(S122&lt;=0,1,0)</f>
        <v/>
      </c>
      <c r="AS122" s="17">
        <f>IF(AH122=1,AG122,"")</f>
        <v/>
      </c>
      <c r="AT122" s="17">
        <f>IF(AND(AH122=0,AJ122=1),AG122,"")</f>
        <v/>
      </c>
      <c r="AU122" s="5">
        <f>IF(P122&lt;10000,"Under $10K",IF(P122&lt;20000,"$10-20K",IF(P122&lt;30000,"$20-30K",IF(P122&lt;50000,"$30-50K",IF(P122&lt;100000,"$50-100K","$100K+")))))</f>
        <v/>
      </c>
      <c r="AV122" s="5">
        <f>IF(O122&lt;=1.35,"1.35 and under",IF(O122&lt;=1.42,"1.36-1.42",IF(O122&lt;=1.45,"1.43-1.45",IF(O122&lt;1.49,"1.46-1.48",IF(O122&lt;=1.49,"1.49","Above 1.49")))))</f>
        <v/>
      </c>
      <c r="AW122" s="5">
        <f>IF(AE122="","",IF(AE122&lt;60,"Under 60",IF(AE122&lt;90,"60-89",IF(AE122&lt;120,"90-119",IF(AE122&lt;150,"120-149","150+")))))</f>
        <v/>
      </c>
      <c r="AX122" s="5">
        <f>IF(AP122="","No revenue data",IF(AP122&lt;0.15,"Under 0.15x",IF(AP122&lt;0.3,"0.15-0.30x",IF(AP122&lt;0.5,"0.30-0.50x",IF(AP122&lt;1,"0.50-1.00x","1.00x+")))))</f>
        <v/>
      </c>
      <c r="AY122" s="5">
        <f>IF(J122="","No SIC",IFERROR(VLOOKUP(J122,Ref!$A$4:$C$67,2,FALSE()),"Unclassified"))</f>
        <v/>
      </c>
      <c r="AZ122" s="5">
        <f>IF(E122="","",TEXT(E122,"YYYY")&amp;"-Q"&amp;ROUNDUP(MONTH(E122)/3,0))</f>
        <v/>
      </c>
      <c r="BA122" s="5">
        <f>IF(E122="","",TEXT(E122,"YYYY-MM"))</f>
        <v/>
      </c>
      <c r="BB122" s="5">
        <f>IF(E122="","",TEXT(E122,"YYYY"))</f>
        <v/>
      </c>
      <c r="BC122" s="92">
        <f>IF($E122="","",NETWORKDAYS($E122,Controls!$B$9,Ref!$F$4:$F$47))</f>
        <v/>
      </c>
      <c r="BD122" s="92">
        <f>IF(OR($AH122=1,$AJ122=1),1,0)</f>
        <v/>
      </c>
      <c r="BE122" s="95">
        <f>IF(OR($BD122=1,AND($AE122&lt;&gt;"",$BC122&gt;=Controls!$B$10*$AE122)),1,0)</f>
        <v/>
      </c>
    </row>
    <row r="123" ht="15.75" customHeight="1" s="79">
      <c r="A123" s="5" t="inlineStr">
        <is>
          <t>5674158642</t>
        </is>
      </c>
      <c r="B123" s="5" t="inlineStr">
        <is>
          <t>The Burgin Group LLC</t>
        </is>
      </c>
      <c r="C123" s="5" t="inlineStr">
        <is>
          <t>The Burgin Group LLC</t>
        </is>
      </c>
      <c r="D123" s="5" t="inlineStr">
        <is>
          <t>Legal</t>
        </is>
      </c>
      <c r="E123" s="16" t="n">
        <v>45807</v>
      </c>
      <c r="F123" s="16" t="n">
        <v>45888</v>
      </c>
      <c r="G123" s="17" t="n">
        <v>4</v>
      </c>
      <c r="H123" s="5" t="inlineStr">
        <is>
          <t>5812</t>
        </is>
      </c>
      <c r="I123" s="5" t="inlineStr">
        <is>
          <t>Snack and Nonalcoholic Beverage Bars</t>
        </is>
      </c>
      <c r="J123" s="5" t="inlineStr">
        <is>
          <t>58</t>
        </is>
      </c>
      <c r="K123" s="5" t="n">
        <v>5812</v>
      </c>
      <c r="L123" s="5" t="inlineStr">
        <is>
          <t>OH</t>
        </is>
      </c>
      <c r="M123" s="5" t="inlineStr">
        <is>
          <t>Vanguard Equities</t>
        </is>
      </c>
      <c r="N123" s="5" t="inlineStr">
        <is>
          <t>New Deal</t>
        </is>
      </c>
      <c r="O123" s="19" t="n">
        <v>1.49</v>
      </c>
      <c r="P123" s="20" t="n">
        <v>8000</v>
      </c>
      <c r="Q123" s="20" t="n">
        <v>1120</v>
      </c>
      <c r="R123" s="20" t="n">
        <v>11920</v>
      </c>
      <c r="S123" s="20" t="n">
        <v>6801.53</v>
      </c>
      <c r="T123" s="20" t="n">
        <v>5118.47</v>
      </c>
      <c r="U123" s="21" t="n">
        <v>0.570598154362416</v>
      </c>
      <c r="V123" s="22" t="n">
        <v>1.639</v>
      </c>
      <c r="W123" s="17" t="n">
        <v>378</v>
      </c>
      <c r="X123" s="17" t="n">
        <v>21</v>
      </c>
      <c r="Y123" s="5" t="n"/>
      <c r="Z123" s="21" t="n">
        <v>0.0408</v>
      </c>
      <c r="AA123" s="16" t="n">
        <v>45807</v>
      </c>
      <c r="AB123" s="5">
        <f>IF(V123="","",IF(V123&lt;12,"Months","Weeks"))</f>
        <v/>
      </c>
      <c r="AC123" s="5">
        <f>IF(AB123="","",IF(AB123="Months","Daily","Weekly"))</f>
        <v/>
      </c>
      <c r="AD123" s="17">
        <f>IF(V123="","",IF(AC123="Daily",V123*Controls!$B$13,V123))</f>
        <v/>
      </c>
      <c r="AE123" s="17">
        <f>IF(V123="","",IF(AC123="Daily",V123*Controls!$B$13,V123*Controls!$B$12))</f>
        <v/>
      </c>
      <c r="AF123" s="17">
        <f>IF(OR(E123="",F123=""),"",F123-E123)</f>
        <v/>
      </c>
      <c r="AG123" s="17">
        <f>IF(OR(E123="",F123=""),"",NETWORKDAYS(E123,F123,Ref!$F$4:$F$47))</f>
        <v/>
      </c>
      <c r="AH123" s="39">
        <f>IF(IFERROR(VLOOKUP(D123,Controls!$A$25:$D$35,2,FALSE()),"No")="Yes",1,0)</f>
        <v/>
      </c>
      <c r="AI123" s="39">
        <f>IF(IFERROR(VLOOKUP(D123,Controls!$A$25:$D$35,3,FALSE()),"No")="Yes",1,0)</f>
        <v/>
      </c>
      <c r="AJ123" s="39">
        <f>IF(IFERROR(VLOOKUP(D123,Controls!$A$25:$D$35,4,FALSE()),"No")="Yes",1,0)</f>
        <v/>
      </c>
      <c r="AK123" s="96">
        <f>IF(AND($E123&gt;=Controls!$B$5,$E123&lt;=Controls!$B$6,OR(Controls!$E$9&lt;&gt;"Y",$BE123=1)),1,0)</f>
        <v/>
      </c>
      <c r="AL123" s="39">
        <f>1</f>
        <v/>
      </c>
      <c r="AM123" s="20">
        <f>S123-P123</f>
        <v/>
      </c>
      <c r="AN123" s="20">
        <f>IF(AH123=1,MAX(0,P123-S123),0)</f>
        <v/>
      </c>
      <c r="AO123" s="21">
        <f>IFERROR(S123/P123,"")</f>
        <v/>
      </c>
      <c r="AP123" s="22">
        <f>IF(Y123="","",P123/Y123)</f>
        <v/>
      </c>
      <c r="AQ123" s="39">
        <f>IF(Y123="",0,1)</f>
        <v/>
      </c>
      <c r="AR123" s="39">
        <f>IF(S123&lt;=0,1,0)</f>
        <v/>
      </c>
      <c r="AS123" s="17">
        <f>IF(AH123=1,AG123,"")</f>
        <v/>
      </c>
      <c r="AT123" s="17">
        <f>IF(AND(AH123=0,AJ123=1),AG123,"")</f>
        <v/>
      </c>
      <c r="AU123" s="5">
        <f>IF(P123&lt;10000,"Under $10K",IF(P123&lt;20000,"$10-20K",IF(P123&lt;30000,"$20-30K",IF(P123&lt;50000,"$30-50K",IF(P123&lt;100000,"$50-100K","$100K+")))))</f>
        <v/>
      </c>
      <c r="AV123" s="5">
        <f>IF(O123&lt;=1.35,"1.35 and under",IF(O123&lt;=1.42,"1.36-1.42",IF(O123&lt;=1.45,"1.43-1.45",IF(O123&lt;1.49,"1.46-1.48",IF(O123&lt;=1.49,"1.49","Above 1.49")))))</f>
        <v/>
      </c>
      <c r="AW123" s="5">
        <f>IF(AE123="","",IF(AE123&lt;60,"Under 60",IF(AE123&lt;90,"60-89",IF(AE123&lt;120,"90-119",IF(AE123&lt;150,"120-149","150+")))))</f>
        <v/>
      </c>
      <c r="AX123" s="5">
        <f>IF(AP123="","No revenue data",IF(AP123&lt;0.15,"Under 0.15x",IF(AP123&lt;0.3,"0.15-0.30x",IF(AP123&lt;0.5,"0.30-0.50x",IF(AP123&lt;1,"0.50-1.00x","1.00x+")))))</f>
        <v/>
      </c>
      <c r="AY123" s="5">
        <f>IF(J123="","No SIC",IFERROR(VLOOKUP(J123,Ref!$A$4:$C$67,2,FALSE()),"Unclassified"))</f>
        <v/>
      </c>
      <c r="AZ123" s="5">
        <f>IF(E123="","",TEXT(E123,"YYYY")&amp;"-Q"&amp;ROUNDUP(MONTH(E123)/3,0))</f>
        <v/>
      </c>
      <c r="BA123" s="5">
        <f>IF(E123="","",TEXT(E123,"YYYY-MM"))</f>
        <v/>
      </c>
      <c r="BB123" s="5">
        <f>IF(E123="","",TEXT(E123,"YYYY"))</f>
        <v/>
      </c>
      <c r="BC123" s="92">
        <f>IF($E123="","",NETWORKDAYS($E123,Controls!$B$9,Ref!$F$4:$F$47))</f>
        <v/>
      </c>
      <c r="BD123" s="92">
        <f>IF(OR($AH123=1,$AJ123=1),1,0)</f>
        <v/>
      </c>
      <c r="BE123" s="95">
        <f>IF(OR($BD123=1,AND($AE123&lt;&gt;"",$BC123&gt;=Controls!$B$10*$AE123)),1,0)</f>
        <v/>
      </c>
    </row>
    <row r="124" ht="15.75" customHeight="1" s="79">
      <c r="A124" s="5" t="inlineStr">
        <is>
          <t>5674158686</t>
        </is>
      </c>
      <c r="B124" s="5" t="inlineStr">
        <is>
          <t>DR3M INSPECTIONS</t>
        </is>
      </c>
      <c r="C124" s="5" t="inlineStr">
        <is>
          <t>DR3M Inc</t>
        </is>
      </c>
      <c r="D124" s="5" t="inlineStr">
        <is>
          <t>Legal</t>
        </is>
      </c>
      <c r="E124" s="16" t="n">
        <v>45807</v>
      </c>
      <c r="F124" s="16" t="n">
        <v>46034</v>
      </c>
      <c r="G124" s="17" t="n">
        <v>6</v>
      </c>
      <c r="H124" s="5" t="inlineStr">
        <is>
          <t>7389</t>
        </is>
      </c>
      <c r="I124" s="5" t="inlineStr">
        <is>
          <t>All Other Business Support Services</t>
        </is>
      </c>
      <c r="J124" s="5" t="inlineStr">
        <is>
          <t>73</t>
        </is>
      </c>
      <c r="K124" s="5" t="n">
        <v>7399</v>
      </c>
      <c r="L124" s="5" t="inlineStr">
        <is>
          <t>TX</t>
        </is>
      </c>
      <c r="M124" s="5" t="inlineStr">
        <is>
          <t>Premium Capital (AMRK)</t>
        </is>
      </c>
      <c r="N124" s="5" t="inlineStr">
        <is>
          <t>New Deal</t>
        </is>
      </c>
      <c r="O124" s="19" t="n">
        <v>1.38</v>
      </c>
      <c r="P124" s="20" t="n">
        <v>20000</v>
      </c>
      <c r="Q124" s="20" t="n">
        <v>2000</v>
      </c>
      <c r="R124" s="20" t="n">
        <v>27600</v>
      </c>
      <c r="S124" s="20" t="n">
        <v>22425.67</v>
      </c>
      <c r="T124" s="20" t="n">
        <v>5174.33</v>
      </c>
      <c r="U124" s="21" t="n">
        <v>0.812524275362319</v>
      </c>
      <c r="V124" s="22" t="n">
        <v>4.098</v>
      </c>
      <c r="W124" s="17" t="n">
        <v>219</v>
      </c>
      <c r="X124" s="17" t="n">
        <v>8</v>
      </c>
      <c r="Y124" s="5" t="n"/>
      <c r="Z124" s="21" t="n">
        <v>0.1443</v>
      </c>
      <c r="AA124" s="16" t="n">
        <v>45807</v>
      </c>
      <c r="AB124" s="5">
        <f>IF(V124="","",IF(V124&lt;12,"Months","Weeks"))</f>
        <v/>
      </c>
      <c r="AC124" s="5">
        <f>IF(AB124="","",IF(AB124="Months","Daily","Weekly"))</f>
        <v/>
      </c>
      <c r="AD124" s="17">
        <f>IF(V124="","",IF(AC124="Daily",V124*Controls!$B$13,V124))</f>
        <v/>
      </c>
      <c r="AE124" s="17">
        <f>IF(V124="","",IF(AC124="Daily",V124*Controls!$B$13,V124*Controls!$B$12))</f>
        <v/>
      </c>
      <c r="AF124" s="17">
        <f>IF(OR(E124="",F124=""),"",F124-E124)</f>
        <v/>
      </c>
      <c r="AG124" s="17">
        <f>IF(OR(E124="",F124=""),"",NETWORKDAYS(E124,F124,Ref!$F$4:$F$47))</f>
        <v/>
      </c>
      <c r="AH124" s="39">
        <f>IF(IFERROR(VLOOKUP(D124,Controls!$A$25:$D$35,2,FALSE()),"No")="Yes",1,0)</f>
        <v/>
      </c>
      <c r="AI124" s="39">
        <f>IF(IFERROR(VLOOKUP(D124,Controls!$A$25:$D$35,3,FALSE()),"No")="Yes",1,0)</f>
        <v/>
      </c>
      <c r="AJ124" s="39">
        <f>IF(IFERROR(VLOOKUP(D124,Controls!$A$25:$D$35,4,FALSE()),"No")="Yes",1,0)</f>
        <v/>
      </c>
      <c r="AK124" s="96">
        <f>IF(AND($E124&gt;=Controls!$B$5,$E124&lt;=Controls!$B$6,OR(Controls!$E$9&lt;&gt;"Y",$BE124=1)),1,0)</f>
        <v/>
      </c>
      <c r="AL124" s="39">
        <f>1</f>
        <v/>
      </c>
      <c r="AM124" s="20">
        <f>S124-P124</f>
        <v/>
      </c>
      <c r="AN124" s="20">
        <f>IF(AH124=1,MAX(0,P124-S124),0)</f>
        <v/>
      </c>
      <c r="AO124" s="21">
        <f>IFERROR(S124/P124,"")</f>
        <v/>
      </c>
      <c r="AP124" s="22">
        <f>IF(Y124="","",P124/Y124)</f>
        <v/>
      </c>
      <c r="AQ124" s="39">
        <f>IF(Y124="",0,1)</f>
        <v/>
      </c>
      <c r="AR124" s="39">
        <f>IF(S124&lt;=0,1,0)</f>
        <v/>
      </c>
      <c r="AS124" s="17">
        <f>IF(AH124=1,AG124,"")</f>
        <v/>
      </c>
      <c r="AT124" s="17">
        <f>IF(AND(AH124=0,AJ124=1),AG124,"")</f>
        <v/>
      </c>
      <c r="AU124" s="5">
        <f>IF(P124&lt;10000,"Under $10K",IF(P124&lt;20000,"$10-20K",IF(P124&lt;30000,"$20-30K",IF(P124&lt;50000,"$30-50K",IF(P124&lt;100000,"$50-100K","$100K+")))))</f>
        <v/>
      </c>
      <c r="AV124" s="5">
        <f>IF(O124&lt;=1.35,"1.35 and under",IF(O124&lt;=1.42,"1.36-1.42",IF(O124&lt;=1.45,"1.43-1.45",IF(O124&lt;1.49,"1.46-1.48",IF(O124&lt;=1.49,"1.49","Above 1.49")))))</f>
        <v/>
      </c>
      <c r="AW124" s="5">
        <f>IF(AE124="","",IF(AE124&lt;60,"Under 60",IF(AE124&lt;90,"60-89",IF(AE124&lt;120,"90-119",IF(AE124&lt;150,"120-149","150+")))))</f>
        <v/>
      </c>
      <c r="AX124" s="5">
        <f>IF(AP124="","No revenue data",IF(AP124&lt;0.15,"Under 0.15x",IF(AP124&lt;0.3,"0.15-0.30x",IF(AP124&lt;0.5,"0.30-0.50x",IF(AP124&lt;1,"0.50-1.00x","1.00x+")))))</f>
        <v/>
      </c>
      <c r="AY124" s="5">
        <f>IF(J124="","No SIC",IFERROR(VLOOKUP(J124,Ref!$A$4:$C$67,2,FALSE()),"Unclassified"))</f>
        <v/>
      </c>
      <c r="AZ124" s="5">
        <f>IF(E124="","",TEXT(E124,"YYYY")&amp;"-Q"&amp;ROUNDUP(MONTH(E124)/3,0))</f>
        <v/>
      </c>
      <c r="BA124" s="5">
        <f>IF(E124="","",TEXT(E124,"YYYY-MM"))</f>
        <v/>
      </c>
      <c r="BB124" s="5">
        <f>IF(E124="","",TEXT(E124,"YYYY"))</f>
        <v/>
      </c>
      <c r="BC124" s="92">
        <f>IF($E124="","",NETWORKDAYS($E124,Controls!$B$9,Ref!$F$4:$F$47))</f>
        <v/>
      </c>
      <c r="BD124" s="92">
        <f>IF(OR($AH124=1,$AJ124=1),1,0)</f>
        <v/>
      </c>
      <c r="BE124" s="95">
        <f>IF(OR($BD124=1,AND($AE124&lt;&gt;"",$BC124&gt;=Controls!$B$10*$AE124)),1,0)</f>
        <v/>
      </c>
    </row>
    <row r="125" ht="15.75" customHeight="1" s="79">
      <c r="A125" s="5" t="inlineStr">
        <is>
          <t>5674158858</t>
        </is>
      </c>
      <c r="B125" s="5" t="inlineStr">
        <is>
          <t>CharterPro</t>
        </is>
      </c>
      <c r="C125" s="5" t="inlineStr">
        <is>
          <t>KING LIMOUSINE SERVICE INC</t>
        </is>
      </c>
      <c r="D125" s="5" t="inlineStr">
        <is>
          <t>Closed</t>
        </is>
      </c>
      <c r="E125" s="16" t="n">
        <v>45812</v>
      </c>
      <c r="F125" s="16" t="n">
        <v>45996</v>
      </c>
      <c r="G125" s="17" t="n">
        <v>1</v>
      </c>
      <c r="H125" s="5" t="inlineStr">
        <is>
          <t>4111</t>
        </is>
      </c>
      <c r="I125" s="5" t="inlineStr">
        <is>
          <t>Bus and Other Motor Vehicle Transit Systems</t>
        </is>
      </c>
      <c r="J125" s="5" t="inlineStr">
        <is>
          <t>41</t>
        </is>
      </c>
      <c r="K125" s="5" t="n">
        <v>4131</v>
      </c>
      <c r="L125" s="5" t="inlineStr">
        <is>
          <t>No state</t>
        </is>
      </c>
      <c r="M125" s="5" t="inlineStr">
        <is>
          <t>Platform Funding</t>
        </is>
      </c>
      <c r="N125" s="5" t="inlineStr">
        <is>
          <t>New Deal</t>
        </is>
      </c>
      <c r="O125" s="19" t="n">
        <v>1.31</v>
      </c>
      <c r="P125" s="20" t="n">
        <v>75000</v>
      </c>
      <c r="Q125" s="20" t="n">
        <v>3000</v>
      </c>
      <c r="R125" s="20" t="n">
        <v>98250</v>
      </c>
      <c r="S125" s="20" t="n">
        <v>98250</v>
      </c>
      <c r="T125" s="20" t="n">
        <v>0</v>
      </c>
      <c r="U125" s="21" t="n">
        <v>1</v>
      </c>
      <c r="V125" s="22" t="n">
        <v>32</v>
      </c>
      <c r="W125" s="17" t="n">
        <v>257</v>
      </c>
      <c r="X125" s="17" t="n">
        <v>0</v>
      </c>
      <c r="Y125" s="5" t="n"/>
      <c r="Z125" s="21" t="n">
        <v>0.0567</v>
      </c>
      <c r="AA125" s="16" t="n">
        <v>38777</v>
      </c>
      <c r="AB125" s="5">
        <f>IF(V125="","",IF(V125&lt;12,"Months","Weeks"))</f>
        <v/>
      </c>
      <c r="AC125" s="5">
        <f>IF(AB125="","",IF(AB125="Months","Daily","Weekly"))</f>
        <v/>
      </c>
      <c r="AD125" s="17">
        <f>IF(V125="","",IF(AC125="Daily",V125*Controls!$B$13,V125))</f>
        <v/>
      </c>
      <c r="AE125" s="17">
        <f>IF(V125="","",IF(AC125="Daily",V125*Controls!$B$13,V125*Controls!$B$12))</f>
        <v/>
      </c>
      <c r="AF125" s="17">
        <f>IF(OR(E125="",F125=""),"",F125-E125)</f>
        <v/>
      </c>
      <c r="AG125" s="17">
        <f>IF(OR(E125="",F125=""),"",NETWORKDAYS(E125,F125,Ref!$F$4:$F$47))</f>
        <v/>
      </c>
      <c r="AH125" s="39">
        <f>IF(IFERROR(VLOOKUP(D125,Controls!$A$25:$D$35,2,FALSE()),"No")="Yes",1,0)</f>
        <v/>
      </c>
      <c r="AI125" s="39">
        <f>IF(IFERROR(VLOOKUP(D125,Controls!$A$25:$D$35,3,FALSE()),"No")="Yes",1,0)</f>
        <v/>
      </c>
      <c r="AJ125" s="39">
        <f>IF(IFERROR(VLOOKUP(D125,Controls!$A$25:$D$35,4,FALSE()),"No")="Yes",1,0)</f>
        <v/>
      </c>
      <c r="AK125" s="96">
        <f>IF(AND($E125&gt;=Controls!$B$5,$E125&lt;=Controls!$B$6,OR(Controls!$E$9&lt;&gt;"Y",$BE125=1)),1,0)</f>
        <v/>
      </c>
      <c r="AL125" s="39">
        <f>1</f>
        <v/>
      </c>
      <c r="AM125" s="20">
        <f>S125-P125</f>
        <v/>
      </c>
      <c r="AN125" s="20">
        <f>IF(AH125=1,MAX(0,P125-S125),0)</f>
        <v/>
      </c>
      <c r="AO125" s="21">
        <f>IFERROR(S125/P125,"")</f>
        <v/>
      </c>
      <c r="AP125" s="22">
        <f>IF(Y125="","",P125/Y125)</f>
        <v/>
      </c>
      <c r="AQ125" s="39">
        <f>IF(Y125="",0,1)</f>
        <v/>
      </c>
      <c r="AR125" s="39">
        <f>IF(S125&lt;=0,1,0)</f>
        <v/>
      </c>
      <c r="AS125" s="17">
        <f>IF(AH125=1,AG125,"")</f>
        <v/>
      </c>
      <c r="AT125" s="17">
        <f>IF(AND(AH125=0,AJ125=1),AG125,"")</f>
        <v/>
      </c>
      <c r="AU125" s="5">
        <f>IF(P125&lt;10000,"Under $10K",IF(P125&lt;20000,"$10-20K",IF(P125&lt;30000,"$20-30K",IF(P125&lt;50000,"$30-50K",IF(P125&lt;100000,"$50-100K","$100K+")))))</f>
        <v/>
      </c>
      <c r="AV125" s="5">
        <f>IF(O125&lt;=1.35,"1.35 and under",IF(O125&lt;=1.42,"1.36-1.42",IF(O125&lt;=1.45,"1.43-1.45",IF(O125&lt;1.49,"1.46-1.48",IF(O125&lt;=1.49,"1.49","Above 1.49")))))</f>
        <v/>
      </c>
      <c r="AW125" s="5">
        <f>IF(AE125="","",IF(AE125&lt;60,"Under 60",IF(AE125&lt;90,"60-89",IF(AE125&lt;120,"90-119",IF(AE125&lt;150,"120-149","150+")))))</f>
        <v/>
      </c>
      <c r="AX125" s="5">
        <f>IF(AP125="","No revenue data",IF(AP125&lt;0.15,"Under 0.15x",IF(AP125&lt;0.3,"0.15-0.30x",IF(AP125&lt;0.5,"0.30-0.50x",IF(AP125&lt;1,"0.50-1.00x","1.00x+")))))</f>
        <v/>
      </c>
      <c r="AY125" s="5">
        <f>IF(J125="","No SIC",IFERROR(VLOOKUP(J125,Ref!$A$4:$C$67,2,FALSE()),"Unclassified"))</f>
        <v/>
      </c>
      <c r="AZ125" s="5">
        <f>IF(E125="","",TEXT(E125,"YYYY")&amp;"-Q"&amp;ROUNDUP(MONTH(E125)/3,0))</f>
        <v/>
      </c>
      <c r="BA125" s="5">
        <f>IF(E125="","",TEXT(E125,"YYYY-MM"))</f>
        <v/>
      </c>
      <c r="BB125" s="5">
        <f>IF(E125="","",TEXT(E125,"YYYY"))</f>
        <v/>
      </c>
      <c r="BC125" s="92">
        <f>IF($E125="","",NETWORKDAYS($E125,Controls!$B$9,Ref!$F$4:$F$47))</f>
        <v/>
      </c>
      <c r="BD125" s="92">
        <f>IF(OR($AH125=1,$AJ125=1),1,0)</f>
        <v/>
      </c>
      <c r="BE125" s="95">
        <f>IF(OR($BD125=1,AND($AE125&lt;&gt;"",$BC125&gt;=Controls!$B$10*$AE125)),1,0)</f>
        <v/>
      </c>
    </row>
    <row r="126" ht="15.75" customHeight="1" s="79">
      <c r="A126" s="5" t="inlineStr">
        <is>
          <t>5674159072</t>
        </is>
      </c>
      <c r="B126" s="5" t="inlineStr">
        <is>
          <t>Anderson Carpentry Co.</t>
        </is>
      </c>
      <c r="C126" s="5" t="inlineStr">
        <is>
          <t>Anderson carpentry and Co.</t>
        </is>
      </c>
      <c r="D126" s="5" t="inlineStr">
        <is>
          <t>Legal</t>
        </is>
      </c>
      <c r="E126" s="16" t="n">
        <v>45813</v>
      </c>
      <c r="F126" s="16" t="n">
        <v>45926</v>
      </c>
      <c r="G126" s="17" t="n">
        <v>1</v>
      </c>
      <c r="H126" s="5" t="inlineStr">
        <is>
          <t>1751</t>
        </is>
      </c>
      <c r="I126" s="5" t="inlineStr">
        <is>
          <t>Finish Carpentry Contractors</t>
        </is>
      </c>
      <c r="J126" s="5" t="inlineStr">
        <is>
          <t>17</t>
        </is>
      </c>
      <c r="K126" s="5" t="n">
        <v>1750</v>
      </c>
      <c r="L126" s="5" t="inlineStr">
        <is>
          <t>FL</t>
        </is>
      </c>
      <c r="M126" s="5" t="inlineStr">
        <is>
          <t>Samson Funding</t>
        </is>
      </c>
      <c r="N126" s="5" t="inlineStr">
        <is>
          <t>Renewal</t>
        </is>
      </c>
      <c r="O126" s="19" t="n">
        <v>1.49</v>
      </c>
      <c r="P126" s="20" t="n">
        <v>16500</v>
      </c>
      <c r="Q126" s="20" t="n">
        <v>2310</v>
      </c>
      <c r="R126" s="20" t="n">
        <v>24585</v>
      </c>
      <c r="S126" s="20" t="n">
        <v>4038.1</v>
      </c>
      <c r="T126" s="20" t="n">
        <v>20546.9</v>
      </c>
      <c r="U126" s="21" t="n">
        <v>0.164250559284116</v>
      </c>
      <c r="V126" s="22" t="n">
        <v>3.279</v>
      </c>
      <c r="W126" s="17" t="n">
        <v>406</v>
      </c>
      <c r="X126" s="17" t="n">
        <v>40</v>
      </c>
      <c r="Y126" s="5" t="n"/>
      <c r="Z126" s="21" t="n">
        <v>0.1619</v>
      </c>
      <c r="AA126" s="16" t="n">
        <v>45813</v>
      </c>
      <c r="AB126" s="5">
        <f>IF(V126="","",IF(V126&lt;12,"Months","Weeks"))</f>
        <v/>
      </c>
      <c r="AC126" s="5">
        <f>IF(AB126="","",IF(AB126="Months","Daily","Weekly"))</f>
        <v/>
      </c>
      <c r="AD126" s="17">
        <f>IF(V126="","",IF(AC126="Daily",V126*Controls!$B$13,V126))</f>
        <v/>
      </c>
      <c r="AE126" s="17">
        <f>IF(V126="","",IF(AC126="Daily",V126*Controls!$B$13,V126*Controls!$B$12))</f>
        <v/>
      </c>
      <c r="AF126" s="17">
        <f>IF(OR(E126="",F126=""),"",F126-E126)</f>
        <v/>
      </c>
      <c r="AG126" s="17">
        <f>IF(OR(E126="",F126=""),"",NETWORKDAYS(E126,F126,Ref!$F$4:$F$47))</f>
        <v/>
      </c>
      <c r="AH126" s="39">
        <f>IF(IFERROR(VLOOKUP(D126,Controls!$A$25:$D$35,2,FALSE()),"No")="Yes",1,0)</f>
        <v/>
      </c>
      <c r="AI126" s="39">
        <f>IF(IFERROR(VLOOKUP(D126,Controls!$A$25:$D$35,3,FALSE()),"No")="Yes",1,0)</f>
        <v/>
      </c>
      <c r="AJ126" s="39">
        <f>IF(IFERROR(VLOOKUP(D126,Controls!$A$25:$D$35,4,FALSE()),"No")="Yes",1,0)</f>
        <v/>
      </c>
      <c r="AK126" s="96">
        <f>IF(AND($E126&gt;=Controls!$B$5,$E126&lt;=Controls!$B$6,OR(Controls!$E$9&lt;&gt;"Y",$BE126=1)),1,0)</f>
        <v/>
      </c>
      <c r="AL126" s="39">
        <f>1</f>
        <v/>
      </c>
      <c r="AM126" s="20">
        <f>S126-P126</f>
        <v/>
      </c>
      <c r="AN126" s="20">
        <f>IF(AH126=1,MAX(0,P126-S126),0)</f>
        <v/>
      </c>
      <c r="AO126" s="21">
        <f>IFERROR(S126/P126,"")</f>
        <v/>
      </c>
      <c r="AP126" s="22">
        <f>IF(Y126="","",P126/Y126)</f>
        <v/>
      </c>
      <c r="AQ126" s="39">
        <f>IF(Y126="",0,1)</f>
        <v/>
      </c>
      <c r="AR126" s="39">
        <f>IF(S126&lt;=0,1,0)</f>
        <v/>
      </c>
      <c r="AS126" s="17">
        <f>IF(AH126=1,AG126,"")</f>
        <v/>
      </c>
      <c r="AT126" s="17">
        <f>IF(AND(AH126=0,AJ126=1),AG126,"")</f>
        <v/>
      </c>
      <c r="AU126" s="5">
        <f>IF(P126&lt;10000,"Under $10K",IF(P126&lt;20000,"$10-20K",IF(P126&lt;30000,"$20-30K",IF(P126&lt;50000,"$30-50K",IF(P126&lt;100000,"$50-100K","$100K+")))))</f>
        <v/>
      </c>
      <c r="AV126" s="5">
        <f>IF(O126&lt;=1.35,"1.35 and under",IF(O126&lt;=1.42,"1.36-1.42",IF(O126&lt;=1.45,"1.43-1.45",IF(O126&lt;1.49,"1.46-1.48",IF(O126&lt;=1.49,"1.49","Above 1.49")))))</f>
        <v/>
      </c>
      <c r="AW126" s="5">
        <f>IF(AE126="","",IF(AE126&lt;60,"Under 60",IF(AE126&lt;90,"60-89",IF(AE126&lt;120,"90-119",IF(AE126&lt;150,"120-149","150+")))))</f>
        <v/>
      </c>
      <c r="AX126" s="5">
        <f>IF(AP126="","No revenue data",IF(AP126&lt;0.15,"Under 0.15x",IF(AP126&lt;0.3,"0.15-0.30x",IF(AP126&lt;0.5,"0.30-0.50x",IF(AP126&lt;1,"0.50-1.00x","1.00x+")))))</f>
        <v/>
      </c>
      <c r="AY126" s="5">
        <f>IF(J126="","No SIC",IFERROR(VLOOKUP(J126,Ref!$A$4:$C$67,2,FALSE()),"Unclassified"))</f>
        <v/>
      </c>
      <c r="AZ126" s="5">
        <f>IF(E126="","",TEXT(E126,"YYYY")&amp;"-Q"&amp;ROUNDUP(MONTH(E126)/3,0))</f>
        <v/>
      </c>
      <c r="BA126" s="5">
        <f>IF(E126="","",TEXT(E126,"YYYY-MM"))</f>
        <v/>
      </c>
      <c r="BB126" s="5">
        <f>IF(E126="","",TEXT(E126,"YYYY"))</f>
        <v/>
      </c>
      <c r="BC126" s="92">
        <f>IF($E126="","",NETWORKDAYS($E126,Controls!$B$9,Ref!$F$4:$F$47))</f>
        <v/>
      </c>
      <c r="BD126" s="92">
        <f>IF(OR($AH126=1,$AJ126=1),1,0)</f>
        <v/>
      </c>
      <c r="BE126" s="95">
        <f>IF(OR($BD126=1,AND($AE126&lt;&gt;"",$BC126&gt;=Controls!$B$10*$AE126)),1,0)</f>
        <v/>
      </c>
    </row>
    <row r="127" ht="15.75" customHeight="1" s="79">
      <c r="A127" s="5" t="inlineStr">
        <is>
          <t>5674159288</t>
        </is>
      </c>
      <c r="B127" s="5" t="inlineStr">
        <is>
          <t>Fast Affordable College Student Mover and</t>
        </is>
      </c>
      <c r="C127" s="5" t="inlineStr">
        <is>
          <t>Fast Affordable College Student Mover and</t>
        </is>
      </c>
      <c r="D127" s="5" t="inlineStr">
        <is>
          <t>Written-Off</t>
        </is>
      </c>
      <c r="E127" s="16" t="n">
        <v>45817</v>
      </c>
      <c r="F127" s="16" t="n">
        <v>45835</v>
      </c>
      <c r="G127" s="17" t="n">
        <v>2</v>
      </c>
      <c r="H127" s="5" t="inlineStr">
        <is>
          <t>4212</t>
        </is>
      </c>
      <c r="I127" s="5" t="inlineStr">
        <is>
          <t>Specialized Freight (Except Used Goods) Trucking, Local</t>
        </is>
      </c>
      <c r="J127" s="5" t="inlineStr">
        <is>
          <t>42</t>
        </is>
      </c>
      <c r="K127" s="5" t="n">
        <v>4214</v>
      </c>
      <c r="L127" s="5" t="inlineStr">
        <is>
          <t>LA</t>
        </is>
      </c>
      <c r="M127" s="5" t="inlineStr">
        <is>
          <t>Alternative Solutions Funding</t>
        </is>
      </c>
      <c r="N127" s="5" t="inlineStr">
        <is>
          <t>New Deal</t>
        </is>
      </c>
      <c r="O127" s="19" t="n">
        <v>1.5</v>
      </c>
      <c r="P127" s="20" t="n">
        <v>8000</v>
      </c>
      <c r="Q127" s="20" t="n">
        <v>0</v>
      </c>
      <c r="R127" s="20" t="n">
        <v>12000</v>
      </c>
      <c r="S127" s="20" t="n">
        <v>599.76</v>
      </c>
      <c r="T127" s="20" t="n">
        <v>11400.24</v>
      </c>
      <c r="U127" s="21" t="n">
        <v>0.04998</v>
      </c>
      <c r="V127" s="22" t="n">
        <v>2.623</v>
      </c>
      <c r="W127" s="17" t="n">
        <v>433</v>
      </c>
      <c r="X127" s="17" t="n">
        <v>3</v>
      </c>
      <c r="Y127" s="5" t="n"/>
      <c r="Z127" s="21" t="n">
        <v>0.0624</v>
      </c>
      <c r="AA127" s="16" t="n">
        <v>45817</v>
      </c>
      <c r="AB127" s="5">
        <f>IF(V127="","",IF(V127&lt;12,"Months","Weeks"))</f>
        <v/>
      </c>
      <c r="AC127" s="5">
        <f>IF(AB127="","",IF(AB127="Months","Daily","Weekly"))</f>
        <v/>
      </c>
      <c r="AD127" s="17">
        <f>IF(V127="","",IF(AC127="Daily",V127*Controls!$B$13,V127))</f>
        <v/>
      </c>
      <c r="AE127" s="17">
        <f>IF(V127="","",IF(AC127="Daily",V127*Controls!$B$13,V127*Controls!$B$12))</f>
        <v/>
      </c>
      <c r="AF127" s="17">
        <f>IF(OR(E127="",F127=""),"",F127-E127)</f>
        <v/>
      </c>
      <c r="AG127" s="17">
        <f>IF(OR(E127="",F127=""),"",NETWORKDAYS(E127,F127,Ref!$F$4:$F$47))</f>
        <v/>
      </c>
      <c r="AH127" s="39">
        <f>IF(IFERROR(VLOOKUP(D127,Controls!$A$25:$D$35,2,FALSE()),"No")="Yes",1,0)</f>
        <v/>
      </c>
      <c r="AI127" s="39">
        <f>IF(IFERROR(VLOOKUP(D127,Controls!$A$25:$D$35,3,FALSE()),"No")="Yes",1,0)</f>
        <v/>
      </c>
      <c r="AJ127" s="39">
        <f>IF(IFERROR(VLOOKUP(D127,Controls!$A$25:$D$35,4,FALSE()),"No")="Yes",1,0)</f>
        <v/>
      </c>
      <c r="AK127" s="96">
        <f>IF(AND($E127&gt;=Controls!$B$5,$E127&lt;=Controls!$B$6,OR(Controls!$E$9&lt;&gt;"Y",$BE127=1)),1,0)</f>
        <v/>
      </c>
      <c r="AL127" s="39">
        <f>1</f>
        <v/>
      </c>
      <c r="AM127" s="20">
        <f>S127-P127</f>
        <v/>
      </c>
      <c r="AN127" s="20">
        <f>IF(AH127=1,MAX(0,P127-S127),0)</f>
        <v/>
      </c>
      <c r="AO127" s="21">
        <f>IFERROR(S127/P127,"")</f>
        <v/>
      </c>
      <c r="AP127" s="22">
        <f>IF(Y127="","",P127/Y127)</f>
        <v/>
      </c>
      <c r="AQ127" s="39">
        <f>IF(Y127="",0,1)</f>
        <v/>
      </c>
      <c r="AR127" s="39">
        <f>IF(S127&lt;=0,1,0)</f>
        <v/>
      </c>
      <c r="AS127" s="17">
        <f>IF(AH127=1,AG127,"")</f>
        <v/>
      </c>
      <c r="AT127" s="17">
        <f>IF(AND(AH127=0,AJ127=1),AG127,"")</f>
        <v/>
      </c>
      <c r="AU127" s="5">
        <f>IF(P127&lt;10000,"Under $10K",IF(P127&lt;20000,"$10-20K",IF(P127&lt;30000,"$20-30K",IF(P127&lt;50000,"$30-50K",IF(P127&lt;100000,"$50-100K","$100K+")))))</f>
        <v/>
      </c>
      <c r="AV127" s="5">
        <f>IF(O127&lt;=1.35,"1.35 and under",IF(O127&lt;=1.42,"1.36-1.42",IF(O127&lt;=1.45,"1.43-1.45",IF(O127&lt;1.49,"1.46-1.48",IF(O127&lt;=1.49,"1.49","Above 1.49")))))</f>
        <v/>
      </c>
      <c r="AW127" s="5">
        <f>IF(AE127="","",IF(AE127&lt;60,"Under 60",IF(AE127&lt;90,"60-89",IF(AE127&lt;120,"90-119",IF(AE127&lt;150,"120-149","150+")))))</f>
        <v/>
      </c>
      <c r="AX127" s="5">
        <f>IF(AP127="","No revenue data",IF(AP127&lt;0.15,"Under 0.15x",IF(AP127&lt;0.3,"0.15-0.30x",IF(AP127&lt;0.5,"0.30-0.50x",IF(AP127&lt;1,"0.50-1.00x","1.00x+")))))</f>
        <v/>
      </c>
      <c r="AY127" s="5">
        <f>IF(J127="","No SIC",IFERROR(VLOOKUP(J127,Ref!$A$4:$C$67,2,FALSE()),"Unclassified"))</f>
        <v/>
      </c>
      <c r="AZ127" s="5">
        <f>IF(E127="","",TEXT(E127,"YYYY")&amp;"-Q"&amp;ROUNDUP(MONTH(E127)/3,0))</f>
        <v/>
      </c>
      <c r="BA127" s="5">
        <f>IF(E127="","",TEXT(E127,"YYYY-MM"))</f>
        <v/>
      </c>
      <c r="BB127" s="5">
        <f>IF(E127="","",TEXT(E127,"YYYY"))</f>
        <v/>
      </c>
      <c r="BC127" s="92">
        <f>IF($E127="","",NETWORKDAYS($E127,Controls!$B$9,Ref!$F$4:$F$47))</f>
        <v/>
      </c>
      <c r="BD127" s="92">
        <f>IF(OR($AH127=1,$AJ127=1),1,0)</f>
        <v/>
      </c>
      <c r="BE127" s="95">
        <f>IF(OR($BD127=1,AND($AE127&lt;&gt;"",$BC127&gt;=Controls!$B$10*$AE127)),1,0)</f>
        <v/>
      </c>
    </row>
    <row r="128" ht="15.75" customHeight="1" s="79">
      <c r="A128" s="5" t="inlineStr">
        <is>
          <t>5674159323</t>
        </is>
      </c>
      <c r="B128" s="5" t="inlineStr">
        <is>
          <t>FLOORS AND PAINTING FOR LESS</t>
        </is>
      </c>
      <c r="C128" s="5" t="inlineStr">
        <is>
          <t>FLOORS AND PAINTING FOR LESS, INC.</t>
        </is>
      </c>
      <c r="D128" s="5" t="inlineStr">
        <is>
          <t>Closed</t>
        </is>
      </c>
      <c r="E128" s="16" t="n">
        <v>45817</v>
      </c>
      <c r="F128" s="16" t="n">
        <v>46024</v>
      </c>
      <c r="G128" s="17" t="n">
        <v>1</v>
      </c>
      <c r="H128" s="5" t="inlineStr">
        <is>
          <t>1752</t>
        </is>
      </c>
      <c r="I128" s="5" t="inlineStr">
        <is>
          <t>Flooring Contractors</t>
        </is>
      </c>
      <c r="J128" s="5" t="inlineStr">
        <is>
          <t>17</t>
        </is>
      </c>
      <c r="K128" s="5" t="n">
        <v>5713</v>
      </c>
      <c r="L128" s="5" t="inlineStr">
        <is>
          <t>FL</t>
        </is>
      </c>
      <c r="M128" s="5" t="inlineStr">
        <is>
          <t>EZ ADVANCE LLC</t>
        </is>
      </c>
      <c r="N128" s="5" t="inlineStr">
        <is>
          <t>New Deal</t>
        </is>
      </c>
      <c r="O128" s="19" t="n">
        <v>1.45</v>
      </c>
      <c r="P128" s="20" t="n">
        <v>40000</v>
      </c>
      <c r="Q128" s="20" t="n">
        <v>4800</v>
      </c>
      <c r="R128" s="20" t="n">
        <v>58000</v>
      </c>
      <c r="S128" s="20" t="n">
        <v>58000</v>
      </c>
      <c r="T128" s="20" t="n">
        <v>0</v>
      </c>
      <c r="U128" s="21" t="n">
        <v>1</v>
      </c>
      <c r="V128" s="22" t="n">
        <v>30</v>
      </c>
      <c r="W128" s="17" t="n">
        <v>229</v>
      </c>
      <c r="X128" s="17" t="n">
        <v>0</v>
      </c>
      <c r="Y128" s="5" t="n"/>
      <c r="Z128" s="21" t="n">
        <v>0.073</v>
      </c>
      <c r="AA128" s="16" t="n">
        <v>45817</v>
      </c>
      <c r="AB128" s="5">
        <f>IF(V128="","",IF(V128&lt;12,"Months","Weeks"))</f>
        <v/>
      </c>
      <c r="AC128" s="5">
        <f>IF(AB128="","",IF(AB128="Months","Daily","Weekly"))</f>
        <v/>
      </c>
      <c r="AD128" s="17">
        <f>IF(V128="","",IF(AC128="Daily",V128*Controls!$B$13,V128))</f>
        <v/>
      </c>
      <c r="AE128" s="17">
        <f>IF(V128="","",IF(AC128="Daily",V128*Controls!$B$13,V128*Controls!$B$12))</f>
        <v/>
      </c>
      <c r="AF128" s="17">
        <f>IF(OR(E128="",F128=""),"",F128-E128)</f>
        <v/>
      </c>
      <c r="AG128" s="17">
        <f>IF(OR(E128="",F128=""),"",NETWORKDAYS(E128,F128,Ref!$F$4:$F$47))</f>
        <v/>
      </c>
      <c r="AH128" s="39">
        <f>IF(IFERROR(VLOOKUP(D128,Controls!$A$25:$D$35,2,FALSE()),"No")="Yes",1,0)</f>
        <v/>
      </c>
      <c r="AI128" s="39">
        <f>IF(IFERROR(VLOOKUP(D128,Controls!$A$25:$D$35,3,FALSE()),"No")="Yes",1,0)</f>
        <v/>
      </c>
      <c r="AJ128" s="39">
        <f>IF(IFERROR(VLOOKUP(D128,Controls!$A$25:$D$35,4,FALSE()),"No")="Yes",1,0)</f>
        <v/>
      </c>
      <c r="AK128" s="96">
        <f>IF(AND($E128&gt;=Controls!$B$5,$E128&lt;=Controls!$B$6,OR(Controls!$E$9&lt;&gt;"Y",$BE128=1)),1,0)</f>
        <v/>
      </c>
      <c r="AL128" s="39">
        <f>1</f>
        <v/>
      </c>
      <c r="AM128" s="20">
        <f>S128-P128</f>
        <v/>
      </c>
      <c r="AN128" s="20">
        <f>IF(AH128=1,MAX(0,P128-S128),0)</f>
        <v/>
      </c>
      <c r="AO128" s="21">
        <f>IFERROR(S128/P128,"")</f>
        <v/>
      </c>
      <c r="AP128" s="22">
        <f>IF(Y128="","",P128/Y128)</f>
        <v/>
      </c>
      <c r="AQ128" s="39">
        <f>IF(Y128="",0,1)</f>
        <v/>
      </c>
      <c r="AR128" s="39">
        <f>IF(S128&lt;=0,1,0)</f>
        <v/>
      </c>
      <c r="AS128" s="17">
        <f>IF(AH128=1,AG128,"")</f>
        <v/>
      </c>
      <c r="AT128" s="17">
        <f>IF(AND(AH128=0,AJ128=1),AG128,"")</f>
        <v/>
      </c>
      <c r="AU128" s="5">
        <f>IF(P128&lt;10000,"Under $10K",IF(P128&lt;20000,"$10-20K",IF(P128&lt;30000,"$20-30K",IF(P128&lt;50000,"$30-50K",IF(P128&lt;100000,"$50-100K","$100K+")))))</f>
        <v/>
      </c>
      <c r="AV128" s="5">
        <f>IF(O128&lt;=1.35,"1.35 and under",IF(O128&lt;=1.42,"1.36-1.42",IF(O128&lt;=1.45,"1.43-1.45",IF(O128&lt;1.49,"1.46-1.48",IF(O128&lt;=1.49,"1.49","Above 1.49")))))</f>
        <v/>
      </c>
      <c r="AW128" s="5">
        <f>IF(AE128="","",IF(AE128&lt;60,"Under 60",IF(AE128&lt;90,"60-89",IF(AE128&lt;120,"90-119",IF(AE128&lt;150,"120-149","150+")))))</f>
        <v/>
      </c>
      <c r="AX128" s="5">
        <f>IF(AP128="","No revenue data",IF(AP128&lt;0.15,"Under 0.15x",IF(AP128&lt;0.3,"0.15-0.30x",IF(AP128&lt;0.5,"0.30-0.50x",IF(AP128&lt;1,"0.50-1.00x","1.00x+")))))</f>
        <v/>
      </c>
      <c r="AY128" s="5">
        <f>IF(J128="","No SIC",IFERROR(VLOOKUP(J128,Ref!$A$4:$C$67,2,FALSE()),"Unclassified"))</f>
        <v/>
      </c>
      <c r="AZ128" s="5">
        <f>IF(E128="","",TEXT(E128,"YYYY")&amp;"-Q"&amp;ROUNDUP(MONTH(E128)/3,0))</f>
        <v/>
      </c>
      <c r="BA128" s="5">
        <f>IF(E128="","",TEXT(E128,"YYYY-MM"))</f>
        <v/>
      </c>
      <c r="BB128" s="5">
        <f>IF(E128="","",TEXT(E128,"YYYY"))</f>
        <v/>
      </c>
      <c r="BC128" s="92">
        <f>IF($E128="","",NETWORKDAYS($E128,Controls!$B$9,Ref!$F$4:$F$47))</f>
        <v/>
      </c>
      <c r="BD128" s="92">
        <f>IF(OR($AH128=1,$AJ128=1),1,0)</f>
        <v/>
      </c>
      <c r="BE128" s="95">
        <f>IF(OR($BD128=1,AND($AE128&lt;&gt;"",$BC128&gt;=Controls!$B$10*$AE128)),1,0)</f>
        <v/>
      </c>
    </row>
    <row r="129" ht="15.75" customHeight="1" s="79">
      <c r="A129" s="5" t="inlineStr">
        <is>
          <t>5674159429</t>
        </is>
      </c>
      <c r="B129" s="5" t="inlineStr">
        <is>
          <t>Gago burger LLC</t>
        </is>
      </c>
      <c r="C129" s="5" t="inlineStr">
        <is>
          <t>Gago burger LLC</t>
        </is>
      </c>
      <c r="D129" s="5" t="inlineStr">
        <is>
          <t>Legal</t>
        </is>
      </c>
      <c r="E129" s="16" t="n">
        <v>45818</v>
      </c>
      <c r="F129" s="16" t="n">
        <v>45832</v>
      </c>
      <c r="G129" s="17" t="n">
        <v>1</v>
      </c>
      <c r="H129" s="5" t="inlineStr">
        <is>
          <t>5812</t>
        </is>
      </c>
      <c r="I129" s="5" t="inlineStr">
        <is>
          <t>Snack and Nonalcoholic Beverage Bars</t>
        </is>
      </c>
      <c r="J129" s="5" t="inlineStr">
        <is>
          <t>58</t>
        </is>
      </c>
      <c r="K129" s="5" t="n">
        <v>5812</v>
      </c>
      <c r="L129" s="5" t="inlineStr">
        <is>
          <t>TX</t>
        </is>
      </c>
      <c r="M129" s="5" t="inlineStr">
        <is>
          <t>Pyn Capital</t>
        </is>
      </c>
      <c r="N129" s="5" t="inlineStr">
        <is>
          <t>New Deal</t>
        </is>
      </c>
      <c r="O129" s="19" t="n">
        <v>1.499</v>
      </c>
      <c r="P129" s="20" t="n">
        <v>8000</v>
      </c>
      <c r="Q129" s="20" t="n">
        <v>0</v>
      </c>
      <c r="R129" s="20" t="n">
        <v>11992</v>
      </c>
      <c r="S129" s="20" t="n">
        <v>0</v>
      </c>
      <c r="T129" s="20" t="n">
        <v>11992</v>
      </c>
      <c r="U129" s="21" t="n">
        <v>0</v>
      </c>
      <c r="V129" s="22" t="n">
        <v>1.967</v>
      </c>
      <c r="W129" s="17" t="n">
        <v>435</v>
      </c>
      <c r="X129" s="17" t="n">
        <v>7</v>
      </c>
      <c r="Y129" s="5" t="n"/>
      <c r="Z129" s="21" t="n">
        <v>0.0392</v>
      </c>
      <c r="AA129" s="16" t="n">
        <v>45818</v>
      </c>
      <c r="AB129" s="5">
        <f>IF(V129="","",IF(V129&lt;12,"Months","Weeks"))</f>
        <v/>
      </c>
      <c r="AC129" s="5">
        <f>IF(AB129="","",IF(AB129="Months","Daily","Weekly"))</f>
        <v/>
      </c>
      <c r="AD129" s="17">
        <f>IF(V129="","",IF(AC129="Daily",V129*Controls!$B$13,V129))</f>
        <v/>
      </c>
      <c r="AE129" s="17">
        <f>IF(V129="","",IF(AC129="Daily",V129*Controls!$B$13,V129*Controls!$B$12))</f>
        <v/>
      </c>
      <c r="AF129" s="17">
        <f>IF(OR(E129="",F129=""),"",F129-E129)</f>
        <v/>
      </c>
      <c r="AG129" s="17">
        <f>IF(OR(E129="",F129=""),"",NETWORKDAYS(E129,F129,Ref!$F$4:$F$47))</f>
        <v/>
      </c>
      <c r="AH129" s="39">
        <f>IF(IFERROR(VLOOKUP(D129,Controls!$A$25:$D$35,2,FALSE()),"No")="Yes",1,0)</f>
        <v/>
      </c>
      <c r="AI129" s="39">
        <f>IF(IFERROR(VLOOKUP(D129,Controls!$A$25:$D$35,3,FALSE()),"No")="Yes",1,0)</f>
        <v/>
      </c>
      <c r="AJ129" s="39">
        <f>IF(IFERROR(VLOOKUP(D129,Controls!$A$25:$D$35,4,FALSE()),"No")="Yes",1,0)</f>
        <v/>
      </c>
      <c r="AK129" s="96">
        <f>IF(AND($E129&gt;=Controls!$B$5,$E129&lt;=Controls!$B$6,OR(Controls!$E$9&lt;&gt;"Y",$BE129=1)),1,0)</f>
        <v/>
      </c>
      <c r="AL129" s="39">
        <f>1</f>
        <v/>
      </c>
      <c r="AM129" s="20">
        <f>S129-P129</f>
        <v/>
      </c>
      <c r="AN129" s="20">
        <f>IF(AH129=1,MAX(0,P129-S129),0)</f>
        <v/>
      </c>
      <c r="AO129" s="21">
        <f>IFERROR(S129/P129,"")</f>
        <v/>
      </c>
      <c r="AP129" s="22">
        <f>IF(Y129="","",P129/Y129)</f>
        <v/>
      </c>
      <c r="AQ129" s="39">
        <f>IF(Y129="",0,1)</f>
        <v/>
      </c>
      <c r="AR129" s="39">
        <f>IF(S129&lt;=0,1,0)</f>
        <v/>
      </c>
      <c r="AS129" s="17">
        <f>IF(AH129=1,AG129,"")</f>
        <v/>
      </c>
      <c r="AT129" s="17">
        <f>IF(AND(AH129=0,AJ129=1),AG129,"")</f>
        <v/>
      </c>
      <c r="AU129" s="5">
        <f>IF(P129&lt;10000,"Under $10K",IF(P129&lt;20000,"$10-20K",IF(P129&lt;30000,"$20-30K",IF(P129&lt;50000,"$30-50K",IF(P129&lt;100000,"$50-100K","$100K+")))))</f>
        <v/>
      </c>
      <c r="AV129" s="5">
        <f>IF(O129&lt;=1.35,"1.35 and under",IF(O129&lt;=1.42,"1.36-1.42",IF(O129&lt;=1.45,"1.43-1.45",IF(O129&lt;1.49,"1.46-1.48",IF(O129&lt;=1.49,"1.49","Above 1.49")))))</f>
        <v/>
      </c>
      <c r="AW129" s="5">
        <f>IF(AE129="","",IF(AE129&lt;60,"Under 60",IF(AE129&lt;90,"60-89",IF(AE129&lt;120,"90-119",IF(AE129&lt;150,"120-149","150+")))))</f>
        <v/>
      </c>
      <c r="AX129" s="5">
        <f>IF(AP129="","No revenue data",IF(AP129&lt;0.15,"Under 0.15x",IF(AP129&lt;0.3,"0.15-0.30x",IF(AP129&lt;0.5,"0.30-0.50x",IF(AP129&lt;1,"0.50-1.00x","1.00x+")))))</f>
        <v/>
      </c>
      <c r="AY129" s="5">
        <f>IF(J129="","No SIC",IFERROR(VLOOKUP(J129,Ref!$A$4:$C$67,2,FALSE()),"Unclassified"))</f>
        <v/>
      </c>
      <c r="AZ129" s="5">
        <f>IF(E129="","",TEXT(E129,"YYYY")&amp;"-Q"&amp;ROUNDUP(MONTH(E129)/3,0))</f>
        <v/>
      </c>
      <c r="BA129" s="5">
        <f>IF(E129="","",TEXT(E129,"YYYY-MM"))</f>
        <v/>
      </c>
      <c r="BB129" s="5">
        <f>IF(E129="","",TEXT(E129,"YYYY"))</f>
        <v/>
      </c>
      <c r="BC129" s="92">
        <f>IF($E129="","",NETWORKDAYS($E129,Controls!$B$9,Ref!$F$4:$F$47))</f>
        <v/>
      </c>
      <c r="BD129" s="92">
        <f>IF(OR($AH129=1,$AJ129=1),1,0)</f>
        <v/>
      </c>
      <c r="BE129" s="95">
        <f>IF(OR($BD129=1,AND($AE129&lt;&gt;"",$BC129&gt;=Controls!$B$10*$AE129)),1,0)</f>
        <v/>
      </c>
    </row>
    <row r="130" ht="15.75" customHeight="1" s="79">
      <c r="A130" s="5" t="inlineStr">
        <is>
          <t>5674159655</t>
        </is>
      </c>
      <c r="B130" s="5" t="inlineStr">
        <is>
          <t>International Market LLC.</t>
        </is>
      </c>
      <c r="C130" s="5" t="inlineStr">
        <is>
          <t>International Market LLC.</t>
        </is>
      </c>
      <c r="D130" s="5" t="inlineStr">
        <is>
          <t>Closed</t>
        </is>
      </c>
      <c r="E130" s="16" t="n">
        <v>45820</v>
      </c>
      <c r="F130" s="16" t="n">
        <v>46027</v>
      </c>
      <c r="G130" s="17" t="n">
        <v>2</v>
      </c>
      <c r="H130" s="5" t="inlineStr">
        <is>
          <t>5421</t>
        </is>
      </c>
      <c r="I130" s="5" t="inlineStr">
        <is>
          <t>Meat Markets</t>
        </is>
      </c>
      <c r="J130" s="5" t="inlineStr">
        <is>
          <t>54</t>
        </is>
      </c>
      <c r="K130" s="5" t="n">
        <v>5499</v>
      </c>
      <c r="L130" s="5" t="inlineStr">
        <is>
          <t>OH</t>
        </is>
      </c>
      <c r="M130" s="5" t="inlineStr">
        <is>
          <t>PMF</t>
        </is>
      </c>
      <c r="N130" s="5" t="inlineStr">
        <is>
          <t>New Deal</t>
        </is>
      </c>
      <c r="O130" s="19" t="n">
        <v>1.49</v>
      </c>
      <c r="P130" s="20" t="n">
        <v>13500</v>
      </c>
      <c r="Q130" s="20" t="n">
        <v>1890</v>
      </c>
      <c r="R130" s="20" t="n">
        <v>20115</v>
      </c>
      <c r="S130" s="20" t="n">
        <v>20115</v>
      </c>
      <c r="T130" s="20" t="n">
        <v>0</v>
      </c>
      <c r="U130" s="21" t="n">
        <v>1</v>
      </c>
      <c r="V130" s="22" t="n">
        <v>16</v>
      </c>
      <c r="W130" s="17" t="n">
        <v>226</v>
      </c>
      <c r="X130" s="17" t="n">
        <v>15</v>
      </c>
      <c r="Y130" s="5" t="n"/>
      <c r="Z130" s="21" t="n">
        <v>0.073</v>
      </c>
      <c r="AA130" s="16" t="n">
        <v>44002</v>
      </c>
      <c r="AB130" s="5">
        <f>IF(V130="","",IF(V130&lt;12,"Months","Weeks"))</f>
        <v/>
      </c>
      <c r="AC130" s="5">
        <f>IF(AB130="","",IF(AB130="Months","Daily","Weekly"))</f>
        <v/>
      </c>
      <c r="AD130" s="17">
        <f>IF(V130="","",IF(AC130="Daily",V130*Controls!$B$13,V130))</f>
        <v/>
      </c>
      <c r="AE130" s="17">
        <f>IF(V130="","",IF(AC130="Daily",V130*Controls!$B$13,V130*Controls!$B$12))</f>
        <v/>
      </c>
      <c r="AF130" s="17">
        <f>IF(OR(E130="",F130=""),"",F130-E130)</f>
        <v/>
      </c>
      <c r="AG130" s="17">
        <f>IF(OR(E130="",F130=""),"",NETWORKDAYS(E130,F130,Ref!$F$4:$F$47))</f>
        <v/>
      </c>
      <c r="AH130" s="39">
        <f>IF(IFERROR(VLOOKUP(D130,Controls!$A$25:$D$35,2,FALSE()),"No")="Yes",1,0)</f>
        <v/>
      </c>
      <c r="AI130" s="39">
        <f>IF(IFERROR(VLOOKUP(D130,Controls!$A$25:$D$35,3,FALSE()),"No")="Yes",1,0)</f>
        <v/>
      </c>
      <c r="AJ130" s="39">
        <f>IF(IFERROR(VLOOKUP(D130,Controls!$A$25:$D$35,4,FALSE()),"No")="Yes",1,0)</f>
        <v/>
      </c>
      <c r="AK130" s="96">
        <f>IF(AND($E130&gt;=Controls!$B$5,$E130&lt;=Controls!$B$6,OR(Controls!$E$9&lt;&gt;"Y",$BE130=1)),1,0)</f>
        <v/>
      </c>
      <c r="AL130" s="39">
        <f>1</f>
        <v/>
      </c>
      <c r="AM130" s="20">
        <f>S130-P130</f>
        <v/>
      </c>
      <c r="AN130" s="20">
        <f>IF(AH130=1,MAX(0,P130-S130),0)</f>
        <v/>
      </c>
      <c r="AO130" s="21">
        <f>IFERROR(S130/P130,"")</f>
        <v/>
      </c>
      <c r="AP130" s="22">
        <f>IF(Y130="","",P130/Y130)</f>
        <v/>
      </c>
      <c r="AQ130" s="39">
        <f>IF(Y130="",0,1)</f>
        <v/>
      </c>
      <c r="AR130" s="39">
        <f>IF(S130&lt;=0,1,0)</f>
        <v/>
      </c>
      <c r="AS130" s="17">
        <f>IF(AH130=1,AG130,"")</f>
        <v/>
      </c>
      <c r="AT130" s="17">
        <f>IF(AND(AH130=0,AJ130=1),AG130,"")</f>
        <v/>
      </c>
      <c r="AU130" s="5">
        <f>IF(P130&lt;10000,"Under $10K",IF(P130&lt;20000,"$10-20K",IF(P130&lt;30000,"$20-30K",IF(P130&lt;50000,"$30-50K",IF(P130&lt;100000,"$50-100K","$100K+")))))</f>
        <v/>
      </c>
      <c r="AV130" s="5">
        <f>IF(O130&lt;=1.35,"1.35 and under",IF(O130&lt;=1.42,"1.36-1.42",IF(O130&lt;=1.45,"1.43-1.45",IF(O130&lt;1.49,"1.46-1.48",IF(O130&lt;=1.49,"1.49","Above 1.49")))))</f>
        <v/>
      </c>
      <c r="AW130" s="5">
        <f>IF(AE130="","",IF(AE130&lt;60,"Under 60",IF(AE130&lt;90,"60-89",IF(AE130&lt;120,"90-119",IF(AE130&lt;150,"120-149","150+")))))</f>
        <v/>
      </c>
      <c r="AX130" s="5">
        <f>IF(AP130="","No revenue data",IF(AP130&lt;0.15,"Under 0.15x",IF(AP130&lt;0.3,"0.15-0.30x",IF(AP130&lt;0.5,"0.30-0.50x",IF(AP130&lt;1,"0.50-1.00x","1.00x+")))))</f>
        <v/>
      </c>
      <c r="AY130" s="5">
        <f>IF(J130="","No SIC",IFERROR(VLOOKUP(J130,Ref!$A$4:$C$67,2,FALSE()),"Unclassified"))</f>
        <v/>
      </c>
      <c r="AZ130" s="5">
        <f>IF(E130="","",TEXT(E130,"YYYY")&amp;"-Q"&amp;ROUNDUP(MONTH(E130)/3,0))</f>
        <v/>
      </c>
      <c r="BA130" s="5">
        <f>IF(E130="","",TEXT(E130,"YYYY-MM"))</f>
        <v/>
      </c>
      <c r="BB130" s="5">
        <f>IF(E130="","",TEXT(E130,"YYYY"))</f>
        <v/>
      </c>
      <c r="BC130" s="92">
        <f>IF($E130="","",NETWORKDAYS($E130,Controls!$B$9,Ref!$F$4:$F$47))</f>
        <v/>
      </c>
      <c r="BD130" s="92">
        <f>IF(OR($AH130=1,$AJ130=1),1,0)</f>
        <v/>
      </c>
      <c r="BE130" s="95">
        <f>IF(OR($BD130=1,AND($AE130&lt;&gt;"",$BC130&gt;=Controls!$B$10*$AE130)),1,0)</f>
        <v/>
      </c>
    </row>
    <row r="131" ht="15.75" customHeight="1" s="79">
      <c r="A131" s="5" t="inlineStr">
        <is>
          <t>5674159732</t>
        </is>
      </c>
      <c r="B131" s="5" t="inlineStr">
        <is>
          <t>SPY TRADER LLC</t>
        </is>
      </c>
      <c r="C131" s="5" t="inlineStr">
        <is>
          <t>TRADER LLC</t>
        </is>
      </c>
      <c r="D131" s="5" t="inlineStr">
        <is>
          <t>Legal</t>
        </is>
      </c>
      <c r="E131" s="16" t="n">
        <v>45820</v>
      </c>
      <c r="F131" s="16" t="n">
        <v>45866</v>
      </c>
      <c r="G131" s="17" t="n">
        <v>2</v>
      </c>
      <c r="H131" s="5" t="inlineStr">
        <is>
          <t>8742</t>
        </is>
      </c>
      <c r="I131" s="5" t="inlineStr">
        <is>
          <t>Administrative Management and General Management Consulting Services</t>
        </is>
      </c>
      <c r="J131" s="5" t="inlineStr">
        <is>
          <t>87</t>
        </is>
      </c>
      <c r="K131" s="5" t="n">
        <v>7392</v>
      </c>
      <c r="L131" s="5" t="inlineStr">
        <is>
          <t>FL</t>
        </is>
      </c>
      <c r="M131" s="5" t="inlineStr">
        <is>
          <t>Business Fund USA 4</t>
        </is>
      </c>
      <c r="N131" s="5" t="inlineStr">
        <is>
          <t>New Deal</t>
        </is>
      </c>
      <c r="O131" s="19" t="n">
        <v>1.499</v>
      </c>
      <c r="P131" s="20" t="n">
        <v>12000</v>
      </c>
      <c r="Q131" s="20" t="n">
        <v>1680</v>
      </c>
      <c r="R131" s="20" t="n">
        <v>17988</v>
      </c>
      <c r="S131" s="20" t="n">
        <v>8058.42</v>
      </c>
      <c r="T131" s="20" t="n">
        <v>9929.58</v>
      </c>
      <c r="U131" s="21" t="n">
        <v>0.447988659106071</v>
      </c>
      <c r="V131" s="22" t="n">
        <v>1.967</v>
      </c>
      <c r="W131" s="17" t="n">
        <v>393</v>
      </c>
      <c r="X131" s="17" t="n">
        <v>3</v>
      </c>
      <c r="Y131" s="5" t="n"/>
      <c r="Z131" s="21" t="n">
        <v>0.0372</v>
      </c>
      <c r="AA131" s="16" t="n">
        <v>45820</v>
      </c>
      <c r="AB131" s="5">
        <f>IF(V131="","",IF(V131&lt;12,"Months","Weeks"))</f>
        <v/>
      </c>
      <c r="AC131" s="5">
        <f>IF(AB131="","",IF(AB131="Months","Daily","Weekly"))</f>
        <v/>
      </c>
      <c r="AD131" s="17">
        <f>IF(V131="","",IF(AC131="Daily",V131*Controls!$B$13,V131))</f>
        <v/>
      </c>
      <c r="AE131" s="17">
        <f>IF(V131="","",IF(AC131="Daily",V131*Controls!$B$13,V131*Controls!$B$12))</f>
        <v/>
      </c>
      <c r="AF131" s="17">
        <f>IF(OR(E131="",F131=""),"",F131-E131)</f>
        <v/>
      </c>
      <c r="AG131" s="17">
        <f>IF(OR(E131="",F131=""),"",NETWORKDAYS(E131,F131,Ref!$F$4:$F$47))</f>
        <v/>
      </c>
      <c r="AH131" s="39">
        <f>IF(IFERROR(VLOOKUP(D131,Controls!$A$25:$D$35,2,FALSE()),"No")="Yes",1,0)</f>
        <v/>
      </c>
      <c r="AI131" s="39">
        <f>IF(IFERROR(VLOOKUP(D131,Controls!$A$25:$D$35,3,FALSE()),"No")="Yes",1,0)</f>
        <v/>
      </c>
      <c r="AJ131" s="39">
        <f>IF(IFERROR(VLOOKUP(D131,Controls!$A$25:$D$35,4,FALSE()),"No")="Yes",1,0)</f>
        <v/>
      </c>
      <c r="AK131" s="96">
        <f>IF(AND($E131&gt;=Controls!$B$5,$E131&lt;=Controls!$B$6,OR(Controls!$E$9&lt;&gt;"Y",$BE131=1)),1,0)</f>
        <v/>
      </c>
      <c r="AL131" s="39">
        <f>1</f>
        <v/>
      </c>
      <c r="AM131" s="20">
        <f>S131-P131</f>
        <v/>
      </c>
      <c r="AN131" s="20">
        <f>IF(AH131=1,MAX(0,P131-S131),0)</f>
        <v/>
      </c>
      <c r="AO131" s="21">
        <f>IFERROR(S131/P131,"")</f>
        <v/>
      </c>
      <c r="AP131" s="22">
        <f>IF(Y131="","",P131/Y131)</f>
        <v/>
      </c>
      <c r="AQ131" s="39">
        <f>IF(Y131="",0,1)</f>
        <v/>
      </c>
      <c r="AR131" s="39">
        <f>IF(S131&lt;=0,1,0)</f>
        <v/>
      </c>
      <c r="AS131" s="17">
        <f>IF(AH131=1,AG131,"")</f>
        <v/>
      </c>
      <c r="AT131" s="17">
        <f>IF(AND(AH131=0,AJ131=1),AG131,"")</f>
        <v/>
      </c>
      <c r="AU131" s="5">
        <f>IF(P131&lt;10000,"Under $10K",IF(P131&lt;20000,"$10-20K",IF(P131&lt;30000,"$20-30K",IF(P131&lt;50000,"$30-50K",IF(P131&lt;100000,"$50-100K","$100K+")))))</f>
        <v/>
      </c>
      <c r="AV131" s="5">
        <f>IF(O131&lt;=1.35,"1.35 and under",IF(O131&lt;=1.42,"1.36-1.42",IF(O131&lt;=1.45,"1.43-1.45",IF(O131&lt;1.49,"1.46-1.48",IF(O131&lt;=1.49,"1.49","Above 1.49")))))</f>
        <v/>
      </c>
      <c r="AW131" s="5">
        <f>IF(AE131="","",IF(AE131&lt;60,"Under 60",IF(AE131&lt;90,"60-89",IF(AE131&lt;120,"90-119",IF(AE131&lt;150,"120-149","150+")))))</f>
        <v/>
      </c>
      <c r="AX131" s="5">
        <f>IF(AP131="","No revenue data",IF(AP131&lt;0.15,"Under 0.15x",IF(AP131&lt;0.3,"0.15-0.30x",IF(AP131&lt;0.5,"0.30-0.50x",IF(AP131&lt;1,"0.50-1.00x","1.00x+")))))</f>
        <v/>
      </c>
      <c r="AY131" s="5">
        <f>IF(J131="","No SIC",IFERROR(VLOOKUP(J131,Ref!$A$4:$C$67,2,FALSE()),"Unclassified"))</f>
        <v/>
      </c>
      <c r="AZ131" s="5">
        <f>IF(E131="","",TEXT(E131,"YYYY")&amp;"-Q"&amp;ROUNDUP(MONTH(E131)/3,0))</f>
        <v/>
      </c>
      <c r="BA131" s="5">
        <f>IF(E131="","",TEXT(E131,"YYYY-MM"))</f>
        <v/>
      </c>
      <c r="BB131" s="5">
        <f>IF(E131="","",TEXT(E131,"YYYY"))</f>
        <v/>
      </c>
      <c r="BC131" s="92">
        <f>IF($E131="","",NETWORKDAYS($E131,Controls!$B$9,Ref!$F$4:$F$47))</f>
        <v/>
      </c>
      <c r="BD131" s="92">
        <f>IF(OR($AH131=1,$AJ131=1),1,0)</f>
        <v/>
      </c>
      <c r="BE131" s="95">
        <f>IF(OR($BD131=1,AND($AE131&lt;&gt;"",$BC131&gt;=Controls!$B$10*$AE131)),1,0)</f>
        <v/>
      </c>
    </row>
    <row r="132" ht="15.75" customHeight="1" s="79">
      <c r="A132" s="5" t="inlineStr">
        <is>
          <t>5674159929</t>
        </is>
      </c>
      <c r="B132" s="5" t="inlineStr">
        <is>
          <t>LTV EVENTS LLC</t>
        </is>
      </c>
      <c r="C132" s="5" t="inlineStr">
        <is>
          <t>LTV EVENTS LLC</t>
        </is>
      </c>
      <c r="D132" s="5" t="inlineStr">
        <is>
          <t>Legal</t>
        </is>
      </c>
      <c r="E132" s="16" t="n">
        <v>45825</v>
      </c>
      <c r="F132" s="16" t="n">
        <v>46175</v>
      </c>
      <c r="G132" s="17" t="n">
        <v>4</v>
      </c>
      <c r="H132" s="5" t="inlineStr">
        <is>
          <t>7999</t>
        </is>
      </c>
      <c r="I132" s="5" t="inlineStr">
        <is>
          <t>All Other Amusement and Recreation Industries</t>
        </is>
      </c>
      <c r="J132" s="5" t="inlineStr">
        <is>
          <t>79</t>
        </is>
      </c>
      <c r="K132" s="5" t="n">
        <v>7999</v>
      </c>
      <c r="L132" s="5" t="inlineStr">
        <is>
          <t>IL</t>
        </is>
      </c>
      <c r="M132" s="5" t="inlineStr">
        <is>
          <t>Redline Capital</t>
        </is>
      </c>
      <c r="N132" s="5" t="inlineStr">
        <is>
          <t>Renewal</t>
        </is>
      </c>
      <c r="O132" s="19" t="n">
        <v>1.49</v>
      </c>
      <c r="P132" s="20" t="n">
        <v>17000</v>
      </c>
      <c r="Q132" s="20" t="n">
        <v>2380</v>
      </c>
      <c r="R132" s="20" t="n">
        <v>25330</v>
      </c>
      <c r="S132" s="20" t="n">
        <v>6567.02</v>
      </c>
      <c r="T132" s="20" t="n">
        <v>18762.98</v>
      </c>
      <c r="U132" s="21" t="n">
        <v>0.259258586656139</v>
      </c>
      <c r="V132" s="22" t="n">
        <v>3.279</v>
      </c>
      <c r="W132" s="17" t="n">
        <v>365</v>
      </c>
      <c r="X132" s="17" t="n">
        <v>20</v>
      </c>
      <c r="Y132" s="5" t="n"/>
      <c r="Z132" s="21" t="n">
        <v>0.187</v>
      </c>
      <c r="AA132" s="16" t="n">
        <v>45825</v>
      </c>
      <c r="AB132" s="5">
        <f>IF(V132="","",IF(V132&lt;12,"Months","Weeks"))</f>
        <v/>
      </c>
      <c r="AC132" s="5">
        <f>IF(AB132="","",IF(AB132="Months","Daily","Weekly"))</f>
        <v/>
      </c>
      <c r="AD132" s="17">
        <f>IF(V132="","",IF(AC132="Daily",V132*Controls!$B$13,V132))</f>
        <v/>
      </c>
      <c r="AE132" s="17">
        <f>IF(V132="","",IF(AC132="Daily",V132*Controls!$B$13,V132*Controls!$B$12))</f>
        <v/>
      </c>
      <c r="AF132" s="17">
        <f>IF(OR(E132="",F132=""),"",F132-E132)</f>
        <v/>
      </c>
      <c r="AG132" s="17">
        <f>IF(OR(E132="",F132=""),"",NETWORKDAYS(E132,F132,Ref!$F$4:$F$47))</f>
        <v/>
      </c>
      <c r="AH132" s="39">
        <f>IF(IFERROR(VLOOKUP(D132,Controls!$A$25:$D$35,2,FALSE()),"No")="Yes",1,0)</f>
        <v/>
      </c>
      <c r="AI132" s="39">
        <f>IF(IFERROR(VLOOKUP(D132,Controls!$A$25:$D$35,3,FALSE()),"No")="Yes",1,0)</f>
        <v/>
      </c>
      <c r="AJ132" s="39">
        <f>IF(IFERROR(VLOOKUP(D132,Controls!$A$25:$D$35,4,FALSE()),"No")="Yes",1,0)</f>
        <v/>
      </c>
      <c r="AK132" s="96">
        <f>IF(AND($E132&gt;=Controls!$B$5,$E132&lt;=Controls!$B$6,OR(Controls!$E$9&lt;&gt;"Y",$BE132=1)),1,0)</f>
        <v/>
      </c>
      <c r="AL132" s="39">
        <f>1</f>
        <v/>
      </c>
      <c r="AM132" s="20">
        <f>S132-P132</f>
        <v/>
      </c>
      <c r="AN132" s="20">
        <f>IF(AH132=1,MAX(0,P132-S132),0)</f>
        <v/>
      </c>
      <c r="AO132" s="21">
        <f>IFERROR(S132/P132,"")</f>
        <v/>
      </c>
      <c r="AP132" s="22">
        <f>IF(Y132="","",P132/Y132)</f>
        <v/>
      </c>
      <c r="AQ132" s="39">
        <f>IF(Y132="",0,1)</f>
        <v/>
      </c>
      <c r="AR132" s="39">
        <f>IF(S132&lt;=0,1,0)</f>
        <v/>
      </c>
      <c r="AS132" s="17">
        <f>IF(AH132=1,AG132,"")</f>
        <v/>
      </c>
      <c r="AT132" s="17">
        <f>IF(AND(AH132=0,AJ132=1),AG132,"")</f>
        <v/>
      </c>
      <c r="AU132" s="5">
        <f>IF(P132&lt;10000,"Under $10K",IF(P132&lt;20000,"$10-20K",IF(P132&lt;30000,"$20-30K",IF(P132&lt;50000,"$30-50K",IF(P132&lt;100000,"$50-100K","$100K+")))))</f>
        <v/>
      </c>
      <c r="AV132" s="5">
        <f>IF(O132&lt;=1.35,"1.35 and under",IF(O132&lt;=1.42,"1.36-1.42",IF(O132&lt;=1.45,"1.43-1.45",IF(O132&lt;1.49,"1.46-1.48",IF(O132&lt;=1.49,"1.49","Above 1.49")))))</f>
        <v/>
      </c>
      <c r="AW132" s="5">
        <f>IF(AE132="","",IF(AE132&lt;60,"Under 60",IF(AE132&lt;90,"60-89",IF(AE132&lt;120,"90-119",IF(AE132&lt;150,"120-149","150+")))))</f>
        <v/>
      </c>
      <c r="AX132" s="5">
        <f>IF(AP132="","No revenue data",IF(AP132&lt;0.15,"Under 0.15x",IF(AP132&lt;0.3,"0.15-0.30x",IF(AP132&lt;0.5,"0.30-0.50x",IF(AP132&lt;1,"0.50-1.00x","1.00x+")))))</f>
        <v/>
      </c>
      <c r="AY132" s="5">
        <f>IF(J132="","No SIC",IFERROR(VLOOKUP(J132,Ref!$A$4:$C$67,2,FALSE()),"Unclassified"))</f>
        <v/>
      </c>
      <c r="AZ132" s="5">
        <f>IF(E132="","",TEXT(E132,"YYYY")&amp;"-Q"&amp;ROUNDUP(MONTH(E132)/3,0))</f>
        <v/>
      </c>
      <c r="BA132" s="5">
        <f>IF(E132="","",TEXT(E132,"YYYY-MM"))</f>
        <v/>
      </c>
      <c r="BB132" s="5">
        <f>IF(E132="","",TEXT(E132,"YYYY"))</f>
        <v/>
      </c>
      <c r="BC132" s="92">
        <f>IF($E132="","",NETWORKDAYS($E132,Controls!$B$9,Ref!$F$4:$F$47))</f>
        <v/>
      </c>
      <c r="BD132" s="92">
        <f>IF(OR($AH132=1,$AJ132=1),1,0)</f>
        <v/>
      </c>
      <c r="BE132" s="95">
        <f>IF(OR($BD132=1,AND($AE132&lt;&gt;"",$BC132&gt;=Controls!$B$10*$AE132)),1,0)</f>
        <v/>
      </c>
    </row>
    <row r="133" ht="15.75" customHeight="1" s="79">
      <c r="A133" s="5" t="inlineStr">
        <is>
          <t>5674160073</t>
        </is>
      </c>
      <c r="B133" s="5" t="inlineStr">
        <is>
          <t>Top Armour Contracting</t>
        </is>
      </c>
      <c r="C133" s="5" t="inlineStr">
        <is>
          <t>Top Armour Contracting</t>
        </is>
      </c>
      <c r="D133" s="5" t="inlineStr">
        <is>
          <t>Legal</t>
        </is>
      </c>
      <c r="E133" s="16" t="n">
        <v>45826</v>
      </c>
      <c r="F133" s="16" t="n">
        <v>45841</v>
      </c>
      <c r="G133" s="17" t="n">
        <v>1</v>
      </c>
      <c r="H133" s="5" t="inlineStr">
        <is>
          <t>4212</t>
        </is>
      </c>
      <c r="I133" s="5" t="inlineStr">
        <is>
          <t>Specialized Freight (Except Used Goods) Trucking, Local</t>
        </is>
      </c>
      <c r="J133" s="5" t="inlineStr">
        <is>
          <t>42</t>
        </is>
      </c>
      <c r="K133" s="5" t="n">
        <v>4214</v>
      </c>
      <c r="L133" s="5" t="inlineStr">
        <is>
          <t>NC</t>
        </is>
      </c>
      <c r="M133" s="5" t="inlineStr">
        <is>
          <t>PMF</t>
        </is>
      </c>
      <c r="N133" s="5" t="inlineStr">
        <is>
          <t>New Deal</t>
        </is>
      </c>
      <c r="O133" s="19" t="n">
        <v>1.499</v>
      </c>
      <c r="P133" s="20" t="n">
        <v>10000</v>
      </c>
      <c r="Q133" s="20" t="n">
        <v>1400</v>
      </c>
      <c r="R133" s="20" t="n">
        <v>14990</v>
      </c>
      <c r="S133" s="20" t="n">
        <v>1499.18</v>
      </c>
      <c r="T133" s="20" t="n">
        <v>13490.82</v>
      </c>
      <c r="U133" s="21" t="n">
        <v>0.100012008005337</v>
      </c>
      <c r="V133" s="22" t="n">
        <v>20</v>
      </c>
      <c r="W133" s="17" t="n">
        <v>419</v>
      </c>
      <c r="X133" s="17" t="n">
        <v>1</v>
      </c>
      <c r="Y133" s="5" t="n"/>
      <c r="Z133" s="21" t="n">
        <v>0.07049999999999999</v>
      </c>
      <c r="AA133" s="16" t="n">
        <v>43391</v>
      </c>
      <c r="AB133" s="5">
        <f>IF(V133="","",IF(V133&lt;12,"Months","Weeks"))</f>
        <v/>
      </c>
      <c r="AC133" s="5">
        <f>IF(AB133="","",IF(AB133="Months","Daily","Weekly"))</f>
        <v/>
      </c>
      <c r="AD133" s="17">
        <f>IF(V133="","",IF(AC133="Daily",V133*Controls!$B$13,V133))</f>
        <v/>
      </c>
      <c r="AE133" s="17">
        <f>IF(V133="","",IF(AC133="Daily",V133*Controls!$B$13,V133*Controls!$B$12))</f>
        <v/>
      </c>
      <c r="AF133" s="17">
        <f>IF(OR(E133="",F133=""),"",F133-E133)</f>
        <v/>
      </c>
      <c r="AG133" s="17">
        <f>IF(OR(E133="",F133=""),"",NETWORKDAYS(E133,F133,Ref!$F$4:$F$47))</f>
        <v/>
      </c>
      <c r="AH133" s="39">
        <f>IF(IFERROR(VLOOKUP(D133,Controls!$A$25:$D$35,2,FALSE()),"No")="Yes",1,0)</f>
        <v/>
      </c>
      <c r="AI133" s="39">
        <f>IF(IFERROR(VLOOKUP(D133,Controls!$A$25:$D$35,3,FALSE()),"No")="Yes",1,0)</f>
        <v/>
      </c>
      <c r="AJ133" s="39">
        <f>IF(IFERROR(VLOOKUP(D133,Controls!$A$25:$D$35,4,FALSE()),"No")="Yes",1,0)</f>
        <v/>
      </c>
      <c r="AK133" s="96">
        <f>IF(AND($E133&gt;=Controls!$B$5,$E133&lt;=Controls!$B$6,OR(Controls!$E$9&lt;&gt;"Y",$BE133=1)),1,0)</f>
        <v/>
      </c>
      <c r="AL133" s="39">
        <f>1</f>
        <v/>
      </c>
      <c r="AM133" s="20">
        <f>S133-P133</f>
        <v/>
      </c>
      <c r="AN133" s="20">
        <f>IF(AH133=1,MAX(0,P133-S133),0)</f>
        <v/>
      </c>
      <c r="AO133" s="21">
        <f>IFERROR(S133/P133,"")</f>
        <v/>
      </c>
      <c r="AP133" s="22">
        <f>IF(Y133="","",P133/Y133)</f>
        <v/>
      </c>
      <c r="AQ133" s="39">
        <f>IF(Y133="",0,1)</f>
        <v/>
      </c>
      <c r="AR133" s="39">
        <f>IF(S133&lt;=0,1,0)</f>
        <v/>
      </c>
      <c r="AS133" s="17">
        <f>IF(AH133=1,AG133,"")</f>
        <v/>
      </c>
      <c r="AT133" s="17">
        <f>IF(AND(AH133=0,AJ133=1),AG133,"")</f>
        <v/>
      </c>
      <c r="AU133" s="5">
        <f>IF(P133&lt;10000,"Under $10K",IF(P133&lt;20000,"$10-20K",IF(P133&lt;30000,"$20-30K",IF(P133&lt;50000,"$30-50K",IF(P133&lt;100000,"$50-100K","$100K+")))))</f>
        <v/>
      </c>
      <c r="AV133" s="5">
        <f>IF(O133&lt;=1.35,"1.35 and under",IF(O133&lt;=1.42,"1.36-1.42",IF(O133&lt;=1.45,"1.43-1.45",IF(O133&lt;1.49,"1.46-1.48",IF(O133&lt;=1.49,"1.49","Above 1.49")))))</f>
        <v/>
      </c>
      <c r="AW133" s="5">
        <f>IF(AE133="","",IF(AE133&lt;60,"Under 60",IF(AE133&lt;90,"60-89",IF(AE133&lt;120,"90-119",IF(AE133&lt;150,"120-149","150+")))))</f>
        <v/>
      </c>
      <c r="AX133" s="5">
        <f>IF(AP133="","No revenue data",IF(AP133&lt;0.15,"Under 0.15x",IF(AP133&lt;0.3,"0.15-0.30x",IF(AP133&lt;0.5,"0.30-0.50x",IF(AP133&lt;1,"0.50-1.00x","1.00x+")))))</f>
        <v/>
      </c>
      <c r="AY133" s="5">
        <f>IF(J133="","No SIC",IFERROR(VLOOKUP(J133,Ref!$A$4:$C$67,2,FALSE()),"Unclassified"))</f>
        <v/>
      </c>
      <c r="AZ133" s="5">
        <f>IF(E133="","",TEXT(E133,"YYYY")&amp;"-Q"&amp;ROUNDUP(MONTH(E133)/3,0))</f>
        <v/>
      </c>
      <c r="BA133" s="5">
        <f>IF(E133="","",TEXT(E133,"YYYY-MM"))</f>
        <v/>
      </c>
      <c r="BB133" s="5">
        <f>IF(E133="","",TEXT(E133,"YYYY"))</f>
        <v/>
      </c>
      <c r="BC133" s="92">
        <f>IF($E133="","",NETWORKDAYS($E133,Controls!$B$9,Ref!$F$4:$F$47))</f>
        <v/>
      </c>
      <c r="BD133" s="92">
        <f>IF(OR($AH133=1,$AJ133=1),1,0)</f>
        <v/>
      </c>
      <c r="BE133" s="95">
        <f>IF(OR($BD133=1,AND($AE133&lt;&gt;"",$BC133&gt;=Controls!$B$10*$AE133)),1,0)</f>
        <v/>
      </c>
    </row>
    <row r="134" ht="15.75" customHeight="1" s="79">
      <c r="A134" s="5" t="inlineStr">
        <is>
          <t>5674160322</t>
        </is>
      </c>
      <c r="B134" s="5" t="inlineStr">
        <is>
          <t>TRPLUMBING LLC</t>
        </is>
      </c>
      <c r="C134" s="5" t="inlineStr">
        <is>
          <t>TRPLUMBING LLC</t>
        </is>
      </c>
      <c r="D134" s="5" t="inlineStr">
        <is>
          <t>Legal</t>
        </is>
      </c>
      <c r="E134" s="16" t="n">
        <v>45831</v>
      </c>
      <c r="F134" s="16" t="n">
        <v>45881</v>
      </c>
      <c r="G134" s="17" t="n">
        <v>3</v>
      </c>
      <c r="H134" s="5" t="inlineStr">
        <is>
          <t>1711</t>
        </is>
      </c>
      <c r="I134" s="5" t="inlineStr">
        <is>
          <t>Plumbing, Heating, and Air Conditioning Contractors</t>
        </is>
      </c>
      <c r="J134" s="5" t="inlineStr">
        <is>
          <t>17</t>
        </is>
      </c>
      <c r="K134" s="5" t="n">
        <v>1711</v>
      </c>
      <c r="L134" s="5" t="inlineStr">
        <is>
          <t>VA</t>
        </is>
      </c>
      <c r="M134" s="5" t="inlineStr">
        <is>
          <t>United Secured Capital 8</t>
        </is>
      </c>
      <c r="N134" s="5" t="inlineStr">
        <is>
          <t>New Deal</t>
        </is>
      </c>
      <c r="O134" s="19" t="n">
        <v>1.49</v>
      </c>
      <c r="P134" s="20" t="n">
        <v>12000</v>
      </c>
      <c r="Q134" s="20" t="n">
        <v>1680</v>
      </c>
      <c r="R134" s="20" t="n">
        <v>17880</v>
      </c>
      <c r="S134" s="20" t="n">
        <v>7869.51</v>
      </c>
      <c r="T134" s="20" t="n">
        <v>10010.49</v>
      </c>
      <c r="U134" s="21" t="n">
        <v>0.440129194630873</v>
      </c>
      <c r="V134" s="22" t="n">
        <v>2.459</v>
      </c>
      <c r="W134" s="17" t="n">
        <v>377</v>
      </c>
      <c r="X134" s="17" t="n">
        <v>3</v>
      </c>
      <c r="Y134" s="5" t="n"/>
      <c r="Z134" s="21" t="n">
        <v>0.1072</v>
      </c>
      <c r="AA134" s="16" t="n">
        <v>45831</v>
      </c>
      <c r="AB134" s="5">
        <f>IF(V134="","",IF(V134&lt;12,"Months","Weeks"))</f>
        <v/>
      </c>
      <c r="AC134" s="5">
        <f>IF(AB134="","",IF(AB134="Months","Daily","Weekly"))</f>
        <v/>
      </c>
      <c r="AD134" s="17">
        <f>IF(V134="","",IF(AC134="Daily",V134*Controls!$B$13,V134))</f>
        <v/>
      </c>
      <c r="AE134" s="17">
        <f>IF(V134="","",IF(AC134="Daily",V134*Controls!$B$13,V134*Controls!$B$12))</f>
        <v/>
      </c>
      <c r="AF134" s="17">
        <f>IF(OR(E134="",F134=""),"",F134-E134)</f>
        <v/>
      </c>
      <c r="AG134" s="17">
        <f>IF(OR(E134="",F134=""),"",NETWORKDAYS(E134,F134,Ref!$F$4:$F$47))</f>
        <v/>
      </c>
      <c r="AH134" s="39">
        <f>IF(IFERROR(VLOOKUP(D134,Controls!$A$25:$D$35,2,FALSE()),"No")="Yes",1,0)</f>
        <v/>
      </c>
      <c r="AI134" s="39">
        <f>IF(IFERROR(VLOOKUP(D134,Controls!$A$25:$D$35,3,FALSE()),"No")="Yes",1,0)</f>
        <v/>
      </c>
      <c r="AJ134" s="39">
        <f>IF(IFERROR(VLOOKUP(D134,Controls!$A$25:$D$35,4,FALSE()),"No")="Yes",1,0)</f>
        <v/>
      </c>
      <c r="AK134" s="96">
        <f>IF(AND($E134&gt;=Controls!$B$5,$E134&lt;=Controls!$B$6,OR(Controls!$E$9&lt;&gt;"Y",$BE134=1)),1,0)</f>
        <v/>
      </c>
      <c r="AL134" s="39">
        <f>1</f>
        <v/>
      </c>
      <c r="AM134" s="20">
        <f>S134-P134</f>
        <v/>
      </c>
      <c r="AN134" s="20">
        <f>IF(AH134=1,MAX(0,P134-S134),0)</f>
        <v/>
      </c>
      <c r="AO134" s="21">
        <f>IFERROR(S134/P134,"")</f>
        <v/>
      </c>
      <c r="AP134" s="22">
        <f>IF(Y134="","",P134/Y134)</f>
        <v/>
      </c>
      <c r="AQ134" s="39">
        <f>IF(Y134="",0,1)</f>
        <v/>
      </c>
      <c r="AR134" s="39">
        <f>IF(S134&lt;=0,1,0)</f>
        <v/>
      </c>
      <c r="AS134" s="17">
        <f>IF(AH134=1,AG134,"")</f>
        <v/>
      </c>
      <c r="AT134" s="17">
        <f>IF(AND(AH134=0,AJ134=1),AG134,"")</f>
        <v/>
      </c>
      <c r="AU134" s="5">
        <f>IF(P134&lt;10000,"Under $10K",IF(P134&lt;20000,"$10-20K",IF(P134&lt;30000,"$20-30K",IF(P134&lt;50000,"$30-50K",IF(P134&lt;100000,"$50-100K","$100K+")))))</f>
        <v/>
      </c>
      <c r="AV134" s="5">
        <f>IF(O134&lt;=1.35,"1.35 and under",IF(O134&lt;=1.42,"1.36-1.42",IF(O134&lt;=1.45,"1.43-1.45",IF(O134&lt;1.49,"1.46-1.48",IF(O134&lt;=1.49,"1.49","Above 1.49")))))</f>
        <v/>
      </c>
      <c r="AW134" s="5">
        <f>IF(AE134="","",IF(AE134&lt;60,"Under 60",IF(AE134&lt;90,"60-89",IF(AE134&lt;120,"90-119",IF(AE134&lt;150,"120-149","150+")))))</f>
        <v/>
      </c>
      <c r="AX134" s="5">
        <f>IF(AP134="","No revenue data",IF(AP134&lt;0.15,"Under 0.15x",IF(AP134&lt;0.3,"0.15-0.30x",IF(AP134&lt;0.5,"0.30-0.50x",IF(AP134&lt;1,"0.50-1.00x","1.00x+")))))</f>
        <v/>
      </c>
      <c r="AY134" s="5">
        <f>IF(J134="","No SIC",IFERROR(VLOOKUP(J134,Ref!$A$4:$C$67,2,FALSE()),"Unclassified"))</f>
        <v/>
      </c>
      <c r="AZ134" s="5">
        <f>IF(E134="","",TEXT(E134,"YYYY")&amp;"-Q"&amp;ROUNDUP(MONTH(E134)/3,0))</f>
        <v/>
      </c>
      <c r="BA134" s="5">
        <f>IF(E134="","",TEXT(E134,"YYYY-MM"))</f>
        <v/>
      </c>
      <c r="BB134" s="5">
        <f>IF(E134="","",TEXT(E134,"YYYY"))</f>
        <v/>
      </c>
      <c r="BC134" s="92">
        <f>IF($E134="","",NETWORKDAYS($E134,Controls!$B$9,Ref!$F$4:$F$47))</f>
        <v/>
      </c>
      <c r="BD134" s="92">
        <f>IF(OR($AH134=1,$AJ134=1),1,0)</f>
        <v/>
      </c>
      <c r="BE134" s="95">
        <f>IF(OR($BD134=1,AND($AE134&lt;&gt;"",$BC134&gt;=Controls!$B$10*$AE134)),1,0)</f>
        <v/>
      </c>
    </row>
    <row r="135" ht="15.75" customHeight="1" s="79">
      <c r="A135" s="5" t="inlineStr">
        <is>
          <t>5674160473</t>
        </is>
      </c>
      <c r="B135" s="5" t="inlineStr">
        <is>
          <t>Forum Reliability Inc</t>
        </is>
      </c>
      <c r="C135" s="5" t="inlineStr">
        <is>
          <t>Forum Reliability Inc</t>
        </is>
      </c>
      <c r="D135" s="5" t="inlineStr">
        <is>
          <t>Closed</t>
        </is>
      </c>
      <c r="E135" s="16" t="n">
        <v>45833</v>
      </c>
      <c r="F135" s="16" t="n">
        <v>45974</v>
      </c>
      <c r="G135" s="17" t="n">
        <v>1</v>
      </c>
      <c r="H135" s="5" t="inlineStr">
        <is>
          <t>5047</t>
        </is>
      </c>
      <c r="I135" s="5" t="inlineStr">
        <is>
          <t>Medical, Dental, and Hospital Equipment and Supplies Merchant Wholesalers</t>
        </is>
      </c>
      <c r="J135" s="5" t="inlineStr">
        <is>
          <t>50</t>
        </is>
      </c>
      <c r="K135" s="5" t="n">
        <v>5047</v>
      </c>
      <c r="L135" s="5" t="inlineStr">
        <is>
          <t>TX</t>
        </is>
      </c>
      <c r="M135" s="5" t="inlineStr">
        <is>
          <t>The Funding Channel</t>
        </is>
      </c>
      <c r="N135" s="5" t="inlineStr">
        <is>
          <t>New Deal</t>
        </is>
      </c>
      <c r="O135" s="19" t="n">
        <v>1.49</v>
      </c>
      <c r="P135" s="20" t="n">
        <v>20000</v>
      </c>
      <c r="Q135" s="20" t="n">
        <v>2800</v>
      </c>
      <c r="R135" s="20" t="n">
        <v>29800</v>
      </c>
      <c r="S135" s="20" t="n">
        <v>29800</v>
      </c>
      <c r="T135" s="20" t="n">
        <v>0</v>
      </c>
      <c r="U135" s="21" t="n">
        <v>1</v>
      </c>
      <c r="V135" s="22" t="n">
        <v>20</v>
      </c>
      <c r="W135" s="17" t="n">
        <v>279</v>
      </c>
      <c r="X135" s="17" t="n">
        <v>1</v>
      </c>
      <c r="Y135" s="5" t="n"/>
      <c r="Z135" s="21" t="n">
        <v>0.0641</v>
      </c>
      <c r="AA135" s="16" t="n">
        <v>44587</v>
      </c>
      <c r="AB135" s="5">
        <f>IF(V135="","",IF(V135&lt;12,"Months","Weeks"))</f>
        <v/>
      </c>
      <c r="AC135" s="5">
        <f>IF(AB135="","",IF(AB135="Months","Daily","Weekly"))</f>
        <v/>
      </c>
      <c r="AD135" s="17">
        <f>IF(V135="","",IF(AC135="Daily",V135*Controls!$B$13,V135))</f>
        <v/>
      </c>
      <c r="AE135" s="17">
        <f>IF(V135="","",IF(AC135="Daily",V135*Controls!$B$13,V135*Controls!$B$12))</f>
        <v/>
      </c>
      <c r="AF135" s="17">
        <f>IF(OR(E135="",F135=""),"",F135-E135)</f>
        <v/>
      </c>
      <c r="AG135" s="17">
        <f>IF(OR(E135="",F135=""),"",NETWORKDAYS(E135,F135,Ref!$F$4:$F$47))</f>
        <v/>
      </c>
      <c r="AH135" s="39">
        <f>IF(IFERROR(VLOOKUP(D135,Controls!$A$25:$D$35,2,FALSE()),"No")="Yes",1,0)</f>
        <v/>
      </c>
      <c r="AI135" s="39">
        <f>IF(IFERROR(VLOOKUP(D135,Controls!$A$25:$D$35,3,FALSE()),"No")="Yes",1,0)</f>
        <v/>
      </c>
      <c r="AJ135" s="39">
        <f>IF(IFERROR(VLOOKUP(D135,Controls!$A$25:$D$35,4,FALSE()),"No")="Yes",1,0)</f>
        <v/>
      </c>
      <c r="AK135" s="96">
        <f>IF(AND($E135&gt;=Controls!$B$5,$E135&lt;=Controls!$B$6,OR(Controls!$E$9&lt;&gt;"Y",$BE135=1)),1,0)</f>
        <v/>
      </c>
      <c r="AL135" s="39">
        <f>1</f>
        <v/>
      </c>
      <c r="AM135" s="20">
        <f>S135-P135</f>
        <v/>
      </c>
      <c r="AN135" s="20">
        <f>IF(AH135=1,MAX(0,P135-S135),0)</f>
        <v/>
      </c>
      <c r="AO135" s="21">
        <f>IFERROR(S135/P135,"")</f>
        <v/>
      </c>
      <c r="AP135" s="22">
        <f>IF(Y135="","",P135/Y135)</f>
        <v/>
      </c>
      <c r="AQ135" s="39">
        <f>IF(Y135="",0,1)</f>
        <v/>
      </c>
      <c r="AR135" s="39">
        <f>IF(S135&lt;=0,1,0)</f>
        <v/>
      </c>
      <c r="AS135" s="17">
        <f>IF(AH135=1,AG135,"")</f>
        <v/>
      </c>
      <c r="AT135" s="17">
        <f>IF(AND(AH135=0,AJ135=1),AG135,"")</f>
        <v/>
      </c>
      <c r="AU135" s="5">
        <f>IF(P135&lt;10000,"Under $10K",IF(P135&lt;20000,"$10-20K",IF(P135&lt;30000,"$20-30K",IF(P135&lt;50000,"$30-50K",IF(P135&lt;100000,"$50-100K","$100K+")))))</f>
        <v/>
      </c>
      <c r="AV135" s="5">
        <f>IF(O135&lt;=1.35,"1.35 and under",IF(O135&lt;=1.42,"1.36-1.42",IF(O135&lt;=1.45,"1.43-1.45",IF(O135&lt;1.49,"1.46-1.48",IF(O135&lt;=1.49,"1.49","Above 1.49")))))</f>
        <v/>
      </c>
      <c r="AW135" s="5">
        <f>IF(AE135="","",IF(AE135&lt;60,"Under 60",IF(AE135&lt;90,"60-89",IF(AE135&lt;120,"90-119",IF(AE135&lt;150,"120-149","150+")))))</f>
        <v/>
      </c>
      <c r="AX135" s="5">
        <f>IF(AP135="","No revenue data",IF(AP135&lt;0.15,"Under 0.15x",IF(AP135&lt;0.3,"0.15-0.30x",IF(AP135&lt;0.5,"0.30-0.50x",IF(AP135&lt;1,"0.50-1.00x","1.00x+")))))</f>
        <v/>
      </c>
      <c r="AY135" s="5">
        <f>IF(J135="","No SIC",IFERROR(VLOOKUP(J135,Ref!$A$4:$C$67,2,FALSE()),"Unclassified"))</f>
        <v/>
      </c>
      <c r="AZ135" s="5">
        <f>IF(E135="","",TEXT(E135,"YYYY")&amp;"-Q"&amp;ROUNDUP(MONTH(E135)/3,0))</f>
        <v/>
      </c>
      <c r="BA135" s="5">
        <f>IF(E135="","",TEXT(E135,"YYYY-MM"))</f>
        <v/>
      </c>
      <c r="BB135" s="5">
        <f>IF(E135="","",TEXT(E135,"YYYY"))</f>
        <v/>
      </c>
      <c r="BC135" s="92">
        <f>IF($E135="","",NETWORKDAYS($E135,Controls!$B$9,Ref!$F$4:$F$47))</f>
        <v/>
      </c>
      <c r="BD135" s="92">
        <f>IF(OR($AH135=1,$AJ135=1),1,0)</f>
        <v/>
      </c>
      <c r="BE135" s="95">
        <f>IF(OR($BD135=1,AND($AE135&lt;&gt;"",$BC135&gt;=Controls!$B$10*$AE135)),1,0)</f>
        <v/>
      </c>
    </row>
    <row r="136" ht="15.75" customHeight="1" s="79">
      <c r="A136" s="5" t="inlineStr">
        <is>
          <t>5674160655</t>
        </is>
      </c>
      <c r="B136" s="5" t="inlineStr">
        <is>
          <t>AD Car Detail LLC</t>
        </is>
      </c>
      <c r="C136" s="5" t="inlineStr">
        <is>
          <t>AD Car Detail LLC</t>
        </is>
      </c>
      <c r="D136" s="5" t="inlineStr">
        <is>
          <t>Closed</t>
        </is>
      </c>
      <c r="E136" s="16" t="n">
        <v>45835</v>
      </c>
      <c r="F136" s="16" t="n">
        <v>45918</v>
      </c>
      <c r="G136" s="17" t="n">
        <v>2</v>
      </c>
      <c r="H136" s="5" t="inlineStr">
        <is>
          <t>5012</t>
        </is>
      </c>
      <c r="I136" s="5" t="inlineStr">
        <is>
          <t>Automobile and Other Motor Vehicle Merchant Wholesalers</t>
        </is>
      </c>
      <c r="J136" s="5" t="inlineStr">
        <is>
          <t>50</t>
        </is>
      </c>
      <c r="K136" s="5" t="n">
        <v>5013</v>
      </c>
      <c r="L136" s="5" t="inlineStr">
        <is>
          <t>MN</t>
        </is>
      </c>
      <c r="M136" s="5" t="inlineStr">
        <is>
          <t>ROK</t>
        </is>
      </c>
      <c r="N136" s="5" t="inlineStr">
        <is>
          <t>New Deal</t>
        </is>
      </c>
      <c r="O136" s="19" t="n">
        <v>1.499</v>
      </c>
      <c r="P136" s="20" t="n">
        <v>10000</v>
      </c>
      <c r="Q136" s="20" t="n">
        <v>1400</v>
      </c>
      <c r="R136" s="20" t="n">
        <v>14990</v>
      </c>
      <c r="S136" s="20" t="n">
        <v>14990</v>
      </c>
      <c r="T136" s="20" t="n">
        <v>1.81898940354586e-12</v>
      </c>
      <c r="U136" s="21" t="n">
        <v>1</v>
      </c>
      <c r="V136" s="22" t="n">
        <v>2.951</v>
      </c>
      <c r="W136" s="17" t="n">
        <v>335</v>
      </c>
      <c r="X136" s="17" t="n">
        <v>0</v>
      </c>
      <c r="Y136" s="20" t="n">
        <v>27678.72</v>
      </c>
      <c r="Z136" s="21" t="n">
        <v>0.1264</v>
      </c>
      <c r="AA136" s="16" t="n">
        <v>45020</v>
      </c>
      <c r="AB136" s="5">
        <f>IF(V136="","",IF(V136&lt;12,"Months","Weeks"))</f>
        <v/>
      </c>
      <c r="AC136" s="5">
        <f>IF(AB136="","",IF(AB136="Months","Daily","Weekly"))</f>
        <v/>
      </c>
      <c r="AD136" s="17">
        <f>IF(V136="","",IF(AC136="Daily",V136*Controls!$B$13,V136))</f>
        <v/>
      </c>
      <c r="AE136" s="17">
        <f>IF(V136="","",IF(AC136="Daily",V136*Controls!$B$13,V136*Controls!$B$12))</f>
        <v/>
      </c>
      <c r="AF136" s="17">
        <f>IF(OR(E136="",F136=""),"",F136-E136)</f>
        <v/>
      </c>
      <c r="AG136" s="17">
        <f>IF(OR(E136="",F136=""),"",NETWORKDAYS(E136,F136,Ref!$F$4:$F$47))</f>
        <v/>
      </c>
      <c r="AH136" s="39">
        <f>IF(IFERROR(VLOOKUP(D136,Controls!$A$25:$D$35,2,FALSE()),"No")="Yes",1,0)</f>
        <v/>
      </c>
      <c r="AI136" s="39">
        <f>IF(IFERROR(VLOOKUP(D136,Controls!$A$25:$D$35,3,FALSE()),"No")="Yes",1,0)</f>
        <v/>
      </c>
      <c r="AJ136" s="39">
        <f>IF(IFERROR(VLOOKUP(D136,Controls!$A$25:$D$35,4,FALSE()),"No")="Yes",1,0)</f>
        <v/>
      </c>
      <c r="AK136" s="96">
        <f>IF(AND($E136&gt;=Controls!$B$5,$E136&lt;=Controls!$B$6,OR(Controls!$E$9&lt;&gt;"Y",$BE136=1)),1,0)</f>
        <v/>
      </c>
      <c r="AL136" s="39">
        <f>1</f>
        <v/>
      </c>
      <c r="AM136" s="20">
        <f>S136-P136</f>
        <v/>
      </c>
      <c r="AN136" s="20">
        <f>IF(AH136=1,MAX(0,P136-S136),0)</f>
        <v/>
      </c>
      <c r="AO136" s="21">
        <f>IFERROR(S136/P136,"")</f>
        <v/>
      </c>
      <c r="AP136" s="22">
        <f>IF(Y136="","",P136/Y136)</f>
        <v/>
      </c>
      <c r="AQ136" s="39">
        <f>IF(Y136="",0,1)</f>
        <v/>
      </c>
      <c r="AR136" s="39">
        <f>IF(S136&lt;=0,1,0)</f>
        <v/>
      </c>
      <c r="AS136" s="17">
        <f>IF(AH136=1,AG136,"")</f>
        <v/>
      </c>
      <c r="AT136" s="17">
        <f>IF(AND(AH136=0,AJ136=1),AG136,"")</f>
        <v/>
      </c>
      <c r="AU136" s="5">
        <f>IF(P136&lt;10000,"Under $10K",IF(P136&lt;20000,"$10-20K",IF(P136&lt;30000,"$20-30K",IF(P136&lt;50000,"$30-50K",IF(P136&lt;100000,"$50-100K","$100K+")))))</f>
        <v/>
      </c>
      <c r="AV136" s="5">
        <f>IF(O136&lt;=1.35,"1.35 and under",IF(O136&lt;=1.42,"1.36-1.42",IF(O136&lt;=1.45,"1.43-1.45",IF(O136&lt;1.49,"1.46-1.48",IF(O136&lt;=1.49,"1.49","Above 1.49")))))</f>
        <v/>
      </c>
      <c r="AW136" s="5">
        <f>IF(AE136="","",IF(AE136&lt;60,"Under 60",IF(AE136&lt;90,"60-89",IF(AE136&lt;120,"90-119",IF(AE136&lt;150,"120-149","150+")))))</f>
        <v/>
      </c>
      <c r="AX136" s="5">
        <f>IF(AP136="","No revenue data",IF(AP136&lt;0.15,"Under 0.15x",IF(AP136&lt;0.3,"0.15-0.30x",IF(AP136&lt;0.5,"0.30-0.50x",IF(AP136&lt;1,"0.50-1.00x","1.00x+")))))</f>
        <v/>
      </c>
      <c r="AY136" s="5">
        <f>IF(J136="","No SIC",IFERROR(VLOOKUP(J136,Ref!$A$4:$C$67,2,FALSE()),"Unclassified"))</f>
        <v/>
      </c>
      <c r="AZ136" s="5">
        <f>IF(E136="","",TEXT(E136,"YYYY")&amp;"-Q"&amp;ROUNDUP(MONTH(E136)/3,0))</f>
        <v/>
      </c>
      <c r="BA136" s="5">
        <f>IF(E136="","",TEXT(E136,"YYYY-MM"))</f>
        <v/>
      </c>
      <c r="BB136" s="5">
        <f>IF(E136="","",TEXT(E136,"YYYY"))</f>
        <v/>
      </c>
      <c r="BC136" s="92">
        <f>IF($E136="","",NETWORKDAYS($E136,Controls!$B$9,Ref!$F$4:$F$47))</f>
        <v/>
      </c>
      <c r="BD136" s="92">
        <f>IF(OR($AH136=1,$AJ136=1),1,0)</f>
        <v/>
      </c>
      <c r="BE136" s="95">
        <f>IF(OR($BD136=1,AND($AE136&lt;&gt;"",$BC136&gt;=Controls!$B$10*$AE136)),1,0)</f>
        <v/>
      </c>
    </row>
    <row r="137" ht="15.75" customHeight="1" s="79">
      <c r="A137" s="5" t="inlineStr">
        <is>
          <t>5674160718</t>
        </is>
      </c>
      <c r="B137" s="5" t="inlineStr">
        <is>
          <t>Ampliphi Wellness P.M.A. 508c1a</t>
        </is>
      </c>
      <c r="C137" s="5" t="inlineStr">
        <is>
          <t>Ampliphi Wellness P.M.A. 508c1a</t>
        </is>
      </c>
      <c r="D137" s="5" t="inlineStr">
        <is>
          <t>Closed</t>
        </is>
      </c>
      <c r="E137" s="16" t="n">
        <v>45835</v>
      </c>
      <c r="F137" s="16" t="n">
        <v>45929</v>
      </c>
      <c r="G137" s="17" t="n">
        <v>2</v>
      </c>
      <c r="H137" s="5" t="inlineStr">
        <is>
          <t>8049</t>
        </is>
      </c>
      <c r="I137" s="5" t="inlineStr">
        <is>
          <t>Offices of All Other Misc. Health Practitioners</t>
        </is>
      </c>
      <c r="J137" s="5" t="inlineStr">
        <is>
          <t>80</t>
        </is>
      </c>
      <c r="K137" s="5" t="n">
        <v>8049</v>
      </c>
      <c r="L137" s="5" t="inlineStr">
        <is>
          <t>ID</t>
        </is>
      </c>
      <c r="M137" s="5" t="inlineStr">
        <is>
          <t>Secure Capital Solutions 7</t>
        </is>
      </c>
      <c r="N137" s="5" t="inlineStr">
        <is>
          <t>New Deal</t>
        </is>
      </c>
      <c r="O137" s="19" t="n">
        <v>1.4767425</v>
      </c>
      <c r="P137" s="20" t="n">
        <v>20000</v>
      </c>
      <c r="Q137" s="20" t="n">
        <v>2800</v>
      </c>
      <c r="R137" s="20" t="n">
        <v>29534.85</v>
      </c>
      <c r="S137" s="20" t="n">
        <v>29534.85</v>
      </c>
      <c r="T137" s="20" t="n">
        <v>3.63797880709171e-12</v>
      </c>
      <c r="U137" s="21" t="n">
        <v>1</v>
      </c>
      <c r="V137" s="22" t="n">
        <v>2.623</v>
      </c>
      <c r="W137" s="17" t="n">
        <v>324</v>
      </c>
      <c r="X137" s="17" t="n">
        <v>2</v>
      </c>
      <c r="Y137" s="5" t="n"/>
      <c r="Z137" s="21" t="n">
        <v>0.0451</v>
      </c>
      <c r="AA137" s="16" t="n">
        <v>45292</v>
      </c>
      <c r="AB137" s="5">
        <f>IF(V137="","",IF(V137&lt;12,"Months","Weeks"))</f>
        <v/>
      </c>
      <c r="AC137" s="5">
        <f>IF(AB137="","",IF(AB137="Months","Daily","Weekly"))</f>
        <v/>
      </c>
      <c r="AD137" s="17">
        <f>IF(V137="","",IF(AC137="Daily",V137*Controls!$B$13,V137))</f>
        <v/>
      </c>
      <c r="AE137" s="17">
        <f>IF(V137="","",IF(AC137="Daily",V137*Controls!$B$13,V137*Controls!$B$12))</f>
        <v/>
      </c>
      <c r="AF137" s="17">
        <f>IF(OR(E137="",F137=""),"",F137-E137)</f>
        <v/>
      </c>
      <c r="AG137" s="17">
        <f>IF(OR(E137="",F137=""),"",NETWORKDAYS(E137,F137,Ref!$F$4:$F$47))</f>
        <v/>
      </c>
      <c r="AH137" s="39">
        <f>IF(IFERROR(VLOOKUP(D137,Controls!$A$25:$D$35,2,FALSE()),"No")="Yes",1,0)</f>
        <v/>
      </c>
      <c r="AI137" s="39">
        <f>IF(IFERROR(VLOOKUP(D137,Controls!$A$25:$D$35,3,FALSE()),"No")="Yes",1,0)</f>
        <v/>
      </c>
      <c r="AJ137" s="39">
        <f>IF(IFERROR(VLOOKUP(D137,Controls!$A$25:$D$35,4,FALSE()),"No")="Yes",1,0)</f>
        <v/>
      </c>
      <c r="AK137" s="96">
        <f>IF(AND($E137&gt;=Controls!$B$5,$E137&lt;=Controls!$B$6,OR(Controls!$E$9&lt;&gt;"Y",$BE137=1)),1,0)</f>
        <v/>
      </c>
      <c r="AL137" s="39">
        <f>1</f>
        <v/>
      </c>
      <c r="AM137" s="20">
        <f>S137-P137</f>
        <v/>
      </c>
      <c r="AN137" s="20">
        <f>IF(AH137=1,MAX(0,P137-S137),0)</f>
        <v/>
      </c>
      <c r="AO137" s="21">
        <f>IFERROR(S137/P137,"")</f>
        <v/>
      </c>
      <c r="AP137" s="22">
        <f>IF(Y137="","",P137/Y137)</f>
        <v/>
      </c>
      <c r="AQ137" s="39">
        <f>IF(Y137="",0,1)</f>
        <v/>
      </c>
      <c r="AR137" s="39">
        <f>IF(S137&lt;=0,1,0)</f>
        <v/>
      </c>
      <c r="AS137" s="17">
        <f>IF(AH137=1,AG137,"")</f>
        <v/>
      </c>
      <c r="AT137" s="17">
        <f>IF(AND(AH137=0,AJ137=1),AG137,"")</f>
        <v/>
      </c>
      <c r="AU137" s="5">
        <f>IF(P137&lt;10000,"Under $10K",IF(P137&lt;20000,"$10-20K",IF(P137&lt;30000,"$20-30K",IF(P137&lt;50000,"$30-50K",IF(P137&lt;100000,"$50-100K","$100K+")))))</f>
        <v/>
      </c>
      <c r="AV137" s="5">
        <f>IF(O137&lt;=1.35,"1.35 and under",IF(O137&lt;=1.42,"1.36-1.42",IF(O137&lt;=1.45,"1.43-1.45",IF(O137&lt;1.49,"1.46-1.48",IF(O137&lt;=1.49,"1.49","Above 1.49")))))</f>
        <v/>
      </c>
      <c r="AW137" s="5">
        <f>IF(AE137="","",IF(AE137&lt;60,"Under 60",IF(AE137&lt;90,"60-89",IF(AE137&lt;120,"90-119",IF(AE137&lt;150,"120-149","150+")))))</f>
        <v/>
      </c>
      <c r="AX137" s="5">
        <f>IF(AP137="","No revenue data",IF(AP137&lt;0.15,"Under 0.15x",IF(AP137&lt;0.3,"0.15-0.30x",IF(AP137&lt;0.5,"0.30-0.50x",IF(AP137&lt;1,"0.50-1.00x","1.00x+")))))</f>
        <v/>
      </c>
      <c r="AY137" s="5">
        <f>IF(J137="","No SIC",IFERROR(VLOOKUP(J137,Ref!$A$4:$C$67,2,FALSE()),"Unclassified"))</f>
        <v/>
      </c>
      <c r="AZ137" s="5">
        <f>IF(E137="","",TEXT(E137,"YYYY")&amp;"-Q"&amp;ROUNDUP(MONTH(E137)/3,0))</f>
        <v/>
      </c>
      <c r="BA137" s="5">
        <f>IF(E137="","",TEXT(E137,"YYYY-MM"))</f>
        <v/>
      </c>
      <c r="BB137" s="5">
        <f>IF(E137="","",TEXT(E137,"YYYY"))</f>
        <v/>
      </c>
      <c r="BC137" s="92">
        <f>IF($E137="","",NETWORKDAYS($E137,Controls!$B$9,Ref!$F$4:$F$47))</f>
        <v/>
      </c>
      <c r="BD137" s="92">
        <f>IF(OR($AH137=1,$AJ137=1),1,0)</f>
        <v/>
      </c>
      <c r="BE137" s="95">
        <f>IF(OR($BD137=1,AND($AE137&lt;&gt;"",$BC137&gt;=Controls!$B$10*$AE137)),1,0)</f>
        <v/>
      </c>
    </row>
    <row r="138" ht="15.75" customHeight="1" s="79">
      <c r="A138" s="5" t="inlineStr">
        <is>
          <t>5674160797</t>
        </is>
      </c>
      <c r="B138" s="5" t="inlineStr">
        <is>
          <t>MACS CUSTOM INSTALLS</t>
        </is>
      </c>
      <c r="C138" s="5" t="inlineStr">
        <is>
          <t>MACS CUSTOM INSTALLS</t>
        </is>
      </c>
      <c r="D138" s="5" t="inlineStr">
        <is>
          <t>At-Risk</t>
        </is>
      </c>
      <c r="E138" s="16" t="n">
        <v>45838</v>
      </c>
      <c r="F138" s="16" t="n">
        <v>46157</v>
      </c>
      <c r="G138" s="17" t="n">
        <v>2</v>
      </c>
      <c r="H138" s="5" t="inlineStr">
        <is>
          <t>1521</t>
        </is>
      </c>
      <c r="I138" s="5" t="inlineStr">
        <is>
          <t>New Single-Family Housing Construction (Except For-Sale Builders)</t>
        </is>
      </c>
      <c r="J138" s="5" t="inlineStr">
        <is>
          <t>15</t>
        </is>
      </c>
      <c r="K138" s="5" t="n">
        <v>1520</v>
      </c>
      <c r="L138" s="5" t="inlineStr">
        <is>
          <t>SC</t>
        </is>
      </c>
      <c r="M138" s="5" t="inlineStr">
        <is>
          <t>Shield Funding</t>
        </is>
      </c>
      <c r="N138" s="5" t="inlineStr">
        <is>
          <t>New Deal</t>
        </is>
      </c>
      <c r="O138" s="19" t="n">
        <v>1.49</v>
      </c>
      <c r="P138" s="20" t="n">
        <v>10000</v>
      </c>
      <c r="Q138" s="20" t="n">
        <v>1400</v>
      </c>
      <c r="R138" s="20" t="n">
        <v>14900</v>
      </c>
      <c r="S138" s="20" t="n">
        <v>8473.92</v>
      </c>
      <c r="T138" s="20" t="n">
        <v>6426.08</v>
      </c>
      <c r="U138" s="21" t="n">
        <v>0.568719463087248</v>
      </c>
      <c r="V138" s="22" t="n">
        <v>2.623</v>
      </c>
      <c r="W138" s="17" t="n">
        <v>321</v>
      </c>
      <c r="X138" s="17" t="n">
        <v>12</v>
      </c>
      <c r="Y138" s="20" t="n">
        <v>36113.12</v>
      </c>
      <c r="Z138" s="21" t="n">
        <v>0.1083</v>
      </c>
      <c r="AA138" s="16" t="n">
        <v>43767</v>
      </c>
      <c r="AB138" s="5">
        <f>IF(V138="","",IF(V138&lt;12,"Months","Weeks"))</f>
        <v/>
      </c>
      <c r="AC138" s="5">
        <f>IF(AB138="","",IF(AB138="Months","Daily","Weekly"))</f>
        <v/>
      </c>
      <c r="AD138" s="17">
        <f>IF(V138="","",IF(AC138="Daily",V138*Controls!$B$13,V138))</f>
        <v/>
      </c>
      <c r="AE138" s="17">
        <f>IF(V138="","",IF(AC138="Daily",V138*Controls!$B$13,V138*Controls!$B$12))</f>
        <v/>
      </c>
      <c r="AF138" s="17">
        <f>IF(OR(E138="",F138=""),"",F138-E138)</f>
        <v/>
      </c>
      <c r="AG138" s="17">
        <f>IF(OR(E138="",F138=""),"",NETWORKDAYS(E138,F138,Ref!$F$4:$F$47))</f>
        <v/>
      </c>
      <c r="AH138" s="39">
        <f>IF(IFERROR(VLOOKUP(D138,Controls!$A$25:$D$35,2,FALSE()),"No")="Yes",1,0)</f>
        <v/>
      </c>
      <c r="AI138" s="39">
        <f>IF(IFERROR(VLOOKUP(D138,Controls!$A$25:$D$35,3,FALSE()),"No")="Yes",1,0)</f>
        <v/>
      </c>
      <c r="AJ138" s="39">
        <f>IF(IFERROR(VLOOKUP(D138,Controls!$A$25:$D$35,4,FALSE()),"No")="Yes",1,0)</f>
        <v/>
      </c>
      <c r="AK138" s="96">
        <f>IF(AND($E138&gt;=Controls!$B$5,$E138&lt;=Controls!$B$6,OR(Controls!$E$9&lt;&gt;"Y",$BE138=1)),1,0)</f>
        <v/>
      </c>
      <c r="AL138" s="39">
        <f>1</f>
        <v/>
      </c>
      <c r="AM138" s="20">
        <f>S138-P138</f>
        <v/>
      </c>
      <c r="AN138" s="20">
        <f>IF(AH138=1,MAX(0,P138-S138),0)</f>
        <v/>
      </c>
      <c r="AO138" s="21">
        <f>IFERROR(S138/P138,"")</f>
        <v/>
      </c>
      <c r="AP138" s="22">
        <f>IF(Y138="","",P138/Y138)</f>
        <v/>
      </c>
      <c r="AQ138" s="39">
        <f>IF(Y138="",0,1)</f>
        <v/>
      </c>
      <c r="AR138" s="39">
        <f>IF(S138&lt;=0,1,0)</f>
        <v/>
      </c>
      <c r="AS138" s="17">
        <f>IF(AH138=1,AG138,"")</f>
        <v/>
      </c>
      <c r="AT138" s="17">
        <f>IF(AND(AH138=0,AJ138=1),AG138,"")</f>
        <v/>
      </c>
      <c r="AU138" s="5">
        <f>IF(P138&lt;10000,"Under $10K",IF(P138&lt;20000,"$10-20K",IF(P138&lt;30000,"$20-30K",IF(P138&lt;50000,"$30-50K",IF(P138&lt;100000,"$50-100K","$100K+")))))</f>
        <v/>
      </c>
      <c r="AV138" s="5">
        <f>IF(O138&lt;=1.35,"1.35 and under",IF(O138&lt;=1.42,"1.36-1.42",IF(O138&lt;=1.45,"1.43-1.45",IF(O138&lt;1.49,"1.46-1.48",IF(O138&lt;=1.49,"1.49","Above 1.49")))))</f>
        <v/>
      </c>
      <c r="AW138" s="5">
        <f>IF(AE138="","",IF(AE138&lt;60,"Under 60",IF(AE138&lt;90,"60-89",IF(AE138&lt;120,"90-119",IF(AE138&lt;150,"120-149","150+")))))</f>
        <v/>
      </c>
      <c r="AX138" s="5">
        <f>IF(AP138="","No revenue data",IF(AP138&lt;0.15,"Under 0.15x",IF(AP138&lt;0.3,"0.15-0.30x",IF(AP138&lt;0.5,"0.30-0.50x",IF(AP138&lt;1,"0.50-1.00x","1.00x+")))))</f>
        <v/>
      </c>
      <c r="AY138" s="5">
        <f>IF(J138="","No SIC",IFERROR(VLOOKUP(J138,Ref!$A$4:$C$67,2,FALSE()),"Unclassified"))</f>
        <v/>
      </c>
      <c r="AZ138" s="5">
        <f>IF(E138="","",TEXT(E138,"YYYY")&amp;"-Q"&amp;ROUNDUP(MONTH(E138)/3,0))</f>
        <v/>
      </c>
      <c r="BA138" s="5">
        <f>IF(E138="","",TEXT(E138,"YYYY-MM"))</f>
        <v/>
      </c>
      <c r="BB138" s="5">
        <f>IF(E138="","",TEXT(E138,"YYYY"))</f>
        <v/>
      </c>
      <c r="BC138" s="92">
        <f>IF($E138="","",NETWORKDAYS($E138,Controls!$B$9,Ref!$F$4:$F$47))</f>
        <v/>
      </c>
      <c r="BD138" s="92">
        <f>IF(OR($AH138=1,$AJ138=1),1,0)</f>
        <v/>
      </c>
      <c r="BE138" s="95">
        <f>IF(OR($BD138=1,AND($AE138&lt;&gt;"",$BC138&gt;=Controls!$B$10*$AE138)),1,0)</f>
        <v/>
      </c>
    </row>
    <row r="139" ht="15.75" customHeight="1" s="79">
      <c r="A139" s="5" t="inlineStr">
        <is>
          <t>5674160807</t>
        </is>
      </c>
      <c r="B139" s="5" t="inlineStr">
        <is>
          <t>Hard Knocks Concrete LLC</t>
        </is>
      </c>
      <c r="C139" s="5" t="inlineStr">
        <is>
          <t>Hard Knocks Concrete LLC</t>
        </is>
      </c>
      <c r="D139" s="5" t="inlineStr">
        <is>
          <t>Legal</t>
        </is>
      </c>
      <c r="E139" s="16" t="n">
        <v>45838</v>
      </c>
      <c r="F139" s="16" t="n">
        <v>45884</v>
      </c>
      <c r="G139" s="17" t="n">
        <v>3</v>
      </c>
      <c r="H139" s="5" t="inlineStr">
        <is>
          <t>1771</t>
        </is>
      </c>
      <c r="I139" s="5" t="inlineStr">
        <is>
          <t>Poured Concrete Foundation and Structure Contractors</t>
        </is>
      </c>
      <c r="J139" s="5" t="inlineStr">
        <is>
          <t>17</t>
        </is>
      </c>
      <c r="K139" s="5" t="n">
        <v>1771</v>
      </c>
      <c r="L139" s="5" t="inlineStr">
        <is>
          <t>MO</t>
        </is>
      </c>
      <c r="M139" s="5" t="inlineStr">
        <is>
          <t>Fundible</t>
        </is>
      </c>
      <c r="N139" s="5" t="inlineStr">
        <is>
          <t>New Deal</t>
        </is>
      </c>
      <c r="O139" s="19" t="n">
        <v>1.499</v>
      </c>
      <c r="P139" s="20" t="n">
        <v>25000</v>
      </c>
      <c r="Q139" s="20" t="n">
        <v>3500</v>
      </c>
      <c r="R139" s="20" t="n">
        <v>37475</v>
      </c>
      <c r="S139" s="20" t="n">
        <v>2552.07</v>
      </c>
      <c r="T139" s="20" t="n">
        <v>34922.93</v>
      </c>
      <c r="U139" s="21" t="n">
        <v>0.0681006004002668</v>
      </c>
      <c r="V139" s="22" t="n">
        <v>24</v>
      </c>
      <c r="W139" s="17" t="n">
        <v>390</v>
      </c>
      <c r="X139" s="17" t="n">
        <v>3</v>
      </c>
      <c r="Y139" s="20" t="n">
        <v>104896.9</v>
      </c>
      <c r="Z139" s="21" t="n">
        <v>0.0592</v>
      </c>
      <c r="AA139" s="16" t="n">
        <v>44461</v>
      </c>
      <c r="AB139" s="5">
        <f>IF(V139="","",IF(V139&lt;12,"Months","Weeks"))</f>
        <v/>
      </c>
      <c r="AC139" s="5">
        <f>IF(AB139="","",IF(AB139="Months","Daily","Weekly"))</f>
        <v/>
      </c>
      <c r="AD139" s="17">
        <f>IF(V139="","",IF(AC139="Daily",V139*Controls!$B$13,V139))</f>
        <v/>
      </c>
      <c r="AE139" s="17">
        <f>IF(V139="","",IF(AC139="Daily",V139*Controls!$B$13,V139*Controls!$B$12))</f>
        <v/>
      </c>
      <c r="AF139" s="17">
        <f>IF(OR(E139="",F139=""),"",F139-E139)</f>
        <v/>
      </c>
      <c r="AG139" s="17">
        <f>IF(OR(E139="",F139=""),"",NETWORKDAYS(E139,F139,Ref!$F$4:$F$47))</f>
        <v/>
      </c>
      <c r="AH139" s="39">
        <f>IF(IFERROR(VLOOKUP(D139,Controls!$A$25:$D$35,2,FALSE()),"No")="Yes",1,0)</f>
        <v/>
      </c>
      <c r="AI139" s="39">
        <f>IF(IFERROR(VLOOKUP(D139,Controls!$A$25:$D$35,3,FALSE()),"No")="Yes",1,0)</f>
        <v/>
      </c>
      <c r="AJ139" s="39">
        <f>IF(IFERROR(VLOOKUP(D139,Controls!$A$25:$D$35,4,FALSE()),"No")="Yes",1,0)</f>
        <v/>
      </c>
      <c r="AK139" s="96">
        <f>IF(AND($E139&gt;=Controls!$B$5,$E139&lt;=Controls!$B$6,OR(Controls!$E$9&lt;&gt;"Y",$BE139=1)),1,0)</f>
        <v/>
      </c>
      <c r="AL139" s="39">
        <f>1</f>
        <v/>
      </c>
      <c r="AM139" s="20">
        <f>S139-P139</f>
        <v/>
      </c>
      <c r="AN139" s="20">
        <f>IF(AH139=1,MAX(0,P139-S139),0)</f>
        <v/>
      </c>
      <c r="AO139" s="21">
        <f>IFERROR(S139/P139,"")</f>
        <v/>
      </c>
      <c r="AP139" s="22">
        <f>IF(Y139="","",P139/Y139)</f>
        <v/>
      </c>
      <c r="AQ139" s="39">
        <f>IF(Y139="",0,1)</f>
        <v/>
      </c>
      <c r="AR139" s="39">
        <f>IF(S139&lt;=0,1,0)</f>
        <v/>
      </c>
      <c r="AS139" s="17">
        <f>IF(AH139=1,AG139,"")</f>
        <v/>
      </c>
      <c r="AT139" s="17">
        <f>IF(AND(AH139=0,AJ139=1),AG139,"")</f>
        <v/>
      </c>
      <c r="AU139" s="5">
        <f>IF(P139&lt;10000,"Under $10K",IF(P139&lt;20000,"$10-20K",IF(P139&lt;30000,"$20-30K",IF(P139&lt;50000,"$30-50K",IF(P139&lt;100000,"$50-100K","$100K+")))))</f>
        <v/>
      </c>
      <c r="AV139" s="5">
        <f>IF(O139&lt;=1.35,"1.35 and under",IF(O139&lt;=1.42,"1.36-1.42",IF(O139&lt;=1.45,"1.43-1.45",IF(O139&lt;1.49,"1.46-1.48",IF(O139&lt;=1.49,"1.49","Above 1.49")))))</f>
        <v/>
      </c>
      <c r="AW139" s="5">
        <f>IF(AE139="","",IF(AE139&lt;60,"Under 60",IF(AE139&lt;90,"60-89",IF(AE139&lt;120,"90-119",IF(AE139&lt;150,"120-149","150+")))))</f>
        <v/>
      </c>
      <c r="AX139" s="5">
        <f>IF(AP139="","No revenue data",IF(AP139&lt;0.15,"Under 0.15x",IF(AP139&lt;0.3,"0.15-0.30x",IF(AP139&lt;0.5,"0.30-0.50x",IF(AP139&lt;1,"0.50-1.00x","1.00x+")))))</f>
        <v/>
      </c>
      <c r="AY139" s="5">
        <f>IF(J139="","No SIC",IFERROR(VLOOKUP(J139,Ref!$A$4:$C$67,2,FALSE()),"Unclassified"))</f>
        <v/>
      </c>
      <c r="AZ139" s="5">
        <f>IF(E139="","",TEXT(E139,"YYYY")&amp;"-Q"&amp;ROUNDUP(MONTH(E139)/3,0))</f>
        <v/>
      </c>
      <c r="BA139" s="5">
        <f>IF(E139="","",TEXT(E139,"YYYY-MM"))</f>
        <v/>
      </c>
      <c r="BB139" s="5">
        <f>IF(E139="","",TEXT(E139,"YYYY"))</f>
        <v/>
      </c>
      <c r="BC139" s="92">
        <f>IF($E139="","",NETWORKDAYS($E139,Controls!$B$9,Ref!$F$4:$F$47))</f>
        <v/>
      </c>
      <c r="BD139" s="92">
        <f>IF(OR($AH139=1,$AJ139=1),1,0)</f>
        <v/>
      </c>
      <c r="BE139" s="95">
        <f>IF(OR($BD139=1,AND($AE139&lt;&gt;"",$BC139&gt;=Controls!$B$10*$AE139)),1,0)</f>
        <v/>
      </c>
    </row>
    <row r="140" ht="15.75" customHeight="1" s="79">
      <c r="A140" s="5" t="inlineStr">
        <is>
          <t>5674161032</t>
        </is>
      </c>
      <c r="B140" s="5" t="inlineStr">
        <is>
          <t>CORNERSTONE GROWTH SOLUTIONS, LLC</t>
        </is>
      </c>
      <c r="C140" s="5" t="inlineStr">
        <is>
          <t>CORNERSTONE GROWTH SOLUTIONS, LLC</t>
        </is>
      </c>
      <c r="D140" s="5" t="inlineStr">
        <is>
          <t>Legal</t>
        </is>
      </c>
      <c r="E140" s="16" t="n">
        <v>45840</v>
      </c>
      <c r="F140" s="16" t="n">
        <v>45923</v>
      </c>
      <c r="G140" s="17" t="n">
        <v>7</v>
      </c>
      <c r="H140" s="5" t="inlineStr">
        <is>
          <t>8748</t>
        </is>
      </c>
      <c r="I140" s="5" t="inlineStr">
        <is>
          <t>Other Management Consulting Services</t>
        </is>
      </c>
      <c r="J140" s="5" t="inlineStr">
        <is>
          <t>87</t>
        </is>
      </c>
      <c r="K140" s="5" t="n">
        <v>7392</v>
      </c>
      <c r="L140" s="5" t="inlineStr">
        <is>
          <t>TX</t>
        </is>
      </c>
      <c r="M140" s="5" t="inlineStr">
        <is>
          <t>Westwood</t>
        </is>
      </c>
      <c r="N140" s="5" t="inlineStr">
        <is>
          <t>New Deal</t>
        </is>
      </c>
      <c r="O140" s="19" t="n">
        <v>1.499</v>
      </c>
      <c r="P140" s="20" t="n">
        <v>20000</v>
      </c>
      <c r="Q140" s="20" t="n">
        <v>2800</v>
      </c>
      <c r="R140" s="20" t="n">
        <v>29980</v>
      </c>
      <c r="S140" s="20" t="n">
        <v>13242</v>
      </c>
      <c r="T140" s="20" t="n">
        <v>16738</v>
      </c>
      <c r="U140" s="21" t="n">
        <v>0.441694462975317</v>
      </c>
      <c r="V140" s="22" t="n">
        <v>2.951</v>
      </c>
      <c r="W140" s="17" t="n">
        <v>336</v>
      </c>
      <c r="X140" s="17" t="n">
        <v>6</v>
      </c>
      <c r="Y140" s="20" t="n">
        <v>135783.66</v>
      </c>
      <c r="Z140" s="21" t="n">
        <v>0.0512</v>
      </c>
      <c r="AA140" s="16" t="n">
        <v>40909</v>
      </c>
      <c r="AB140" s="5">
        <f>IF(V140="","",IF(V140&lt;12,"Months","Weeks"))</f>
        <v/>
      </c>
      <c r="AC140" s="5">
        <f>IF(AB140="","",IF(AB140="Months","Daily","Weekly"))</f>
        <v/>
      </c>
      <c r="AD140" s="17">
        <f>IF(V140="","",IF(AC140="Daily",V140*Controls!$B$13,V140))</f>
        <v/>
      </c>
      <c r="AE140" s="17">
        <f>IF(V140="","",IF(AC140="Daily",V140*Controls!$B$13,V140*Controls!$B$12))</f>
        <v/>
      </c>
      <c r="AF140" s="17">
        <f>IF(OR(E140="",F140=""),"",F140-E140)</f>
        <v/>
      </c>
      <c r="AG140" s="17">
        <f>IF(OR(E140="",F140=""),"",NETWORKDAYS(E140,F140,Ref!$F$4:$F$47))</f>
        <v/>
      </c>
      <c r="AH140" s="39">
        <f>IF(IFERROR(VLOOKUP(D140,Controls!$A$25:$D$35,2,FALSE()),"No")="Yes",1,0)</f>
        <v/>
      </c>
      <c r="AI140" s="39">
        <f>IF(IFERROR(VLOOKUP(D140,Controls!$A$25:$D$35,3,FALSE()),"No")="Yes",1,0)</f>
        <v/>
      </c>
      <c r="AJ140" s="39">
        <f>IF(IFERROR(VLOOKUP(D140,Controls!$A$25:$D$35,4,FALSE()),"No")="Yes",1,0)</f>
        <v/>
      </c>
      <c r="AK140" s="96">
        <f>IF(AND($E140&gt;=Controls!$B$5,$E140&lt;=Controls!$B$6,OR(Controls!$E$9&lt;&gt;"Y",$BE140=1)),1,0)</f>
        <v/>
      </c>
      <c r="AL140" s="39">
        <f>1</f>
        <v/>
      </c>
      <c r="AM140" s="20">
        <f>S140-P140</f>
        <v/>
      </c>
      <c r="AN140" s="20">
        <f>IF(AH140=1,MAX(0,P140-S140),0)</f>
        <v/>
      </c>
      <c r="AO140" s="21">
        <f>IFERROR(S140/P140,"")</f>
        <v/>
      </c>
      <c r="AP140" s="22">
        <f>IF(Y140="","",P140/Y140)</f>
        <v/>
      </c>
      <c r="AQ140" s="39">
        <f>IF(Y140="",0,1)</f>
        <v/>
      </c>
      <c r="AR140" s="39">
        <f>IF(S140&lt;=0,1,0)</f>
        <v/>
      </c>
      <c r="AS140" s="17">
        <f>IF(AH140=1,AG140,"")</f>
        <v/>
      </c>
      <c r="AT140" s="17">
        <f>IF(AND(AH140=0,AJ140=1),AG140,"")</f>
        <v/>
      </c>
      <c r="AU140" s="5">
        <f>IF(P140&lt;10000,"Under $10K",IF(P140&lt;20000,"$10-20K",IF(P140&lt;30000,"$20-30K",IF(P140&lt;50000,"$30-50K",IF(P140&lt;100000,"$50-100K","$100K+")))))</f>
        <v/>
      </c>
      <c r="AV140" s="5">
        <f>IF(O140&lt;=1.35,"1.35 and under",IF(O140&lt;=1.42,"1.36-1.42",IF(O140&lt;=1.45,"1.43-1.45",IF(O140&lt;1.49,"1.46-1.48",IF(O140&lt;=1.49,"1.49","Above 1.49")))))</f>
        <v/>
      </c>
      <c r="AW140" s="5">
        <f>IF(AE140="","",IF(AE140&lt;60,"Under 60",IF(AE140&lt;90,"60-89",IF(AE140&lt;120,"90-119",IF(AE140&lt;150,"120-149","150+")))))</f>
        <v/>
      </c>
      <c r="AX140" s="5">
        <f>IF(AP140="","No revenue data",IF(AP140&lt;0.15,"Under 0.15x",IF(AP140&lt;0.3,"0.15-0.30x",IF(AP140&lt;0.5,"0.30-0.50x",IF(AP140&lt;1,"0.50-1.00x","1.00x+")))))</f>
        <v/>
      </c>
      <c r="AY140" s="5">
        <f>IF(J140="","No SIC",IFERROR(VLOOKUP(J140,Ref!$A$4:$C$67,2,FALSE()),"Unclassified"))</f>
        <v/>
      </c>
      <c r="AZ140" s="5">
        <f>IF(E140="","",TEXT(E140,"YYYY")&amp;"-Q"&amp;ROUNDUP(MONTH(E140)/3,0))</f>
        <v/>
      </c>
      <c r="BA140" s="5">
        <f>IF(E140="","",TEXT(E140,"YYYY-MM"))</f>
        <v/>
      </c>
      <c r="BB140" s="5">
        <f>IF(E140="","",TEXT(E140,"YYYY"))</f>
        <v/>
      </c>
      <c r="BC140" s="92">
        <f>IF($E140="","",NETWORKDAYS($E140,Controls!$B$9,Ref!$F$4:$F$47))</f>
        <v/>
      </c>
      <c r="BD140" s="92">
        <f>IF(OR($AH140=1,$AJ140=1),1,0)</f>
        <v/>
      </c>
      <c r="BE140" s="95">
        <f>IF(OR($BD140=1,AND($AE140&lt;&gt;"",$BC140&gt;=Controls!$B$10*$AE140)),1,0)</f>
        <v/>
      </c>
    </row>
    <row r="141" ht="15.75" customHeight="1" s="79">
      <c r="A141" s="5" t="inlineStr">
        <is>
          <t>5674161160</t>
        </is>
      </c>
      <c r="B141" s="5" t="inlineStr">
        <is>
          <t>Bass Unique Services</t>
        </is>
      </c>
      <c r="C141" s="5" t="inlineStr">
        <is>
          <t>Bass Unique Services</t>
        </is>
      </c>
      <c r="D141" s="5" t="inlineStr">
        <is>
          <t>Closed</t>
        </is>
      </c>
      <c r="E141" s="16" t="n">
        <v>45841</v>
      </c>
      <c r="F141" s="16" t="n">
        <v>45903</v>
      </c>
      <c r="G141" s="17" t="n">
        <v>3</v>
      </c>
      <c r="H141" s="5" t="inlineStr">
        <is>
          <t>1521</t>
        </is>
      </c>
      <c r="I141" s="5" t="inlineStr">
        <is>
          <t>New Single-Family Housing Construction (Except For-Sale Builders)</t>
        </is>
      </c>
      <c r="J141" s="5" t="inlineStr">
        <is>
          <t>15</t>
        </is>
      </c>
      <c r="K141" s="5" t="n">
        <v>1520</v>
      </c>
      <c r="L141" s="5" t="inlineStr">
        <is>
          <t>FL</t>
        </is>
      </c>
      <c r="M141" s="5" t="inlineStr">
        <is>
          <t>WOTR Enterprise LLC</t>
        </is>
      </c>
      <c r="N141" s="5" t="inlineStr">
        <is>
          <t>New Deal</t>
        </is>
      </c>
      <c r="O141" s="19" t="n">
        <v>1.499</v>
      </c>
      <c r="P141" s="20" t="n">
        <v>10000</v>
      </c>
      <c r="Q141" s="20" t="n">
        <v>1400</v>
      </c>
      <c r="R141" s="20" t="n">
        <v>14990</v>
      </c>
      <c r="S141" s="20" t="n">
        <v>14990</v>
      </c>
      <c r="T141" s="20" t="n">
        <v>1.81898940354586e-12</v>
      </c>
      <c r="U141" s="21" t="n">
        <v>1</v>
      </c>
      <c r="V141" s="22" t="n">
        <v>2.787</v>
      </c>
      <c r="W141" s="17" t="n">
        <v>350</v>
      </c>
      <c r="X141" s="17" t="n">
        <v>1</v>
      </c>
      <c r="Y141" s="20" t="n">
        <v>56413.26</v>
      </c>
      <c r="Z141" s="21" t="n">
        <v>0.06519999999999999</v>
      </c>
      <c r="AA141" s="16" t="n">
        <v>43647</v>
      </c>
      <c r="AB141" s="5">
        <f>IF(V141="","",IF(V141&lt;12,"Months","Weeks"))</f>
        <v/>
      </c>
      <c r="AC141" s="5">
        <f>IF(AB141="","",IF(AB141="Months","Daily","Weekly"))</f>
        <v/>
      </c>
      <c r="AD141" s="17">
        <f>IF(V141="","",IF(AC141="Daily",V141*Controls!$B$13,V141))</f>
        <v/>
      </c>
      <c r="AE141" s="17">
        <f>IF(V141="","",IF(AC141="Daily",V141*Controls!$B$13,V141*Controls!$B$12))</f>
        <v/>
      </c>
      <c r="AF141" s="17">
        <f>IF(OR(E141="",F141=""),"",F141-E141)</f>
        <v/>
      </c>
      <c r="AG141" s="17">
        <f>IF(OR(E141="",F141=""),"",NETWORKDAYS(E141,F141,Ref!$F$4:$F$47))</f>
        <v/>
      </c>
      <c r="AH141" s="39">
        <f>IF(IFERROR(VLOOKUP(D141,Controls!$A$25:$D$35,2,FALSE()),"No")="Yes",1,0)</f>
        <v/>
      </c>
      <c r="AI141" s="39">
        <f>IF(IFERROR(VLOOKUP(D141,Controls!$A$25:$D$35,3,FALSE()),"No")="Yes",1,0)</f>
        <v/>
      </c>
      <c r="AJ141" s="39">
        <f>IF(IFERROR(VLOOKUP(D141,Controls!$A$25:$D$35,4,FALSE()),"No")="Yes",1,0)</f>
        <v/>
      </c>
      <c r="AK141" s="96">
        <f>IF(AND($E141&gt;=Controls!$B$5,$E141&lt;=Controls!$B$6,OR(Controls!$E$9&lt;&gt;"Y",$BE141=1)),1,0)</f>
        <v/>
      </c>
      <c r="AL141" s="39">
        <f>1</f>
        <v/>
      </c>
      <c r="AM141" s="20">
        <f>S141-P141</f>
        <v/>
      </c>
      <c r="AN141" s="20">
        <f>IF(AH141=1,MAX(0,P141-S141),0)</f>
        <v/>
      </c>
      <c r="AO141" s="21">
        <f>IFERROR(S141/P141,"")</f>
        <v/>
      </c>
      <c r="AP141" s="22">
        <f>IF(Y141="","",P141/Y141)</f>
        <v/>
      </c>
      <c r="AQ141" s="39">
        <f>IF(Y141="",0,1)</f>
        <v/>
      </c>
      <c r="AR141" s="39">
        <f>IF(S141&lt;=0,1,0)</f>
        <v/>
      </c>
      <c r="AS141" s="17">
        <f>IF(AH141=1,AG141,"")</f>
        <v/>
      </c>
      <c r="AT141" s="17">
        <f>IF(AND(AH141=0,AJ141=1),AG141,"")</f>
        <v/>
      </c>
      <c r="AU141" s="5">
        <f>IF(P141&lt;10000,"Under $10K",IF(P141&lt;20000,"$10-20K",IF(P141&lt;30000,"$20-30K",IF(P141&lt;50000,"$30-50K",IF(P141&lt;100000,"$50-100K","$100K+")))))</f>
        <v/>
      </c>
      <c r="AV141" s="5">
        <f>IF(O141&lt;=1.35,"1.35 and under",IF(O141&lt;=1.42,"1.36-1.42",IF(O141&lt;=1.45,"1.43-1.45",IF(O141&lt;1.49,"1.46-1.48",IF(O141&lt;=1.49,"1.49","Above 1.49")))))</f>
        <v/>
      </c>
      <c r="AW141" s="5">
        <f>IF(AE141="","",IF(AE141&lt;60,"Under 60",IF(AE141&lt;90,"60-89",IF(AE141&lt;120,"90-119",IF(AE141&lt;150,"120-149","150+")))))</f>
        <v/>
      </c>
      <c r="AX141" s="5">
        <f>IF(AP141="","No revenue data",IF(AP141&lt;0.15,"Under 0.15x",IF(AP141&lt;0.3,"0.15-0.30x",IF(AP141&lt;0.5,"0.30-0.50x",IF(AP141&lt;1,"0.50-1.00x","1.00x+")))))</f>
        <v/>
      </c>
      <c r="AY141" s="5">
        <f>IF(J141="","No SIC",IFERROR(VLOOKUP(J141,Ref!$A$4:$C$67,2,FALSE()),"Unclassified"))</f>
        <v/>
      </c>
      <c r="AZ141" s="5">
        <f>IF(E141="","",TEXT(E141,"YYYY")&amp;"-Q"&amp;ROUNDUP(MONTH(E141)/3,0))</f>
        <v/>
      </c>
      <c r="BA141" s="5">
        <f>IF(E141="","",TEXT(E141,"YYYY-MM"))</f>
        <v/>
      </c>
      <c r="BB141" s="5">
        <f>IF(E141="","",TEXT(E141,"YYYY"))</f>
        <v/>
      </c>
      <c r="BC141" s="92">
        <f>IF($E141="","",NETWORKDAYS($E141,Controls!$B$9,Ref!$F$4:$F$47))</f>
        <v/>
      </c>
      <c r="BD141" s="92">
        <f>IF(OR($AH141=1,$AJ141=1),1,0)</f>
        <v/>
      </c>
      <c r="BE141" s="95">
        <f>IF(OR($BD141=1,AND($AE141&lt;&gt;"",$BC141&gt;=Controls!$B$10*$AE141)),1,0)</f>
        <v/>
      </c>
    </row>
    <row r="142" ht="15.75" customHeight="1" s="79">
      <c r="A142" s="5" t="inlineStr">
        <is>
          <t>5674161384</t>
        </is>
      </c>
      <c r="B142" s="5" t="inlineStr">
        <is>
          <t>WILLIE'S REPAIR SERVICE</t>
        </is>
      </c>
      <c r="C142" s="5" t="inlineStr">
        <is>
          <t>Willie's Repair Service LLC</t>
        </is>
      </c>
      <c r="D142" s="5" t="inlineStr">
        <is>
          <t>Closed</t>
        </is>
      </c>
      <c r="E142" s="16" t="n">
        <v>45847</v>
      </c>
      <c r="F142" s="16" t="n">
        <v>45978</v>
      </c>
      <c r="G142" s="17" t="n">
        <v>7</v>
      </c>
      <c r="H142" s="5" t="inlineStr">
        <is>
          <t>7538</t>
        </is>
      </c>
      <c r="I142" s="5" t="inlineStr">
        <is>
          <t>General Automotive Repair</t>
        </is>
      </c>
      <c r="J142" s="5" t="inlineStr">
        <is>
          <t>75</t>
        </is>
      </c>
      <c r="K142" s="5" t="n">
        <v>7538</v>
      </c>
      <c r="L142" s="5" t="inlineStr">
        <is>
          <t>VA</t>
        </is>
      </c>
      <c r="M142" s="5" t="inlineStr">
        <is>
          <t>ROYAL FUNDING GROUP</t>
        </is>
      </c>
      <c r="N142" s="5" t="inlineStr">
        <is>
          <t>Renewal</t>
        </is>
      </c>
      <c r="O142" s="19" t="n">
        <v>1.49</v>
      </c>
      <c r="P142" s="20" t="n">
        <v>14000</v>
      </c>
      <c r="Q142" s="20" t="n">
        <v>1960</v>
      </c>
      <c r="R142" s="20" t="n">
        <v>20860</v>
      </c>
      <c r="S142" s="20" t="n">
        <v>20860</v>
      </c>
      <c r="T142" s="20" t="n">
        <v>0</v>
      </c>
      <c r="U142" s="21" t="n">
        <v>1</v>
      </c>
      <c r="V142" s="22" t="n">
        <v>2.951</v>
      </c>
      <c r="W142" s="17" t="n">
        <v>275</v>
      </c>
      <c r="X142" s="17" t="n">
        <v>0</v>
      </c>
      <c r="Y142" s="20" t="n">
        <v>36539.21</v>
      </c>
      <c r="Z142" s="21" t="n">
        <v>0.1332</v>
      </c>
      <c r="AA142" s="16" t="n">
        <v>30767</v>
      </c>
      <c r="AB142" s="5">
        <f>IF(V142="","",IF(V142&lt;12,"Months","Weeks"))</f>
        <v/>
      </c>
      <c r="AC142" s="5">
        <f>IF(AB142="","",IF(AB142="Months","Daily","Weekly"))</f>
        <v/>
      </c>
      <c r="AD142" s="17">
        <f>IF(V142="","",IF(AC142="Daily",V142*Controls!$B$13,V142))</f>
        <v/>
      </c>
      <c r="AE142" s="17">
        <f>IF(V142="","",IF(AC142="Daily",V142*Controls!$B$13,V142*Controls!$B$12))</f>
        <v/>
      </c>
      <c r="AF142" s="17">
        <f>IF(OR(E142="",F142=""),"",F142-E142)</f>
        <v/>
      </c>
      <c r="AG142" s="17">
        <f>IF(OR(E142="",F142=""),"",NETWORKDAYS(E142,F142,Ref!$F$4:$F$47))</f>
        <v/>
      </c>
      <c r="AH142" s="39">
        <f>IF(IFERROR(VLOOKUP(D142,Controls!$A$25:$D$35,2,FALSE()),"No")="Yes",1,0)</f>
        <v/>
      </c>
      <c r="AI142" s="39">
        <f>IF(IFERROR(VLOOKUP(D142,Controls!$A$25:$D$35,3,FALSE()),"No")="Yes",1,0)</f>
        <v/>
      </c>
      <c r="AJ142" s="39">
        <f>IF(IFERROR(VLOOKUP(D142,Controls!$A$25:$D$35,4,FALSE()),"No")="Yes",1,0)</f>
        <v/>
      </c>
      <c r="AK142" s="96">
        <f>IF(AND($E142&gt;=Controls!$B$5,$E142&lt;=Controls!$B$6,OR(Controls!$E$9&lt;&gt;"Y",$BE142=1)),1,0)</f>
        <v/>
      </c>
      <c r="AL142" s="39">
        <f>1</f>
        <v/>
      </c>
      <c r="AM142" s="20">
        <f>S142-P142</f>
        <v/>
      </c>
      <c r="AN142" s="20">
        <f>IF(AH142=1,MAX(0,P142-S142),0)</f>
        <v/>
      </c>
      <c r="AO142" s="21">
        <f>IFERROR(S142/P142,"")</f>
        <v/>
      </c>
      <c r="AP142" s="22">
        <f>IF(Y142="","",P142/Y142)</f>
        <v/>
      </c>
      <c r="AQ142" s="39">
        <f>IF(Y142="",0,1)</f>
        <v/>
      </c>
      <c r="AR142" s="39">
        <f>IF(S142&lt;=0,1,0)</f>
        <v/>
      </c>
      <c r="AS142" s="17">
        <f>IF(AH142=1,AG142,"")</f>
        <v/>
      </c>
      <c r="AT142" s="17">
        <f>IF(AND(AH142=0,AJ142=1),AG142,"")</f>
        <v/>
      </c>
      <c r="AU142" s="5">
        <f>IF(P142&lt;10000,"Under $10K",IF(P142&lt;20000,"$10-20K",IF(P142&lt;30000,"$20-30K",IF(P142&lt;50000,"$30-50K",IF(P142&lt;100000,"$50-100K","$100K+")))))</f>
        <v/>
      </c>
      <c r="AV142" s="5">
        <f>IF(O142&lt;=1.35,"1.35 and under",IF(O142&lt;=1.42,"1.36-1.42",IF(O142&lt;=1.45,"1.43-1.45",IF(O142&lt;1.49,"1.46-1.48",IF(O142&lt;=1.49,"1.49","Above 1.49")))))</f>
        <v/>
      </c>
      <c r="AW142" s="5">
        <f>IF(AE142="","",IF(AE142&lt;60,"Under 60",IF(AE142&lt;90,"60-89",IF(AE142&lt;120,"90-119",IF(AE142&lt;150,"120-149","150+")))))</f>
        <v/>
      </c>
      <c r="AX142" s="5">
        <f>IF(AP142="","No revenue data",IF(AP142&lt;0.15,"Under 0.15x",IF(AP142&lt;0.3,"0.15-0.30x",IF(AP142&lt;0.5,"0.30-0.50x",IF(AP142&lt;1,"0.50-1.00x","1.00x+")))))</f>
        <v/>
      </c>
      <c r="AY142" s="5">
        <f>IF(J142="","No SIC",IFERROR(VLOOKUP(J142,Ref!$A$4:$C$67,2,FALSE()),"Unclassified"))</f>
        <v/>
      </c>
      <c r="AZ142" s="5">
        <f>IF(E142="","",TEXT(E142,"YYYY")&amp;"-Q"&amp;ROUNDUP(MONTH(E142)/3,0))</f>
        <v/>
      </c>
      <c r="BA142" s="5">
        <f>IF(E142="","",TEXT(E142,"YYYY-MM"))</f>
        <v/>
      </c>
      <c r="BB142" s="5">
        <f>IF(E142="","",TEXT(E142,"YYYY"))</f>
        <v/>
      </c>
      <c r="BC142" s="92">
        <f>IF($E142="","",NETWORKDAYS($E142,Controls!$B$9,Ref!$F$4:$F$47))</f>
        <v/>
      </c>
      <c r="BD142" s="92">
        <f>IF(OR($AH142=1,$AJ142=1),1,0)</f>
        <v/>
      </c>
      <c r="BE142" s="95">
        <f>IF(OR($BD142=1,AND($AE142&lt;&gt;"",$BC142&gt;=Controls!$B$10*$AE142)),1,0)</f>
        <v/>
      </c>
    </row>
    <row r="143" ht="15.75" customHeight="1" s="79">
      <c r="A143" s="5" t="inlineStr">
        <is>
          <t>5674161657</t>
        </is>
      </c>
      <c r="B143" s="5" t="inlineStr">
        <is>
          <t>2SISTERS CLEANING &amp; CARPET CLEANING: SERVICES</t>
        </is>
      </c>
      <c r="C143" s="5" t="inlineStr">
        <is>
          <t>2SISTERS CLEANING &amp; CARPET CLEANING: SERVICES</t>
        </is>
      </c>
      <c r="D143" s="5" t="inlineStr">
        <is>
          <t>Closed</t>
        </is>
      </c>
      <c r="E143" s="16" t="n">
        <v>45849</v>
      </c>
      <c r="F143" s="16" t="n">
        <v>45936</v>
      </c>
      <c r="G143" s="17" t="n">
        <v>1</v>
      </c>
      <c r="H143" s="5" t="inlineStr">
        <is>
          <t>7349</t>
        </is>
      </c>
      <c r="I143" s="5" t="inlineStr">
        <is>
          <t>Other Services to Buildings and Dwellings</t>
        </is>
      </c>
      <c r="J143" s="5" t="inlineStr">
        <is>
          <t>73</t>
        </is>
      </c>
      <c r="K143" s="5" t="n">
        <v>7349</v>
      </c>
      <c r="L143" s="5" t="inlineStr">
        <is>
          <t>WI</t>
        </is>
      </c>
      <c r="M143" s="5" t="inlineStr">
        <is>
          <t>Premium Capital (AMRK)</t>
        </is>
      </c>
      <c r="N143" s="5" t="inlineStr">
        <is>
          <t>New Deal</t>
        </is>
      </c>
      <c r="O143" s="19" t="n">
        <v>1.499</v>
      </c>
      <c r="P143" s="20" t="n">
        <v>5000</v>
      </c>
      <c r="Q143" s="20" t="n">
        <v>700</v>
      </c>
      <c r="R143" s="20" t="n">
        <v>7495</v>
      </c>
      <c r="S143" s="20" t="n">
        <v>7495</v>
      </c>
      <c r="T143" s="20" t="n">
        <v>9.09494701772928e-13</v>
      </c>
      <c r="U143" s="21" t="n">
        <v>1</v>
      </c>
      <c r="V143" s="22" t="n">
        <v>1.967</v>
      </c>
      <c r="W143" s="17" t="n">
        <v>317</v>
      </c>
      <c r="X143" s="17" t="n">
        <v>0</v>
      </c>
      <c r="Y143" s="20" t="n">
        <v>23587.47</v>
      </c>
      <c r="Z143" s="21" t="n">
        <v>0.1105</v>
      </c>
      <c r="AA143" s="16" t="n">
        <v>45849</v>
      </c>
      <c r="AB143" s="5">
        <f>IF(V143="","",IF(V143&lt;12,"Months","Weeks"))</f>
        <v/>
      </c>
      <c r="AC143" s="5">
        <f>IF(AB143="","",IF(AB143="Months","Daily","Weekly"))</f>
        <v/>
      </c>
      <c r="AD143" s="17">
        <f>IF(V143="","",IF(AC143="Daily",V143*Controls!$B$13,V143))</f>
        <v/>
      </c>
      <c r="AE143" s="17">
        <f>IF(V143="","",IF(AC143="Daily",V143*Controls!$B$13,V143*Controls!$B$12))</f>
        <v/>
      </c>
      <c r="AF143" s="17">
        <f>IF(OR(E143="",F143=""),"",F143-E143)</f>
        <v/>
      </c>
      <c r="AG143" s="17">
        <f>IF(OR(E143="",F143=""),"",NETWORKDAYS(E143,F143,Ref!$F$4:$F$47))</f>
        <v/>
      </c>
      <c r="AH143" s="39">
        <f>IF(IFERROR(VLOOKUP(D143,Controls!$A$25:$D$35,2,FALSE()),"No")="Yes",1,0)</f>
        <v/>
      </c>
      <c r="AI143" s="39">
        <f>IF(IFERROR(VLOOKUP(D143,Controls!$A$25:$D$35,3,FALSE()),"No")="Yes",1,0)</f>
        <v/>
      </c>
      <c r="AJ143" s="39">
        <f>IF(IFERROR(VLOOKUP(D143,Controls!$A$25:$D$35,4,FALSE()),"No")="Yes",1,0)</f>
        <v/>
      </c>
      <c r="AK143" s="96">
        <f>IF(AND($E143&gt;=Controls!$B$5,$E143&lt;=Controls!$B$6,OR(Controls!$E$9&lt;&gt;"Y",$BE143=1)),1,0)</f>
        <v/>
      </c>
      <c r="AL143" s="39">
        <f>1</f>
        <v/>
      </c>
      <c r="AM143" s="20">
        <f>S143-P143</f>
        <v/>
      </c>
      <c r="AN143" s="20">
        <f>IF(AH143=1,MAX(0,P143-S143),0)</f>
        <v/>
      </c>
      <c r="AO143" s="21">
        <f>IFERROR(S143/P143,"")</f>
        <v/>
      </c>
      <c r="AP143" s="22">
        <f>IF(Y143="","",P143/Y143)</f>
        <v/>
      </c>
      <c r="AQ143" s="39">
        <f>IF(Y143="",0,1)</f>
        <v/>
      </c>
      <c r="AR143" s="39">
        <f>IF(S143&lt;=0,1,0)</f>
        <v/>
      </c>
      <c r="AS143" s="17">
        <f>IF(AH143=1,AG143,"")</f>
        <v/>
      </c>
      <c r="AT143" s="17">
        <f>IF(AND(AH143=0,AJ143=1),AG143,"")</f>
        <v/>
      </c>
      <c r="AU143" s="5">
        <f>IF(P143&lt;10000,"Under $10K",IF(P143&lt;20000,"$10-20K",IF(P143&lt;30000,"$20-30K",IF(P143&lt;50000,"$30-50K",IF(P143&lt;100000,"$50-100K","$100K+")))))</f>
        <v/>
      </c>
      <c r="AV143" s="5">
        <f>IF(O143&lt;=1.35,"1.35 and under",IF(O143&lt;=1.42,"1.36-1.42",IF(O143&lt;=1.45,"1.43-1.45",IF(O143&lt;1.49,"1.46-1.48",IF(O143&lt;=1.49,"1.49","Above 1.49")))))</f>
        <v/>
      </c>
      <c r="AW143" s="5">
        <f>IF(AE143="","",IF(AE143&lt;60,"Under 60",IF(AE143&lt;90,"60-89",IF(AE143&lt;120,"90-119",IF(AE143&lt;150,"120-149","150+")))))</f>
        <v/>
      </c>
      <c r="AX143" s="5">
        <f>IF(AP143="","No revenue data",IF(AP143&lt;0.15,"Under 0.15x",IF(AP143&lt;0.3,"0.15-0.30x",IF(AP143&lt;0.5,"0.30-0.50x",IF(AP143&lt;1,"0.50-1.00x","1.00x+")))))</f>
        <v/>
      </c>
      <c r="AY143" s="5">
        <f>IF(J143="","No SIC",IFERROR(VLOOKUP(J143,Ref!$A$4:$C$67,2,FALSE()),"Unclassified"))</f>
        <v/>
      </c>
      <c r="AZ143" s="5">
        <f>IF(E143="","",TEXT(E143,"YYYY")&amp;"-Q"&amp;ROUNDUP(MONTH(E143)/3,0))</f>
        <v/>
      </c>
      <c r="BA143" s="5">
        <f>IF(E143="","",TEXT(E143,"YYYY-MM"))</f>
        <v/>
      </c>
      <c r="BB143" s="5">
        <f>IF(E143="","",TEXT(E143,"YYYY"))</f>
        <v/>
      </c>
      <c r="BC143" s="92">
        <f>IF($E143="","",NETWORKDAYS($E143,Controls!$B$9,Ref!$F$4:$F$47))</f>
        <v/>
      </c>
      <c r="BD143" s="92">
        <f>IF(OR($AH143=1,$AJ143=1),1,0)</f>
        <v/>
      </c>
      <c r="BE143" s="95">
        <f>IF(OR($BD143=1,AND($AE143&lt;&gt;"",$BC143&gt;=Controls!$B$10*$AE143)),1,0)</f>
        <v/>
      </c>
    </row>
    <row r="144" ht="15.75" customHeight="1" s="79">
      <c r="A144" s="5" t="inlineStr">
        <is>
          <t>5674161767</t>
        </is>
      </c>
      <c r="B144" s="5" t="inlineStr">
        <is>
          <t>DESIGN CRITERIA</t>
        </is>
      </c>
      <c r="C144" s="5" t="inlineStr">
        <is>
          <t>DESIGN CRITERIA INC</t>
        </is>
      </c>
      <c r="D144" s="5" t="inlineStr">
        <is>
          <t>Legal</t>
        </is>
      </c>
      <c r="E144" s="16" t="n">
        <v>45853</v>
      </c>
      <c r="F144" s="16" t="n">
        <v>45930</v>
      </c>
      <c r="G144" s="17" t="n">
        <v>3</v>
      </c>
      <c r="H144" s="5" t="inlineStr">
        <is>
          <t>3612</t>
        </is>
      </c>
      <c r="I144" s="5" t="inlineStr">
        <is>
          <t>Power, Distribution, and Specialty Transformer Mfg.</t>
        </is>
      </c>
      <c r="J144" s="5" t="inlineStr">
        <is>
          <t>36</t>
        </is>
      </c>
      <c r="K144" s="5" t="n">
        <v>4900</v>
      </c>
      <c r="L144" s="5" t="inlineStr">
        <is>
          <t>UT</t>
        </is>
      </c>
      <c r="M144" s="5" t="inlineStr">
        <is>
          <t>United Secured Capital 8</t>
        </is>
      </c>
      <c r="N144" s="5" t="inlineStr">
        <is>
          <t>New Deal</t>
        </is>
      </c>
      <c r="O144" s="19" t="n">
        <v>1.499</v>
      </c>
      <c r="P144" s="20" t="n">
        <v>60000</v>
      </c>
      <c r="Q144" s="20" t="n">
        <v>0</v>
      </c>
      <c r="R144" s="20" t="n">
        <v>89940</v>
      </c>
      <c r="S144" s="20" t="n">
        <v>12078.1</v>
      </c>
      <c r="T144" s="20" t="n">
        <v>77861.89999999999</v>
      </c>
      <c r="U144" s="21" t="n">
        <v>0.134290638203247</v>
      </c>
      <c r="V144" s="22" t="n">
        <v>4.59</v>
      </c>
      <c r="W144" s="17" t="n">
        <v>323</v>
      </c>
      <c r="X144" s="17" t="n">
        <v>6</v>
      </c>
      <c r="Y144" s="20" t="n">
        <v>76319.47</v>
      </c>
      <c r="Z144" s="21" t="n">
        <v>0.1757</v>
      </c>
      <c r="AA144" s="16" t="n">
        <v>44632</v>
      </c>
      <c r="AB144" s="5">
        <f>IF(V144="","",IF(V144&lt;12,"Months","Weeks"))</f>
        <v/>
      </c>
      <c r="AC144" s="5">
        <f>IF(AB144="","",IF(AB144="Months","Daily","Weekly"))</f>
        <v/>
      </c>
      <c r="AD144" s="17">
        <f>IF(V144="","",IF(AC144="Daily",V144*Controls!$B$13,V144))</f>
        <v/>
      </c>
      <c r="AE144" s="17">
        <f>IF(V144="","",IF(AC144="Daily",V144*Controls!$B$13,V144*Controls!$B$12))</f>
        <v/>
      </c>
      <c r="AF144" s="17">
        <f>IF(OR(E144="",F144=""),"",F144-E144)</f>
        <v/>
      </c>
      <c r="AG144" s="17">
        <f>IF(OR(E144="",F144=""),"",NETWORKDAYS(E144,F144,Ref!$F$4:$F$47))</f>
        <v/>
      </c>
      <c r="AH144" s="39">
        <f>IF(IFERROR(VLOOKUP(D144,Controls!$A$25:$D$35,2,FALSE()),"No")="Yes",1,0)</f>
        <v/>
      </c>
      <c r="AI144" s="39">
        <f>IF(IFERROR(VLOOKUP(D144,Controls!$A$25:$D$35,3,FALSE()),"No")="Yes",1,0)</f>
        <v/>
      </c>
      <c r="AJ144" s="39">
        <f>IF(IFERROR(VLOOKUP(D144,Controls!$A$25:$D$35,4,FALSE()),"No")="Yes",1,0)</f>
        <v/>
      </c>
      <c r="AK144" s="96">
        <f>IF(AND($E144&gt;=Controls!$B$5,$E144&lt;=Controls!$B$6,OR(Controls!$E$9&lt;&gt;"Y",$BE144=1)),1,0)</f>
        <v/>
      </c>
      <c r="AL144" s="39">
        <f>1</f>
        <v/>
      </c>
      <c r="AM144" s="20">
        <f>S144-P144</f>
        <v/>
      </c>
      <c r="AN144" s="20">
        <f>IF(AH144=1,MAX(0,P144-S144),0)</f>
        <v/>
      </c>
      <c r="AO144" s="21">
        <f>IFERROR(S144/P144,"")</f>
        <v/>
      </c>
      <c r="AP144" s="22">
        <f>IF(Y144="","",P144/Y144)</f>
        <v/>
      </c>
      <c r="AQ144" s="39">
        <f>IF(Y144="",0,1)</f>
        <v/>
      </c>
      <c r="AR144" s="39">
        <f>IF(S144&lt;=0,1,0)</f>
        <v/>
      </c>
      <c r="AS144" s="17">
        <f>IF(AH144=1,AG144,"")</f>
        <v/>
      </c>
      <c r="AT144" s="17">
        <f>IF(AND(AH144=0,AJ144=1),AG144,"")</f>
        <v/>
      </c>
      <c r="AU144" s="5">
        <f>IF(P144&lt;10000,"Under $10K",IF(P144&lt;20000,"$10-20K",IF(P144&lt;30000,"$20-30K",IF(P144&lt;50000,"$30-50K",IF(P144&lt;100000,"$50-100K","$100K+")))))</f>
        <v/>
      </c>
      <c r="AV144" s="5">
        <f>IF(O144&lt;=1.35,"1.35 and under",IF(O144&lt;=1.42,"1.36-1.42",IF(O144&lt;=1.45,"1.43-1.45",IF(O144&lt;1.49,"1.46-1.48",IF(O144&lt;=1.49,"1.49","Above 1.49")))))</f>
        <v/>
      </c>
      <c r="AW144" s="5">
        <f>IF(AE144="","",IF(AE144&lt;60,"Under 60",IF(AE144&lt;90,"60-89",IF(AE144&lt;120,"90-119",IF(AE144&lt;150,"120-149","150+")))))</f>
        <v/>
      </c>
      <c r="AX144" s="5">
        <f>IF(AP144="","No revenue data",IF(AP144&lt;0.15,"Under 0.15x",IF(AP144&lt;0.3,"0.15-0.30x",IF(AP144&lt;0.5,"0.30-0.50x",IF(AP144&lt;1,"0.50-1.00x","1.00x+")))))</f>
        <v/>
      </c>
      <c r="AY144" s="5">
        <f>IF(J144="","No SIC",IFERROR(VLOOKUP(J144,Ref!$A$4:$C$67,2,FALSE()),"Unclassified"))</f>
        <v/>
      </c>
      <c r="AZ144" s="5">
        <f>IF(E144="","",TEXT(E144,"YYYY")&amp;"-Q"&amp;ROUNDUP(MONTH(E144)/3,0))</f>
        <v/>
      </c>
      <c r="BA144" s="5">
        <f>IF(E144="","",TEXT(E144,"YYYY-MM"))</f>
        <v/>
      </c>
      <c r="BB144" s="5">
        <f>IF(E144="","",TEXT(E144,"YYYY"))</f>
        <v/>
      </c>
      <c r="BC144" s="92">
        <f>IF($E144="","",NETWORKDAYS($E144,Controls!$B$9,Ref!$F$4:$F$47))</f>
        <v/>
      </c>
      <c r="BD144" s="92">
        <f>IF(OR($AH144=1,$AJ144=1),1,0)</f>
        <v/>
      </c>
      <c r="BE144" s="95">
        <f>IF(OR($BD144=1,AND($AE144&lt;&gt;"",$BC144&gt;=Controls!$B$10*$AE144)),1,0)</f>
        <v/>
      </c>
    </row>
    <row r="145" ht="15.75" customHeight="1" s="79">
      <c r="A145" s="5" t="inlineStr">
        <is>
          <t>5674161805</t>
        </is>
      </c>
      <c r="B145" s="5" t="inlineStr">
        <is>
          <t>41 master service</t>
        </is>
      </c>
      <c r="C145" s="5" t="inlineStr">
        <is>
          <t>41 master service</t>
        </is>
      </c>
      <c r="D145" s="5" t="inlineStr">
        <is>
          <t>Legal</t>
        </is>
      </c>
      <c r="E145" s="16" t="n">
        <v>45853</v>
      </c>
      <c r="F145" s="16" t="n">
        <v>45867</v>
      </c>
      <c r="G145" s="17" t="n">
        <v>3</v>
      </c>
      <c r="H145" s="5" t="inlineStr">
        <is>
          <t>3639</t>
        </is>
      </c>
      <c r="I145" s="5" t="inlineStr">
        <is>
          <t>Other Major Household Appliance Mfg.</t>
        </is>
      </c>
      <c r="J145" s="5" t="inlineStr">
        <is>
          <t>36</t>
        </is>
      </c>
      <c r="K145" s="5" t="n">
        <v>5722</v>
      </c>
      <c r="L145" s="5" t="inlineStr">
        <is>
          <t>FL</t>
        </is>
      </c>
      <c r="M145" s="5" t="inlineStr">
        <is>
          <t>True Path Funding</t>
        </is>
      </c>
      <c r="N145" s="5" t="inlineStr">
        <is>
          <t>New Deal</t>
        </is>
      </c>
      <c r="O145" s="19" t="n">
        <v>1.499</v>
      </c>
      <c r="P145" s="20" t="n">
        <v>4000</v>
      </c>
      <c r="Q145" s="20" t="n">
        <v>560</v>
      </c>
      <c r="R145" s="20" t="n">
        <v>5996</v>
      </c>
      <c r="S145" s="20" t="n">
        <v>-344.32</v>
      </c>
      <c r="T145" s="20" t="n">
        <v>6340.32</v>
      </c>
      <c r="U145" s="21" t="n">
        <v>-0.0574249499666444</v>
      </c>
      <c r="V145" s="22" t="n">
        <v>2.295</v>
      </c>
      <c r="W145" s="17" t="n">
        <v>397</v>
      </c>
      <c r="X145" s="17" t="n">
        <v>6</v>
      </c>
      <c r="Y145" s="20" t="n">
        <v>29071.64</v>
      </c>
      <c r="Z145" s="21" t="n">
        <v>0.0611</v>
      </c>
      <c r="AA145" s="5" t="n"/>
      <c r="AB145" s="5">
        <f>IF(V145="","",IF(V145&lt;12,"Months","Weeks"))</f>
        <v/>
      </c>
      <c r="AC145" s="5">
        <f>IF(AB145="","",IF(AB145="Months","Daily","Weekly"))</f>
        <v/>
      </c>
      <c r="AD145" s="17">
        <f>IF(V145="","",IF(AC145="Daily",V145*Controls!$B$13,V145))</f>
        <v/>
      </c>
      <c r="AE145" s="17">
        <f>IF(V145="","",IF(AC145="Daily",V145*Controls!$B$13,V145*Controls!$B$12))</f>
        <v/>
      </c>
      <c r="AF145" s="17">
        <f>IF(OR(E145="",F145=""),"",F145-E145)</f>
        <v/>
      </c>
      <c r="AG145" s="17">
        <f>IF(OR(E145="",F145=""),"",NETWORKDAYS(E145,F145,Ref!$F$4:$F$47))</f>
        <v/>
      </c>
      <c r="AH145" s="39">
        <f>IF(IFERROR(VLOOKUP(D145,Controls!$A$25:$D$35,2,FALSE()),"No")="Yes",1,0)</f>
        <v/>
      </c>
      <c r="AI145" s="39">
        <f>IF(IFERROR(VLOOKUP(D145,Controls!$A$25:$D$35,3,FALSE()),"No")="Yes",1,0)</f>
        <v/>
      </c>
      <c r="AJ145" s="39">
        <f>IF(IFERROR(VLOOKUP(D145,Controls!$A$25:$D$35,4,FALSE()),"No")="Yes",1,0)</f>
        <v/>
      </c>
      <c r="AK145" s="96">
        <f>IF(AND($E145&gt;=Controls!$B$5,$E145&lt;=Controls!$B$6,OR(Controls!$E$9&lt;&gt;"Y",$BE145=1)),1,0)</f>
        <v/>
      </c>
      <c r="AL145" s="39">
        <f>1</f>
        <v/>
      </c>
      <c r="AM145" s="20">
        <f>S145-P145</f>
        <v/>
      </c>
      <c r="AN145" s="20">
        <f>IF(AH145=1,MAX(0,P145-S145),0)</f>
        <v/>
      </c>
      <c r="AO145" s="21">
        <f>IFERROR(S145/P145,"")</f>
        <v/>
      </c>
      <c r="AP145" s="22">
        <f>IF(Y145="","",P145/Y145)</f>
        <v/>
      </c>
      <c r="AQ145" s="39">
        <f>IF(Y145="",0,1)</f>
        <v/>
      </c>
      <c r="AR145" s="39">
        <f>IF(S145&lt;=0,1,0)</f>
        <v/>
      </c>
      <c r="AS145" s="17">
        <f>IF(AH145=1,AG145,"")</f>
        <v/>
      </c>
      <c r="AT145" s="17">
        <f>IF(AND(AH145=0,AJ145=1),AG145,"")</f>
        <v/>
      </c>
      <c r="AU145" s="5">
        <f>IF(P145&lt;10000,"Under $10K",IF(P145&lt;20000,"$10-20K",IF(P145&lt;30000,"$20-30K",IF(P145&lt;50000,"$30-50K",IF(P145&lt;100000,"$50-100K","$100K+")))))</f>
        <v/>
      </c>
      <c r="AV145" s="5">
        <f>IF(O145&lt;=1.35,"1.35 and under",IF(O145&lt;=1.42,"1.36-1.42",IF(O145&lt;=1.45,"1.43-1.45",IF(O145&lt;1.49,"1.46-1.48",IF(O145&lt;=1.49,"1.49","Above 1.49")))))</f>
        <v/>
      </c>
      <c r="AW145" s="5">
        <f>IF(AE145="","",IF(AE145&lt;60,"Under 60",IF(AE145&lt;90,"60-89",IF(AE145&lt;120,"90-119",IF(AE145&lt;150,"120-149","150+")))))</f>
        <v/>
      </c>
      <c r="AX145" s="5">
        <f>IF(AP145="","No revenue data",IF(AP145&lt;0.15,"Under 0.15x",IF(AP145&lt;0.3,"0.15-0.30x",IF(AP145&lt;0.5,"0.30-0.50x",IF(AP145&lt;1,"0.50-1.00x","1.00x+")))))</f>
        <v/>
      </c>
      <c r="AY145" s="5">
        <f>IF(J145="","No SIC",IFERROR(VLOOKUP(J145,Ref!$A$4:$C$67,2,FALSE()),"Unclassified"))</f>
        <v/>
      </c>
      <c r="AZ145" s="5">
        <f>IF(E145="","",TEXT(E145,"YYYY")&amp;"-Q"&amp;ROUNDUP(MONTH(E145)/3,0))</f>
        <v/>
      </c>
      <c r="BA145" s="5">
        <f>IF(E145="","",TEXT(E145,"YYYY-MM"))</f>
        <v/>
      </c>
      <c r="BB145" s="5">
        <f>IF(E145="","",TEXT(E145,"YYYY"))</f>
        <v/>
      </c>
      <c r="BC145" s="92">
        <f>IF($E145="","",NETWORKDAYS($E145,Controls!$B$9,Ref!$F$4:$F$47))</f>
        <v/>
      </c>
      <c r="BD145" s="92">
        <f>IF(OR($AH145=1,$AJ145=1),1,0)</f>
        <v/>
      </c>
      <c r="BE145" s="95">
        <f>IF(OR($BD145=1,AND($AE145&lt;&gt;"",$BC145&gt;=Controls!$B$10*$AE145)),1,0)</f>
        <v/>
      </c>
    </row>
    <row r="146" ht="15.75" customHeight="1" s="79">
      <c r="A146" s="5" t="inlineStr">
        <is>
          <t>5674161807</t>
        </is>
      </c>
      <c r="B146" s="5" t="inlineStr">
        <is>
          <t>Chivo's Pizza LLC</t>
        </is>
      </c>
      <c r="C146" s="5" t="inlineStr">
        <is>
          <t>Chivo's Pizza LLC</t>
        </is>
      </c>
      <c r="D146" s="5" t="inlineStr">
        <is>
          <t>Legal</t>
        </is>
      </c>
      <c r="E146" s="16" t="n">
        <v>45853</v>
      </c>
      <c r="F146" s="16" t="n">
        <v>45953</v>
      </c>
      <c r="G146" s="17" t="n">
        <v>3</v>
      </c>
      <c r="H146" s="5" t="inlineStr">
        <is>
          <t>5812</t>
        </is>
      </c>
      <c r="I146" s="5" t="inlineStr">
        <is>
          <t>Snack and Nonalcoholic Beverage Bars</t>
        </is>
      </c>
      <c r="J146" s="5" t="inlineStr">
        <is>
          <t>58</t>
        </is>
      </c>
      <c r="K146" s="5" t="n">
        <v>5812</v>
      </c>
      <c r="L146" s="5" t="inlineStr">
        <is>
          <t>IN</t>
        </is>
      </c>
      <c r="M146" s="5" t="inlineStr">
        <is>
          <t>Premium Capital (AMRK)</t>
        </is>
      </c>
      <c r="N146" s="5" t="inlineStr">
        <is>
          <t>New Deal</t>
        </is>
      </c>
      <c r="O146" s="19" t="n">
        <v>1.49</v>
      </c>
      <c r="P146" s="20" t="n">
        <v>15000</v>
      </c>
      <c r="Q146" s="20" t="n">
        <v>2100</v>
      </c>
      <c r="R146" s="20" t="n">
        <v>22350</v>
      </c>
      <c r="S146" s="20" t="n">
        <v>13612.39</v>
      </c>
      <c r="T146" s="20" t="n">
        <v>8737.610000000001</v>
      </c>
      <c r="U146" s="21" t="n">
        <v>0.60905548098434</v>
      </c>
      <c r="V146" s="22" t="n">
        <v>3.607</v>
      </c>
      <c r="W146" s="17" t="n">
        <v>306</v>
      </c>
      <c r="X146" s="17" t="n">
        <v>3</v>
      </c>
      <c r="Y146" s="20" t="n">
        <v>35057.41</v>
      </c>
      <c r="Z146" s="21" t="n">
        <v>0.1217</v>
      </c>
      <c r="AA146" s="5" t="n"/>
      <c r="AB146" s="5">
        <f>IF(V146="","",IF(V146&lt;12,"Months","Weeks"))</f>
        <v/>
      </c>
      <c r="AC146" s="5">
        <f>IF(AB146="","",IF(AB146="Months","Daily","Weekly"))</f>
        <v/>
      </c>
      <c r="AD146" s="17">
        <f>IF(V146="","",IF(AC146="Daily",V146*Controls!$B$13,V146))</f>
        <v/>
      </c>
      <c r="AE146" s="17">
        <f>IF(V146="","",IF(AC146="Daily",V146*Controls!$B$13,V146*Controls!$B$12))</f>
        <v/>
      </c>
      <c r="AF146" s="17">
        <f>IF(OR(E146="",F146=""),"",F146-E146)</f>
        <v/>
      </c>
      <c r="AG146" s="17">
        <f>IF(OR(E146="",F146=""),"",NETWORKDAYS(E146,F146,Ref!$F$4:$F$47))</f>
        <v/>
      </c>
      <c r="AH146" s="39">
        <f>IF(IFERROR(VLOOKUP(D146,Controls!$A$25:$D$35,2,FALSE()),"No")="Yes",1,0)</f>
        <v/>
      </c>
      <c r="AI146" s="39">
        <f>IF(IFERROR(VLOOKUP(D146,Controls!$A$25:$D$35,3,FALSE()),"No")="Yes",1,0)</f>
        <v/>
      </c>
      <c r="AJ146" s="39">
        <f>IF(IFERROR(VLOOKUP(D146,Controls!$A$25:$D$35,4,FALSE()),"No")="Yes",1,0)</f>
        <v/>
      </c>
      <c r="AK146" s="96">
        <f>IF(AND($E146&gt;=Controls!$B$5,$E146&lt;=Controls!$B$6,OR(Controls!$E$9&lt;&gt;"Y",$BE146=1)),1,0)</f>
        <v/>
      </c>
      <c r="AL146" s="39">
        <f>1</f>
        <v/>
      </c>
      <c r="AM146" s="20">
        <f>S146-P146</f>
        <v/>
      </c>
      <c r="AN146" s="20">
        <f>IF(AH146=1,MAX(0,P146-S146),0)</f>
        <v/>
      </c>
      <c r="AO146" s="21">
        <f>IFERROR(S146/P146,"")</f>
        <v/>
      </c>
      <c r="AP146" s="22">
        <f>IF(Y146="","",P146/Y146)</f>
        <v/>
      </c>
      <c r="AQ146" s="39">
        <f>IF(Y146="",0,1)</f>
        <v/>
      </c>
      <c r="AR146" s="39">
        <f>IF(S146&lt;=0,1,0)</f>
        <v/>
      </c>
      <c r="AS146" s="17">
        <f>IF(AH146=1,AG146,"")</f>
        <v/>
      </c>
      <c r="AT146" s="17">
        <f>IF(AND(AH146=0,AJ146=1),AG146,"")</f>
        <v/>
      </c>
      <c r="AU146" s="5">
        <f>IF(P146&lt;10000,"Under $10K",IF(P146&lt;20000,"$10-20K",IF(P146&lt;30000,"$20-30K",IF(P146&lt;50000,"$30-50K",IF(P146&lt;100000,"$50-100K","$100K+")))))</f>
        <v/>
      </c>
      <c r="AV146" s="5">
        <f>IF(O146&lt;=1.35,"1.35 and under",IF(O146&lt;=1.42,"1.36-1.42",IF(O146&lt;=1.45,"1.43-1.45",IF(O146&lt;1.49,"1.46-1.48",IF(O146&lt;=1.49,"1.49","Above 1.49")))))</f>
        <v/>
      </c>
      <c r="AW146" s="5">
        <f>IF(AE146="","",IF(AE146&lt;60,"Under 60",IF(AE146&lt;90,"60-89",IF(AE146&lt;120,"90-119",IF(AE146&lt;150,"120-149","150+")))))</f>
        <v/>
      </c>
      <c r="AX146" s="5">
        <f>IF(AP146="","No revenue data",IF(AP146&lt;0.15,"Under 0.15x",IF(AP146&lt;0.3,"0.15-0.30x",IF(AP146&lt;0.5,"0.30-0.50x",IF(AP146&lt;1,"0.50-1.00x","1.00x+")))))</f>
        <v/>
      </c>
      <c r="AY146" s="5">
        <f>IF(J146="","No SIC",IFERROR(VLOOKUP(J146,Ref!$A$4:$C$67,2,FALSE()),"Unclassified"))</f>
        <v/>
      </c>
      <c r="AZ146" s="5">
        <f>IF(E146="","",TEXT(E146,"YYYY")&amp;"-Q"&amp;ROUNDUP(MONTH(E146)/3,0))</f>
        <v/>
      </c>
      <c r="BA146" s="5">
        <f>IF(E146="","",TEXT(E146,"YYYY-MM"))</f>
        <v/>
      </c>
      <c r="BB146" s="5">
        <f>IF(E146="","",TEXT(E146,"YYYY"))</f>
        <v/>
      </c>
      <c r="BC146" s="92">
        <f>IF($E146="","",NETWORKDAYS($E146,Controls!$B$9,Ref!$F$4:$F$47))</f>
        <v/>
      </c>
      <c r="BD146" s="92">
        <f>IF(OR($AH146=1,$AJ146=1),1,0)</f>
        <v/>
      </c>
      <c r="BE146" s="95">
        <f>IF(OR($BD146=1,AND($AE146&lt;&gt;"",$BC146&gt;=Controls!$B$10*$AE146)),1,0)</f>
        <v/>
      </c>
    </row>
    <row r="147" ht="15.75" customHeight="1" s="79">
      <c r="A147" s="5" t="inlineStr">
        <is>
          <t>5674161813</t>
        </is>
      </c>
      <c r="B147" s="5" t="inlineStr">
        <is>
          <t>MOOR HERBS MARKETPLACE</t>
        </is>
      </c>
      <c r="C147" s="5" t="inlineStr">
        <is>
          <t>THE MOORISH SCIENCE - TEMPLE THE DIVINE AND NATIONAL MOVEMENT OF NORTH AMERICA INC</t>
        </is>
      </c>
      <c r="D147" s="5" t="inlineStr">
        <is>
          <t>Closed</t>
        </is>
      </c>
      <c r="E147" s="16" t="n">
        <v>45853</v>
      </c>
      <c r="F147" s="16" t="n">
        <v>45904</v>
      </c>
      <c r="G147" s="17" t="n">
        <v>4</v>
      </c>
      <c r="H147" s="5" t="inlineStr">
        <is>
          <t>5812</t>
        </is>
      </c>
      <c r="I147" s="5" t="inlineStr">
        <is>
          <t>Snack and Nonalcoholic Beverage Bars</t>
        </is>
      </c>
      <c r="J147" s="5" t="inlineStr">
        <is>
          <t>58</t>
        </is>
      </c>
      <c r="K147" s="5" t="n">
        <v>5812</v>
      </c>
      <c r="L147" s="5" t="inlineStr">
        <is>
          <t>MI</t>
        </is>
      </c>
      <c r="M147" s="5" t="inlineStr">
        <is>
          <t>United Secured Capital 8</t>
        </is>
      </c>
      <c r="N147" s="5" t="inlineStr">
        <is>
          <t>New Deal</t>
        </is>
      </c>
      <c r="O147" s="19" t="n">
        <v>1.5</v>
      </c>
      <c r="P147" s="20" t="n">
        <v>15000</v>
      </c>
      <c r="Q147" s="20" t="n">
        <v>2100</v>
      </c>
      <c r="R147" s="20" t="n">
        <v>22500</v>
      </c>
      <c r="S147" s="20" t="n">
        <v>22500</v>
      </c>
      <c r="T147" s="20" t="n">
        <v>0</v>
      </c>
      <c r="U147" s="21" t="n">
        <v>1</v>
      </c>
      <c r="V147" s="22" t="n">
        <v>2.295</v>
      </c>
      <c r="W147" s="17" t="n">
        <v>349</v>
      </c>
      <c r="X147" s="17" t="n">
        <v>0</v>
      </c>
      <c r="Y147" s="20" t="n">
        <v>70657.38</v>
      </c>
      <c r="Z147" s="21" t="n">
        <v>0.0949</v>
      </c>
      <c r="AA147" s="16" t="n">
        <v>43221</v>
      </c>
      <c r="AB147" s="5">
        <f>IF(V147="","",IF(V147&lt;12,"Months","Weeks"))</f>
        <v/>
      </c>
      <c r="AC147" s="5">
        <f>IF(AB147="","",IF(AB147="Months","Daily","Weekly"))</f>
        <v/>
      </c>
      <c r="AD147" s="17">
        <f>IF(V147="","",IF(AC147="Daily",V147*Controls!$B$13,V147))</f>
        <v/>
      </c>
      <c r="AE147" s="17">
        <f>IF(V147="","",IF(AC147="Daily",V147*Controls!$B$13,V147*Controls!$B$12))</f>
        <v/>
      </c>
      <c r="AF147" s="17">
        <f>IF(OR(E147="",F147=""),"",F147-E147)</f>
        <v/>
      </c>
      <c r="AG147" s="17">
        <f>IF(OR(E147="",F147=""),"",NETWORKDAYS(E147,F147,Ref!$F$4:$F$47))</f>
        <v/>
      </c>
      <c r="AH147" s="39">
        <f>IF(IFERROR(VLOOKUP(D147,Controls!$A$25:$D$35,2,FALSE()),"No")="Yes",1,0)</f>
        <v/>
      </c>
      <c r="AI147" s="39">
        <f>IF(IFERROR(VLOOKUP(D147,Controls!$A$25:$D$35,3,FALSE()),"No")="Yes",1,0)</f>
        <v/>
      </c>
      <c r="AJ147" s="39">
        <f>IF(IFERROR(VLOOKUP(D147,Controls!$A$25:$D$35,4,FALSE()),"No")="Yes",1,0)</f>
        <v/>
      </c>
      <c r="AK147" s="96">
        <f>IF(AND($E147&gt;=Controls!$B$5,$E147&lt;=Controls!$B$6,OR(Controls!$E$9&lt;&gt;"Y",$BE147=1)),1,0)</f>
        <v/>
      </c>
      <c r="AL147" s="39">
        <f>1</f>
        <v/>
      </c>
      <c r="AM147" s="20">
        <f>S147-P147</f>
        <v/>
      </c>
      <c r="AN147" s="20">
        <f>IF(AH147=1,MAX(0,P147-S147),0)</f>
        <v/>
      </c>
      <c r="AO147" s="21">
        <f>IFERROR(S147/P147,"")</f>
        <v/>
      </c>
      <c r="AP147" s="22">
        <f>IF(Y147="","",P147/Y147)</f>
        <v/>
      </c>
      <c r="AQ147" s="39">
        <f>IF(Y147="",0,1)</f>
        <v/>
      </c>
      <c r="AR147" s="39">
        <f>IF(S147&lt;=0,1,0)</f>
        <v/>
      </c>
      <c r="AS147" s="17">
        <f>IF(AH147=1,AG147,"")</f>
        <v/>
      </c>
      <c r="AT147" s="17">
        <f>IF(AND(AH147=0,AJ147=1),AG147,"")</f>
        <v/>
      </c>
      <c r="AU147" s="5">
        <f>IF(P147&lt;10000,"Under $10K",IF(P147&lt;20000,"$10-20K",IF(P147&lt;30000,"$20-30K",IF(P147&lt;50000,"$30-50K",IF(P147&lt;100000,"$50-100K","$100K+")))))</f>
        <v/>
      </c>
      <c r="AV147" s="5">
        <f>IF(O147&lt;=1.35,"1.35 and under",IF(O147&lt;=1.42,"1.36-1.42",IF(O147&lt;=1.45,"1.43-1.45",IF(O147&lt;1.49,"1.46-1.48",IF(O147&lt;=1.49,"1.49","Above 1.49")))))</f>
        <v/>
      </c>
      <c r="AW147" s="5">
        <f>IF(AE147="","",IF(AE147&lt;60,"Under 60",IF(AE147&lt;90,"60-89",IF(AE147&lt;120,"90-119",IF(AE147&lt;150,"120-149","150+")))))</f>
        <v/>
      </c>
      <c r="AX147" s="5">
        <f>IF(AP147="","No revenue data",IF(AP147&lt;0.15,"Under 0.15x",IF(AP147&lt;0.3,"0.15-0.30x",IF(AP147&lt;0.5,"0.30-0.50x",IF(AP147&lt;1,"0.50-1.00x","1.00x+")))))</f>
        <v/>
      </c>
      <c r="AY147" s="5">
        <f>IF(J147="","No SIC",IFERROR(VLOOKUP(J147,Ref!$A$4:$C$67,2,FALSE()),"Unclassified"))</f>
        <v/>
      </c>
      <c r="AZ147" s="5">
        <f>IF(E147="","",TEXT(E147,"YYYY")&amp;"-Q"&amp;ROUNDUP(MONTH(E147)/3,0))</f>
        <v/>
      </c>
      <c r="BA147" s="5">
        <f>IF(E147="","",TEXT(E147,"YYYY-MM"))</f>
        <v/>
      </c>
      <c r="BB147" s="5">
        <f>IF(E147="","",TEXT(E147,"YYYY"))</f>
        <v/>
      </c>
      <c r="BC147" s="92">
        <f>IF($E147="","",NETWORKDAYS($E147,Controls!$B$9,Ref!$F$4:$F$47))</f>
        <v/>
      </c>
      <c r="BD147" s="92">
        <f>IF(OR($AH147=1,$AJ147=1),1,0)</f>
        <v/>
      </c>
      <c r="BE147" s="95">
        <f>IF(OR($BD147=1,AND($AE147&lt;&gt;"",$BC147&gt;=Controls!$B$10*$AE147)),1,0)</f>
        <v/>
      </c>
    </row>
    <row r="148" ht="15.75" customHeight="1" s="79">
      <c r="A148" s="5" t="inlineStr">
        <is>
          <t>5674161856</t>
        </is>
      </c>
      <c r="B148" s="5" t="inlineStr">
        <is>
          <t>TOWERWORX</t>
        </is>
      </c>
      <c r="C148" s="5" t="inlineStr">
        <is>
          <t>TOWERWORX LLC</t>
        </is>
      </c>
      <c r="D148" s="5" t="inlineStr">
        <is>
          <t>Closed</t>
        </is>
      </c>
      <c r="E148" s="16" t="n">
        <v>45854</v>
      </c>
      <c r="F148" s="16" t="n">
        <v>46106</v>
      </c>
      <c r="G148" s="17" t="n">
        <v>2</v>
      </c>
      <c r="H148" s="5" t="inlineStr">
        <is>
          <t>4812</t>
        </is>
      </c>
      <c r="I148" s="5" t="inlineStr">
        <is>
          <t>Wireless Telecommunications Carriers (Except Satellite)</t>
        </is>
      </c>
      <c r="J148" s="5" t="inlineStr">
        <is>
          <t>48</t>
        </is>
      </c>
      <c r="K148" s="5" t="n">
        <v>4812</v>
      </c>
      <c r="L148" s="5" t="inlineStr">
        <is>
          <t>TX</t>
        </is>
      </c>
      <c r="M148" s="5" t="inlineStr">
        <is>
          <t>Fidelity Funding</t>
        </is>
      </c>
      <c r="N148" s="5" t="inlineStr">
        <is>
          <t>New Deal</t>
        </is>
      </c>
      <c r="O148" s="19" t="n">
        <v>1.35</v>
      </c>
      <c r="P148" s="20" t="n">
        <v>60000</v>
      </c>
      <c r="Q148" s="20" t="n">
        <v>4200</v>
      </c>
      <c r="R148" s="20" t="n">
        <v>81000</v>
      </c>
      <c r="S148" s="20" t="n">
        <v>81000</v>
      </c>
      <c r="T148" s="20" t="n">
        <v>0</v>
      </c>
      <c r="U148" s="21" t="n">
        <v>1</v>
      </c>
      <c r="V148" s="22" t="n">
        <v>36</v>
      </c>
      <c r="W148" s="17" t="n">
        <v>147</v>
      </c>
      <c r="X148" s="17" t="n">
        <v>0</v>
      </c>
      <c r="Y148" s="20" t="n">
        <v>115748.28</v>
      </c>
      <c r="Z148" s="21" t="n">
        <v>0.07779999999999999</v>
      </c>
      <c r="AA148" s="5" t="n"/>
      <c r="AB148" s="5">
        <f>IF(V148="","",IF(V148&lt;12,"Months","Weeks"))</f>
        <v/>
      </c>
      <c r="AC148" s="5">
        <f>IF(AB148="","",IF(AB148="Months","Daily","Weekly"))</f>
        <v/>
      </c>
      <c r="AD148" s="17">
        <f>IF(V148="","",IF(AC148="Daily",V148*Controls!$B$13,V148))</f>
        <v/>
      </c>
      <c r="AE148" s="17">
        <f>IF(V148="","",IF(AC148="Daily",V148*Controls!$B$13,V148*Controls!$B$12))</f>
        <v/>
      </c>
      <c r="AF148" s="17">
        <f>IF(OR(E148="",F148=""),"",F148-E148)</f>
        <v/>
      </c>
      <c r="AG148" s="17">
        <f>IF(OR(E148="",F148=""),"",NETWORKDAYS(E148,F148,Ref!$F$4:$F$47))</f>
        <v/>
      </c>
      <c r="AH148" s="39">
        <f>IF(IFERROR(VLOOKUP(D148,Controls!$A$25:$D$35,2,FALSE()),"No")="Yes",1,0)</f>
        <v/>
      </c>
      <c r="AI148" s="39">
        <f>IF(IFERROR(VLOOKUP(D148,Controls!$A$25:$D$35,3,FALSE()),"No")="Yes",1,0)</f>
        <v/>
      </c>
      <c r="AJ148" s="39">
        <f>IF(IFERROR(VLOOKUP(D148,Controls!$A$25:$D$35,4,FALSE()),"No")="Yes",1,0)</f>
        <v/>
      </c>
      <c r="AK148" s="96">
        <f>IF(AND($E148&gt;=Controls!$B$5,$E148&lt;=Controls!$B$6,OR(Controls!$E$9&lt;&gt;"Y",$BE148=1)),1,0)</f>
        <v/>
      </c>
      <c r="AL148" s="39">
        <f>1</f>
        <v/>
      </c>
      <c r="AM148" s="20">
        <f>S148-P148</f>
        <v/>
      </c>
      <c r="AN148" s="20">
        <f>IF(AH148=1,MAX(0,P148-S148),0)</f>
        <v/>
      </c>
      <c r="AO148" s="21">
        <f>IFERROR(S148/P148,"")</f>
        <v/>
      </c>
      <c r="AP148" s="22">
        <f>IF(Y148="","",P148/Y148)</f>
        <v/>
      </c>
      <c r="AQ148" s="39">
        <f>IF(Y148="",0,1)</f>
        <v/>
      </c>
      <c r="AR148" s="39">
        <f>IF(S148&lt;=0,1,0)</f>
        <v/>
      </c>
      <c r="AS148" s="17">
        <f>IF(AH148=1,AG148,"")</f>
        <v/>
      </c>
      <c r="AT148" s="17">
        <f>IF(AND(AH148=0,AJ148=1),AG148,"")</f>
        <v/>
      </c>
      <c r="AU148" s="5">
        <f>IF(P148&lt;10000,"Under $10K",IF(P148&lt;20000,"$10-20K",IF(P148&lt;30000,"$20-30K",IF(P148&lt;50000,"$30-50K",IF(P148&lt;100000,"$50-100K","$100K+")))))</f>
        <v/>
      </c>
      <c r="AV148" s="5">
        <f>IF(O148&lt;=1.35,"1.35 and under",IF(O148&lt;=1.42,"1.36-1.42",IF(O148&lt;=1.45,"1.43-1.45",IF(O148&lt;1.49,"1.46-1.48",IF(O148&lt;=1.49,"1.49","Above 1.49")))))</f>
        <v/>
      </c>
      <c r="AW148" s="5">
        <f>IF(AE148="","",IF(AE148&lt;60,"Under 60",IF(AE148&lt;90,"60-89",IF(AE148&lt;120,"90-119",IF(AE148&lt;150,"120-149","150+")))))</f>
        <v/>
      </c>
      <c r="AX148" s="5">
        <f>IF(AP148="","No revenue data",IF(AP148&lt;0.15,"Under 0.15x",IF(AP148&lt;0.3,"0.15-0.30x",IF(AP148&lt;0.5,"0.30-0.50x",IF(AP148&lt;1,"0.50-1.00x","1.00x+")))))</f>
        <v/>
      </c>
      <c r="AY148" s="5">
        <f>IF(J148="","No SIC",IFERROR(VLOOKUP(J148,Ref!$A$4:$C$67,2,FALSE()),"Unclassified"))</f>
        <v/>
      </c>
      <c r="AZ148" s="5">
        <f>IF(E148="","",TEXT(E148,"YYYY")&amp;"-Q"&amp;ROUNDUP(MONTH(E148)/3,0))</f>
        <v/>
      </c>
      <c r="BA148" s="5">
        <f>IF(E148="","",TEXT(E148,"YYYY-MM"))</f>
        <v/>
      </c>
      <c r="BB148" s="5">
        <f>IF(E148="","",TEXT(E148,"YYYY"))</f>
        <v/>
      </c>
      <c r="BC148" s="92">
        <f>IF($E148="","",NETWORKDAYS($E148,Controls!$B$9,Ref!$F$4:$F$47))</f>
        <v/>
      </c>
      <c r="BD148" s="92">
        <f>IF(OR($AH148=1,$AJ148=1),1,0)</f>
        <v/>
      </c>
      <c r="BE148" s="95">
        <f>IF(OR($BD148=1,AND($AE148&lt;&gt;"",$BC148&gt;=Controls!$B$10*$AE148)),1,0)</f>
        <v/>
      </c>
    </row>
    <row r="149" ht="15.75" customHeight="1" s="79">
      <c r="A149" s="5" t="inlineStr">
        <is>
          <t>5674161998</t>
        </is>
      </c>
      <c r="B149" s="5" t="inlineStr">
        <is>
          <t>Midwest Detail And Power Wash</t>
        </is>
      </c>
      <c r="C149" s="5" t="inlineStr">
        <is>
          <t>Midwest Detail And Power Wash</t>
        </is>
      </c>
      <c r="D149" s="5" t="inlineStr">
        <is>
          <t>In House Collection</t>
        </is>
      </c>
      <c r="E149" s="16" t="n">
        <v>45855</v>
      </c>
      <c r="F149" s="16" t="n">
        <v>45883</v>
      </c>
      <c r="G149" s="17" t="n">
        <v>3</v>
      </c>
      <c r="H149" s="5" t="inlineStr">
        <is>
          <t>3271</t>
        </is>
      </c>
      <c r="I149" s="5" t="inlineStr">
        <is>
          <t>Concrete Block and Brick Mfg.</t>
        </is>
      </c>
      <c r="J149" s="5" t="inlineStr">
        <is>
          <t>32</t>
        </is>
      </c>
      <c r="K149" s="5" t="n">
        <v>1771</v>
      </c>
      <c r="L149" s="5" t="inlineStr">
        <is>
          <t>IL</t>
        </is>
      </c>
      <c r="M149" s="5" t="inlineStr">
        <is>
          <t>CNL LOANS</t>
        </is>
      </c>
      <c r="N149" s="5" t="inlineStr">
        <is>
          <t>New Deal</t>
        </is>
      </c>
      <c r="O149" s="19" t="n">
        <v>1.499</v>
      </c>
      <c r="P149" s="20" t="n">
        <v>5000</v>
      </c>
      <c r="Q149" s="20" t="n">
        <v>0</v>
      </c>
      <c r="R149" s="20" t="n">
        <v>7495</v>
      </c>
      <c r="S149" s="20" t="n">
        <v>2109.87</v>
      </c>
      <c r="T149" s="20" t="n">
        <v>5385.13</v>
      </c>
      <c r="U149" s="21" t="n">
        <v>0.281503669112742</v>
      </c>
      <c r="V149" s="22" t="n">
        <v>1.967</v>
      </c>
      <c r="W149" s="17" t="n">
        <v>376</v>
      </c>
      <c r="X149" s="17" t="n">
        <v>4</v>
      </c>
      <c r="Y149" s="20" t="n">
        <v>39491</v>
      </c>
      <c r="Z149" s="21" t="n">
        <v>0.066</v>
      </c>
      <c r="AA149" s="16" t="n">
        <v>39670</v>
      </c>
      <c r="AB149" s="5">
        <f>IF(V149="","",IF(V149&lt;12,"Months","Weeks"))</f>
        <v/>
      </c>
      <c r="AC149" s="5">
        <f>IF(AB149="","",IF(AB149="Months","Daily","Weekly"))</f>
        <v/>
      </c>
      <c r="AD149" s="17">
        <f>IF(V149="","",IF(AC149="Daily",V149*Controls!$B$13,V149))</f>
        <v/>
      </c>
      <c r="AE149" s="17">
        <f>IF(V149="","",IF(AC149="Daily",V149*Controls!$B$13,V149*Controls!$B$12))</f>
        <v/>
      </c>
      <c r="AF149" s="17">
        <f>IF(OR(E149="",F149=""),"",F149-E149)</f>
        <v/>
      </c>
      <c r="AG149" s="17">
        <f>IF(OR(E149="",F149=""),"",NETWORKDAYS(E149,F149,Ref!$F$4:$F$47))</f>
        <v/>
      </c>
      <c r="AH149" s="39">
        <f>IF(IFERROR(VLOOKUP(D149,Controls!$A$25:$D$35,2,FALSE()),"No")="Yes",1,0)</f>
        <v/>
      </c>
      <c r="AI149" s="39">
        <f>IF(IFERROR(VLOOKUP(D149,Controls!$A$25:$D$35,3,FALSE()),"No")="Yes",1,0)</f>
        <v/>
      </c>
      <c r="AJ149" s="39">
        <f>IF(IFERROR(VLOOKUP(D149,Controls!$A$25:$D$35,4,FALSE()),"No")="Yes",1,0)</f>
        <v/>
      </c>
      <c r="AK149" s="96">
        <f>IF(AND($E149&gt;=Controls!$B$5,$E149&lt;=Controls!$B$6,OR(Controls!$E$9&lt;&gt;"Y",$BE149=1)),1,0)</f>
        <v/>
      </c>
      <c r="AL149" s="39">
        <f>1</f>
        <v/>
      </c>
      <c r="AM149" s="20">
        <f>S149-P149</f>
        <v/>
      </c>
      <c r="AN149" s="20">
        <f>IF(AH149=1,MAX(0,P149-S149),0)</f>
        <v/>
      </c>
      <c r="AO149" s="21">
        <f>IFERROR(S149/P149,"")</f>
        <v/>
      </c>
      <c r="AP149" s="22">
        <f>IF(Y149="","",P149/Y149)</f>
        <v/>
      </c>
      <c r="AQ149" s="39">
        <f>IF(Y149="",0,1)</f>
        <v/>
      </c>
      <c r="AR149" s="39">
        <f>IF(S149&lt;=0,1,0)</f>
        <v/>
      </c>
      <c r="AS149" s="17">
        <f>IF(AH149=1,AG149,"")</f>
        <v/>
      </c>
      <c r="AT149" s="17">
        <f>IF(AND(AH149=0,AJ149=1),AG149,"")</f>
        <v/>
      </c>
      <c r="AU149" s="5">
        <f>IF(P149&lt;10000,"Under $10K",IF(P149&lt;20000,"$10-20K",IF(P149&lt;30000,"$20-30K",IF(P149&lt;50000,"$30-50K",IF(P149&lt;100000,"$50-100K","$100K+")))))</f>
        <v/>
      </c>
      <c r="AV149" s="5">
        <f>IF(O149&lt;=1.35,"1.35 and under",IF(O149&lt;=1.42,"1.36-1.42",IF(O149&lt;=1.45,"1.43-1.45",IF(O149&lt;1.49,"1.46-1.48",IF(O149&lt;=1.49,"1.49","Above 1.49")))))</f>
        <v/>
      </c>
      <c r="AW149" s="5">
        <f>IF(AE149="","",IF(AE149&lt;60,"Under 60",IF(AE149&lt;90,"60-89",IF(AE149&lt;120,"90-119",IF(AE149&lt;150,"120-149","150+")))))</f>
        <v/>
      </c>
      <c r="AX149" s="5">
        <f>IF(AP149="","No revenue data",IF(AP149&lt;0.15,"Under 0.15x",IF(AP149&lt;0.3,"0.15-0.30x",IF(AP149&lt;0.5,"0.30-0.50x",IF(AP149&lt;1,"0.50-1.00x","1.00x+")))))</f>
        <v/>
      </c>
      <c r="AY149" s="5">
        <f>IF(J149="","No SIC",IFERROR(VLOOKUP(J149,Ref!$A$4:$C$67,2,FALSE()),"Unclassified"))</f>
        <v/>
      </c>
      <c r="AZ149" s="5">
        <f>IF(E149="","",TEXT(E149,"YYYY")&amp;"-Q"&amp;ROUNDUP(MONTH(E149)/3,0))</f>
        <v/>
      </c>
      <c r="BA149" s="5">
        <f>IF(E149="","",TEXT(E149,"YYYY-MM"))</f>
        <v/>
      </c>
      <c r="BB149" s="5">
        <f>IF(E149="","",TEXT(E149,"YYYY"))</f>
        <v/>
      </c>
      <c r="BC149" s="92">
        <f>IF($E149="","",NETWORKDAYS($E149,Controls!$B$9,Ref!$F$4:$F$47))</f>
        <v/>
      </c>
      <c r="BD149" s="92">
        <f>IF(OR($AH149=1,$AJ149=1),1,0)</f>
        <v/>
      </c>
      <c r="BE149" s="95">
        <f>IF(OR($BD149=1,AND($AE149&lt;&gt;"",$BC149&gt;=Controls!$B$10*$AE149)),1,0)</f>
        <v/>
      </c>
    </row>
    <row r="150" ht="15.75" customHeight="1" s="79">
      <c r="A150" s="5" t="inlineStr">
        <is>
          <t>5674162024</t>
        </is>
      </c>
      <c r="B150" s="5" t="inlineStr">
        <is>
          <t>TONYS TRAILER</t>
        </is>
      </c>
      <c r="C150" s="5" t="inlineStr">
        <is>
          <t>ANTHONY COOK</t>
        </is>
      </c>
      <c r="D150" s="5" t="inlineStr">
        <is>
          <t>Closed</t>
        </is>
      </c>
      <c r="E150" s="16" t="n">
        <v>45855</v>
      </c>
      <c r="F150" s="16" t="n">
        <v>45932</v>
      </c>
      <c r="G150" s="17" t="n">
        <v>4</v>
      </c>
      <c r="H150" s="5" t="inlineStr">
        <is>
          <t>7549</t>
        </is>
      </c>
      <c r="I150" s="5" t="inlineStr">
        <is>
          <t>Motor Vehicle Towing</t>
        </is>
      </c>
      <c r="J150" s="5" t="inlineStr">
        <is>
          <t>75</t>
        </is>
      </c>
      <c r="K150" s="5" t="n">
        <v>7549</v>
      </c>
      <c r="L150" s="5" t="inlineStr">
        <is>
          <t>OK</t>
        </is>
      </c>
      <c r="M150" s="5" t="inlineStr">
        <is>
          <t>biz advance now</t>
        </is>
      </c>
      <c r="N150" s="5" t="inlineStr">
        <is>
          <t>New Deal</t>
        </is>
      </c>
      <c r="O150" s="19" t="n">
        <v>1.49</v>
      </c>
      <c r="P150" s="20" t="n">
        <v>15000</v>
      </c>
      <c r="Q150" s="20" t="n">
        <v>2100</v>
      </c>
      <c r="R150" s="20" t="n">
        <v>22350</v>
      </c>
      <c r="S150" s="20" t="n">
        <v>22350</v>
      </c>
      <c r="T150" s="20" t="n">
        <v>0</v>
      </c>
      <c r="U150" s="21" t="n">
        <v>1</v>
      </c>
      <c r="V150" s="22" t="n">
        <v>18</v>
      </c>
      <c r="W150" s="17" t="n">
        <v>321</v>
      </c>
      <c r="X150" s="17" t="n">
        <v>0</v>
      </c>
      <c r="Y150" s="20" t="n">
        <v>64897.13</v>
      </c>
      <c r="Z150" s="21" t="n">
        <v>0.0765</v>
      </c>
      <c r="AA150" s="5" t="n"/>
      <c r="AB150" s="5">
        <f>IF(V150="","",IF(V150&lt;12,"Months","Weeks"))</f>
        <v/>
      </c>
      <c r="AC150" s="5">
        <f>IF(AB150="","",IF(AB150="Months","Daily","Weekly"))</f>
        <v/>
      </c>
      <c r="AD150" s="17">
        <f>IF(V150="","",IF(AC150="Daily",V150*Controls!$B$13,V150))</f>
        <v/>
      </c>
      <c r="AE150" s="17">
        <f>IF(V150="","",IF(AC150="Daily",V150*Controls!$B$13,V150*Controls!$B$12))</f>
        <v/>
      </c>
      <c r="AF150" s="17">
        <f>IF(OR(E150="",F150=""),"",F150-E150)</f>
        <v/>
      </c>
      <c r="AG150" s="17">
        <f>IF(OR(E150="",F150=""),"",NETWORKDAYS(E150,F150,Ref!$F$4:$F$47))</f>
        <v/>
      </c>
      <c r="AH150" s="39">
        <f>IF(IFERROR(VLOOKUP(D150,Controls!$A$25:$D$35,2,FALSE()),"No")="Yes",1,0)</f>
        <v/>
      </c>
      <c r="AI150" s="39">
        <f>IF(IFERROR(VLOOKUP(D150,Controls!$A$25:$D$35,3,FALSE()),"No")="Yes",1,0)</f>
        <v/>
      </c>
      <c r="AJ150" s="39">
        <f>IF(IFERROR(VLOOKUP(D150,Controls!$A$25:$D$35,4,FALSE()),"No")="Yes",1,0)</f>
        <v/>
      </c>
      <c r="AK150" s="96">
        <f>IF(AND($E150&gt;=Controls!$B$5,$E150&lt;=Controls!$B$6,OR(Controls!$E$9&lt;&gt;"Y",$BE150=1)),1,0)</f>
        <v/>
      </c>
      <c r="AL150" s="39">
        <f>1</f>
        <v/>
      </c>
      <c r="AM150" s="20">
        <f>S150-P150</f>
        <v/>
      </c>
      <c r="AN150" s="20">
        <f>IF(AH150=1,MAX(0,P150-S150),0)</f>
        <v/>
      </c>
      <c r="AO150" s="21">
        <f>IFERROR(S150/P150,"")</f>
        <v/>
      </c>
      <c r="AP150" s="22">
        <f>IF(Y150="","",P150/Y150)</f>
        <v/>
      </c>
      <c r="AQ150" s="39">
        <f>IF(Y150="",0,1)</f>
        <v/>
      </c>
      <c r="AR150" s="39">
        <f>IF(S150&lt;=0,1,0)</f>
        <v/>
      </c>
      <c r="AS150" s="17">
        <f>IF(AH150=1,AG150,"")</f>
        <v/>
      </c>
      <c r="AT150" s="17">
        <f>IF(AND(AH150=0,AJ150=1),AG150,"")</f>
        <v/>
      </c>
      <c r="AU150" s="5">
        <f>IF(P150&lt;10000,"Under $10K",IF(P150&lt;20000,"$10-20K",IF(P150&lt;30000,"$20-30K",IF(P150&lt;50000,"$30-50K",IF(P150&lt;100000,"$50-100K","$100K+")))))</f>
        <v/>
      </c>
      <c r="AV150" s="5">
        <f>IF(O150&lt;=1.35,"1.35 and under",IF(O150&lt;=1.42,"1.36-1.42",IF(O150&lt;=1.45,"1.43-1.45",IF(O150&lt;1.49,"1.46-1.48",IF(O150&lt;=1.49,"1.49","Above 1.49")))))</f>
        <v/>
      </c>
      <c r="AW150" s="5">
        <f>IF(AE150="","",IF(AE150&lt;60,"Under 60",IF(AE150&lt;90,"60-89",IF(AE150&lt;120,"90-119",IF(AE150&lt;150,"120-149","150+")))))</f>
        <v/>
      </c>
      <c r="AX150" s="5">
        <f>IF(AP150="","No revenue data",IF(AP150&lt;0.15,"Under 0.15x",IF(AP150&lt;0.3,"0.15-0.30x",IF(AP150&lt;0.5,"0.30-0.50x",IF(AP150&lt;1,"0.50-1.00x","1.00x+")))))</f>
        <v/>
      </c>
      <c r="AY150" s="5">
        <f>IF(J150="","No SIC",IFERROR(VLOOKUP(J150,Ref!$A$4:$C$67,2,FALSE()),"Unclassified"))</f>
        <v/>
      </c>
      <c r="AZ150" s="5">
        <f>IF(E150="","",TEXT(E150,"YYYY")&amp;"-Q"&amp;ROUNDUP(MONTH(E150)/3,0))</f>
        <v/>
      </c>
      <c r="BA150" s="5">
        <f>IF(E150="","",TEXT(E150,"YYYY-MM"))</f>
        <v/>
      </c>
      <c r="BB150" s="5">
        <f>IF(E150="","",TEXT(E150,"YYYY"))</f>
        <v/>
      </c>
      <c r="BC150" s="92">
        <f>IF($E150="","",NETWORKDAYS($E150,Controls!$B$9,Ref!$F$4:$F$47))</f>
        <v/>
      </c>
      <c r="BD150" s="92">
        <f>IF(OR($AH150=1,$AJ150=1),1,0)</f>
        <v/>
      </c>
      <c r="BE150" s="95">
        <f>IF(OR($BD150=1,AND($AE150&lt;&gt;"",$BC150&gt;=Controls!$B$10*$AE150)),1,0)</f>
        <v/>
      </c>
    </row>
    <row r="151" ht="15.75" customHeight="1" s="79">
      <c r="A151" s="5" t="inlineStr">
        <is>
          <t>5674162077</t>
        </is>
      </c>
      <c r="B151" s="5" t="inlineStr">
        <is>
          <t>LINCOLN BABIGUMIRA PAIN CLINIC, LTD.</t>
        </is>
      </c>
      <c r="C151" s="5" t="inlineStr">
        <is>
          <t>LINCOLN BABIGUMIRA PAIN CLINIC, LTD.</t>
        </is>
      </c>
      <c r="D151" s="5" t="inlineStr">
        <is>
          <t>Legal</t>
        </is>
      </c>
      <c r="E151" s="16" t="n">
        <v>45856</v>
      </c>
      <c r="F151" s="16" t="n">
        <v>45979</v>
      </c>
      <c r="G151" s="17" t="n">
        <v>7</v>
      </c>
      <c r="H151" s="5" t="inlineStr">
        <is>
          <t>8011</t>
        </is>
      </c>
      <c r="I151" s="5" t="inlineStr">
        <is>
          <t>Freestanding Ambulatory Surgical and Emergency Centers</t>
        </is>
      </c>
      <c r="J151" s="5" t="inlineStr">
        <is>
          <t>80</t>
        </is>
      </c>
      <c r="K151" s="5" t="n">
        <v>8011</v>
      </c>
      <c r="L151" s="5" t="inlineStr">
        <is>
          <t>IL</t>
        </is>
      </c>
      <c r="M151" s="5" t="inlineStr">
        <is>
          <t>United Secured Capital 8</t>
        </is>
      </c>
      <c r="N151" s="5" t="inlineStr">
        <is>
          <t>New Deal</t>
        </is>
      </c>
      <c r="O151" s="19" t="n">
        <v>1.49</v>
      </c>
      <c r="P151" s="20" t="n">
        <v>15000</v>
      </c>
      <c r="Q151" s="20" t="n">
        <v>0</v>
      </c>
      <c r="R151" s="20" t="n">
        <v>22350</v>
      </c>
      <c r="S151" s="20" t="n">
        <v>8661.6</v>
      </c>
      <c r="T151" s="20" t="n">
        <v>13688.4</v>
      </c>
      <c r="U151" s="21" t="n">
        <v>0.387543624161074</v>
      </c>
      <c r="V151" s="22" t="n">
        <v>1.311</v>
      </c>
      <c r="W151" s="17" t="n">
        <v>275</v>
      </c>
      <c r="X151" s="17" t="n">
        <v>32</v>
      </c>
      <c r="Y151" s="20" t="n">
        <v>107255.94</v>
      </c>
      <c r="Z151" s="21" t="n">
        <v>0.1094</v>
      </c>
      <c r="AA151" s="5" t="n"/>
      <c r="AB151" s="5">
        <f>IF(V151="","",IF(V151&lt;12,"Months","Weeks"))</f>
        <v/>
      </c>
      <c r="AC151" s="5">
        <f>IF(AB151="","",IF(AB151="Months","Daily","Weekly"))</f>
        <v/>
      </c>
      <c r="AD151" s="17">
        <f>IF(V151="","",IF(AC151="Daily",V151*Controls!$B$13,V151))</f>
        <v/>
      </c>
      <c r="AE151" s="17">
        <f>IF(V151="","",IF(AC151="Daily",V151*Controls!$B$13,V151*Controls!$B$12))</f>
        <v/>
      </c>
      <c r="AF151" s="17">
        <f>IF(OR(E151="",F151=""),"",F151-E151)</f>
        <v/>
      </c>
      <c r="AG151" s="17">
        <f>IF(OR(E151="",F151=""),"",NETWORKDAYS(E151,F151,Ref!$F$4:$F$47))</f>
        <v/>
      </c>
      <c r="AH151" s="39">
        <f>IF(IFERROR(VLOOKUP(D151,Controls!$A$25:$D$35,2,FALSE()),"No")="Yes",1,0)</f>
        <v/>
      </c>
      <c r="AI151" s="39">
        <f>IF(IFERROR(VLOOKUP(D151,Controls!$A$25:$D$35,3,FALSE()),"No")="Yes",1,0)</f>
        <v/>
      </c>
      <c r="AJ151" s="39">
        <f>IF(IFERROR(VLOOKUP(D151,Controls!$A$25:$D$35,4,FALSE()),"No")="Yes",1,0)</f>
        <v/>
      </c>
      <c r="AK151" s="96">
        <f>IF(AND($E151&gt;=Controls!$B$5,$E151&lt;=Controls!$B$6,OR(Controls!$E$9&lt;&gt;"Y",$BE151=1)),1,0)</f>
        <v/>
      </c>
      <c r="AL151" s="39">
        <f>1</f>
        <v/>
      </c>
      <c r="AM151" s="20">
        <f>S151-P151</f>
        <v/>
      </c>
      <c r="AN151" s="20">
        <f>IF(AH151=1,MAX(0,P151-S151),0)</f>
        <v/>
      </c>
      <c r="AO151" s="21">
        <f>IFERROR(S151/P151,"")</f>
        <v/>
      </c>
      <c r="AP151" s="22">
        <f>IF(Y151="","",P151/Y151)</f>
        <v/>
      </c>
      <c r="AQ151" s="39">
        <f>IF(Y151="",0,1)</f>
        <v/>
      </c>
      <c r="AR151" s="39">
        <f>IF(S151&lt;=0,1,0)</f>
        <v/>
      </c>
      <c r="AS151" s="17">
        <f>IF(AH151=1,AG151,"")</f>
        <v/>
      </c>
      <c r="AT151" s="17">
        <f>IF(AND(AH151=0,AJ151=1),AG151,"")</f>
        <v/>
      </c>
      <c r="AU151" s="5">
        <f>IF(P151&lt;10000,"Under $10K",IF(P151&lt;20000,"$10-20K",IF(P151&lt;30000,"$20-30K",IF(P151&lt;50000,"$30-50K",IF(P151&lt;100000,"$50-100K","$100K+")))))</f>
        <v/>
      </c>
      <c r="AV151" s="5">
        <f>IF(O151&lt;=1.35,"1.35 and under",IF(O151&lt;=1.42,"1.36-1.42",IF(O151&lt;=1.45,"1.43-1.45",IF(O151&lt;1.49,"1.46-1.48",IF(O151&lt;=1.49,"1.49","Above 1.49")))))</f>
        <v/>
      </c>
      <c r="AW151" s="5">
        <f>IF(AE151="","",IF(AE151&lt;60,"Under 60",IF(AE151&lt;90,"60-89",IF(AE151&lt;120,"90-119",IF(AE151&lt;150,"120-149","150+")))))</f>
        <v/>
      </c>
      <c r="AX151" s="5">
        <f>IF(AP151="","No revenue data",IF(AP151&lt;0.15,"Under 0.15x",IF(AP151&lt;0.3,"0.15-0.30x",IF(AP151&lt;0.5,"0.30-0.50x",IF(AP151&lt;1,"0.50-1.00x","1.00x+")))))</f>
        <v/>
      </c>
      <c r="AY151" s="5">
        <f>IF(J151="","No SIC",IFERROR(VLOOKUP(J151,Ref!$A$4:$C$67,2,FALSE()),"Unclassified"))</f>
        <v/>
      </c>
      <c r="AZ151" s="5">
        <f>IF(E151="","",TEXT(E151,"YYYY")&amp;"-Q"&amp;ROUNDUP(MONTH(E151)/3,0))</f>
        <v/>
      </c>
      <c r="BA151" s="5">
        <f>IF(E151="","",TEXT(E151,"YYYY-MM"))</f>
        <v/>
      </c>
      <c r="BB151" s="5">
        <f>IF(E151="","",TEXT(E151,"YYYY"))</f>
        <v/>
      </c>
      <c r="BC151" s="92">
        <f>IF($E151="","",NETWORKDAYS($E151,Controls!$B$9,Ref!$F$4:$F$47))</f>
        <v/>
      </c>
      <c r="BD151" s="92">
        <f>IF(OR($AH151=1,$AJ151=1),1,0)</f>
        <v/>
      </c>
      <c r="BE151" s="95">
        <f>IF(OR($BD151=1,AND($AE151&lt;&gt;"",$BC151&gt;=Controls!$B$10*$AE151)),1,0)</f>
        <v/>
      </c>
    </row>
    <row r="152" ht="15.75" customHeight="1" s="79">
      <c r="A152" s="5" t="inlineStr">
        <is>
          <t>5674162104</t>
        </is>
      </c>
      <c r="B152" s="5" t="inlineStr">
        <is>
          <t>R &amp; D towing LLC</t>
        </is>
      </c>
      <c r="C152" s="5" t="inlineStr">
        <is>
          <t>R &amp; D towing LLC</t>
        </is>
      </c>
      <c r="D152" s="5" t="inlineStr">
        <is>
          <t>Legal</t>
        </is>
      </c>
      <c r="E152" s="16" t="n">
        <v>45856</v>
      </c>
      <c r="F152" s="16" t="n">
        <v>45924</v>
      </c>
      <c r="G152" s="17" t="n">
        <v>1</v>
      </c>
      <c r="H152" s="5" t="inlineStr">
        <is>
          <t>7549</t>
        </is>
      </c>
      <c r="I152" s="5" t="inlineStr">
        <is>
          <t>Motor Vehicle Towing</t>
        </is>
      </c>
      <c r="J152" s="5" t="inlineStr">
        <is>
          <t>75</t>
        </is>
      </c>
      <c r="K152" s="5" t="n">
        <v>7549</v>
      </c>
      <c r="L152" s="5" t="inlineStr">
        <is>
          <t>MI</t>
        </is>
      </c>
      <c r="M152" s="5" t="inlineStr">
        <is>
          <t>Fund Kite</t>
        </is>
      </c>
      <c r="N152" s="5" t="inlineStr">
        <is>
          <t>New Deal</t>
        </is>
      </c>
      <c r="O152" s="19" t="n">
        <v>1.49</v>
      </c>
      <c r="P152" s="20" t="n">
        <v>8000</v>
      </c>
      <c r="Q152" s="20" t="n">
        <v>0</v>
      </c>
      <c r="R152" s="20" t="n">
        <v>11920</v>
      </c>
      <c r="S152" s="20" t="n">
        <v>0</v>
      </c>
      <c r="T152" s="20" t="n">
        <v>11920</v>
      </c>
      <c r="U152" s="21" t="n">
        <v>0</v>
      </c>
      <c r="V152" s="22" t="n">
        <v>16</v>
      </c>
      <c r="W152" s="17" t="n">
        <v>397</v>
      </c>
      <c r="X152" s="17" t="n">
        <v>10</v>
      </c>
      <c r="Y152" s="20" t="n">
        <v>66914.91</v>
      </c>
      <c r="Z152" s="21" t="n">
        <v>0.0445</v>
      </c>
      <c r="AA152" s="16" t="n">
        <v>44727</v>
      </c>
      <c r="AB152" s="5">
        <f>IF(V152="","",IF(V152&lt;12,"Months","Weeks"))</f>
        <v/>
      </c>
      <c r="AC152" s="5">
        <f>IF(AB152="","",IF(AB152="Months","Daily","Weekly"))</f>
        <v/>
      </c>
      <c r="AD152" s="17">
        <f>IF(V152="","",IF(AC152="Daily",V152*Controls!$B$13,V152))</f>
        <v/>
      </c>
      <c r="AE152" s="17">
        <f>IF(V152="","",IF(AC152="Daily",V152*Controls!$B$13,V152*Controls!$B$12))</f>
        <v/>
      </c>
      <c r="AF152" s="17">
        <f>IF(OR(E152="",F152=""),"",F152-E152)</f>
        <v/>
      </c>
      <c r="AG152" s="17">
        <f>IF(OR(E152="",F152=""),"",NETWORKDAYS(E152,F152,Ref!$F$4:$F$47))</f>
        <v/>
      </c>
      <c r="AH152" s="39">
        <f>IF(IFERROR(VLOOKUP(D152,Controls!$A$25:$D$35,2,FALSE()),"No")="Yes",1,0)</f>
        <v/>
      </c>
      <c r="AI152" s="39">
        <f>IF(IFERROR(VLOOKUP(D152,Controls!$A$25:$D$35,3,FALSE()),"No")="Yes",1,0)</f>
        <v/>
      </c>
      <c r="AJ152" s="39">
        <f>IF(IFERROR(VLOOKUP(D152,Controls!$A$25:$D$35,4,FALSE()),"No")="Yes",1,0)</f>
        <v/>
      </c>
      <c r="AK152" s="96">
        <f>IF(AND($E152&gt;=Controls!$B$5,$E152&lt;=Controls!$B$6,OR(Controls!$E$9&lt;&gt;"Y",$BE152=1)),1,0)</f>
        <v/>
      </c>
      <c r="AL152" s="39">
        <f>1</f>
        <v/>
      </c>
      <c r="AM152" s="20">
        <f>S152-P152</f>
        <v/>
      </c>
      <c r="AN152" s="20">
        <f>IF(AH152=1,MAX(0,P152-S152),0)</f>
        <v/>
      </c>
      <c r="AO152" s="21">
        <f>IFERROR(S152/P152,"")</f>
        <v/>
      </c>
      <c r="AP152" s="22">
        <f>IF(Y152="","",P152/Y152)</f>
        <v/>
      </c>
      <c r="AQ152" s="39">
        <f>IF(Y152="",0,1)</f>
        <v/>
      </c>
      <c r="AR152" s="39">
        <f>IF(S152&lt;=0,1,0)</f>
        <v/>
      </c>
      <c r="AS152" s="17">
        <f>IF(AH152=1,AG152,"")</f>
        <v/>
      </c>
      <c r="AT152" s="17">
        <f>IF(AND(AH152=0,AJ152=1),AG152,"")</f>
        <v/>
      </c>
      <c r="AU152" s="5">
        <f>IF(P152&lt;10000,"Under $10K",IF(P152&lt;20000,"$10-20K",IF(P152&lt;30000,"$20-30K",IF(P152&lt;50000,"$30-50K",IF(P152&lt;100000,"$50-100K","$100K+")))))</f>
        <v/>
      </c>
      <c r="AV152" s="5">
        <f>IF(O152&lt;=1.35,"1.35 and under",IF(O152&lt;=1.42,"1.36-1.42",IF(O152&lt;=1.45,"1.43-1.45",IF(O152&lt;1.49,"1.46-1.48",IF(O152&lt;=1.49,"1.49","Above 1.49")))))</f>
        <v/>
      </c>
      <c r="AW152" s="5">
        <f>IF(AE152="","",IF(AE152&lt;60,"Under 60",IF(AE152&lt;90,"60-89",IF(AE152&lt;120,"90-119",IF(AE152&lt;150,"120-149","150+")))))</f>
        <v/>
      </c>
      <c r="AX152" s="5">
        <f>IF(AP152="","No revenue data",IF(AP152&lt;0.15,"Under 0.15x",IF(AP152&lt;0.3,"0.15-0.30x",IF(AP152&lt;0.5,"0.30-0.50x",IF(AP152&lt;1,"0.50-1.00x","1.00x+")))))</f>
        <v/>
      </c>
      <c r="AY152" s="5">
        <f>IF(J152="","No SIC",IFERROR(VLOOKUP(J152,Ref!$A$4:$C$67,2,FALSE()),"Unclassified"))</f>
        <v/>
      </c>
      <c r="AZ152" s="5">
        <f>IF(E152="","",TEXT(E152,"YYYY")&amp;"-Q"&amp;ROUNDUP(MONTH(E152)/3,0))</f>
        <v/>
      </c>
      <c r="BA152" s="5">
        <f>IF(E152="","",TEXT(E152,"YYYY-MM"))</f>
        <v/>
      </c>
      <c r="BB152" s="5">
        <f>IF(E152="","",TEXT(E152,"YYYY"))</f>
        <v/>
      </c>
      <c r="BC152" s="92">
        <f>IF($E152="","",NETWORKDAYS($E152,Controls!$B$9,Ref!$F$4:$F$47))</f>
        <v/>
      </c>
      <c r="BD152" s="92">
        <f>IF(OR($AH152=1,$AJ152=1),1,0)</f>
        <v/>
      </c>
      <c r="BE152" s="95">
        <f>IF(OR($BD152=1,AND($AE152&lt;&gt;"",$BC152&gt;=Controls!$B$10*$AE152)),1,0)</f>
        <v/>
      </c>
    </row>
    <row r="153" ht="15.75" customHeight="1" s="79">
      <c r="A153" s="5" t="inlineStr">
        <is>
          <t>5674162110</t>
        </is>
      </c>
      <c r="B153" s="5" t="inlineStr">
        <is>
          <t>POPULAR PROSPECTIVE PRODUCTS</t>
        </is>
      </c>
      <c r="C153" s="5" t="inlineStr">
        <is>
          <t>POPULAR PROSPECTIVE PRODUCTS, INC.</t>
        </is>
      </c>
      <c r="D153" s="5" t="inlineStr">
        <is>
          <t>Legal</t>
        </is>
      </c>
      <c r="E153" s="16" t="n">
        <v>45856</v>
      </c>
      <c r="F153" s="16" t="n">
        <v>46097</v>
      </c>
      <c r="G153" s="17" t="n">
        <v>1</v>
      </c>
      <c r="H153" s="5" t="inlineStr">
        <is>
          <t>5045</t>
        </is>
      </c>
      <c r="I153" s="5" t="inlineStr">
        <is>
          <t>Electronics Stores</t>
        </is>
      </c>
      <c r="J153" s="5" t="inlineStr">
        <is>
          <t>50</t>
        </is>
      </c>
      <c r="K153" s="5" t="n">
        <v>5732</v>
      </c>
      <c r="L153" s="5" t="inlineStr">
        <is>
          <t>TX</t>
        </is>
      </c>
      <c r="M153" s="5" t="inlineStr">
        <is>
          <t>PMF</t>
        </is>
      </c>
      <c r="N153" s="5" t="inlineStr">
        <is>
          <t>New Deal</t>
        </is>
      </c>
      <c r="O153" s="19" t="n">
        <v>1.31</v>
      </c>
      <c r="P153" s="20" t="n">
        <v>70000</v>
      </c>
      <c r="Q153" s="20" t="n">
        <v>2800</v>
      </c>
      <c r="R153" s="20" t="n">
        <v>91700</v>
      </c>
      <c r="S153" s="20" t="n">
        <v>57312.5</v>
      </c>
      <c r="T153" s="20" t="n">
        <v>34387.5</v>
      </c>
      <c r="U153" s="21" t="n">
        <v>0.625</v>
      </c>
      <c r="V153" s="22" t="n">
        <v>40</v>
      </c>
      <c r="W153" s="17" t="n">
        <v>177</v>
      </c>
      <c r="X153" s="17" t="n">
        <v>10</v>
      </c>
      <c r="Y153" s="20" t="n">
        <v>187654.36</v>
      </c>
      <c r="Z153" s="21" t="n">
        <v>0.0489</v>
      </c>
      <c r="AA153" s="16" t="n">
        <v>42705</v>
      </c>
      <c r="AB153" s="5">
        <f>IF(V153="","",IF(V153&lt;12,"Months","Weeks"))</f>
        <v/>
      </c>
      <c r="AC153" s="5">
        <f>IF(AB153="","",IF(AB153="Months","Daily","Weekly"))</f>
        <v/>
      </c>
      <c r="AD153" s="17">
        <f>IF(V153="","",IF(AC153="Daily",V153*Controls!$B$13,V153))</f>
        <v/>
      </c>
      <c r="AE153" s="17">
        <f>IF(V153="","",IF(AC153="Daily",V153*Controls!$B$13,V153*Controls!$B$12))</f>
        <v/>
      </c>
      <c r="AF153" s="17">
        <f>IF(OR(E153="",F153=""),"",F153-E153)</f>
        <v/>
      </c>
      <c r="AG153" s="17">
        <f>IF(OR(E153="",F153=""),"",NETWORKDAYS(E153,F153,Ref!$F$4:$F$47))</f>
        <v/>
      </c>
      <c r="AH153" s="39">
        <f>IF(IFERROR(VLOOKUP(D153,Controls!$A$25:$D$35,2,FALSE()),"No")="Yes",1,0)</f>
        <v/>
      </c>
      <c r="AI153" s="39">
        <f>IF(IFERROR(VLOOKUP(D153,Controls!$A$25:$D$35,3,FALSE()),"No")="Yes",1,0)</f>
        <v/>
      </c>
      <c r="AJ153" s="39">
        <f>IF(IFERROR(VLOOKUP(D153,Controls!$A$25:$D$35,4,FALSE()),"No")="Yes",1,0)</f>
        <v/>
      </c>
      <c r="AK153" s="96">
        <f>IF(AND($E153&gt;=Controls!$B$5,$E153&lt;=Controls!$B$6,OR(Controls!$E$9&lt;&gt;"Y",$BE153=1)),1,0)</f>
        <v/>
      </c>
      <c r="AL153" s="39">
        <f>1</f>
        <v/>
      </c>
      <c r="AM153" s="20">
        <f>S153-P153</f>
        <v/>
      </c>
      <c r="AN153" s="20">
        <f>IF(AH153=1,MAX(0,P153-S153),0)</f>
        <v/>
      </c>
      <c r="AO153" s="21">
        <f>IFERROR(S153/P153,"")</f>
        <v/>
      </c>
      <c r="AP153" s="22">
        <f>IF(Y153="","",P153/Y153)</f>
        <v/>
      </c>
      <c r="AQ153" s="39">
        <f>IF(Y153="",0,1)</f>
        <v/>
      </c>
      <c r="AR153" s="39">
        <f>IF(S153&lt;=0,1,0)</f>
        <v/>
      </c>
      <c r="AS153" s="17">
        <f>IF(AH153=1,AG153,"")</f>
        <v/>
      </c>
      <c r="AT153" s="17">
        <f>IF(AND(AH153=0,AJ153=1),AG153,"")</f>
        <v/>
      </c>
      <c r="AU153" s="5">
        <f>IF(P153&lt;10000,"Under $10K",IF(P153&lt;20000,"$10-20K",IF(P153&lt;30000,"$20-30K",IF(P153&lt;50000,"$30-50K",IF(P153&lt;100000,"$50-100K","$100K+")))))</f>
        <v/>
      </c>
      <c r="AV153" s="5">
        <f>IF(O153&lt;=1.35,"1.35 and under",IF(O153&lt;=1.42,"1.36-1.42",IF(O153&lt;=1.45,"1.43-1.45",IF(O153&lt;1.49,"1.46-1.48",IF(O153&lt;=1.49,"1.49","Above 1.49")))))</f>
        <v/>
      </c>
      <c r="AW153" s="5">
        <f>IF(AE153="","",IF(AE153&lt;60,"Under 60",IF(AE153&lt;90,"60-89",IF(AE153&lt;120,"90-119",IF(AE153&lt;150,"120-149","150+")))))</f>
        <v/>
      </c>
      <c r="AX153" s="5">
        <f>IF(AP153="","No revenue data",IF(AP153&lt;0.15,"Under 0.15x",IF(AP153&lt;0.3,"0.15-0.30x",IF(AP153&lt;0.5,"0.30-0.50x",IF(AP153&lt;1,"0.50-1.00x","1.00x+")))))</f>
        <v/>
      </c>
      <c r="AY153" s="5">
        <f>IF(J153="","No SIC",IFERROR(VLOOKUP(J153,Ref!$A$4:$C$67,2,FALSE()),"Unclassified"))</f>
        <v/>
      </c>
      <c r="AZ153" s="5">
        <f>IF(E153="","",TEXT(E153,"YYYY")&amp;"-Q"&amp;ROUNDUP(MONTH(E153)/3,0))</f>
        <v/>
      </c>
      <c r="BA153" s="5">
        <f>IF(E153="","",TEXT(E153,"YYYY-MM"))</f>
        <v/>
      </c>
      <c r="BB153" s="5">
        <f>IF(E153="","",TEXT(E153,"YYYY"))</f>
        <v/>
      </c>
      <c r="BC153" s="92">
        <f>IF($E153="","",NETWORKDAYS($E153,Controls!$B$9,Ref!$F$4:$F$47))</f>
        <v/>
      </c>
      <c r="BD153" s="92">
        <f>IF(OR($AH153=1,$AJ153=1),1,0)</f>
        <v/>
      </c>
      <c r="BE153" s="95">
        <f>IF(OR($BD153=1,AND($AE153&lt;&gt;"",$BC153&gt;=Controls!$B$10*$AE153)),1,0)</f>
        <v/>
      </c>
    </row>
    <row r="154" ht="15.75" customHeight="1" s="79">
      <c r="A154" s="5" t="inlineStr">
        <is>
          <t>5674162284</t>
        </is>
      </c>
      <c r="B154" s="5" t="inlineStr">
        <is>
          <t>Barberia calle loiza</t>
        </is>
      </c>
      <c r="C154" s="5" t="inlineStr">
        <is>
          <t>Barberia calle loiza</t>
        </is>
      </c>
      <c r="D154" s="5" t="inlineStr">
        <is>
          <t>Closed</t>
        </is>
      </c>
      <c r="E154" s="16" t="n">
        <v>45860</v>
      </c>
      <c r="F154" s="16" t="n">
        <v>45924</v>
      </c>
      <c r="G154" s="17" t="n">
        <v>1</v>
      </c>
      <c r="H154" s="5" t="inlineStr">
        <is>
          <t>7241</t>
        </is>
      </c>
      <c r="I154" s="5" t="inlineStr">
        <is>
          <t>Barber Shops</t>
        </is>
      </c>
      <c r="J154" s="5" t="inlineStr">
        <is>
          <t>72</t>
        </is>
      </c>
      <c r="K154" s="5" t="n">
        <v>7230</v>
      </c>
      <c r="L154" s="5" t="inlineStr">
        <is>
          <t>PR</t>
        </is>
      </c>
      <c r="M154" s="5" t="inlineStr">
        <is>
          <t>Siriux internacional corp</t>
        </is>
      </c>
      <c r="N154" s="5" t="inlineStr">
        <is>
          <t>New Deal</t>
        </is>
      </c>
      <c r="O154" s="19" t="n">
        <v>1.49</v>
      </c>
      <c r="P154" s="20" t="n">
        <v>6000</v>
      </c>
      <c r="Q154" s="20" t="n">
        <v>840</v>
      </c>
      <c r="R154" s="20" t="n">
        <v>8940</v>
      </c>
      <c r="S154" s="20" t="n">
        <v>8940</v>
      </c>
      <c r="T154" s="20" t="n">
        <v>0</v>
      </c>
      <c r="U154" s="21" t="n">
        <v>1</v>
      </c>
      <c r="V154" s="22" t="n">
        <v>2.623</v>
      </c>
      <c r="W154" s="17" t="n">
        <v>330</v>
      </c>
      <c r="X154" s="17" t="n">
        <v>0</v>
      </c>
      <c r="Y154" s="20" t="n">
        <v>13986.96</v>
      </c>
      <c r="Z154" s="21" t="n">
        <v>0.1419</v>
      </c>
      <c r="AA154" s="16" t="n">
        <v>42309</v>
      </c>
      <c r="AB154" s="5">
        <f>IF(V154="","",IF(V154&lt;12,"Months","Weeks"))</f>
        <v/>
      </c>
      <c r="AC154" s="5">
        <f>IF(AB154="","",IF(AB154="Months","Daily","Weekly"))</f>
        <v/>
      </c>
      <c r="AD154" s="17">
        <f>IF(V154="","",IF(AC154="Daily",V154*Controls!$B$13,V154))</f>
        <v/>
      </c>
      <c r="AE154" s="17">
        <f>IF(V154="","",IF(AC154="Daily",V154*Controls!$B$13,V154*Controls!$B$12))</f>
        <v/>
      </c>
      <c r="AF154" s="17">
        <f>IF(OR(E154="",F154=""),"",F154-E154)</f>
        <v/>
      </c>
      <c r="AG154" s="17">
        <f>IF(OR(E154="",F154=""),"",NETWORKDAYS(E154,F154,Ref!$F$4:$F$47))</f>
        <v/>
      </c>
      <c r="AH154" s="39">
        <f>IF(IFERROR(VLOOKUP(D154,Controls!$A$25:$D$35,2,FALSE()),"No")="Yes",1,0)</f>
        <v/>
      </c>
      <c r="AI154" s="39">
        <f>IF(IFERROR(VLOOKUP(D154,Controls!$A$25:$D$35,3,FALSE()),"No")="Yes",1,0)</f>
        <v/>
      </c>
      <c r="AJ154" s="39">
        <f>IF(IFERROR(VLOOKUP(D154,Controls!$A$25:$D$35,4,FALSE()),"No")="Yes",1,0)</f>
        <v/>
      </c>
      <c r="AK154" s="96">
        <f>IF(AND($E154&gt;=Controls!$B$5,$E154&lt;=Controls!$B$6,OR(Controls!$E$9&lt;&gt;"Y",$BE154=1)),1,0)</f>
        <v/>
      </c>
      <c r="AL154" s="39">
        <f>1</f>
        <v/>
      </c>
      <c r="AM154" s="20">
        <f>S154-P154</f>
        <v/>
      </c>
      <c r="AN154" s="20">
        <f>IF(AH154=1,MAX(0,P154-S154),0)</f>
        <v/>
      </c>
      <c r="AO154" s="21">
        <f>IFERROR(S154/P154,"")</f>
        <v/>
      </c>
      <c r="AP154" s="22">
        <f>IF(Y154="","",P154/Y154)</f>
        <v/>
      </c>
      <c r="AQ154" s="39">
        <f>IF(Y154="",0,1)</f>
        <v/>
      </c>
      <c r="AR154" s="39">
        <f>IF(S154&lt;=0,1,0)</f>
        <v/>
      </c>
      <c r="AS154" s="17">
        <f>IF(AH154=1,AG154,"")</f>
        <v/>
      </c>
      <c r="AT154" s="17">
        <f>IF(AND(AH154=0,AJ154=1),AG154,"")</f>
        <v/>
      </c>
      <c r="AU154" s="5">
        <f>IF(P154&lt;10000,"Under $10K",IF(P154&lt;20000,"$10-20K",IF(P154&lt;30000,"$20-30K",IF(P154&lt;50000,"$30-50K",IF(P154&lt;100000,"$50-100K","$100K+")))))</f>
        <v/>
      </c>
      <c r="AV154" s="5">
        <f>IF(O154&lt;=1.35,"1.35 and under",IF(O154&lt;=1.42,"1.36-1.42",IF(O154&lt;=1.45,"1.43-1.45",IF(O154&lt;1.49,"1.46-1.48",IF(O154&lt;=1.49,"1.49","Above 1.49")))))</f>
        <v/>
      </c>
      <c r="AW154" s="5">
        <f>IF(AE154="","",IF(AE154&lt;60,"Under 60",IF(AE154&lt;90,"60-89",IF(AE154&lt;120,"90-119",IF(AE154&lt;150,"120-149","150+")))))</f>
        <v/>
      </c>
      <c r="AX154" s="5">
        <f>IF(AP154="","No revenue data",IF(AP154&lt;0.15,"Under 0.15x",IF(AP154&lt;0.3,"0.15-0.30x",IF(AP154&lt;0.5,"0.30-0.50x",IF(AP154&lt;1,"0.50-1.00x","1.00x+")))))</f>
        <v/>
      </c>
      <c r="AY154" s="5">
        <f>IF(J154="","No SIC",IFERROR(VLOOKUP(J154,Ref!$A$4:$C$67,2,FALSE()),"Unclassified"))</f>
        <v/>
      </c>
      <c r="AZ154" s="5">
        <f>IF(E154="","",TEXT(E154,"YYYY")&amp;"-Q"&amp;ROUNDUP(MONTH(E154)/3,0))</f>
        <v/>
      </c>
      <c r="BA154" s="5">
        <f>IF(E154="","",TEXT(E154,"YYYY-MM"))</f>
        <v/>
      </c>
      <c r="BB154" s="5">
        <f>IF(E154="","",TEXT(E154,"YYYY"))</f>
        <v/>
      </c>
      <c r="BC154" s="92">
        <f>IF($E154="","",NETWORKDAYS($E154,Controls!$B$9,Ref!$F$4:$F$47))</f>
        <v/>
      </c>
      <c r="BD154" s="92">
        <f>IF(OR($AH154=1,$AJ154=1),1,0)</f>
        <v/>
      </c>
      <c r="BE154" s="95">
        <f>IF(OR($BD154=1,AND($AE154&lt;&gt;"",$BC154&gt;=Controls!$B$10*$AE154)),1,0)</f>
        <v/>
      </c>
    </row>
    <row r="155" ht="15.75" customHeight="1" s="79">
      <c r="A155" s="5" t="inlineStr">
        <is>
          <t>5674162288</t>
        </is>
      </c>
      <c r="B155" s="5" t="inlineStr">
        <is>
          <t>BLUE RIDGE WORLDWIDE LLC</t>
        </is>
      </c>
      <c r="C155" s="5" t="inlineStr">
        <is>
          <t>BLUE RIDGE WORLDWIDE LLC</t>
        </is>
      </c>
      <c r="D155" s="5" t="inlineStr">
        <is>
          <t>Legal</t>
        </is>
      </c>
      <c r="E155" s="16" t="n">
        <v>45860</v>
      </c>
      <c r="F155" s="16" t="n">
        <v>45980</v>
      </c>
      <c r="G155" s="17" t="n">
        <v>1</v>
      </c>
      <c r="H155" s="5" t="inlineStr">
        <is>
          <t>4212</t>
        </is>
      </c>
      <c r="I155" s="5" t="inlineStr">
        <is>
          <t>Specialized Freight (Except Used Goods) Trucking, Local</t>
        </is>
      </c>
      <c r="J155" s="5" t="inlineStr">
        <is>
          <t>42</t>
        </is>
      </c>
      <c r="K155" s="5" t="n">
        <v>4214</v>
      </c>
      <c r="L155" s="5" t="inlineStr">
        <is>
          <t>SC</t>
        </is>
      </c>
      <c r="M155" s="5" t="inlineStr">
        <is>
          <t>The Funding Channel</t>
        </is>
      </c>
      <c r="N155" s="5" t="inlineStr">
        <is>
          <t>New Deal</t>
        </is>
      </c>
      <c r="O155" s="19" t="n">
        <v>1.499</v>
      </c>
      <c r="P155" s="20" t="n">
        <v>5000</v>
      </c>
      <c r="Q155" s="20" t="n">
        <v>700</v>
      </c>
      <c r="R155" s="20" t="n">
        <v>7495</v>
      </c>
      <c r="S155" s="20" t="n">
        <v>4966.4</v>
      </c>
      <c r="T155" s="20" t="n">
        <v>2528.6</v>
      </c>
      <c r="U155" s="21" t="n">
        <v>0.662628418945964</v>
      </c>
      <c r="V155" s="22" t="n">
        <v>1.967</v>
      </c>
      <c r="W155" s="17" t="n">
        <v>337</v>
      </c>
      <c r="X155" s="17" t="n">
        <v>26</v>
      </c>
      <c r="Y155" s="20" t="n">
        <v>20211.69</v>
      </c>
      <c r="Z155" s="21" t="n">
        <v>0.129</v>
      </c>
      <c r="AA155" s="16" t="n">
        <v>40948</v>
      </c>
      <c r="AB155" s="5">
        <f>IF(V155="","",IF(V155&lt;12,"Months","Weeks"))</f>
        <v/>
      </c>
      <c r="AC155" s="5">
        <f>IF(AB155="","",IF(AB155="Months","Daily","Weekly"))</f>
        <v/>
      </c>
      <c r="AD155" s="17">
        <f>IF(V155="","",IF(AC155="Daily",V155*Controls!$B$13,V155))</f>
        <v/>
      </c>
      <c r="AE155" s="17">
        <f>IF(V155="","",IF(AC155="Daily",V155*Controls!$B$13,V155*Controls!$B$12))</f>
        <v/>
      </c>
      <c r="AF155" s="17">
        <f>IF(OR(E155="",F155=""),"",F155-E155)</f>
        <v/>
      </c>
      <c r="AG155" s="17">
        <f>IF(OR(E155="",F155=""),"",NETWORKDAYS(E155,F155,Ref!$F$4:$F$47))</f>
        <v/>
      </c>
      <c r="AH155" s="39">
        <f>IF(IFERROR(VLOOKUP(D155,Controls!$A$25:$D$35,2,FALSE()),"No")="Yes",1,0)</f>
        <v/>
      </c>
      <c r="AI155" s="39">
        <f>IF(IFERROR(VLOOKUP(D155,Controls!$A$25:$D$35,3,FALSE()),"No")="Yes",1,0)</f>
        <v/>
      </c>
      <c r="AJ155" s="39">
        <f>IF(IFERROR(VLOOKUP(D155,Controls!$A$25:$D$35,4,FALSE()),"No")="Yes",1,0)</f>
        <v/>
      </c>
      <c r="AK155" s="96">
        <f>IF(AND($E155&gt;=Controls!$B$5,$E155&lt;=Controls!$B$6,OR(Controls!$E$9&lt;&gt;"Y",$BE155=1)),1,0)</f>
        <v/>
      </c>
      <c r="AL155" s="39">
        <f>1</f>
        <v/>
      </c>
      <c r="AM155" s="20">
        <f>S155-P155</f>
        <v/>
      </c>
      <c r="AN155" s="20">
        <f>IF(AH155=1,MAX(0,P155-S155),0)</f>
        <v/>
      </c>
      <c r="AO155" s="21">
        <f>IFERROR(S155/P155,"")</f>
        <v/>
      </c>
      <c r="AP155" s="22">
        <f>IF(Y155="","",P155/Y155)</f>
        <v/>
      </c>
      <c r="AQ155" s="39">
        <f>IF(Y155="",0,1)</f>
        <v/>
      </c>
      <c r="AR155" s="39">
        <f>IF(S155&lt;=0,1,0)</f>
        <v/>
      </c>
      <c r="AS155" s="17">
        <f>IF(AH155=1,AG155,"")</f>
        <v/>
      </c>
      <c r="AT155" s="17">
        <f>IF(AND(AH155=0,AJ155=1),AG155,"")</f>
        <v/>
      </c>
      <c r="AU155" s="5">
        <f>IF(P155&lt;10000,"Under $10K",IF(P155&lt;20000,"$10-20K",IF(P155&lt;30000,"$20-30K",IF(P155&lt;50000,"$30-50K",IF(P155&lt;100000,"$50-100K","$100K+")))))</f>
        <v/>
      </c>
      <c r="AV155" s="5">
        <f>IF(O155&lt;=1.35,"1.35 and under",IF(O155&lt;=1.42,"1.36-1.42",IF(O155&lt;=1.45,"1.43-1.45",IF(O155&lt;1.49,"1.46-1.48",IF(O155&lt;=1.49,"1.49","Above 1.49")))))</f>
        <v/>
      </c>
      <c r="AW155" s="5">
        <f>IF(AE155="","",IF(AE155&lt;60,"Under 60",IF(AE155&lt;90,"60-89",IF(AE155&lt;120,"90-119",IF(AE155&lt;150,"120-149","150+")))))</f>
        <v/>
      </c>
      <c r="AX155" s="5">
        <f>IF(AP155="","No revenue data",IF(AP155&lt;0.15,"Under 0.15x",IF(AP155&lt;0.3,"0.15-0.30x",IF(AP155&lt;0.5,"0.30-0.50x",IF(AP155&lt;1,"0.50-1.00x","1.00x+")))))</f>
        <v/>
      </c>
      <c r="AY155" s="5">
        <f>IF(J155="","No SIC",IFERROR(VLOOKUP(J155,Ref!$A$4:$C$67,2,FALSE()),"Unclassified"))</f>
        <v/>
      </c>
      <c r="AZ155" s="5">
        <f>IF(E155="","",TEXT(E155,"YYYY")&amp;"-Q"&amp;ROUNDUP(MONTH(E155)/3,0))</f>
        <v/>
      </c>
      <c r="BA155" s="5">
        <f>IF(E155="","",TEXT(E155,"YYYY-MM"))</f>
        <v/>
      </c>
      <c r="BB155" s="5">
        <f>IF(E155="","",TEXT(E155,"YYYY"))</f>
        <v/>
      </c>
      <c r="BC155" s="92">
        <f>IF($E155="","",NETWORKDAYS($E155,Controls!$B$9,Ref!$F$4:$F$47))</f>
        <v/>
      </c>
      <c r="BD155" s="92">
        <f>IF(OR($AH155=1,$AJ155=1),1,0)</f>
        <v/>
      </c>
      <c r="BE155" s="95">
        <f>IF(OR($BD155=1,AND($AE155&lt;&gt;"",$BC155&gt;=Controls!$B$10*$AE155)),1,0)</f>
        <v/>
      </c>
    </row>
    <row r="156" ht="15.75" customHeight="1" s="79">
      <c r="A156" s="5" t="inlineStr">
        <is>
          <t>5674162307</t>
        </is>
      </c>
      <c r="B156" s="5" t="inlineStr">
        <is>
          <t>Myatt's Shirts &amp; Sports</t>
        </is>
      </c>
      <c r="C156" s="5" t="inlineStr">
        <is>
          <t>Stratton Inc</t>
        </is>
      </c>
      <c r="D156" s="5" t="inlineStr">
        <is>
          <t>Closed</t>
        </is>
      </c>
      <c r="E156" s="16" t="n">
        <v>45860</v>
      </c>
      <c r="F156" s="16" t="n">
        <v>45968</v>
      </c>
      <c r="G156" s="17" t="n">
        <v>7</v>
      </c>
      <c r="H156" s="5" t="inlineStr">
        <is>
          <t>5999</t>
        </is>
      </c>
      <c r="I156" s="5" t="inlineStr">
        <is>
          <t>All Other Misc. Store Retailers (Except Tobacco Stores)</t>
        </is>
      </c>
      <c r="J156" s="5" t="inlineStr">
        <is>
          <t>59</t>
        </is>
      </c>
      <c r="K156" s="5" t="n">
        <v>5999</v>
      </c>
      <c r="L156" s="5" t="inlineStr">
        <is>
          <t>ID</t>
        </is>
      </c>
      <c r="M156" s="5" t="inlineStr">
        <is>
          <t>Platform Funding</t>
        </is>
      </c>
      <c r="N156" s="5" t="inlineStr">
        <is>
          <t>New Deal</t>
        </is>
      </c>
      <c r="O156" s="19" t="n">
        <v>1.499</v>
      </c>
      <c r="P156" s="20" t="n">
        <v>8500</v>
      </c>
      <c r="Q156" s="20" t="n">
        <v>1190</v>
      </c>
      <c r="R156" s="20" t="n">
        <v>12741.5</v>
      </c>
      <c r="S156" s="20" t="n">
        <v>12741.5</v>
      </c>
      <c r="T156" s="20" t="n">
        <v>1.81898940354586e-12</v>
      </c>
      <c r="U156" s="21" t="n">
        <v>1</v>
      </c>
      <c r="V156" s="22" t="n">
        <v>14</v>
      </c>
      <c r="W156" s="17" t="n">
        <v>285</v>
      </c>
      <c r="X156" s="17" t="n">
        <v>1</v>
      </c>
      <c r="Y156" s="20" t="n">
        <v>46683.35</v>
      </c>
      <c r="Z156" s="21" t="n">
        <v>0.0775</v>
      </c>
      <c r="AA156" s="16" t="n">
        <v>44694</v>
      </c>
      <c r="AB156" s="5">
        <f>IF(V156="","",IF(V156&lt;12,"Months","Weeks"))</f>
        <v/>
      </c>
      <c r="AC156" s="5">
        <f>IF(AB156="","",IF(AB156="Months","Daily","Weekly"))</f>
        <v/>
      </c>
      <c r="AD156" s="17">
        <f>IF(V156="","",IF(AC156="Daily",V156*Controls!$B$13,V156))</f>
        <v/>
      </c>
      <c r="AE156" s="17">
        <f>IF(V156="","",IF(AC156="Daily",V156*Controls!$B$13,V156*Controls!$B$12))</f>
        <v/>
      </c>
      <c r="AF156" s="17">
        <f>IF(OR(E156="",F156=""),"",F156-E156)</f>
        <v/>
      </c>
      <c r="AG156" s="17">
        <f>IF(OR(E156="",F156=""),"",NETWORKDAYS(E156,F156,Ref!$F$4:$F$47))</f>
        <v/>
      </c>
      <c r="AH156" s="39">
        <f>IF(IFERROR(VLOOKUP(D156,Controls!$A$25:$D$35,2,FALSE()),"No")="Yes",1,0)</f>
        <v/>
      </c>
      <c r="AI156" s="39">
        <f>IF(IFERROR(VLOOKUP(D156,Controls!$A$25:$D$35,3,FALSE()),"No")="Yes",1,0)</f>
        <v/>
      </c>
      <c r="AJ156" s="39">
        <f>IF(IFERROR(VLOOKUP(D156,Controls!$A$25:$D$35,4,FALSE()),"No")="Yes",1,0)</f>
        <v/>
      </c>
      <c r="AK156" s="96">
        <f>IF(AND($E156&gt;=Controls!$B$5,$E156&lt;=Controls!$B$6,OR(Controls!$E$9&lt;&gt;"Y",$BE156=1)),1,0)</f>
        <v/>
      </c>
      <c r="AL156" s="39">
        <f>1</f>
        <v/>
      </c>
      <c r="AM156" s="20">
        <f>S156-P156</f>
        <v/>
      </c>
      <c r="AN156" s="20">
        <f>IF(AH156=1,MAX(0,P156-S156),0)</f>
        <v/>
      </c>
      <c r="AO156" s="21">
        <f>IFERROR(S156/P156,"")</f>
        <v/>
      </c>
      <c r="AP156" s="22">
        <f>IF(Y156="","",P156/Y156)</f>
        <v/>
      </c>
      <c r="AQ156" s="39">
        <f>IF(Y156="",0,1)</f>
        <v/>
      </c>
      <c r="AR156" s="39">
        <f>IF(S156&lt;=0,1,0)</f>
        <v/>
      </c>
      <c r="AS156" s="17">
        <f>IF(AH156=1,AG156,"")</f>
        <v/>
      </c>
      <c r="AT156" s="17">
        <f>IF(AND(AH156=0,AJ156=1),AG156,"")</f>
        <v/>
      </c>
      <c r="AU156" s="5">
        <f>IF(P156&lt;10000,"Under $10K",IF(P156&lt;20000,"$10-20K",IF(P156&lt;30000,"$20-30K",IF(P156&lt;50000,"$30-50K",IF(P156&lt;100000,"$50-100K","$100K+")))))</f>
        <v/>
      </c>
      <c r="AV156" s="5">
        <f>IF(O156&lt;=1.35,"1.35 and under",IF(O156&lt;=1.42,"1.36-1.42",IF(O156&lt;=1.45,"1.43-1.45",IF(O156&lt;1.49,"1.46-1.48",IF(O156&lt;=1.49,"1.49","Above 1.49")))))</f>
        <v/>
      </c>
      <c r="AW156" s="5">
        <f>IF(AE156="","",IF(AE156&lt;60,"Under 60",IF(AE156&lt;90,"60-89",IF(AE156&lt;120,"90-119",IF(AE156&lt;150,"120-149","150+")))))</f>
        <v/>
      </c>
      <c r="AX156" s="5">
        <f>IF(AP156="","No revenue data",IF(AP156&lt;0.15,"Under 0.15x",IF(AP156&lt;0.3,"0.15-0.30x",IF(AP156&lt;0.5,"0.30-0.50x",IF(AP156&lt;1,"0.50-1.00x","1.00x+")))))</f>
        <v/>
      </c>
      <c r="AY156" s="5">
        <f>IF(J156="","No SIC",IFERROR(VLOOKUP(J156,Ref!$A$4:$C$67,2,FALSE()),"Unclassified"))</f>
        <v/>
      </c>
      <c r="AZ156" s="5">
        <f>IF(E156="","",TEXT(E156,"YYYY")&amp;"-Q"&amp;ROUNDUP(MONTH(E156)/3,0))</f>
        <v/>
      </c>
      <c r="BA156" s="5">
        <f>IF(E156="","",TEXT(E156,"YYYY-MM"))</f>
        <v/>
      </c>
      <c r="BB156" s="5">
        <f>IF(E156="","",TEXT(E156,"YYYY"))</f>
        <v/>
      </c>
      <c r="BC156" s="92">
        <f>IF($E156="","",NETWORKDAYS($E156,Controls!$B$9,Ref!$F$4:$F$47))</f>
        <v/>
      </c>
      <c r="BD156" s="92">
        <f>IF(OR($AH156=1,$AJ156=1),1,0)</f>
        <v/>
      </c>
      <c r="BE156" s="95">
        <f>IF(OR($BD156=1,AND($AE156&lt;&gt;"",$BC156&gt;=Controls!$B$10*$AE156)),1,0)</f>
        <v/>
      </c>
    </row>
    <row r="157" ht="15.75" customHeight="1" s="79">
      <c r="A157" s="5" t="inlineStr">
        <is>
          <t>5674162311</t>
        </is>
      </c>
      <c r="B157" s="5" t="inlineStr">
        <is>
          <t>VALOR TOURS LTD</t>
        </is>
      </c>
      <c r="C157" s="5" t="inlineStr">
        <is>
          <t>VALOR TOURS LTD</t>
        </is>
      </c>
      <c r="D157" s="5" t="inlineStr">
        <is>
          <t>Closed</t>
        </is>
      </c>
      <c r="E157" s="16" t="n">
        <v>45860</v>
      </c>
      <c r="F157" s="16" t="n">
        <v>45961</v>
      </c>
      <c r="G157" s="17" t="n">
        <v>2</v>
      </c>
      <c r="H157" s="5" t="inlineStr">
        <is>
          <t>4725</t>
        </is>
      </c>
      <c r="I157" s="5" t="inlineStr">
        <is>
          <t>Tour Operators</t>
        </is>
      </c>
      <c r="J157" s="5" t="inlineStr">
        <is>
          <t>47</t>
        </is>
      </c>
      <c r="K157" s="5" t="n">
        <v>4722</v>
      </c>
      <c r="L157" s="5" t="inlineStr">
        <is>
          <t>CA</t>
        </is>
      </c>
      <c r="M157" s="5" t="inlineStr">
        <is>
          <t>Westwood</t>
        </is>
      </c>
      <c r="N157" s="5" t="inlineStr">
        <is>
          <t>New Deal</t>
        </is>
      </c>
      <c r="O157" s="19" t="n">
        <v>1.49</v>
      </c>
      <c r="P157" s="20" t="n">
        <v>15000</v>
      </c>
      <c r="Q157" s="20" t="n">
        <v>2100</v>
      </c>
      <c r="R157" s="20" t="n">
        <v>22350</v>
      </c>
      <c r="S157" s="20" t="n">
        <v>22350</v>
      </c>
      <c r="T157" s="20" t="n">
        <v>0</v>
      </c>
      <c r="U157" s="21" t="n">
        <v>1</v>
      </c>
      <c r="V157" s="22" t="n">
        <v>3.279</v>
      </c>
      <c r="W157" s="17" t="n">
        <v>292</v>
      </c>
      <c r="X157" s="17" t="n">
        <v>1</v>
      </c>
      <c r="Y157" s="20" t="n">
        <v>48699.19</v>
      </c>
      <c r="Z157" s="21" t="n">
        <v>0.0964</v>
      </c>
      <c r="AA157" s="16" t="n">
        <v>42917</v>
      </c>
      <c r="AB157" s="5">
        <f>IF(V157="","",IF(V157&lt;12,"Months","Weeks"))</f>
        <v/>
      </c>
      <c r="AC157" s="5">
        <f>IF(AB157="","",IF(AB157="Months","Daily","Weekly"))</f>
        <v/>
      </c>
      <c r="AD157" s="17">
        <f>IF(V157="","",IF(AC157="Daily",V157*Controls!$B$13,V157))</f>
        <v/>
      </c>
      <c r="AE157" s="17">
        <f>IF(V157="","",IF(AC157="Daily",V157*Controls!$B$13,V157*Controls!$B$12))</f>
        <v/>
      </c>
      <c r="AF157" s="17">
        <f>IF(OR(E157="",F157=""),"",F157-E157)</f>
        <v/>
      </c>
      <c r="AG157" s="17">
        <f>IF(OR(E157="",F157=""),"",NETWORKDAYS(E157,F157,Ref!$F$4:$F$47))</f>
        <v/>
      </c>
      <c r="AH157" s="39">
        <f>IF(IFERROR(VLOOKUP(D157,Controls!$A$25:$D$35,2,FALSE()),"No")="Yes",1,0)</f>
        <v/>
      </c>
      <c r="AI157" s="39">
        <f>IF(IFERROR(VLOOKUP(D157,Controls!$A$25:$D$35,3,FALSE()),"No")="Yes",1,0)</f>
        <v/>
      </c>
      <c r="AJ157" s="39">
        <f>IF(IFERROR(VLOOKUP(D157,Controls!$A$25:$D$35,4,FALSE()),"No")="Yes",1,0)</f>
        <v/>
      </c>
      <c r="AK157" s="96">
        <f>IF(AND($E157&gt;=Controls!$B$5,$E157&lt;=Controls!$B$6,OR(Controls!$E$9&lt;&gt;"Y",$BE157=1)),1,0)</f>
        <v/>
      </c>
      <c r="AL157" s="39">
        <f>1</f>
        <v/>
      </c>
      <c r="AM157" s="20">
        <f>S157-P157</f>
        <v/>
      </c>
      <c r="AN157" s="20">
        <f>IF(AH157=1,MAX(0,P157-S157),0)</f>
        <v/>
      </c>
      <c r="AO157" s="21">
        <f>IFERROR(S157/P157,"")</f>
        <v/>
      </c>
      <c r="AP157" s="22">
        <f>IF(Y157="","",P157/Y157)</f>
        <v/>
      </c>
      <c r="AQ157" s="39">
        <f>IF(Y157="",0,1)</f>
        <v/>
      </c>
      <c r="AR157" s="39">
        <f>IF(S157&lt;=0,1,0)</f>
        <v/>
      </c>
      <c r="AS157" s="17">
        <f>IF(AH157=1,AG157,"")</f>
        <v/>
      </c>
      <c r="AT157" s="17">
        <f>IF(AND(AH157=0,AJ157=1),AG157,"")</f>
        <v/>
      </c>
      <c r="AU157" s="5">
        <f>IF(P157&lt;10000,"Under $10K",IF(P157&lt;20000,"$10-20K",IF(P157&lt;30000,"$20-30K",IF(P157&lt;50000,"$30-50K",IF(P157&lt;100000,"$50-100K","$100K+")))))</f>
        <v/>
      </c>
      <c r="AV157" s="5">
        <f>IF(O157&lt;=1.35,"1.35 and under",IF(O157&lt;=1.42,"1.36-1.42",IF(O157&lt;=1.45,"1.43-1.45",IF(O157&lt;1.49,"1.46-1.48",IF(O157&lt;=1.49,"1.49","Above 1.49")))))</f>
        <v/>
      </c>
      <c r="AW157" s="5">
        <f>IF(AE157="","",IF(AE157&lt;60,"Under 60",IF(AE157&lt;90,"60-89",IF(AE157&lt;120,"90-119",IF(AE157&lt;150,"120-149","150+")))))</f>
        <v/>
      </c>
      <c r="AX157" s="5">
        <f>IF(AP157="","No revenue data",IF(AP157&lt;0.15,"Under 0.15x",IF(AP157&lt;0.3,"0.15-0.30x",IF(AP157&lt;0.5,"0.30-0.50x",IF(AP157&lt;1,"0.50-1.00x","1.00x+")))))</f>
        <v/>
      </c>
      <c r="AY157" s="5">
        <f>IF(J157="","No SIC",IFERROR(VLOOKUP(J157,Ref!$A$4:$C$67,2,FALSE()),"Unclassified"))</f>
        <v/>
      </c>
      <c r="AZ157" s="5">
        <f>IF(E157="","",TEXT(E157,"YYYY")&amp;"-Q"&amp;ROUNDUP(MONTH(E157)/3,0))</f>
        <v/>
      </c>
      <c r="BA157" s="5">
        <f>IF(E157="","",TEXT(E157,"YYYY-MM"))</f>
        <v/>
      </c>
      <c r="BB157" s="5">
        <f>IF(E157="","",TEXT(E157,"YYYY"))</f>
        <v/>
      </c>
      <c r="BC157" s="92">
        <f>IF($E157="","",NETWORKDAYS($E157,Controls!$B$9,Ref!$F$4:$F$47))</f>
        <v/>
      </c>
      <c r="BD157" s="92">
        <f>IF(OR($AH157=1,$AJ157=1),1,0)</f>
        <v/>
      </c>
      <c r="BE157" s="95">
        <f>IF(OR($BD157=1,AND($AE157&lt;&gt;"",$BC157&gt;=Controls!$B$10*$AE157)),1,0)</f>
        <v/>
      </c>
    </row>
    <row r="158" ht="15.75" customHeight="1" s="79">
      <c r="A158" s="5" t="inlineStr">
        <is>
          <t>5674162314</t>
        </is>
      </c>
      <c r="B158" s="5" t="inlineStr">
        <is>
          <t>PRIDECO LLC</t>
        </is>
      </c>
      <c r="C158" s="5" t="inlineStr">
        <is>
          <t>PRIDECO LLC</t>
        </is>
      </c>
      <c r="D158" s="5" t="inlineStr">
        <is>
          <t>Closed</t>
        </is>
      </c>
      <c r="E158" s="16" t="n">
        <v>45860</v>
      </c>
      <c r="F158" s="16" t="n">
        <v>45945</v>
      </c>
      <c r="G158" s="17" t="n">
        <v>4</v>
      </c>
      <c r="H158" s="5" t="inlineStr">
        <is>
          <t>1521</t>
        </is>
      </c>
      <c r="I158" s="5" t="inlineStr">
        <is>
          <t>New Single-Family Housing Construction (Except For-Sale Builders)</t>
        </is>
      </c>
      <c r="J158" s="5" t="inlineStr">
        <is>
          <t>15</t>
        </is>
      </c>
      <c r="K158" s="5" t="n">
        <v>1520</v>
      </c>
      <c r="L158" s="5" t="inlineStr">
        <is>
          <t>LA</t>
        </is>
      </c>
      <c r="M158" s="5" t="inlineStr">
        <is>
          <t>Supreme Capital Solutions</t>
        </is>
      </c>
      <c r="N158" s="5" t="inlineStr">
        <is>
          <t>New Deal</t>
        </is>
      </c>
      <c r="O158" s="19" t="n">
        <v>1.499</v>
      </c>
      <c r="P158" s="20" t="n">
        <v>10000</v>
      </c>
      <c r="Q158" s="20" t="n">
        <v>1400</v>
      </c>
      <c r="R158" s="20" t="n">
        <v>14990</v>
      </c>
      <c r="S158" s="20" t="n">
        <v>14990</v>
      </c>
      <c r="T158" s="20" t="n">
        <v>1.81898940354586e-12</v>
      </c>
      <c r="U158" s="21" t="n">
        <v>1</v>
      </c>
      <c r="V158" s="22" t="n">
        <v>1.803</v>
      </c>
      <c r="W158" s="17" t="n">
        <v>308</v>
      </c>
      <c r="X158" s="17" t="n">
        <v>3</v>
      </c>
      <c r="Y158" s="20" t="n">
        <v>167952.8</v>
      </c>
      <c r="Z158" s="21" t="n">
        <v>0.0339</v>
      </c>
      <c r="AA158" s="5" t="n"/>
      <c r="AB158" s="5">
        <f>IF(V158="","",IF(V158&lt;12,"Months","Weeks"))</f>
        <v/>
      </c>
      <c r="AC158" s="5">
        <f>IF(AB158="","",IF(AB158="Months","Daily","Weekly"))</f>
        <v/>
      </c>
      <c r="AD158" s="17">
        <f>IF(V158="","",IF(AC158="Daily",V158*Controls!$B$13,V158))</f>
        <v/>
      </c>
      <c r="AE158" s="17">
        <f>IF(V158="","",IF(AC158="Daily",V158*Controls!$B$13,V158*Controls!$B$12))</f>
        <v/>
      </c>
      <c r="AF158" s="17">
        <f>IF(OR(E158="",F158=""),"",F158-E158)</f>
        <v/>
      </c>
      <c r="AG158" s="17">
        <f>IF(OR(E158="",F158=""),"",NETWORKDAYS(E158,F158,Ref!$F$4:$F$47))</f>
        <v/>
      </c>
      <c r="AH158" s="39">
        <f>IF(IFERROR(VLOOKUP(D158,Controls!$A$25:$D$35,2,FALSE()),"No")="Yes",1,0)</f>
        <v/>
      </c>
      <c r="AI158" s="39">
        <f>IF(IFERROR(VLOOKUP(D158,Controls!$A$25:$D$35,3,FALSE()),"No")="Yes",1,0)</f>
        <v/>
      </c>
      <c r="AJ158" s="39">
        <f>IF(IFERROR(VLOOKUP(D158,Controls!$A$25:$D$35,4,FALSE()),"No")="Yes",1,0)</f>
        <v/>
      </c>
      <c r="AK158" s="96">
        <f>IF(AND($E158&gt;=Controls!$B$5,$E158&lt;=Controls!$B$6,OR(Controls!$E$9&lt;&gt;"Y",$BE158=1)),1,0)</f>
        <v/>
      </c>
      <c r="AL158" s="39">
        <f>1</f>
        <v/>
      </c>
      <c r="AM158" s="20">
        <f>S158-P158</f>
        <v/>
      </c>
      <c r="AN158" s="20">
        <f>IF(AH158=1,MAX(0,P158-S158),0)</f>
        <v/>
      </c>
      <c r="AO158" s="21">
        <f>IFERROR(S158/P158,"")</f>
        <v/>
      </c>
      <c r="AP158" s="22">
        <f>IF(Y158="","",P158/Y158)</f>
        <v/>
      </c>
      <c r="AQ158" s="39">
        <f>IF(Y158="",0,1)</f>
        <v/>
      </c>
      <c r="AR158" s="39">
        <f>IF(S158&lt;=0,1,0)</f>
        <v/>
      </c>
      <c r="AS158" s="17">
        <f>IF(AH158=1,AG158,"")</f>
        <v/>
      </c>
      <c r="AT158" s="17">
        <f>IF(AND(AH158=0,AJ158=1),AG158,"")</f>
        <v/>
      </c>
      <c r="AU158" s="5">
        <f>IF(P158&lt;10000,"Under $10K",IF(P158&lt;20000,"$10-20K",IF(P158&lt;30000,"$20-30K",IF(P158&lt;50000,"$30-50K",IF(P158&lt;100000,"$50-100K","$100K+")))))</f>
        <v/>
      </c>
      <c r="AV158" s="5">
        <f>IF(O158&lt;=1.35,"1.35 and under",IF(O158&lt;=1.42,"1.36-1.42",IF(O158&lt;=1.45,"1.43-1.45",IF(O158&lt;1.49,"1.46-1.48",IF(O158&lt;=1.49,"1.49","Above 1.49")))))</f>
        <v/>
      </c>
      <c r="AW158" s="5">
        <f>IF(AE158="","",IF(AE158&lt;60,"Under 60",IF(AE158&lt;90,"60-89",IF(AE158&lt;120,"90-119",IF(AE158&lt;150,"120-149","150+")))))</f>
        <v/>
      </c>
      <c r="AX158" s="5">
        <f>IF(AP158="","No revenue data",IF(AP158&lt;0.15,"Under 0.15x",IF(AP158&lt;0.3,"0.15-0.30x",IF(AP158&lt;0.5,"0.30-0.50x",IF(AP158&lt;1,"0.50-1.00x","1.00x+")))))</f>
        <v/>
      </c>
      <c r="AY158" s="5">
        <f>IF(J158="","No SIC",IFERROR(VLOOKUP(J158,Ref!$A$4:$C$67,2,FALSE()),"Unclassified"))</f>
        <v/>
      </c>
      <c r="AZ158" s="5">
        <f>IF(E158="","",TEXT(E158,"YYYY")&amp;"-Q"&amp;ROUNDUP(MONTH(E158)/3,0))</f>
        <v/>
      </c>
      <c r="BA158" s="5">
        <f>IF(E158="","",TEXT(E158,"YYYY-MM"))</f>
        <v/>
      </c>
      <c r="BB158" s="5">
        <f>IF(E158="","",TEXT(E158,"YYYY"))</f>
        <v/>
      </c>
      <c r="BC158" s="92">
        <f>IF($E158="","",NETWORKDAYS($E158,Controls!$B$9,Ref!$F$4:$F$47))</f>
        <v/>
      </c>
      <c r="BD158" s="92">
        <f>IF(OR($AH158=1,$AJ158=1),1,0)</f>
        <v/>
      </c>
      <c r="BE158" s="95">
        <f>IF(OR($BD158=1,AND($AE158&lt;&gt;"",$BC158&gt;=Controls!$B$10*$AE158)),1,0)</f>
        <v/>
      </c>
    </row>
    <row r="159" ht="15.75" customHeight="1" s="79">
      <c r="A159" s="5" t="inlineStr">
        <is>
          <t>5674162355</t>
        </is>
      </c>
      <c r="B159" s="5" t="inlineStr">
        <is>
          <t>Our Noire Kitchen LLC</t>
        </is>
      </c>
      <c r="C159" s="5" t="inlineStr">
        <is>
          <t>Our Noire Kitchen LLC</t>
        </is>
      </c>
      <c r="D159" s="5" t="inlineStr">
        <is>
          <t>Legal</t>
        </is>
      </c>
      <c r="E159" s="16" t="n">
        <v>45861</v>
      </c>
      <c r="F159" s="16" t="n">
        <v>45904</v>
      </c>
      <c r="G159" s="17" t="n">
        <v>3</v>
      </c>
      <c r="H159" s="5" t="inlineStr">
        <is>
          <t>5812</t>
        </is>
      </c>
      <c r="I159" s="5" t="inlineStr">
        <is>
          <t>Snack and Nonalcoholic Beverage Bars</t>
        </is>
      </c>
      <c r="J159" s="5" t="inlineStr">
        <is>
          <t>58</t>
        </is>
      </c>
      <c r="K159" s="5" t="n">
        <v>5812</v>
      </c>
      <c r="L159" s="5" t="inlineStr">
        <is>
          <t>FL</t>
        </is>
      </c>
      <c r="M159" s="5" t="inlineStr">
        <is>
          <t>Vanguard Equities</t>
        </is>
      </c>
      <c r="N159" s="5" t="inlineStr">
        <is>
          <t>New Deal</t>
        </is>
      </c>
      <c r="O159" s="19" t="n">
        <v>1.499</v>
      </c>
      <c r="P159" s="20" t="n">
        <v>5000</v>
      </c>
      <c r="Q159" s="20" t="n">
        <v>700</v>
      </c>
      <c r="R159" s="20" t="n">
        <v>7495</v>
      </c>
      <c r="S159" s="20" t="n">
        <v>2234.79</v>
      </c>
      <c r="T159" s="20" t="n">
        <v>5260.21</v>
      </c>
      <c r="U159" s="21" t="n">
        <v>0.298170780520347</v>
      </c>
      <c r="V159" s="22" t="n">
        <v>2.951</v>
      </c>
      <c r="W159" s="17" t="n">
        <v>356</v>
      </c>
      <c r="X159" s="17" t="n">
        <v>4</v>
      </c>
      <c r="Y159" s="20" t="n">
        <v>22086.74</v>
      </c>
      <c r="Z159" s="21" t="n">
        <v>0.07870000000000001</v>
      </c>
      <c r="AA159" s="5" t="n"/>
      <c r="AB159" s="5">
        <f>IF(V159="","",IF(V159&lt;12,"Months","Weeks"))</f>
        <v/>
      </c>
      <c r="AC159" s="5">
        <f>IF(AB159="","",IF(AB159="Months","Daily","Weekly"))</f>
        <v/>
      </c>
      <c r="AD159" s="17">
        <f>IF(V159="","",IF(AC159="Daily",V159*Controls!$B$13,V159))</f>
        <v/>
      </c>
      <c r="AE159" s="17">
        <f>IF(V159="","",IF(AC159="Daily",V159*Controls!$B$13,V159*Controls!$B$12))</f>
        <v/>
      </c>
      <c r="AF159" s="17">
        <f>IF(OR(E159="",F159=""),"",F159-E159)</f>
        <v/>
      </c>
      <c r="AG159" s="17">
        <f>IF(OR(E159="",F159=""),"",NETWORKDAYS(E159,F159,Ref!$F$4:$F$47))</f>
        <v/>
      </c>
      <c r="AH159" s="39">
        <f>IF(IFERROR(VLOOKUP(D159,Controls!$A$25:$D$35,2,FALSE()),"No")="Yes",1,0)</f>
        <v/>
      </c>
      <c r="AI159" s="39">
        <f>IF(IFERROR(VLOOKUP(D159,Controls!$A$25:$D$35,3,FALSE()),"No")="Yes",1,0)</f>
        <v/>
      </c>
      <c r="AJ159" s="39">
        <f>IF(IFERROR(VLOOKUP(D159,Controls!$A$25:$D$35,4,FALSE()),"No")="Yes",1,0)</f>
        <v/>
      </c>
      <c r="AK159" s="96">
        <f>IF(AND($E159&gt;=Controls!$B$5,$E159&lt;=Controls!$B$6,OR(Controls!$E$9&lt;&gt;"Y",$BE159=1)),1,0)</f>
        <v/>
      </c>
      <c r="AL159" s="39">
        <f>1</f>
        <v/>
      </c>
      <c r="AM159" s="20">
        <f>S159-P159</f>
        <v/>
      </c>
      <c r="AN159" s="20">
        <f>IF(AH159=1,MAX(0,P159-S159),0)</f>
        <v/>
      </c>
      <c r="AO159" s="21">
        <f>IFERROR(S159/P159,"")</f>
        <v/>
      </c>
      <c r="AP159" s="22">
        <f>IF(Y159="","",P159/Y159)</f>
        <v/>
      </c>
      <c r="AQ159" s="39">
        <f>IF(Y159="",0,1)</f>
        <v/>
      </c>
      <c r="AR159" s="39">
        <f>IF(S159&lt;=0,1,0)</f>
        <v/>
      </c>
      <c r="AS159" s="17">
        <f>IF(AH159=1,AG159,"")</f>
        <v/>
      </c>
      <c r="AT159" s="17">
        <f>IF(AND(AH159=0,AJ159=1),AG159,"")</f>
        <v/>
      </c>
      <c r="AU159" s="5">
        <f>IF(P159&lt;10000,"Under $10K",IF(P159&lt;20000,"$10-20K",IF(P159&lt;30000,"$20-30K",IF(P159&lt;50000,"$30-50K",IF(P159&lt;100000,"$50-100K","$100K+")))))</f>
        <v/>
      </c>
      <c r="AV159" s="5">
        <f>IF(O159&lt;=1.35,"1.35 and under",IF(O159&lt;=1.42,"1.36-1.42",IF(O159&lt;=1.45,"1.43-1.45",IF(O159&lt;1.49,"1.46-1.48",IF(O159&lt;=1.49,"1.49","Above 1.49")))))</f>
        <v/>
      </c>
      <c r="AW159" s="5">
        <f>IF(AE159="","",IF(AE159&lt;60,"Under 60",IF(AE159&lt;90,"60-89",IF(AE159&lt;120,"90-119",IF(AE159&lt;150,"120-149","150+")))))</f>
        <v/>
      </c>
      <c r="AX159" s="5">
        <f>IF(AP159="","No revenue data",IF(AP159&lt;0.15,"Under 0.15x",IF(AP159&lt;0.3,"0.15-0.30x",IF(AP159&lt;0.5,"0.30-0.50x",IF(AP159&lt;1,"0.50-1.00x","1.00x+")))))</f>
        <v/>
      </c>
      <c r="AY159" s="5">
        <f>IF(J159="","No SIC",IFERROR(VLOOKUP(J159,Ref!$A$4:$C$67,2,FALSE()),"Unclassified"))</f>
        <v/>
      </c>
      <c r="AZ159" s="5">
        <f>IF(E159="","",TEXT(E159,"YYYY")&amp;"-Q"&amp;ROUNDUP(MONTH(E159)/3,0))</f>
        <v/>
      </c>
      <c r="BA159" s="5">
        <f>IF(E159="","",TEXT(E159,"YYYY-MM"))</f>
        <v/>
      </c>
      <c r="BB159" s="5">
        <f>IF(E159="","",TEXT(E159,"YYYY"))</f>
        <v/>
      </c>
      <c r="BC159" s="92">
        <f>IF($E159="","",NETWORKDAYS($E159,Controls!$B$9,Ref!$F$4:$F$47))</f>
        <v/>
      </c>
      <c r="BD159" s="92">
        <f>IF(OR($AH159=1,$AJ159=1),1,0)</f>
        <v/>
      </c>
      <c r="BE159" s="95">
        <f>IF(OR($BD159=1,AND($AE159&lt;&gt;"",$BC159&gt;=Controls!$B$10*$AE159)),1,0)</f>
        <v/>
      </c>
    </row>
    <row r="160" ht="15.75" customHeight="1" s="79">
      <c r="A160" s="5" t="inlineStr">
        <is>
          <t>5674162376</t>
        </is>
      </c>
      <c r="B160" s="5" t="inlineStr">
        <is>
          <t>AK INDUSTRIES</t>
        </is>
      </c>
      <c r="C160" s="5" t="inlineStr">
        <is>
          <t>AZEEM A KHAN</t>
        </is>
      </c>
      <c r="D160" s="5" t="inlineStr">
        <is>
          <t>Legal</t>
        </is>
      </c>
      <c r="E160" s="16" t="n">
        <v>45861</v>
      </c>
      <c r="F160" s="16" t="n">
        <v>45929</v>
      </c>
      <c r="G160" s="17" t="n">
        <v>4</v>
      </c>
      <c r="H160" s="5" t="inlineStr">
        <is>
          <t>1521</t>
        </is>
      </c>
      <c r="I160" s="5" t="inlineStr">
        <is>
          <t>New Single-Family Housing Construction (Except For-Sale Builders)</t>
        </is>
      </c>
      <c r="J160" s="5" t="inlineStr">
        <is>
          <t>15</t>
        </is>
      </c>
      <c r="K160" s="5" t="n">
        <v>1520</v>
      </c>
      <c r="L160" s="5" t="inlineStr">
        <is>
          <t>CA</t>
        </is>
      </c>
      <c r="M160" s="5" t="inlineStr">
        <is>
          <t>Business Fund USA 4</t>
        </is>
      </c>
      <c r="N160" s="5" t="inlineStr">
        <is>
          <t>New Deal</t>
        </is>
      </c>
      <c r="O160" s="19" t="n">
        <v>1.499</v>
      </c>
      <c r="P160" s="20" t="n">
        <v>15000</v>
      </c>
      <c r="Q160" s="20" t="n">
        <v>2100</v>
      </c>
      <c r="R160" s="20" t="n">
        <v>22485</v>
      </c>
      <c r="S160" s="20" t="n">
        <v>2182</v>
      </c>
      <c r="T160" s="20" t="n">
        <v>20303</v>
      </c>
      <c r="U160" s="21" t="n">
        <v>0.0970424727596175</v>
      </c>
      <c r="V160" s="22" t="n">
        <v>2.787</v>
      </c>
      <c r="W160" s="17" t="n">
        <v>324</v>
      </c>
      <c r="X160" s="17" t="n">
        <v>7</v>
      </c>
      <c r="Y160" s="20" t="n">
        <v>146954</v>
      </c>
      <c r="Z160" s="21" t="n">
        <v>0.0376</v>
      </c>
      <c r="AA160" s="16" t="n">
        <v>42098</v>
      </c>
      <c r="AB160" s="5">
        <f>IF(V160="","",IF(V160&lt;12,"Months","Weeks"))</f>
        <v/>
      </c>
      <c r="AC160" s="5">
        <f>IF(AB160="","",IF(AB160="Months","Daily","Weekly"))</f>
        <v/>
      </c>
      <c r="AD160" s="17">
        <f>IF(V160="","",IF(AC160="Daily",V160*Controls!$B$13,V160))</f>
        <v/>
      </c>
      <c r="AE160" s="17">
        <f>IF(V160="","",IF(AC160="Daily",V160*Controls!$B$13,V160*Controls!$B$12))</f>
        <v/>
      </c>
      <c r="AF160" s="17">
        <f>IF(OR(E160="",F160=""),"",F160-E160)</f>
        <v/>
      </c>
      <c r="AG160" s="17">
        <f>IF(OR(E160="",F160=""),"",NETWORKDAYS(E160,F160,Ref!$F$4:$F$47))</f>
        <v/>
      </c>
      <c r="AH160" s="39">
        <f>IF(IFERROR(VLOOKUP(D160,Controls!$A$25:$D$35,2,FALSE()),"No")="Yes",1,0)</f>
        <v/>
      </c>
      <c r="AI160" s="39">
        <f>IF(IFERROR(VLOOKUP(D160,Controls!$A$25:$D$35,3,FALSE()),"No")="Yes",1,0)</f>
        <v/>
      </c>
      <c r="AJ160" s="39">
        <f>IF(IFERROR(VLOOKUP(D160,Controls!$A$25:$D$35,4,FALSE()),"No")="Yes",1,0)</f>
        <v/>
      </c>
      <c r="AK160" s="96">
        <f>IF(AND($E160&gt;=Controls!$B$5,$E160&lt;=Controls!$B$6,OR(Controls!$E$9&lt;&gt;"Y",$BE160=1)),1,0)</f>
        <v/>
      </c>
      <c r="AL160" s="39">
        <f>1</f>
        <v/>
      </c>
      <c r="AM160" s="20">
        <f>S160-P160</f>
        <v/>
      </c>
      <c r="AN160" s="20">
        <f>IF(AH160=1,MAX(0,P160-S160),0)</f>
        <v/>
      </c>
      <c r="AO160" s="21">
        <f>IFERROR(S160/P160,"")</f>
        <v/>
      </c>
      <c r="AP160" s="22">
        <f>IF(Y160="","",P160/Y160)</f>
        <v/>
      </c>
      <c r="AQ160" s="39">
        <f>IF(Y160="",0,1)</f>
        <v/>
      </c>
      <c r="AR160" s="39">
        <f>IF(S160&lt;=0,1,0)</f>
        <v/>
      </c>
      <c r="AS160" s="17">
        <f>IF(AH160=1,AG160,"")</f>
        <v/>
      </c>
      <c r="AT160" s="17">
        <f>IF(AND(AH160=0,AJ160=1),AG160,"")</f>
        <v/>
      </c>
      <c r="AU160" s="5">
        <f>IF(P160&lt;10000,"Under $10K",IF(P160&lt;20000,"$10-20K",IF(P160&lt;30000,"$20-30K",IF(P160&lt;50000,"$30-50K",IF(P160&lt;100000,"$50-100K","$100K+")))))</f>
        <v/>
      </c>
      <c r="AV160" s="5">
        <f>IF(O160&lt;=1.35,"1.35 and under",IF(O160&lt;=1.42,"1.36-1.42",IF(O160&lt;=1.45,"1.43-1.45",IF(O160&lt;1.49,"1.46-1.48",IF(O160&lt;=1.49,"1.49","Above 1.49")))))</f>
        <v/>
      </c>
      <c r="AW160" s="5">
        <f>IF(AE160="","",IF(AE160&lt;60,"Under 60",IF(AE160&lt;90,"60-89",IF(AE160&lt;120,"90-119",IF(AE160&lt;150,"120-149","150+")))))</f>
        <v/>
      </c>
      <c r="AX160" s="5">
        <f>IF(AP160="","No revenue data",IF(AP160&lt;0.15,"Under 0.15x",IF(AP160&lt;0.3,"0.15-0.30x",IF(AP160&lt;0.5,"0.30-0.50x",IF(AP160&lt;1,"0.50-1.00x","1.00x+")))))</f>
        <v/>
      </c>
      <c r="AY160" s="5">
        <f>IF(J160="","No SIC",IFERROR(VLOOKUP(J160,Ref!$A$4:$C$67,2,FALSE()),"Unclassified"))</f>
        <v/>
      </c>
      <c r="AZ160" s="5">
        <f>IF(E160="","",TEXT(E160,"YYYY")&amp;"-Q"&amp;ROUNDUP(MONTH(E160)/3,0))</f>
        <v/>
      </c>
      <c r="BA160" s="5">
        <f>IF(E160="","",TEXT(E160,"YYYY-MM"))</f>
        <v/>
      </c>
      <c r="BB160" s="5">
        <f>IF(E160="","",TEXT(E160,"YYYY"))</f>
        <v/>
      </c>
      <c r="BC160" s="92">
        <f>IF($E160="","",NETWORKDAYS($E160,Controls!$B$9,Ref!$F$4:$F$47))</f>
        <v/>
      </c>
      <c r="BD160" s="92">
        <f>IF(OR($AH160=1,$AJ160=1),1,0)</f>
        <v/>
      </c>
      <c r="BE160" s="95">
        <f>IF(OR($BD160=1,AND($AE160&lt;&gt;"",$BC160&gt;=Controls!$B$10*$AE160)),1,0)</f>
        <v/>
      </c>
    </row>
    <row r="161" ht="15.75" customHeight="1" s="79">
      <c r="A161" s="5" t="inlineStr">
        <is>
          <t>5674162412</t>
        </is>
      </c>
      <c r="B161" s="5" t="inlineStr">
        <is>
          <t>ST CAJETAN OIL COMPANY LLC</t>
        </is>
      </c>
      <c r="C161" s="5" t="inlineStr">
        <is>
          <t>ST CAJETAN OIL COMPANY LLC</t>
        </is>
      </c>
      <c r="D161" s="5" t="inlineStr">
        <is>
          <t>Closed</t>
        </is>
      </c>
      <c r="E161" s="16" t="n">
        <v>45861</v>
      </c>
      <c r="F161" s="16" t="n">
        <v>45952</v>
      </c>
      <c r="G161" s="17" t="n">
        <v>4</v>
      </c>
      <c r="H161" s="5" t="inlineStr">
        <is>
          <t>1382</t>
        </is>
      </c>
      <c r="I161" s="5" t="inlineStr">
        <is>
          <t>Support Activities for Oil and Gas Operations</t>
        </is>
      </c>
      <c r="J161" s="5" t="inlineStr">
        <is>
          <t>13</t>
        </is>
      </c>
      <c r="K161" s="5" t="n">
        <v>5983</v>
      </c>
      <c r="L161" s="5" t="inlineStr">
        <is>
          <t>TX</t>
        </is>
      </c>
      <c r="M161" s="5" t="inlineStr">
        <is>
          <t>United Secured Capital 8</t>
        </is>
      </c>
      <c r="N161" s="5" t="inlineStr">
        <is>
          <t>New Deal</t>
        </is>
      </c>
      <c r="O161" s="19" t="n">
        <v>1.49</v>
      </c>
      <c r="P161" s="20" t="n">
        <v>10000</v>
      </c>
      <c r="Q161" s="20" t="n">
        <v>1400</v>
      </c>
      <c r="R161" s="20" t="n">
        <v>14900</v>
      </c>
      <c r="S161" s="20" t="n">
        <v>14900</v>
      </c>
      <c r="T161" s="20" t="n">
        <v>0</v>
      </c>
      <c r="U161" s="21" t="n">
        <v>1</v>
      </c>
      <c r="V161" s="22" t="n">
        <v>2.623</v>
      </c>
      <c r="W161" s="17" t="n">
        <v>301</v>
      </c>
      <c r="X161" s="17" t="n">
        <v>0</v>
      </c>
      <c r="Y161" s="20" t="n">
        <v>37694.01</v>
      </c>
      <c r="Z161" s="21" t="n">
        <v>0.1038</v>
      </c>
      <c r="AA161" s="16" t="n">
        <v>44338</v>
      </c>
      <c r="AB161" s="5">
        <f>IF(V161="","",IF(V161&lt;12,"Months","Weeks"))</f>
        <v/>
      </c>
      <c r="AC161" s="5">
        <f>IF(AB161="","",IF(AB161="Months","Daily","Weekly"))</f>
        <v/>
      </c>
      <c r="AD161" s="17">
        <f>IF(V161="","",IF(AC161="Daily",V161*Controls!$B$13,V161))</f>
        <v/>
      </c>
      <c r="AE161" s="17">
        <f>IF(V161="","",IF(AC161="Daily",V161*Controls!$B$13,V161*Controls!$B$12))</f>
        <v/>
      </c>
      <c r="AF161" s="17">
        <f>IF(OR(E161="",F161=""),"",F161-E161)</f>
        <v/>
      </c>
      <c r="AG161" s="17">
        <f>IF(OR(E161="",F161=""),"",NETWORKDAYS(E161,F161,Ref!$F$4:$F$47))</f>
        <v/>
      </c>
      <c r="AH161" s="39">
        <f>IF(IFERROR(VLOOKUP(D161,Controls!$A$25:$D$35,2,FALSE()),"No")="Yes",1,0)</f>
        <v/>
      </c>
      <c r="AI161" s="39">
        <f>IF(IFERROR(VLOOKUP(D161,Controls!$A$25:$D$35,3,FALSE()),"No")="Yes",1,0)</f>
        <v/>
      </c>
      <c r="AJ161" s="39">
        <f>IF(IFERROR(VLOOKUP(D161,Controls!$A$25:$D$35,4,FALSE()),"No")="Yes",1,0)</f>
        <v/>
      </c>
      <c r="AK161" s="96">
        <f>IF(AND($E161&gt;=Controls!$B$5,$E161&lt;=Controls!$B$6,OR(Controls!$E$9&lt;&gt;"Y",$BE161=1)),1,0)</f>
        <v/>
      </c>
      <c r="AL161" s="39">
        <f>1</f>
        <v/>
      </c>
      <c r="AM161" s="20">
        <f>S161-P161</f>
        <v/>
      </c>
      <c r="AN161" s="20">
        <f>IF(AH161=1,MAX(0,P161-S161),0)</f>
        <v/>
      </c>
      <c r="AO161" s="21">
        <f>IFERROR(S161/P161,"")</f>
        <v/>
      </c>
      <c r="AP161" s="22">
        <f>IF(Y161="","",P161/Y161)</f>
        <v/>
      </c>
      <c r="AQ161" s="39">
        <f>IF(Y161="",0,1)</f>
        <v/>
      </c>
      <c r="AR161" s="39">
        <f>IF(S161&lt;=0,1,0)</f>
        <v/>
      </c>
      <c r="AS161" s="17">
        <f>IF(AH161=1,AG161,"")</f>
        <v/>
      </c>
      <c r="AT161" s="17">
        <f>IF(AND(AH161=0,AJ161=1),AG161,"")</f>
        <v/>
      </c>
      <c r="AU161" s="5">
        <f>IF(P161&lt;10000,"Under $10K",IF(P161&lt;20000,"$10-20K",IF(P161&lt;30000,"$20-30K",IF(P161&lt;50000,"$30-50K",IF(P161&lt;100000,"$50-100K","$100K+")))))</f>
        <v/>
      </c>
      <c r="AV161" s="5">
        <f>IF(O161&lt;=1.35,"1.35 and under",IF(O161&lt;=1.42,"1.36-1.42",IF(O161&lt;=1.45,"1.43-1.45",IF(O161&lt;1.49,"1.46-1.48",IF(O161&lt;=1.49,"1.49","Above 1.49")))))</f>
        <v/>
      </c>
      <c r="AW161" s="5">
        <f>IF(AE161="","",IF(AE161&lt;60,"Under 60",IF(AE161&lt;90,"60-89",IF(AE161&lt;120,"90-119",IF(AE161&lt;150,"120-149","150+")))))</f>
        <v/>
      </c>
      <c r="AX161" s="5">
        <f>IF(AP161="","No revenue data",IF(AP161&lt;0.15,"Under 0.15x",IF(AP161&lt;0.3,"0.15-0.30x",IF(AP161&lt;0.5,"0.30-0.50x",IF(AP161&lt;1,"0.50-1.00x","1.00x+")))))</f>
        <v/>
      </c>
      <c r="AY161" s="5">
        <f>IF(J161="","No SIC",IFERROR(VLOOKUP(J161,Ref!$A$4:$C$67,2,FALSE()),"Unclassified"))</f>
        <v/>
      </c>
      <c r="AZ161" s="5">
        <f>IF(E161="","",TEXT(E161,"YYYY")&amp;"-Q"&amp;ROUNDUP(MONTH(E161)/3,0))</f>
        <v/>
      </c>
      <c r="BA161" s="5">
        <f>IF(E161="","",TEXT(E161,"YYYY-MM"))</f>
        <v/>
      </c>
      <c r="BB161" s="5">
        <f>IF(E161="","",TEXT(E161,"YYYY"))</f>
        <v/>
      </c>
      <c r="BC161" s="92">
        <f>IF($E161="","",NETWORKDAYS($E161,Controls!$B$9,Ref!$F$4:$F$47))</f>
        <v/>
      </c>
      <c r="BD161" s="92">
        <f>IF(OR($AH161=1,$AJ161=1),1,0)</f>
        <v/>
      </c>
      <c r="BE161" s="95">
        <f>IF(OR($BD161=1,AND($AE161&lt;&gt;"",$BC161&gt;=Controls!$B$10*$AE161)),1,0)</f>
        <v/>
      </c>
    </row>
    <row r="162" ht="15.75" customHeight="1" s="79">
      <c r="A162" s="5" t="inlineStr">
        <is>
          <t>5674162433</t>
        </is>
      </c>
      <c r="B162" s="5" t="inlineStr">
        <is>
          <t>Garner Construction</t>
        </is>
      </c>
      <c r="C162" s="5" t="inlineStr">
        <is>
          <t>NGM ENTERPRISES LLC</t>
        </is>
      </c>
      <c r="D162" s="5" t="inlineStr">
        <is>
          <t>In House Collection</t>
        </is>
      </c>
      <c r="E162" s="16" t="n">
        <v>45862</v>
      </c>
      <c r="F162" s="16" t="n">
        <v>46247</v>
      </c>
      <c r="G162" s="17" t="n">
        <v>3</v>
      </c>
      <c r="H162" s="5" t="inlineStr">
        <is>
          <t>1521</t>
        </is>
      </c>
      <c r="I162" s="5" t="inlineStr">
        <is>
          <t>New Single-Family Housing Construction (Except For-Sale Builders)</t>
        </is>
      </c>
      <c r="J162" s="5" t="inlineStr">
        <is>
          <t>15</t>
        </is>
      </c>
      <c r="K162" s="5" t="n">
        <v>1520</v>
      </c>
      <c r="L162" s="5" t="inlineStr">
        <is>
          <t>NC</t>
        </is>
      </c>
      <c r="M162" s="5" t="inlineStr">
        <is>
          <t>ROYAL FUNDING GROUP</t>
        </is>
      </c>
      <c r="N162" s="5" t="inlineStr">
        <is>
          <t>New Deal</t>
        </is>
      </c>
      <c r="O162" s="19" t="n">
        <v>1.49</v>
      </c>
      <c r="P162" s="20" t="n">
        <v>12500</v>
      </c>
      <c r="Q162" s="20" t="n">
        <v>1750</v>
      </c>
      <c r="R162" s="20" t="n">
        <v>18625</v>
      </c>
      <c r="S162" s="20" t="n">
        <v>4394.49</v>
      </c>
      <c r="T162" s="20" t="n">
        <v>14230.51</v>
      </c>
      <c r="U162" s="21" t="n">
        <v>0.235945771812081</v>
      </c>
      <c r="V162" s="22" t="n">
        <v>18</v>
      </c>
      <c r="W162" s="17" t="n">
        <v>6</v>
      </c>
      <c r="X162" s="17" t="n">
        <v>12</v>
      </c>
      <c r="Y162" s="20" t="n">
        <v>206134.77</v>
      </c>
      <c r="Z162" s="21" t="n">
        <v>0.0201</v>
      </c>
      <c r="AA162" s="16" t="n">
        <v>43544</v>
      </c>
      <c r="AB162" s="5">
        <f>IF(V162="","",IF(V162&lt;12,"Months","Weeks"))</f>
        <v/>
      </c>
      <c r="AC162" s="5">
        <f>IF(AB162="","",IF(AB162="Months","Daily","Weekly"))</f>
        <v/>
      </c>
      <c r="AD162" s="17">
        <f>IF(V162="","",IF(AC162="Daily",V162*Controls!$B$13,V162))</f>
        <v/>
      </c>
      <c r="AE162" s="17">
        <f>IF(V162="","",IF(AC162="Daily",V162*Controls!$B$13,V162*Controls!$B$12))</f>
        <v/>
      </c>
      <c r="AF162" s="17">
        <f>IF(OR(E162="",F162=""),"",F162-E162)</f>
        <v/>
      </c>
      <c r="AG162" s="17">
        <f>IF(OR(E162="",F162=""),"",NETWORKDAYS(E162,F162,Ref!$F$4:$F$47))</f>
        <v/>
      </c>
      <c r="AH162" s="39">
        <f>IF(IFERROR(VLOOKUP(D162,Controls!$A$25:$D$35,2,FALSE()),"No")="Yes",1,0)</f>
        <v/>
      </c>
      <c r="AI162" s="39">
        <f>IF(IFERROR(VLOOKUP(D162,Controls!$A$25:$D$35,3,FALSE()),"No")="Yes",1,0)</f>
        <v/>
      </c>
      <c r="AJ162" s="39">
        <f>IF(IFERROR(VLOOKUP(D162,Controls!$A$25:$D$35,4,FALSE()),"No")="Yes",1,0)</f>
        <v/>
      </c>
      <c r="AK162" s="96">
        <f>IF(AND($E162&gt;=Controls!$B$5,$E162&lt;=Controls!$B$6,OR(Controls!$E$9&lt;&gt;"Y",$BE162=1)),1,0)</f>
        <v/>
      </c>
      <c r="AL162" s="39">
        <f>1</f>
        <v/>
      </c>
      <c r="AM162" s="20">
        <f>S162-P162</f>
        <v/>
      </c>
      <c r="AN162" s="20">
        <f>IF(AH162=1,MAX(0,P162-S162),0)</f>
        <v/>
      </c>
      <c r="AO162" s="21">
        <f>IFERROR(S162/P162,"")</f>
        <v/>
      </c>
      <c r="AP162" s="22">
        <f>IF(Y162="","",P162/Y162)</f>
        <v/>
      </c>
      <c r="AQ162" s="39">
        <f>IF(Y162="",0,1)</f>
        <v/>
      </c>
      <c r="AR162" s="39">
        <f>IF(S162&lt;=0,1,0)</f>
        <v/>
      </c>
      <c r="AS162" s="17">
        <f>IF(AH162=1,AG162,"")</f>
        <v/>
      </c>
      <c r="AT162" s="17">
        <f>IF(AND(AH162=0,AJ162=1),AG162,"")</f>
        <v/>
      </c>
      <c r="AU162" s="5">
        <f>IF(P162&lt;10000,"Under $10K",IF(P162&lt;20000,"$10-20K",IF(P162&lt;30000,"$20-30K",IF(P162&lt;50000,"$30-50K",IF(P162&lt;100000,"$50-100K","$100K+")))))</f>
        <v/>
      </c>
      <c r="AV162" s="5">
        <f>IF(O162&lt;=1.35,"1.35 and under",IF(O162&lt;=1.42,"1.36-1.42",IF(O162&lt;=1.45,"1.43-1.45",IF(O162&lt;1.49,"1.46-1.48",IF(O162&lt;=1.49,"1.49","Above 1.49")))))</f>
        <v/>
      </c>
      <c r="AW162" s="5">
        <f>IF(AE162="","",IF(AE162&lt;60,"Under 60",IF(AE162&lt;90,"60-89",IF(AE162&lt;120,"90-119",IF(AE162&lt;150,"120-149","150+")))))</f>
        <v/>
      </c>
      <c r="AX162" s="5">
        <f>IF(AP162="","No revenue data",IF(AP162&lt;0.15,"Under 0.15x",IF(AP162&lt;0.3,"0.15-0.30x",IF(AP162&lt;0.5,"0.30-0.50x",IF(AP162&lt;1,"0.50-1.00x","1.00x+")))))</f>
        <v/>
      </c>
      <c r="AY162" s="5">
        <f>IF(J162="","No SIC",IFERROR(VLOOKUP(J162,Ref!$A$4:$C$67,2,FALSE()),"Unclassified"))</f>
        <v/>
      </c>
      <c r="AZ162" s="5">
        <f>IF(E162="","",TEXT(E162,"YYYY")&amp;"-Q"&amp;ROUNDUP(MONTH(E162)/3,0))</f>
        <v/>
      </c>
      <c r="BA162" s="5">
        <f>IF(E162="","",TEXT(E162,"YYYY-MM"))</f>
        <v/>
      </c>
      <c r="BB162" s="5">
        <f>IF(E162="","",TEXT(E162,"YYYY"))</f>
        <v/>
      </c>
      <c r="BC162" s="92">
        <f>IF($E162="","",NETWORKDAYS($E162,Controls!$B$9,Ref!$F$4:$F$47))</f>
        <v/>
      </c>
      <c r="BD162" s="92">
        <f>IF(OR($AH162=1,$AJ162=1),1,0)</f>
        <v/>
      </c>
      <c r="BE162" s="95">
        <f>IF(OR($BD162=1,AND($AE162&lt;&gt;"",$BC162&gt;=Controls!$B$10*$AE162)),1,0)</f>
        <v/>
      </c>
    </row>
    <row r="163" ht="15.75" customHeight="1" s="79">
      <c r="A163" s="5" t="inlineStr">
        <is>
          <t>5674162458</t>
        </is>
      </c>
      <c r="B163" s="5" t="inlineStr">
        <is>
          <t>ARETE GALLERY INC</t>
        </is>
      </c>
      <c r="C163" s="5" t="inlineStr">
        <is>
          <t>ARETE GALLERY INC</t>
        </is>
      </c>
      <c r="D163" s="5" t="inlineStr">
        <is>
          <t>In House Collection</t>
        </is>
      </c>
      <c r="E163" s="16" t="n">
        <v>45862</v>
      </c>
      <c r="F163" s="16" t="n">
        <v>46248</v>
      </c>
      <c r="G163" s="17" t="n">
        <v>3</v>
      </c>
      <c r="H163" s="5" t="inlineStr">
        <is>
          <t>8412</t>
        </is>
      </c>
      <c r="I163" s="5" t="inlineStr">
        <is>
          <t>Museums</t>
        </is>
      </c>
      <c r="J163" s="5" t="inlineStr">
        <is>
          <t>84</t>
        </is>
      </c>
      <c r="K163" s="5" t="n">
        <v>5971</v>
      </c>
      <c r="L163" s="5" t="inlineStr">
        <is>
          <t>PA</t>
        </is>
      </c>
      <c r="M163" s="5" t="inlineStr">
        <is>
          <t>Shop Funder</t>
        </is>
      </c>
      <c r="N163" s="5" t="inlineStr">
        <is>
          <t>Renewal</t>
        </is>
      </c>
      <c r="O163" s="19" t="n">
        <v>1.499</v>
      </c>
      <c r="P163" s="20" t="n">
        <v>10000</v>
      </c>
      <c r="Q163" s="20" t="n">
        <v>1400</v>
      </c>
      <c r="R163" s="20" t="n">
        <v>14990</v>
      </c>
      <c r="S163" s="20" t="n">
        <v>5993.45</v>
      </c>
      <c r="T163" s="20" t="n">
        <v>8996.549999999999</v>
      </c>
      <c r="U163" s="21" t="n">
        <v>0.399829886591061</v>
      </c>
      <c r="V163" s="22" t="n">
        <v>3.279</v>
      </c>
      <c r="W163" s="17" t="n">
        <v>5</v>
      </c>
      <c r="X163" s="17" t="n">
        <v>23</v>
      </c>
      <c r="Y163" s="20" t="n">
        <v>12360.62</v>
      </c>
      <c r="Z163" s="21" t="n">
        <v>0.2547</v>
      </c>
      <c r="AA163" s="16" t="n">
        <v>44105</v>
      </c>
      <c r="AB163" s="5">
        <f>IF(V163="","",IF(V163&lt;12,"Months","Weeks"))</f>
        <v/>
      </c>
      <c r="AC163" s="5">
        <f>IF(AB163="","",IF(AB163="Months","Daily","Weekly"))</f>
        <v/>
      </c>
      <c r="AD163" s="17">
        <f>IF(V163="","",IF(AC163="Daily",V163*Controls!$B$13,V163))</f>
        <v/>
      </c>
      <c r="AE163" s="17">
        <f>IF(V163="","",IF(AC163="Daily",V163*Controls!$B$13,V163*Controls!$B$12))</f>
        <v/>
      </c>
      <c r="AF163" s="17">
        <f>IF(OR(E163="",F163=""),"",F163-E163)</f>
        <v/>
      </c>
      <c r="AG163" s="17">
        <f>IF(OR(E163="",F163=""),"",NETWORKDAYS(E163,F163,Ref!$F$4:$F$47))</f>
        <v/>
      </c>
      <c r="AH163" s="39">
        <f>IF(IFERROR(VLOOKUP(D163,Controls!$A$25:$D$35,2,FALSE()),"No")="Yes",1,0)</f>
        <v/>
      </c>
      <c r="AI163" s="39">
        <f>IF(IFERROR(VLOOKUP(D163,Controls!$A$25:$D$35,3,FALSE()),"No")="Yes",1,0)</f>
        <v/>
      </c>
      <c r="AJ163" s="39">
        <f>IF(IFERROR(VLOOKUP(D163,Controls!$A$25:$D$35,4,FALSE()),"No")="Yes",1,0)</f>
        <v/>
      </c>
      <c r="AK163" s="96">
        <f>IF(AND($E163&gt;=Controls!$B$5,$E163&lt;=Controls!$B$6,OR(Controls!$E$9&lt;&gt;"Y",$BE163=1)),1,0)</f>
        <v/>
      </c>
      <c r="AL163" s="39">
        <f>1</f>
        <v/>
      </c>
      <c r="AM163" s="20">
        <f>S163-P163</f>
        <v/>
      </c>
      <c r="AN163" s="20">
        <f>IF(AH163=1,MAX(0,P163-S163),0)</f>
        <v/>
      </c>
      <c r="AO163" s="21">
        <f>IFERROR(S163/P163,"")</f>
        <v/>
      </c>
      <c r="AP163" s="22">
        <f>IF(Y163="","",P163/Y163)</f>
        <v/>
      </c>
      <c r="AQ163" s="39">
        <f>IF(Y163="",0,1)</f>
        <v/>
      </c>
      <c r="AR163" s="39">
        <f>IF(S163&lt;=0,1,0)</f>
        <v/>
      </c>
      <c r="AS163" s="17">
        <f>IF(AH163=1,AG163,"")</f>
        <v/>
      </c>
      <c r="AT163" s="17">
        <f>IF(AND(AH163=0,AJ163=1),AG163,"")</f>
        <v/>
      </c>
      <c r="AU163" s="5">
        <f>IF(P163&lt;10000,"Under $10K",IF(P163&lt;20000,"$10-20K",IF(P163&lt;30000,"$20-30K",IF(P163&lt;50000,"$30-50K",IF(P163&lt;100000,"$50-100K","$100K+")))))</f>
        <v/>
      </c>
      <c r="AV163" s="5">
        <f>IF(O163&lt;=1.35,"1.35 and under",IF(O163&lt;=1.42,"1.36-1.42",IF(O163&lt;=1.45,"1.43-1.45",IF(O163&lt;1.49,"1.46-1.48",IF(O163&lt;=1.49,"1.49","Above 1.49")))))</f>
        <v/>
      </c>
      <c r="AW163" s="5">
        <f>IF(AE163="","",IF(AE163&lt;60,"Under 60",IF(AE163&lt;90,"60-89",IF(AE163&lt;120,"90-119",IF(AE163&lt;150,"120-149","150+")))))</f>
        <v/>
      </c>
      <c r="AX163" s="5">
        <f>IF(AP163="","No revenue data",IF(AP163&lt;0.15,"Under 0.15x",IF(AP163&lt;0.3,"0.15-0.30x",IF(AP163&lt;0.5,"0.30-0.50x",IF(AP163&lt;1,"0.50-1.00x","1.00x+")))))</f>
        <v/>
      </c>
      <c r="AY163" s="5">
        <f>IF(J163="","No SIC",IFERROR(VLOOKUP(J163,Ref!$A$4:$C$67,2,FALSE()),"Unclassified"))</f>
        <v/>
      </c>
      <c r="AZ163" s="5">
        <f>IF(E163="","",TEXT(E163,"YYYY")&amp;"-Q"&amp;ROUNDUP(MONTH(E163)/3,0))</f>
        <v/>
      </c>
      <c r="BA163" s="5">
        <f>IF(E163="","",TEXT(E163,"YYYY-MM"))</f>
        <v/>
      </c>
      <c r="BB163" s="5">
        <f>IF(E163="","",TEXT(E163,"YYYY"))</f>
        <v/>
      </c>
      <c r="BC163" s="92">
        <f>IF($E163="","",NETWORKDAYS($E163,Controls!$B$9,Ref!$F$4:$F$47))</f>
        <v/>
      </c>
      <c r="BD163" s="92">
        <f>IF(OR($AH163=1,$AJ163=1),1,0)</f>
        <v/>
      </c>
      <c r="BE163" s="95">
        <f>IF(OR($BD163=1,AND($AE163&lt;&gt;"",$BC163&gt;=Controls!$B$10*$AE163)),1,0)</f>
        <v/>
      </c>
    </row>
    <row r="164" ht="15.75" customHeight="1" s="79">
      <c r="A164" s="5" t="inlineStr">
        <is>
          <t>5674162475</t>
        </is>
      </c>
      <c r="B164" s="5" t="inlineStr">
        <is>
          <t>Ace Prevention Private Security LLC</t>
        </is>
      </c>
      <c r="C164" s="5" t="inlineStr">
        <is>
          <t>Ace Prevention Private Security LLC</t>
        </is>
      </c>
      <c r="D164" s="5" t="inlineStr">
        <is>
          <t>Legal</t>
        </is>
      </c>
      <c r="E164" s="16" t="n">
        <v>45862</v>
      </c>
      <c r="F164" s="16" t="n">
        <v>46157</v>
      </c>
      <c r="G164" s="17" t="n">
        <v>3</v>
      </c>
      <c r="H164" s="5" t="inlineStr">
        <is>
          <t>7382</t>
        </is>
      </c>
      <c r="I164" s="5" t="inlineStr">
        <is>
          <t>Security Systems Services (Except Locksmiths)</t>
        </is>
      </c>
      <c r="J164" s="5" t="inlineStr">
        <is>
          <t>73</t>
        </is>
      </c>
      <c r="K164" s="5" t="n">
        <v>7393</v>
      </c>
      <c r="L164" s="5" t="inlineStr">
        <is>
          <t>LA</t>
        </is>
      </c>
      <c r="M164" s="5" t="inlineStr">
        <is>
          <t>I burst funding</t>
        </is>
      </c>
      <c r="N164" s="5" t="inlineStr">
        <is>
          <t>New Deal</t>
        </is>
      </c>
      <c r="O164" s="19" t="n">
        <v>1.499</v>
      </c>
      <c r="P164" s="20" t="n">
        <v>5000</v>
      </c>
      <c r="Q164" s="20" t="n">
        <v>700</v>
      </c>
      <c r="R164" s="20" t="n">
        <v>7495</v>
      </c>
      <c r="S164" s="20" t="n">
        <v>2978.64</v>
      </c>
      <c r="T164" s="20" t="n">
        <v>4516.36</v>
      </c>
      <c r="U164" s="21" t="n">
        <v>0.397416944629753</v>
      </c>
      <c r="V164" s="22" t="n">
        <v>2.295</v>
      </c>
      <c r="W164" s="17" t="n">
        <v>322</v>
      </c>
      <c r="X164" s="17" t="n">
        <v>49</v>
      </c>
      <c r="Y164" s="20" t="n">
        <v>23564.34</v>
      </c>
      <c r="Z164" s="21" t="n">
        <v>0.0948</v>
      </c>
      <c r="AA164" s="5" t="n"/>
      <c r="AB164" s="5">
        <f>IF(V164="","",IF(V164&lt;12,"Months","Weeks"))</f>
        <v/>
      </c>
      <c r="AC164" s="5">
        <f>IF(AB164="","",IF(AB164="Months","Daily","Weekly"))</f>
        <v/>
      </c>
      <c r="AD164" s="17">
        <f>IF(V164="","",IF(AC164="Daily",V164*Controls!$B$13,V164))</f>
        <v/>
      </c>
      <c r="AE164" s="17">
        <f>IF(V164="","",IF(AC164="Daily",V164*Controls!$B$13,V164*Controls!$B$12))</f>
        <v/>
      </c>
      <c r="AF164" s="17">
        <f>IF(OR(E164="",F164=""),"",F164-E164)</f>
        <v/>
      </c>
      <c r="AG164" s="17">
        <f>IF(OR(E164="",F164=""),"",NETWORKDAYS(E164,F164,Ref!$F$4:$F$47))</f>
        <v/>
      </c>
      <c r="AH164" s="39">
        <f>IF(IFERROR(VLOOKUP(D164,Controls!$A$25:$D$35,2,FALSE()),"No")="Yes",1,0)</f>
        <v/>
      </c>
      <c r="AI164" s="39">
        <f>IF(IFERROR(VLOOKUP(D164,Controls!$A$25:$D$35,3,FALSE()),"No")="Yes",1,0)</f>
        <v/>
      </c>
      <c r="AJ164" s="39">
        <f>IF(IFERROR(VLOOKUP(D164,Controls!$A$25:$D$35,4,FALSE()),"No")="Yes",1,0)</f>
        <v/>
      </c>
      <c r="AK164" s="96">
        <f>IF(AND($E164&gt;=Controls!$B$5,$E164&lt;=Controls!$B$6,OR(Controls!$E$9&lt;&gt;"Y",$BE164=1)),1,0)</f>
        <v/>
      </c>
      <c r="AL164" s="39">
        <f>1</f>
        <v/>
      </c>
      <c r="AM164" s="20">
        <f>S164-P164</f>
        <v/>
      </c>
      <c r="AN164" s="20">
        <f>IF(AH164=1,MAX(0,P164-S164),0)</f>
        <v/>
      </c>
      <c r="AO164" s="21">
        <f>IFERROR(S164/P164,"")</f>
        <v/>
      </c>
      <c r="AP164" s="22">
        <f>IF(Y164="","",P164/Y164)</f>
        <v/>
      </c>
      <c r="AQ164" s="39">
        <f>IF(Y164="",0,1)</f>
        <v/>
      </c>
      <c r="AR164" s="39">
        <f>IF(S164&lt;=0,1,0)</f>
        <v/>
      </c>
      <c r="AS164" s="17">
        <f>IF(AH164=1,AG164,"")</f>
        <v/>
      </c>
      <c r="AT164" s="17">
        <f>IF(AND(AH164=0,AJ164=1),AG164,"")</f>
        <v/>
      </c>
      <c r="AU164" s="5">
        <f>IF(P164&lt;10000,"Under $10K",IF(P164&lt;20000,"$10-20K",IF(P164&lt;30000,"$20-30K",IF(P164&lt;50000,"$30-50K",IF(P164&lt;100000,"$50-100K","$100K+")))))</f>
        <v/>
      </c>
      <c r="AV164" s="5">
        <f>IF(O164&lt;=1.35,"1.35 and under",IF(O164&lt;=1.42,"1.36-1.42",IF(O164&lt;=1.45,"1.43-1.45",IF(O164&lt;1.49,"1.46-1.48",IF(O164&lt;=1.49,"1.49","Above 1.49")))))</f>
        <v/>
      </c>
      <c r="AW164" s="5">
        <f>IF(AE164="","",IF(AE164&lt;60,"Under 60",IF(AE164&lt;90,"60-89",IF(AE164&lt;120,"90-119",IF(AE164&lt;150,"120-149","150+")))))</f>
        <v/>
      </c>
      <c r="AX164" s="5">
        <f>IF(AP164="","No revenue data",IF(AP164&lt;0.15,"Under 0.15x",IF(AP164&lt;0.3,"0.15-0.30x",IF(AP164&lt;0.5,"0.30-0.50x",IF(AP164&lt;1,"0.50-1.00x","1.00x+")))))</f>
        <v/>
      </c>
      <c r="AY164" s="5">
        <f>IF(J164="","No SIC",IFERROR(VLOOKUP(J164,Ref!$A$4:$C$67,2,FALSE()),"Unclassified"))</f>
        <v/>
      </c>
      <c r="AZ164" s="5">
        <f>IF(E164="","",TEXT(E164,"YYYY")&amp;"-Q"&amp;ROUNDUP(MONTH(E164)/3,0))</f>
        <v/>
      </c>
      <c r="BA164" s="5">
        <f>IF(E164="","",TEXT(E164,"YYYY-MM"))</f>
        <v/>
      </c>
      <c r="BB164" s="5">
        <f>IF(E164="","",TEXT(E164,"YYYY"))</f>
        <v/>
      </c>
      <c r="BC164" s="92">
        <f>IF($E164="","",NETWORKDAYS($E164,Controls!$B$9,Ref!$F$4:$F$47))</f>
        <v/>
      </c>
      <c r="BD164" s="92">
        <f>IF(OR($AH164=1,$AJ164=1),1,0)</f>
        <v/>
      </c>
      <c r="BE164" s="95">
        <f>IF(OR($BD164=1,AND($AE164&lt;&gt;"",$BC164&gt;=Controls!$B$10*$AE164)),1,0)</f>
        <v/>
      </c>
    </row>
    <row r="165" ht="15.75" customHeight="1" s="79">
      <c r="A165" s="5" t="inlineStr">
        <is>
          <t>5674162572</t>
        </is>
      </c>
      <c r="B165" s="5" t="inlineStr">
        <is>
          <t>DAVINCI MEDICAL LLC</t>
        </is>
      </c>
      <c r="C165" s="5" t="inlineStr">
        <is>
          <t>DAVINCI MEDICAL LLC</t>
        </is>
      </c>
      <c r="D165" s="5" t="inlineStr">
        <is>
          <t>Legal</t>
        </is>
      </c>
      <c r="E165" s="16" t="n">
        <v>45863</v>
      </c>
      <c r="F165" s="16" t="n">
        <v>45947</v>
      </c>
      <c r="G165" s="17" t="n">
        <v>1</v>
      </c>
      <c r="H165" s="5" t="inlineStr">
        <is>
          <t>8011</t>
        </is>
      </c>
      <c r="I165" s="5" t="inlineStr">
        <is>
          <t>Offices of Physicians (Except Mental Health Specialists)</t>
        </is>
      </c>
      <c r="J165" s="5" t="inlineStr">
        <is>
          <t>80</t>
        </is>
      </c>
      <c r="K165" s="5" t="n">
        <v>8011</v>
      </c>
      <c r="L165" s="5" t="inlineStr">
        <is>
          <t>TX</t>
        </is>
      </c>
      <c r="M165" s="5" t="inlineStr">
        <is>
          <t>Direct Funding LLC</t>
        </is>
      </c>
      <c r="N165" s="5" t="inlineStr">
        <is>
          <t>New Deal</t>
        </is>
      </c>
      <c r="O165" s="19" t="n">
        <v>1.499</v>
      </c>
      <c r="P165" s="20" t="n">
        <v>20000</v>
      </c>
      <c r="Q165" s="20" t="n">
        <v>2800</v>
      </c>
      <c r="R165" s="20" t="n">
        <v>29980</v>
      </c>
      <c r="S165" s="20" t="n">
        <v>16738.83</v>
      </c>
      <c r="T165" s="20" t="n">
        <v>13241.17</v>
      </c>
      <c r="U165" s="21" t="n">
        <v>0.558333222148099</v>
      </c>
      <c r="V165" s="22" t="n">
        <v>16</v>
      </c>
      <c r="W165" s="17" t="n">
        <v>320</v>
      </c>
      <c r="X165" s="17" t="n">
        <v>3</v>
      </c>
      <c r="Y165" s="20" t="n">
        <v>94371.25999999999</v>
      </c>
      <c r="Z165" s="21" t="n">
        <v>0.0465</v>
      </c>
      <c r="AA165" s="16" t="n">
        <v>42227</v>
      </c>
      <c r="AB165" s="5">
        <f>IF(V165="","",IF(V165&lt;12,"Months","Weeks"))</f>
        <v/>
      </c>
      <c r="AC165" s="5">
        <f>IF(AB165="","",IF(AB165="Months","Daily","Weekly"))</f>
        <v/>
      </c>
      <c r="AD165" s="17">
        <f>IF(V165="","",IF(AC165="Daily",V165*Controls!$B$13,V165))</f>
        <v/>
      </c>
      <c r="AE165" s="17">
        <f>IF(V165="","",IF(AC165="Daily",V165*Controls!$B$13,V165*Controls!$B$12))</f>
        <v/>
      </c>
      <c r="AF165" s="17">
        <f>IF(OR(E165="",F165=""),"",F165-E165)</f>
        <v/>
      </c>
      <c r="AG165" s="17">
        <f>IF(OR(E165="",F165=""),"",NETWORKDAYS(E165,F165,Ref!$F$4:$F$47))</f>
        <v/>
      </c>
      <c r="AH165" s="39">
        <f>IF(IFERROR(VLOOKUP(D165,Controls!$A$25:$D$35,2,FALSE()),"No")="Yes",1,0)</f>
        <v/>
      </c>
      <c r="AI165" s="39">
        <f>IF(IFERROR(VLOOKUP(D165,Controls!$A$25:$D$35,3,FALSE()),"No")="Yes",1,0)</f>
        <v/>
      </c>
      <c r="AJ165" s="39">
        <f>IF(IFERROR(VLOOKUP(D165,Controls!$A$25:$D$35,4,FALSE()),"No")="Yes",1,0)</f>
        <v/>
      </c>
      <c r="AK165" s="96">
        <f>IF(AND($E165&gt;=Controls!$B$5,$E165&lt;=Controls!$B$6,OR(Controls!$E$9&lt;&gt;"Y",$BE165=1)),1,0)</f>
        <v/>
      </c>
      <c r="AL165" s="39">
        <f>1</f>
        <v/>
      </c>
      <c r="AM165" s="20">
        <f>S165-P165</f>
        <v/>
      </c>
      <c r="AN165" s="20">
        <f>IF(AH165=1,MAX(0,P165-S165),0)</f>
        <v/>
      </c>
      <c r="AO165" s="21">
        <f>IFERROR(S165/P165,"")</f>
        <v/>
      </c>
      <c r="AP165" s="22">
        <f>IF(Y165="","",P165/Y165)</f>
        <v/>
      </c>
      <c r="AQ165" s="39">
        <f>IF(Y165="",0,1)</f>
        <v/>
      </c>
      <c r="AR165" s="39">
        <f>IF(S165&lt;=0,1,0)</f>
        <v/>
      </c>
      <c r="AS165" s="17">
        <f>IF(AH165=1,AG165,"")</f>
        <v/>
      </c>
      <c r="AT165" s="17">
        <f>IF(AND(AH165=0,AJ165=1),AG165,"")</f>
        <v/>
      </c>
      <c r="AU165" s="5">
        <f>IF(P165&lt;10000,"Under $10K",IF(P165&lt;20000,"$10-20K",IF(P165&lt;30000,"$20-30K",IF(P165&lt;50000,"$30-50K",IF(P165&lt;100000,"$50-100K","$100K+")))))</f>
        <v/>
      </c>
      <c r="AV165" s="5">
        <f>IF(O165&lt;=1.35,"1.35 and under",IF(O165&lt;=1.42,"1.36-1.42",IF(O165&lt;=1.45,"1.43-1.45",IF(O165&lt;1.49,"1.46-1.48",IF(O165&lt;=1.49,"1.49","Above 1.49")))))</f>
        <v/>
      </c>
      <c r="AW165" s="5">
        <f>IF(AE165="","",IF(AE165&lt;60,"Under 60",IF(AE165&lt;90,"60-89",IF(AE165&lt;120,"90-119",IF(AE165&lt;150,"120-149","150+")))))</f>
        <v/>
      </c>
      <c r="AX165" s="5">
        <f>IF(AP165="","No revenue data",IF(AP165&lt;0.15,"Under 0.15x",IF(AP165&lt;0.3,"0.15-0.30x",IF(AP165&lt;0.5,"0.30-0.50x",IF(AP165&lt;1,"0.50-1.00x","1.00x+")))))</f>
        <v/>
      </c>
      <c r="AY165" s="5">
        <f>IF(J165="","No SIC",IFERROR(VLOOKUP(J165,Ref!$A$4:$C$67,2,FALSE()),"Unclassified"))</f>
        <v/>
      </c>
      <c r="AZ165" s="5">
        <f>IF(E165="","",TEXT(E165,"YYYY")&amp;"-Q"&amp;ROUNDUP(MONTH(E165)/3,0))</f>
        <v/>
      </c>
      <c r="BA165" s="5">
        <f>IF(E165="","",TEXT(E165,"YYYY-MM"))</f>
        <v/>
      </c>
      <c r="BB165" s="5">
        <f>IF(E165="","",TEXT(E165,"YYYY"))</f>
        <v/>
      </c>
      <c r="BC165" s="92">
        <f>IF($E165="","",NETWORKDAYS($E165,Controls!$B$9,Ref!$F$4:$F$47))</f>
        <v/>
      </c>
      <c r="BD165" s="92">
        <f>IF(OR($AH165=1,$AJ165=1),1,0)</f>
        <v/>
      </c>
      <c r="BE165" s="95">
        <f>IF(OR($BD165=1,AND($AE165&lt;&gt;"",$BC165&gt;=Controls!$B$10*$AE165)),1,0)</f>
        <v/>
      </c>
    </row>
    <row r="166" ht="15.75" customHeight="1" s="79">
      <c r="A166" s="5" t="inlineStr">
        <is>
          <t>5674162573</t>
        </is>
      </c>
      <c r="B166" s="5" t="inlineStr">
        <is>
          <t>LINCOLN'S CONSTRUCTION REMODELING</t>
        </is>
      </c>
      <c r="C166" s="5" t="inlineStr">
        <is>
          <t>Lincoln'S Construction Remodeling Inc</t>
        </is>
      </c>
      <c r="D166" s="5" t="inlineStr">
        <is>
          <t>Legal</t>
        </is>
      </c>
      <c r="E166" s="16" t="n">
        <v>45863</v>
      </c>
      <c r="F166" s="16" t="n">
        <v>46234</v>
      </c>
      <c r="G166" s="17" t="n">
        <v>1</v>
      </c>
      <c r="H166" s="5" t="inlineStr">
        <is>
          <t>1521</t>
        </is>
      </c>
      <c r="I166" s="5" t="inlineStr">
        <is>
          <t>New Single-Family Housing Construction (Except For-Sale Builders)</t>
        </is>
      </c>
      <c r="J166" s="5" t="inlineStr">
        <is>
          <t>15</t>
        </is>
      </c>
      <c r="K166" s="5" t="n">
        <v>1520</v>
      </c>
      <c r="L166" s="5" t="inlineStr">
        <is>
          <t>MA</t>
        </is>
      </c>
      <c r="M166" s="5" t="inlineStr">
        <is>
          <t>PMF</t>
        </is>
      </c>
      <c r="N166" s="5" t="inlineStr">
        <is>
          <t>New Deal</t>
        </is>
      </c>
      <c r="O166" s="19" t="n">
        <v>1.49</v>
      </c>
      <c r="P166" s="20" t="n">
        <v>50000</v>
      </c>
      <c r="Q166" s="20" t="n">
        <v>7000</v>
      </c>
      <c r="R166" s="20" t="n">
        <v>74500</v>
      </c>
      <c r="S166" s="20" t="n">
        <v>51490.08</v>
      </c>
      <c r="T166" s="20" t="n">
        <v>23009.92</v>
      </c>
      <c r="U166" s="21" t="n">
        <v>0.691142013422819</v>
      </c>
      <c r="V166" s="22" t="n">
        <v>28</v>
      </c>
      <c r="W166" s="17" t="n">
        <v>19</v>
      </c>
      <c r="X166" s="17" t="n">
        <v>2</v>
      </c>
      <c r="Y166" s="20" t="n">
        <v>125203.05</v>
      </c>
      <c r="Z166" s="21" t="n">
        <v>0.08500000000000001</v>
      </c>
      <c r="AA166" s="16" t="n">
        <v>44531</v>
      </c>
      <c r="AB166" s="5">
        <f>IF(V166="","",IF(V166&lt;12,"Months","Weeks"))</f>
        <v/>
      </c>
      <c r="AC166" s="5">
        <f>IF(AB166="","",IF(AB166="Months","Daily","Weekly"))</f>
        <v/>
      </c>
      <c r="AD166" s="17">
        <f>IF(V166="","",IF(AC166="Daily",V166*Controls!$B$13,V166))</f>
        <v/>
      </c>
      <c r="AE166" s="17">
        <f>IF(V166="","",IF(AC166="Daily",V166*Controls!$B$13,V166*Controls!$B$12))</f>
        <v/>
      </c>
      <c r="AF166" s="17">
        <f>IF(OR(E166="",F166=""),"",F166-E166)</f>
        <v/>
      </c>
      <c r="AG166" s="17">
        <f>IF(OR(E166="",F166=""),"",NETWORKDAYS(E166,F166,Ref!$F$4:$F$47))</f>
        <v/>
      </c>
      <c r="AH166" s="39">
        <f>IF(IFERROR(VLOOKUP(D166,Controls!$A$25:$D$35,2,FALSE()),"No")="Yes",1,0)</f>
        <v/>
      </c>
      <c r="AI166" s="39">
        <f>IF(IFERROR(VLOOKUP(D166,Controls!$A$25:$D$35,3,FALSE()),"No")="Yes",1,0)</f>
        <v/>
      </c>
      <c r="AJ166" s="39">
        <f>IF(IFERROR(VLOOKUP(D166,Controls!$A$25:$D$35,4,FALSE()),"No")="Yes",1,0)</f>
        <v/>
      </c>
      <c r="AK166" s="96">
        <f>IF(AND($E166&gt;=Controls!$B$5,$E166&lt;=Controls!$B$6,OR(Controls!$E$9&lt;&gt;"Y",$BE166=1)),1,0)</f>
        <v/>
      </c>
      <c r="AL166" s="39">
        <f>1</f>
        <v/>
      </c>
      <c r="AM166" s="20">
        <f>S166-P166</f>
        <v/>
      </c>
      <c r="AN166" s="20">
        <f>IF(AH166=1,MAX(0,P166-S166),0)</f>
        <v/>
      </c>
      <c r="AO166" s="21">
        <f>IFERROR(S166/P166,"")</f>
        <v/>
      </c>
      <c r="AP166" s="22">
        <f>IF(Y166="","",P166/Y166)</f>
        <v/>
      </c>
      <c r="AQ166" s="39">
        <f>IF(Y166="",0,1)</f>
        <v/>
      </c>
      <c r="AR166" s="39">
        <f>IF(S166&lt;=0,1,0)</f>
        <v/>
      </c>
      <c r="AS166" s="17">
        <f>IF(AH166=1,AG166,"")</f>
        <v/>
      </c>
      <c r="AT166" s="17">
        <f>IF(AND(AH166=0,AJ166=1),AG166,"")</f>
        <v/>
      </c>
      <c r="AU166" s="5">
        <f>IF(P166&lt;10000,"Under $10K",IF(P166&lt;20000,"$10-20K",IF(P166&lt;30000,"$20-30K",IF(P166&lt;50000,"$30-50K",IF(P166&lt;100000,"$50-100K","$100K+")))))</f>
        <v/>
      </c>
      <c r="AV166" s="5">
        <f>IF(O166&lt;=1.35,"1.35 and under",IF(O166&lt;=1.42,"1.36-1.42",IF(O166&lt;=1.45,"1.43-1.45",IF(O166&lt;1.49,"1.46-1.48",IF(O166&lt;=1.49,"1.49","Above 1.49")))))</f>
        <v/>
      </c>
      <c r="AW166" s="5">
        <f>IF(AE166="","",IF(AE166&lt;60,"Under 60",IF(AE166&lt;90,"60-89",IF(AE166&lt;120,"90-119",IF(AE166&lt;150,"120-149","150+")))))</f>
        <v/>
      </c>
      <c r="AX166" s="5">
        <f>IF(AP166="","No revenue data",IF(AP166&lt;0.15,"Under 0.15x",IF(AP166&lt;0.3,"0.15-0.30x",IF(AP166&lt;0.5,"0.30-0.50x",IF(AP166&lt;1,"0.50-1.00x","1.00x+")))))</f>
        <v/>
      </c>
      <c r="AY166" s="5">
        <f>IF(J166="","No SIC",IFERROR(VLOOKUP(J166,Ref!$A$4:$C$67,2,FALSE()),"Unclassified"))</f>
        <v/>
      </c>
      <c r="AZ166" s="5">
        <f>IF(E166="","",TEXT(E166,"YYYY")&amp;"-Q"&amp;ROUNDUP(MONTH(E166)/3,0))</f>
        <v/>
      </c>
      <c r="BA166" s="5">
        <f>IF(E166="","",TEXT(E166,"YYYY-MM"))</f>
        <v/>
      </c>
      <c r="BB166" s="5">
        <f>IF(E166="","",TEXT(E166,"YYYY"))</f>
        <v/>
      </c>
      <c r="BC166" s="92">
        <f>IF($E166="","",NETWORKDAYS($E166,Controls!$B$9,Ref!$F$4:$F$47))</f>
        <v/>
      </c>
      <c r="BD166" s="92">
        <f>IF(OR($AH166=1,$AJ166=1),1,0)</f>
        <v/>
      </c>
      <c r="BE166" s="95">
        <f>IF(OR($BD166=1,AND($AE166&lt;&gt;"",$BC166&gt;=Controls!$B$10*$AE166)),1,0)</f>
        <v/>
      </c>
    </row>
    <row r="167" ht="15.75" customHeight="1" s="79">
      <c r="A167" s="5" t="inlineStr">
        <is>
          <t>5674162590</t>
        </is>
      </c>
      <c r="B167" s="5" t="inlineStr">
        <is>
          <t>Fast Track Auto Carriers</t>
        </is>
      </c>
      <c r="C167" s="5" t="inlineStr">
        <is>
          <t>BEN H WHITEKER</t>
        </is>
      </c>
      <c r="D167" s="5" t="inlineStr">
        <is>
          <t>Closed</t>
        </is>
      </c>
      <c r="E167" s="16" t="n">
        <v>45863</v>
      </c>
      <c r="F167" s="16" t="n">
        <v>45915</v>
      </c>
      <c r="G167" s="17" t="n">
        <v>1</v>
      </c>
      <c r="H167" s="5" t="inlineStr">
        <is>
          <t>7549</t>
        </is>
      </c>
      <c r="I167" s="5" t="inlineStr">
        <is>
          <t>Motor Vehicle Towing</t>
        </is>
      </c>
      <c r="J167" s="5" t="inlineStr">
        <is>
          <t>75</t>
        </is>
      </c>
      <c r="K167" s="5" t="n">
        <v>7549</v>
      </c>
      <c r="L167" s="5" t="inlineStr">
        <is>
          <t>OK</t>
        </is>
      </c>
      <c r="M167" s="5" t="inlineStr">
        <is>
          <t>Premium Capital (AMRK)</t>
        </is>
      </c>
      <c r="N167" s="5" t="inlineStr">
        <is>
          <t>New Deal</t>
        </is>
      </c>
      <c r="O167" s="19" t="n">
        <v>1.2</v>
      </c>
      <c r="P167" s="20" t="n">
        <v>40000</v>
      </c>
      <c r="Q167" s="20" t="n">
        <v>5200</v>
      </c>
      <c r="R167" s="20" t="n">
        <v>48000</v>
      </c>
      <c r="S167" s="20" t="n">
        <v>48000</v>
      </c>
      <c r="T167" s="20" t="n">
        <v>0</v>
      </c>
      <c r="U167" s="21" t="n">
        <v>1</v>
      </c>
      <c r="V167" s="22" t="n">
        <v>32</v>
      </c>
      <c r="W167" s="17" t="n">
        <v>338</v>
      </c>
      <c r="X167" s="17" t="n">
        <v>0</v>
      </c>
      <c r="Y167" s="20" t="n">
        <v>107515.79</v>
      </c>
      <c r="Z167" s="21" t="n">
        <v>0.0684</v>
      </c>
      <c r="AA167" s="5" t="n"/>
      <c r="AB167" s="5">
        <f>IF(V167="","",IF(V167&lt;12,"Months","Weeks"))</f>
        <v/>
      </c>
      <c r="AC167" s="5">
        <f>IF(AB167="","",IF(AB167="Months","Daily","Weekly"))</f>
        <v/>
      </c>
      <c r="AD167" s="17">
        <f>IF(V167="","",IF(AC167="Daily",V167*Controls!$B$13,V167))</f>
        <v/>
      </c>
      <c r="AE167" s="17">
        <f>IF(V167="","",IF(AC167="Daily",V167*Controls!$B$13,V167*Controls!$B$12))</f>
        <v/>
      </c>
      <c r="AF167" s="17">
        <f>IF(OR(E167="",F167=""),"",F167-E167)</f>
        <v/>
      </c>
      <c r="AG167" s="17">
        <f>IF(OR(E167="",F167=""),"",NETWORKDAYS(E167,F167,Ref!$F$4:$F$47))</f>
        <v/>
      </c>
      <c r="AH167" s="39">
        <f>IF(IFERROR(VLOOKUP(D167,Controls!$A$25:$D$35,2,FALSE()),"No")="Yes",1,0)</f>
        <v/>
      </c>
      <c r="AI167" s="39">
        <f>IF(IFERROR(VLOOKUP(D167,Controls!$A$25:$D$35,3,FALSE()),"No")="Yes",1,0)</f>
        <v/>
      </c>
      <c r="AJ167" s="39">
        <f>IF(IFERROR(VLOOKUP(D167,Controls!$A$25:$D$35,4,FALSE()),"No")="Yes",1,0)</f>
        <v/>
      </c>
      <c r="AK167" s="96">
        <f>IF(AND($E167&gt;=Controls!$B$5,$E167&lt;=Controls!$B$6,OR(Controls!$E$9&lt;&gt;"Y",$BE167=1)),1,0)</f>
        <v/>
      </c>
      <c r="AL167" s="39">
        <f>1</f>
        <v/>
      </c>
      <c r="AM167" s="20">
        <f>S167-P167</f>
        <v/>
      </c>
      <c r="AN167" s="20">
        <f>IF(AH167=1,MAX(0,P167-S167),0)</f>
        <v/>
      </c>
      <c r="AO167" s="21">
        <f>IFERROR(S167/P167,"")</f>
        <v/>
      </c>
      <c r="AP167" s="22">
        <f>IF(Y167="","",P167/Y167)</f>
        <v/>
      </c>
      <c r="AQ167" s="39">
        <f>IF(Y167="",0,1)</f>
        <v/>
      </c>
      <c r="AR167" s="39">
        <f>IF(S167&lt;=0,1,0)</f>
        <v/>
      </c>
      <c r="AS167" s="17">
        <f>IF(AH167=1,AG167,"")</f>
        <v/>
      </c>
      <c r="AT167" s="17">
        <f>IF(AND(AH167=0,AJ167=1),AG167,"")</f>
        <v/>
      </c>
      <c r="AU167" s="5">
        <f>IF(P167&lt;10000,"Under $10K",IF(P167&lt;20000,"$10-20K",IF(P167&lt;30000,"$20-30K",IF(P167&lt;50000,"$30-50K",IF(P167&lt;100000,"$50-100K","$100K+")))))</f>
        <v/>
      </c>
      <c r="AV167" s="5">
        <f>IF(O167&lt;=1.35,"1.35 and under",IF(O167&lt;=1.42,"1.36-1.42",IF(O167&lt;=1.45,"1.43-1.45",IF(O167&lt;1.49,"1.46-1.48",IF(O167&lt;=1.49,"1.49","Above 1.49")))))</f>
        <v/>
      </c>
      <c r="AW167" s="5">
        <f>IF(AE167="","",IF(AE167&lt;60,"Under 60",IF(AE167&lt;90,"60-89",IF(AE167&lt;120,"90-119",IF(AE167&lt;150,"120-149","150+")))))</f>
        <v/>
      </c>
      <c r="AX167" s="5">
        <f>IF(AP167="","No revenue data",IF(AP167&lt;0.15,"Under 0.15x",IF(AP167&lt;0.3,"0.15-0.30x",IF(AP167&lt;0.5,"0.30-0.50x",IF(AP167&lt;1,"0.50-1.00x","1.00x+")))))</f>
        <v/>
      </c>
      <c r="AY167" s="5">
        <f>IF(J167="","No SIC",IFERROR(VLOOKUP(J167,Ref!$A$4:$C$67,2,FALSE()),"Unclassified"))</f>
        <v/>
      </c>
      <c r="AZ167" s="5">
        <f>IF(E167="","",TEXT(E167,"YYYY")&amp;"-Q"&amp;ROUNDUP(MONTH(E167)/3,0))</f>
        <v/>
      </c>
      <c r="BA167" s="5">
        <f>IF(E167="","",TEXT(E167,"YYYY-MM"))</f>
        <v/>
      </c>
      <c r="BB167" s="5">
        <f>IF(E167="","",TEXT(E167,"YYYY"))</f>
        <v/>
      </c>
      <c r="BC167" s="92">
        <f>IF($E167="","",NETWORKDAYS($E167,Controls!$B$9,Ref!$F$4:$F$47))</f>
        <v/>
      </c>
      <c r="BD167" s="92">
        <f>IF(OR($AH167=1,$AJ167=1),1,0)</f>
        <v/>
      </c>
      <c r="BE167" s="95">
        <f>IF(OR($BD167=1,AND($AE167&lt;&gt;"",$BC167&gt;=Controls!$B$10*$AE167)),1,0)</f>
        <v/>
      </c>
    </row>
    <row r="168" ht="15.75" customHeight="1" s="79">
      <c r="A168" s="5" t="inlineStr">
        <is>
          <t>5674162596</t>
        </is>
      </c>
      <c r="B168" s="5" t="inlineStr">
        <is>
          <t>Malibu's Burgers</t>
        </is>
      </c>
      <c r="C168" s="5" t="inlineStr">
        <is>
          <t>Kesos LLC</t>
        </is>
      </c>
      <c r="D168" s="5" t="inlineStr">
        <is>
          <t>Legal</t>
        </is>
      </c>
      <c r="E168" s="16" t="n">
        <v>45863</v>
      </c>
      <c r="F168" s="16" t="n">
        <v>45870</v>
      </c>
      <c r="G168" s="17" t="n">
        <v>3</v>
      </c>
      <c r="H168" s="5" t="inlineStr">
        <is>
          <t>5812</t>
        </is>
      </c>
      <c r="I168" s="5" t="inlineStr">
        <is>
          <t>Snack and Nonalcoholic Beverage Bars</t>
        </is>
      </c>
      <c r="J168" s="5" t="inlineStr">
        <is>
          <t>58</t>
        </is>
      </c>
      <c r="K168" s="5" t="n">
        <v>5812</v>
      </c>
      <c r="L168" s="5" t="inlineStr">
        <is>
          <t>CA</t>
        </is>
      </c>
      <c r="M168" s="5" t="inlineStr">
        <is>
          <t>American Funding Association 1</t>
        </is>
      </c>
      <c r="N168" s="5" t="inlineStr">
        <is>
          <t>New Deal</t>
        </is>
      </c>
      <c r="O168" s="19" t="n">
        <v>1.5</v>
      </c>
      <c r="P168" s="20" t="n">
        <v>6000</v>
      </c>
      <c r="Q168" s="20" t="n">
        <v>720</v>
      </c>
      <c r="R168" s="20" t="n">
        <v>9000</v>
      </c>
      <c r="S168" s="20" t="n">
        <v>223.6</v>
      </c>
      <c r="T168" s="20" t="n">
        <v>8776.4</v>
      </c>
      <c r="U168" s="21" t="n">
        <v>0.0248444444444444</v>
      </c>
      <c r="V168" s="22" t="n">
        <v>2.623</v>
      </c>
      <c r="W168" s="17" t="n">
        <v>387</v>
      </c>
      <c r="X168" s="17" t="n">
        <v>3</v>
      </c>
      <c r="Y168" s="20" t="n">
        <v>33588.2</v>
      </c>
      <c r="Z168" s="21" t="n">
        <v>0.0699</v>
      </c>
      <c r="AA168" s="16" t="n">
        <v>44245</v>
      </c>
      <c r="AB168" s="5">
        <f>IF(V168="","",IF(V168&lt;12,"Months","Weeks"))</f>
        <v/>
      </c>
      <c r="AC168" s="5">
        <f>IF(AB168="","",IF(AB168="Months","Daily","Weekly"))</f>
        <v/>
      </c>
      <c r="AD168" s="17">
        <f>IF(V168="","",IF(AC168="Daily",V168*Controls!$B$13,V168))</f>
        <v/>
      </c>
      <c r="AE168" s="17">
        <f>IF(V168="","",IF(AC168="Daily",V168*Controls!$B$13,V168*Controls!$B$12))</f>
        <v/>
      </c>
      <c r="AF168" s="17">
        <f>IF(OR(E168="",F168=""),"",F168-E168)</f>
        <v/>
      </c>
      <c r="AG168" s="17">
        <f>IF(OR(E168="",F168=""),"",NETWORKDAYS(E168,F168,Ref!$F$4:$F$47))</f>
        <v/>
      </c>
      <c r="AH168" s="39">
        <f>IF(IFERROR(VLOOKUP(D168,Controls!$A$25:$D$35,2,FALSE()),"No")="Yes",1,0)</f>
        <v/>
      </c>
      <c r="AI168" s="39">
        <f>IF(IFERROR(VLOOKUP(D168,Controls!$A$25:$D$35,3,FALSE()),"No")="Yes",1,0)</f>
        <v/>
      </c>
      <c r="AJ168" s="39">
        <f>IF(IFERROR(VLOOKUP(D168,Controls!$A$25:$D$35,4,FALSE()),"No")="Yes",1,0)</f>
        <v/>
      </c>
      <c r="AK168" s="96">
        <f>IF(AND($E168&gt;=Controls!$B$5,$E168&lt;=Controls!$B$6,OR(Controls!$E$9&lt;&gt;"Y",$BE168=1)),1,0)</f>
        <v/>
      </c>
      <c r="AL168" s="39">
        <f>1</f>
        <v/>
      </c>
      <c r="AM168" s="20">
        <f>S168-P168</f>
        <v/>
      </c>
      <c r="AN168" s="20">
        <f>IF(AH168=1,MAX(0,P168-S168),0)</f>
        <v/>
      </c>
      <c r="AO168" s="21">
        <f>IFERROR(S168/P168,"")</f>
        <v/>
      </c>
      <c r="AP168" s="22">
        <f>IF(Y168="","",P168/Y168)</f>
        <v/>
      </c>
      <c r="AQ168" s="39">
        <f>IF(Y168="",0,1)</f>
        <v/>
      </c>
      <c r="AR168" s="39">
        <f>IF(S168&lt;=0,1,0)</f>
        <v/>
      </c>
      <c r="AS168" s="17">
        <f>IF(AH168=1,AG168,"")</f>
        <v/>
      </c>
      <c r="AT168" s="17">
        <f>IF(AND(AH168=0,AJ168=1),AG168,"")</f>
        <v/>
      </c>
      <c r="AU168" s="5">
        <f>IF(P168&lt;10000,"Under $10K",IF(P168&lt;20000,"$10-20K",IF(P168&lt;30000,"$20-30K",IF(P168&lt;50000,"$30-50K",IF(P168&lt;100000,"$50-100K","$100K+")))))</f>
        <v/>
      </c>
      <c r="AV168" s="5">
        <f>IF(O168&lt;=1.35,"1.35 and under",IF(O168&lt;=1.42,"1.36-1.42",IF(O168&lt;=1.45,"1.43-1.45",IF(O168&lt;1.49,"1.46-1.48",IF(O168&lt;=1.49,"1.49","Above 1.49")))))</f>
        <v/>
      </c>
      <c r="AW168" s="5">
        <f>IF(AE168="","",IF(AE168&lt;60,"Under 60",IF(AE168&lt;90,"60-89",IF(AE168&lt;120,"90-119",IF(AE168&lt;150,"120-149","150+")))))</f>
        <v/>
      </c>
      <c r="AX168" s="5">
        <f>IF(AP168="","No revenue data",IF(AP168&lt;0.15,"Under 0.15x",IF(AP168&lt;0.3,"0.15-0.30x",IF(AP168&lt;0.5,"0.30-0.50x",IF(AP168&lt;1,"0.50-1.00x","1.00x+")))))</f>
        <v/>
      </c>
      <c r="AY168" s="5">
        <f>IF(J168="","No SIC",IFERROR(VLOOKUP(J168,Ref!$A$4:$C$67,2,FALSE()),"Unclassified"))</f>
        <v/>
      </c>
      <c r="AZ168" s="5">
        <f>IF(E168="","",TEXT(E168,"YYYY")&amp;"-Q"&amp;ROUNDUP(MONTH(E168)/3,0))</f>
        <v/>
      </c>
      <c r="BA168" s="5">
        <f>IF(E168="","",TEXT(E168,"YYYY-MM"))</f>
        <v/>
      </c>
      <c r="BB168" s="5">
        <f>IF(E168="","",TEXT(E168,"YYYY"))</f>
        <v/>
      </c>
      <c r="BC168" s="92">
        <f>IF($E168="","",NETWORKDAYS($E168,Controls!$B$9,Ref!$F$4:$F$47))</f>
        <v/>
      </c>
      <c r="BD168" s="92">
        <f>IF(OR($AH168=1,$AJ168=1),1,0)</f>
        <v/>
      </c>
      <c r="BE168" s="95">
        <f>IF(OR($BD168=1,AND($AE168&lt;&gt;"",$BC168&gt;=Controls!$B$10*$AE168)),1,0)</f>
        <v/>
      </c>
    </row>
    <row r="169" ht="15.75" customHeight="1" s="79">
      <c r="A169" s="5" t="inlineStr">
        <is>
          <t>5674162609</t>
        </is>
      </c>
      <c r="B169" s="5" t="inlineStr">
        <is>
          <t>Ribeiro General Construction Corp</t>
        </is>
      </c>
      <c r="C169" s="5" t="inlineStr">
        <is>
          <t>Ribeiro General Construction Corp</t>
        </is>
      </c>
      <c r="D169" s="5" t="inlineStr">
        <is>
          <t>Closed</t>
        </is>
      </c>
      <c r="E169" s="16" t="n">
        <v>45863</v>
      </c>
      <c r="F169" s="16" t="n">
        <v>45966</v>
      </c>
      <c r="G169" s="17" t="n">
        <v>2</v>
      </c>
      <c r="H169" s="5" t="inlineStr">
        <is>
          <t>1521</t>
        </is>
      </c>
      <c r="I169" s="5" t="inlineStr">
        <is>
          <t>New Single-Family Housing Construction (Except For-Sale Builders)</t>
        </is>
      </c>
      <c r="J169" s="5" t="inlineStr">
        <is>
          <t>15</t>
        </is>
      </c>
      <c r="K169" s="5" t="n">
        <v>1520</v>
      </c>
      <c r="L169" s="5" t="inlineStr">
        <is>
          <t>MA</t>
        </is>
      </c>
      <c r="M169" s="5" t="inlineStr">
        <is>
          <t>NY Tribeca Group</t>
        </is>
      </c>
      <c r="N169" s="5" t="inlineStr">
        <is>
          <t>New Deal</t>
        </is>
      </c>
      <c r="O169" s="19" t="n">
        <v>1.35</v>
      </c>
      <c r="P169" s="20" t="n">
        <v>10000</v>
      </c>
      <c r="Q169" s="20" t="n">
        <v>700</v>
      </c>
      <c r="R169" s="20" t="n">
        <v>13500</v>
      </c>
      <c r="S169" s="20" t="n">
        <v>13500</v>
      </c>
      <c r="T169" s="20" t="n">
        <v>0</v>
      </c>
      <c r="U169" s="21" t="n">
        <v>1</v>
      </c>
      <c r="V169" s="22" t="n">
        <v>1.967</v>
      </c>
      <c r="W169" s="17" t="n">
        <v>287</v>
      </c>
      <c r="X169" s="17" t="n">
        <v>12</v>
      </c>
      <c r="Y169" s="20" t="n">
        <v>75630.53999999999</v>
      </c>
      <c r="Z169" s="21" t="n">
        <v>0.0625</v>
      </c>
      <c r="AA169" s="16" t="n">
        <v>43314</v>
      </c>
      <c r="AB169" s="5">
        <f>IF(V169="","",IF(V169&lt;12,"Months","Weeks"))</f>
        <v/>
      </c>
      <c r="AC169" s="5">
        <f>IF(AB169="","",IF(AB169="Months","Daily","Weekly"))</f>
        <v/>
      </c>
      <c r="AD169" s="17">
        <f>IF(V169="","",IF(AC169="Daily",V169*Controls!$B$13,V169))</f>
        <v/>
      </c>
      <c r="AE169" s="17">
        <f>IF(V169="","",IF(AC169="Daily",V169*Controls!$B$13,V169*Controls!$B$12))</f>
        <v/>
      </c>
      <c r="AF169" s="17">
        <f>IF(OR(E169="",F169=""),"",F169-E169)</f>
        <v/>
      </c>
      <c r="AG169" s="17">
        <f>IF(OR(E169="",F169=""),"",NETWORKDAYS(E169,F169,Ref!$F$4:$F$47))</f>
        <v/>
      </c>
      <c r="AH169" s="39">
        <f>IF(IFERROR(VLOOKUP(D169,Controls!$A$25:$D$35,2,FALSE()),"No")="Yes",1,0)</f>
        <v/>
      </c>
      <c r="AI169" s="39">
        <f>IF(IFERROR(VLOOKUP(D169,Controls!$A$25:$D$35,3,FALSE()),"No")="Yes",1,0)</f>
        <v/>
      </c>
      <c r="AJ169" s="39">
        <f>IF(IFERROR(VLOOKUP(D169,Controls!$A$25:$D$35,4,FALSE()),"No")="Yes",1,0)</f>
        <v/>
      </c>
      <c r="AK169" s="96">
        <f>IF(AND($E169&gt;=Controls!$B$5,$E169&lt;=Controls!$B$6,OR(Controls!$E$9&lt;&gt;"Y",$BE169=1)),1,0)</f>
        <v/>
      </c>
      <c r="AL169" s="39">
        <f>1</f>
        <v/>
      </c>
      <c r="AM169" s="20">
        <f>S169-P169</f>
        <v/>
      </c>
      <c r="AN169" s="20">
        <f>IF(AH169=1,MAX(0,P169-S169),0)</f>
        <v/>
      </c>
      <c r="AO169" s="21">
        <f>IFERROR(S169/P169,"")</f>
        <v/>
      </c>
      <c r="AP169" s="22">
        <f>IF(Y169="","",P169/Y169)</f>
        <v/>
      </c>
      <c r="AQ169" s="39">
        <f>IF(Y169="",0,1)</f>
        <v/>
      </c>
      <c r="AR169" s="39">
        <f>IF(S169&lt;=0,1,0)</f>
        <v/>
      </c>
      <c r="AS169" s="17">
        <f>IF(AH169=1,AG169,"")</f>
        <v/>
      </c>
      <c r="AT169" s="17">
        <f>IF(AND(AH169=0,AJ169=1),AG169,"")</f>
        <v/>
      </c>
      <c r="AU169" s="5">
        <f>IF(P169&lt;10000,"Under $10K",IF(P169&lt;20000,"$10-20K",IF(P169&lt;30000,"$20-30K",IF(P169&lt;50000,"$30-50K",IF(P169&lt;100000,"$50-100K","$100K+")))))</f>
        <v/>
      </c>
      <c r="AV169" s="5">
        <f>IF(O169&lt;=1.35,"1.35 and under",IF(O169&lt;=1.42,"1.36-1.42",IF(O169&lt;=1.45,"1.43-1.45",IF(O169&lt;1.49,"1.46-1.48",IF(O169&lt;=1.49,"1.49","Above 1.49")))))</f>
        <v/>
      </c>
      <c r="AW169" s="5">
        <f>IF(AE169="","",IF(AE169&lt;60,"Under 60",IF(AE169&lt;90,"60-89",IF(AE169&lt;120,"90-119",IF(AE169&lt;150,"120-149","150+")))))</f>
        <v/>
      </c>
      <c r="AX169" s="5">
        <f>IF(AP169="","No revenue data",IF(AP169&lt;0.15,"Under 0.15x",IF(AP169&lt;0.3,"0.15-0.30x",IF(AP169&lt;0.5,"0.30-0.50x",IF(AP169&lt;1,"0.50-1.00x","1.00x+")))))</f>
        <v/>
      </c>
      <c r="AY169" s="5">
        <f>IF(J169="","No SIC",IFERROR(VLOOKUP(J169,Ref!$A$4:$C$67,2,FALSE()),"Unclassified"))</f>
        <v/>
      </c>
      <c r="AZ169" s="5">
        <f>IF(E169="","",TEXT(E169,"YYYY")&amp;"-Q"&amp;ROUNDUP(MONTH(E169)/3,0))</f>
        <v/>
      </c>
      <c r="BA169" s="5">
        <f>IF(E169="","",TEXT(E169,"YYYY-MM"))</f>
        <v/>
      </c>
      <c r="BB169" s="5">
        <f>IF(E169="","",TEXT(E169,"YYYY"))</f>
        <v/>
      </c>
      <c r="BC169" s="92">
        <f>IF($E169="","",NETWORKDAYS($E169,Controls!$B$9,Ref!$F$4:$F$47))</f>
        <v/>
      </c>
      <c r="BD169" s="92">
        <f>IF(OR($AH169=1,$AJ169=1),1,0)</f>
        <v/>
      </c>
      <c r="BE169" s="95">
        <f>IF(OR($BD169=1,AND($AE169&lt;&gt;"",$BC169&gt;=Controls!$B$10*$AE169)),1,0)</f>
        <v/>
      </c>
    </row>
    <row r="170" ht="15.75" customHeight="1" s="79">
      <c r="A170" s="5" t="inlineStr">
        <is>
          <t>5674162669</t>
        </is>
      </c>
      <c r="B170" s="5" t="inlineStr">
        <is>
          <t>TAQUERIA Y ANTOJITOS EL GUANACO LLC</t>
        </is>
      </c>
      <c r="C170" s="5" t="inlineStr">
        <is>
          <t>TAQUERIA Y ANTOJITOS EL GUANACO LLC</t>
        </is>
      </c>
      <c r="D170" s="5" t="inlineStr">
        <is>
          <t>Closed</t>
        </is>
      </c>
      <c r="E170" s="16" t="n">
        <v>45866</v>
      </c>
      <c r="F170" s="16" t="n">
        <v>45989</v>
      </c>
      <c r="G170" s="17" t="n">
        <v>7</v>
      </c>
      <c r="H170" s="5" t="inlineStr">
        <is>
          <t>5812</t>
        </is>
      </c>
      <c r="I170" s="5" t="inlineStr">
        <is>
          <t>Snack and Nonalcoholic Beverage Bars</t>
        </is>
      </c>
      <c r="J170" s="5" t="inlineStr">
        <is>
          <t>58</t>
        </is>
      </c>
      <c r="K170" s="5" t="n">
        <v>5812</v>
      </c>
      <c r="L170" s="5" t="inlineStr">
        <is>
          <t>FL</t>
        </is>
      </c>
      <c r="M170" s="5" t="inlineStr">
        <is>
          <t>PMF</t>
        </is>
      </c>
      <c r="N170" s="5" t="inlineStr">
        <is>
          <t>Renewal</t>
        </is>
      </c>
      <c r="O170" s="19" t="n">
        <v>1.49</v>
      </c>
      <c r="P170" s="20" t="n">
        <v>35000</v>
      </c>
      <c r="Q170" s="20" t="n">
        <v>4900</v>
      </c>
      <c r="R170" s="20" t="n">
        <v>52150</v>
      </c>
      <c r="S170" s="20" t="n">
        <v>52150</v>
      </c>
      <c r="T170" s="20" t="n">
        <v>0</v>
      </c>
      <c r="U170" s="21" t="n">
        <v>1</v>
      </c>
      <c r="V170" s="22" t="n">
        <v>3.934</v>
      </c>
      <c r="W170" s="17" t="n">
        <v>264</v>
      </c>
      <c r="X170" s="17" t="n">
        <v>9</v>
      </c>
      <c r="Y170" s="20" t="n">
        <v>138520.32</v>
      </c>
      <c r="Z170" s="21" t="n">
        <v>0.0659</v>
      </c>
      <c r="AA170" s="16" t="n">
        <v>42430</v>
      </c>
      <c r="AB170" s="5">
        <f>IF(V170="","",IF(V170&lt;12,"Months","Weeks"))</f>
        <v/>
      </c>
      <c r="AC170" s="5">
        <f>IF(AB170="","",IF(AB170="Months","Daily","Weekly"))</f>
        <v/>
      </c>
      <c r="AD170" s="17">
        <f>IF(V170="","",IF(AC170="Daily",V170*Controls!$B$13,V170))</f>
        <v/>
      </c>
      <c r="AE170" s="17">
        <f>IF(V170="","",IF(AC170="Daily",V170*Controls!$B$13,V170*Controls!$B$12))</f>
        <v/>
      </c>
      <c r="AF170" s="17">
        <f>IF(OR(E170="",F170=""),"",F170-E170)</f>
        <v/>
      </c>
      <c r="AG170" s="17">
        <f>IF(OR(E170="",F170=""),"",NETWORKDAYS(E170,F170,Ref!$F$4:$F$47))</f>
        <v/>
      </c>
      <c r="AH170" s="39">
        <f>IF(IFERROR(VLOOKUP(D170,Controls!$A$25:$D$35,2,FALSE()),"No")="Yes",1,0)</f>
        <v/>
      </c>
      <c r="AI170" s="39">
        <f>IF(IFERROR(VLOOKUP(D170,Controls!$A$25:$D$35,3,FALSE()),"No")="Yes",1,0)</f>
        <v/>
      </c>
      <c r="AJ170" s="39">
        <f>IF(IFERROR(VLOOKUP(D170,Controls!$A$25:$D$35,4,FALSE()),"No")="Yes",1,0)</f>
        <v/>
      </c>
      <c r="AK170" s="96">
        <f>IF(AND($E170&gt;=Controls!$B$5,$E170&lt;=Controls!$B$6,OR(Controls!$E$9&lt;&gt;"Y",$BE170=1)),1,0)</f>
        <v/>
      </c>
      <c r="AL170" s="39">
        <f>1</f>
        <v/>
      </c>
      <c r="AM170" s="20">
        <f>S170-P170</f>
        <v/>
      </c>
      <c r="AN170" s="20">
        <f>IF(AH170=1,MAX(0,P170-S170),0)</f>
        <v/>
      </c>
      <c r="AO170" s="21">
        <f>IFERROR(S170/P170,"")</f>
        <v/>
      </c>
      <c r="AP170" s="22">
        <f>IF(Y170="","",P170/Y170)</f>
        <v/>
      </c>
      <c r="AQ170" s="39">
        <f>IF(Y170="",0,1)</f>
        <v/>
      </c>
      <c r="AR170" s="39">
        <f>IF(S170&lt;=0,1,0)</f>
        <v/>
      </c>
      <c r="AS170" s="17">
        <f>IF(AH170=1,AG170,"")</f>
        <v/>
      </c>
      <c r="AT170" s="17">
        <f>IF(AND(AH170=0,AJ170=1),AG170,"")</f>
        <v/>
      </c>
      <c r="AU170" s="5">
        <f>IF(P170&lt;10000,"Under $10K",IF(P170&lt;20000,"$10-20K",IF(P170&lt;30000,"$20-30K",IF(P170&lt;50000,"$30-50K",IF(P170&lt;100000,"$50-100K","$100K+")))))</f>
        <v/>
      </c>
      <c r="AV170" s="5">
        <f>IF(O170&lt;=1.35,"1.35 and under",IF(O170&lt;=1.42,"1.36-1.42",IF(O170&lt;=1.45,"1.43-1.45",IF(O170&lt;1.49,"1.46-1.48",IF(O170&lt;=1.49,"1.49","Above 1.49")))))</f>
        <v/>
      </c>
      <c r="AW170" s="5">
        <f>IF(AE170="","",IF(AE170&lt;60,"Under 60",IF(AE170&lt;90,"60-89",IF(AE170&lt;120,"90-119",IF(AE170&lt;150,"120-149","150+")))))</f>
        <v/>
      </c>
      <c r="AX170" s="5">
        <f>IF(AP170="","No revenue data",IF(AP170&lt;0.15,"Under 0.15x",IF(AP170&lt;0.3,"0.15-0.30x",IF(AP170&lt;0.5,"0.30-0.50x",IF(AP170&lt;1,"0.50-1.00x","1.00x+")))))</f>
        <v/>
      </c>
      <c r="AY170" s="5">
        <f>IF(J170="","No SIC",IFERROR(VLOOKUP(J170,Ref!$A$4:$C$67,2,FALSE()),"Unclassified"))</f>
        <v/>
      </c>
      <c r="AZ170" s="5">
        <f>IF(E170="","",TEXT(E170,"YYYY")&amp;"-Q"&amp;ROUNDUP(MONTH(E170)/3,0))</f>
        <v/>
      </c>
      <c r="BA170" s="5">
        <f>IF(E170="","",TEXT(E170,"YYYY-MM"))</f>
        <v/>
      </c>
      <c r="BB170" s="5">
        <f>IF(E170="","",TEXT(E170,"YYYY"))</f>
        <v/>
      </c>
      <c r="BC170" s="92">
        <f>IF($E170="","",NETWORKDAYS($E170,Controls!$B$9,Ref!$F$4:$F$47))</f>
        <v/>
      </c>
      <c r="BD170" s="92">
        <f>IF(OR($AH170=1,$AJ170=1),1,0)</f>
        <v/>
      </c>
      <c r="BE170" s="95">
        <f>IF(OR($BD170=1,AND($AE170&lt;&gt;"",$BC170&gt;=Controls!$B$10*$AE170)),1,0)</f>
        <v/>
      </c>
    </row>
    <row r="171" ht="15.75" customHeight="1" s="79">
      <c r="A171" s="5" t="inlineStr">
        <is>
          <t>5674162670</t>
        </is>
      </c>
      <c r="B171" s="5" t="inlineStr">
        <is>
          <t>Panther De Luxe Shop</t>
        </is>
      </c>
      <c r="C171" s="5" t="inlineStr">
        <is>
          <t>Panther De Luxe Shop</t>
        </is>
      </c>
      <c r="D171" s="5" t="inlineStr">
        <is>
          <t>Bankruptcy</t>
        </is>
      </c>
      <c r="E171" s="16" t="n">
        <v>45866</v>
      </c>
      <c r="F171" s="16" t="n">
        <v>46157</v>
      </c>
      <c r="G171" s="17" t="n">
        <v>5</v>
      </c>
      <c r="H171" s="5" t="inlineStr">
        <is>
          <t>5999</t>
        </is>
      </c>
      <c r="I171" s="5" t="inlineStr">
        <is>
          <t>All Other Misc. Store Retailers (Except Tobacco Stores)</t>
        </is>
      </c>
      <c r="J171" s="5" t="inlineStr">
        <is>
          <t>59</t>
        </is>
      </c>
      <c r="K171" s="5" t="n">
        <v>5999</v>
      </c>
      <c r="L171" s="5" t="inlineStr">
        <is>
          <t>NJ</t>
        </is>
      </c>
      <c r="M171" s="5" t="inlineStr">
        <is>
          <t>United Secured Capital 8</t>
        </is>
      </c>
      <c r="N171" s="5" t="inlineStr">
        <is>
          <t>New Deal</t>
        </is>
      </c>
      <c r="O171" s="19" t="n">
        <v>1.499</v>
      </c>
      <c r="P171" s="20" t="n">
        <v>10000</v>
      </c>
      <c r="Q171" s="20" t="n">
        <v>1400</v>
      </c>
      <c r="R171" s="20" t="n">
        <v>14990</v>
      </c>
      <c r="S171" s="20" t="n">
        <v>6735.07</v>
      </c>
      <c r="T171" s="20" t="n">
        <v>8254.93</v>
      </c>
      <c r="U171" s="21" t="n">
        <v>0.449304202801868</v>
      </c>
      <c r="V171" s="22" t="n">
        <v>1.803</v>
      </c>
      <c r="W171" s="17" t="n">
        <v>251</v>
      </c>
      <c r="X171" s="17" t="n">
        <v>47</v>
      </c>
      <c r="Y171" s="20" t="n">
        <v>63523.89</v>
      </c>
      <c r="Z171" s="21" t="n">
        <v>0.0896</v>
      </c>
      <c r="AA171" s="16" t="n">
        <v>44609</v>
      </c>
      <c r="AB171" s="5">
        <f>IF(V171="","",IF(V171&lt;12,"Months","Weeks"))</f>
        <v/>
      </c>
      <c r="AC171" s="5">
        <f>IF(AB171="","",IF(AB171="Months","Daily","Weekly"))</f>
        <v/>
      </c>
      <c r="AD171" s="17">
        <f>IF(V171="","",IF(AC171="Daily",V171*Controls!$B$13,V171))</f>
        <v/>
      </c>
      <c r="AE171" s="17">
        <f>IF(V171="","",IF(AC171="Daily",V171*Controls!$B$13,V171*Controls!$B$12))</f>
        <v/>
      </c>
      <c r="AF171" s="17">
        <f>IF(OR(E171="",F171=""),"",F171-E171)</f>
        <v/>
      </c>
      <c r="AG171" s="17">
        <f>IF(OR(E171="",F171=""),"",NETWORKDAYS(E171,F171,Ref!$F$4:$F$47))</f>
        <v/>
      </c>
      <c r="AH171" s="39">
        <f>IF(IFERROR(VLOOKUP(D171,Controls!$A$25:$D$35,2,FALSE()),"No")="Yes",1,0)</f>
        <v/>
      </c>
      <c r="AI171" s="39">
        <f>IF(IFERROR(VLOOKUP(D171,Controls!$A$25:$D$35,3,FALSE()),"No")="Yes",1,0)</f>
        <v/>
      </c>
      <c r="AJ171" s="39">
        <f>IF(IFERROR(VLOOKUP(D171,Controls!$A$25:$D$35,4,FALSE()),"No")="Yes",1,0)</f>
        <v/>
      </c>
      <c r="AK171" s="96">
        <f>IF(AND($E171&gt;=Controls!$B$5,$E171&lt;=Controls!$B$6,OR(Controls!$E$9&lt;&gt;"Y",$BE171=1)),1,0)</f>
        <v/>
      </c>
      <c r="AL171" s="39">
        <f>1</f>
        <v/>
      </c>
      <c r="AM171" s="20">
        <f>S171-P171</f>
        <v/>
      </c>
      <c r="AN171" s="20">
        <f>IF(AH171=1,MAX(0,P171-S171),0)</f>
        <v/>
      </c>
      <c r="AO171" s="21">
        <f>IFERROR(S171/P171,"")</f>
        <v/>
      </c>
      <c r="AP171" s="22">
        <f>IF(Y171="","",P171/Y171)</f>
        <v/>
      </c>
      <c r="AQ171" s="39">
        <f>IF(Y171="",0,1)</f>
        <v/>
      </c>
      <c r="AR171" s="39">
        <f>IF(S171&lt;=0,1,0)</f>
        <v/>
      </c>
      <c r="AS171" s="17">
        <f>IF(AH171=1,AG171,"")</f>
        <v/>
      </c>
      <c r="AT171" s="17">
        <f>IF(AND(AH171=0,AJ171=1),AG171,"")</f>
        <v/>
      </c>
      <c r="AU171" s="5">
        <f>IF(P171&lt;10000,"Under $10K",IF(P171&lt;20000,"$10-20K",IF(P171&lt;30000,"$20-30K",IF(P171&lt;50000,"$30-50K",IF(P171&lt;100000,"$50-100K","$100K+")))))</f>
        <v/>
      </c>
      <c r="AV171" s="5">
        <f>IF(O171&lt;=1.35,"1.35 and under",IF(O171&lt;=1.42,"1.36-1.42",IF(O171&lt;=1.45,"1.43-1.45",IF(O171&lt;1.49,"1.46-1.48",IF(O171&lt;=1.49,"1.49","Above 1.49")))))</f>
        <v/>
      </c>
      <c r="AW171" s="5">
        <f>IF(AE171="","",IF(AE171&lt;60,"Under 60",IF(AE171&lt;90,"60-89",IF(AE171&lt;120,"90-119",IF(AE171&lt;150,"120-149","150+")))))</f>
        <v/>
      </c>
      <c r="AX171" s="5">
        <f>IF(AP171="","No revenue data",IF(AP171&lt;0.15,"Under 0.15x",IF(AP171&lt;0.3,"0.15-0.30x",IF(AP171&lt;0.5,"0.30-0.50x",IF(AP171&lt;1,"0.50-1.00x","1.00x+")))))</f>
        <v/>
      </c>
      <c r="AY171" s="5">
        <f>IF(J171="","No SIC",IFERROR(VLOOKUP(J171,Ref!$A$4:$C$67,2,FALSE()),"Unclassified"))</f>
        <v/>
      </c>
      <c r="AZ171" s="5">
        <f>IF(E171="","",TEXT(E171,"YYYY")&amp;"-Q"&amp;ROUNDUP(MONTH(E171)/3,0))</f>
        <v/>
      </c>
      <c r="BA171" s="5">
        <f>IF(E171="","",TEXT(E171,"YYYY-MM"))</f>
        <v/>
      </c>
      <c r="BB171" s="5">
        <f>IF(E171="","",TEXT(E171,"YYYY"))</f>
        <v/>
      </c>
      <c r="BC171" s="92">
        <f>IF($E171="","",NETWORKDAYS($E171,Controls!$B$9,Ref!$F$4:$F$47))</f>
        <v/>
      </c>
      <c r="BD171" s="92">
        <f>IF(OR($AH171=1,$AJ171=1),1,0)</f>
        <v/>
      </c>
      <c r="BE171" s="95">
        <f>IF(OR($BD171=1,AND($AE171&lt;&gt;"",$BC171&gt;=Controls!$B$10*$AE171)),1,0)</f>
        <v/>
      </c>
    </row>
    <row r="172" ht="15.75" customHeight="1" s="79">
      <c r="A172" s="5" t="inlineStr">
        <is>
          <t>5674162694</t>
        </is>
      </c>
      <c r="B172" s="5" t="inlineStr">
        <is>
          <t>Pecos discount liquor</t>
        </is>
      </c>
      <c r="C172" s="5" t="inlineStr">
        <is>
          <t>Harleen LLC</t>
        </is>
      </c>
      <c r="D172" s="5" t="inlineStr">
        <is>
          <t>Lowered Payments</t>
        </is>
      </c>
      <c r="E172" s="16" t="n">
        <v>45866</v>
      </c>
      <c r="F172" s="16" t="n">
        <v>46164</v>
      </c>
      <c r="G172" s="17" t="n">
        <v>2</v>
      </c>
      <c r="H172" s="5" t="inlineStr">
        <is>
          <t>5921</t>
        </is>
      </c>
      <c r="I172" s="5" t="inlineStr">
        <is>
          <t>Beer, Wine, and Liquor Stores</t>
        </is>
      </c>
      <c r="J172" s="5" t="inlineStr">
        <is>
          <t>59</t>
        </is>
      </c>
      <c r="K172" s="5" t="n">
        <v>5921</v>
      </c>
      <c r="L172" s="5" t="inlineStr">
        <is>
          <t>CO</t>
        </is>
      </c>
      <c r="M172" s="5" t="inlineStr">
        <is>
          <t>Fundwell</t>
        </is>
      </c>
      <c r="N172" s="5" t="inlineStr">
        <is>
          <t>New Deal</t>
        </is>
      </c>
      <c r="O172" s="19" t="n">
        <v>1.4</v>
      </c>
      <c r="P172" s="20" t="n">
        <v>40000</v>
      </c>
      <c r="Q172" s="20" t="n">
        <v>5200</v>
      </c>
      <c r="R172" s="20" t="n">
        <v>56000</v>
      </c>
      <c r="S172" s="20" t="n">
        <v>28892.36</v>
      </c>
      <c r="T172" s="20" t="n">
        <v>27107.64</v>
      </c>
      <c r="U172" s="21" t="n">
        <v>0.515935</v>
      </c>
      <c r="V172" s="22" t="n">
        <v>44</v>
      </c>
      <c r="W172" s="17" t="n">
        <v>89</v>
      </c>
      <c r="X172" s="17" t="n">
        <v>3</v>
      </c>
      <c r="Y172" s="20" t="n">
        <v>67381.39999999999</v>
      </c>
      <c r="Z172" s="21" t="n">
        <v>0.0756</v>
      </c>
      <c r="AA172" s="16" t="n">
        <v>44479</v>
      </c>
      <c r="AB172" s="5">
        <f>IF(V172="","",IF(V172&lt;12,"Months","Weeks"))</f>
        <v/>
      </c>
      <c r="AC172" s="5">
        <f>IF(AB172="","",IF(AB172="Months","Daily","Weekly"))</f>
        <v/>
      </c>
      <c r="AD172" s="17">
        <f>IF(V172="","",IF(AC172="Daily",V172*Controls!$B$13,V172))</f>
        <v/>
      </c>
      <c r="AE172" s="17">
        <f>IF(V172="","",IF(AC172="Daily",V172*Controls!$B$13,V172*Controls!$B$12))</f>
        <v/>
      </c>
      <c r="AF172" s="17">
        <f>IF(OR(E172="",F172=""),"",F172-E172)</f>
        <v/>
      </c>
      <c r="AG172" s="17">
        <f>IF(OR(E172="",F172=""),"",NETWORKDAYS(E172,F172,Ref!$F$4:$F$47))</f>
        <v/>
      </c>
      <c r="AH172" s="39">
        <f>IF(IFERROR(VLOOKUP(D172,Controls!$A$25:$D$35,2,FALSE()),"No")="Yes",1,0)</f>
        <v/>
      </c>
      <c r="AI172" s="39">
        <f>IF(IFERROR(VLOOKUP(D172,Controls!$A$25:$D$35,3,FALSE()),"No")="Yes",1,0)</f>
        <v/>
      </c>
      <c r="AJ172" s="39">
        <f>IF(IFERROR(VLOOKUP(D172,Controls!$A$25:$D$35,4,FALSE()),"No")="Yes",1,0)</f>
        <v/>
      </c>
      <c r="AK172" s="96">
        <f>IF(AND($E172&gt;=Controls!$B$5,$E172&lt;=Controls!$B$6,OR(Controls!$E$9&lt;&gt;"Y",$BE172=1)),1,0)</f>
        <v/>
      </c>
      <c r="AL172" s="39">
        <f>1</f>
        <v/>
      </c>
      <c r="AM172" s="20">
        <f>S172-P172</f>
        <v/>
      </c>
      <c r="AN172" s="20">
        <f>IF(AH172=1,MAX(0,P172-S172),0)</f>
        <v/>
      </c>
      <c r="AO172" s="21">
        <f>IFERROR(S172/P172,"")</f>
        <v/>
      </c>
      <c r="AP172" s="22">
        <f>IF(Y172="","",P172/Y172)</f>
        <v/>
      </c>
      <c r="AQ172" s="39">
        <f>IF(Y172="",0,1)</f>
        <v/>
      </c>
      <c r="AR172" s="39">
        <f>IF(S172&lt;=0,1,0)</f>
        <v/>
      </c>
      <c r="AS172" s="17">
        <f>IF(AH172=1,AG172,"")</f>
        <v/>
      </c>
      <c r="AT172" s="17">
        <f>IF(AND(AH172=0,AJ172=1),AG172,"")</f>
        <v/>
      </c>
      <c r="AU172" s="5">
        <f>IF(P172&lt;10000,"Under $10K",IF(P172&lt;20000,"$10-20K",IF(P172&lt;30000,"$20-30K",IF(P172&lt;50000,"$30-50K",IF(P172&lt;100000,"$50-100K","$100K+")))))</f>
        <v/>
      </c>
      <c r="AV172" s="5">
        <f>IF(O172&lt;=1.35,"1.35 and under",IF(O172&lt;=1.42,"1.36-1.42",IF(O172&lt;=1.45,"1.43-1.45",IF(O172&lt;1.49,"1.46-1.48",IF(O172&lt;=1.49,"1.49","Above 1.49")))))</f>
        <v/>
      </c>
      <c r="AW172" s="5">
        <f>IF(AE172="","",IF(AE172&lt;60,"Under 60",IF(AE172&lt;90,"60-89",IF(AE172&lt;120,"90-119",IF(AE172&lt;150,"120-149","150+")))))</f>
        <v/>
      </c>
      <c r="AX172" s="5">
        <f>IF(AP172="","No revenue data",IF(AP172&lt;0.15,"Under 0.15x",IF(AP172&lt;0.3,"0.15-0.30x",IF(AP172&lt;0.5,"0.30-0.50x",IF(AP172&lt;1,"0.50-1.00x","1.00x+")))))</f>
        <v/>
      </c>
      <c r="AY172" s="5">
        <f>IF(J172="","No SIC",IFERROR(VLOOKUP(J172,Ref!$A$4:$C$67,2,FALSE()),"Unclassified"))</f>
        <v/>
      </c>
      <c r="AZ172" s="5">
        <f>IF(E172="","",TEXT(E172,"YYYY")&amp;"-Q"&amp;ROUNDUP(MONTH(E172)/3,0))</f>
        <v/>
      </c>
      <c r="BA172" s="5">
        <f>IF(E172="","",TEXT(E172,"YYYY-MM"))</f>
        <v/>
      </c>
      <c r="BB172" s="5">
        <f>IF(E172="","",TEXT(E172,"YYYY"))</f>
        <v/>
      </c>
      <c r="BC172" s="92">
        <f>IF($E172="","",NETWORKDAYS($E172,Controls!$B$9,Ref!$F$4:$F$47))</f>
        <v/>
      </c>
      <c r="BD172" s="92">
        <f>IF(OR($AH172=1,$AJ172=1),1,0)</f>
        <v/>
      </c>
      <c r="BE172" s="95">
        <f>IF(OR($BD172=1,AND($AE172&lt;&gt;"",$BC172&gt;=Controls!$B$10*$AE172)),1,0)</f>
        <v/>
      </c>
    </row>
    <row r="173" ht="15.75" customHeight="1" s="79">
      <c r="A173" s="5" t="inlineStr">
        <is>
          <t>5674162756</t>
        </is>
      </c>
      <c r="B173" s="5" t="inlineStr">
        <is>
          <t>Shoperies NE LLC</t>
        </is>
      </c>
      <c r="C173" s="5" t="inlineStr">
        <is>
          <t>Shoperies NE LLC</t>
        </is>
      </c>
      <c r="D173" s="5" t="inlineStr">
        <is>
          <t>Closed</t>
        </is>
      </c>
      <c r="E173" s="16" t="n">
        <v>45867</v>
      </c>
      <c r="F173" s="16" t="n">
        <v>45944</v>
      </c>
      <c r="G173" s="17" t="n">
        <v>3</v>
      </c>
      <c r="H173" s="5" t="inlineStr">
        <is>
          <t>5999</t>
        </is>
      </c>
      <c r="I173" s="5" t="inlineStr">
        <is>
          <t>All Other Misc. Store Retailers (Except Tobacco Stores)</t>
        </is>
      </c>
      <c r="J173" s="5" t="inlineStr">
        <is>
          <t>59</t>
        </is>
      </c>
      <c r="K173" s="5" t="n">
        <v>5999</v>
      </c>
      <c r="L173" s="5" t="inlineStr">
        <is>
          <t>MA</t>
        </is>
      </c>
      <c r="M173" s="5" t="inlineStr">
        <is>
          <t>Westwood</t>
        </is>
      </c>
      <c r="N173" s="5" t="inlineStr">
        <is>
          <t>Renewal</t>
        </is>
      </c>
      <c r="O173" s="19" t="n">
        <v>1.499</v>
      </c>
      <c r="P173" s="20" t="n">
        <v>20000</v>
      </c>
      <c r="Q173" s="20" t="n">
        <v>2800</v>
      </c>
      <c r="R173" s="20" t="n">
        <v>29980</v>
      </c>
      <c r="S173" s="20" t="n">
        <v>29980</v>
      </c>
      <c r="T173" s="20" t="n">
        <v>3.63797880709171e-12</v>
      </c>
      <c r="U173" s="21" t="n">
        <v>1</v>
      </c>
      <c r="V173" s="22" t="n">
        <v>3.279</v>
      </c>
      <c r="W173" s="17" t="n">
        <v>309</v>
      </c>
      <c r="X173" s="17" t="n">
        <v>9</v>
      </c>
      <c r="Y173" s="20" t="n">
        <v>109868.79</v>
      </c>
      <c r="Z173" s="21" t="n">
        <v>0.057</v>
      </c>
      <c r="AA173" s="16" t="n">
        <v>43891</v>
      </c>
      <c r="AB173" s="5">
        <f>IF(V173="","",IF(V173&lt;12,"Months","Weeks"))</f>
        <v/>
      </c>
      <c r="AC173" s="5">
        <f>IF(AB173="","",IF(AB173="Months","Daily","Weekly"))</f>
        <v/>
      </c>
      <c r="AD173" s="17">
        <f>IF(V173="","",IF(AC173="Daily",V173*Controls!$B$13,V173))</f>
        <v/>
      </c>
      <c r="AE173" s="17">
        <f>IF(V173="","",IF(AC173="Daily",V173*Controls!$B$13,V173*Controls!$B$12))</f>
        <v/>
      </c>
      <c r="AF173" s="17">
        <f>IF(OR(E173="",F173=""),"",F173-E173)</f>
        <v/>
      </c>
      <c r="AG173" s="17">
        <f>IF(OR(E173="",F173=""),"",NETWORKDAYS(E173,F173,Ref!$F$4:$F$47))</f>
        <v/>
      </c>
      <c r="AH173" s="39">
        <f>IF(IFERROR(VLOOKUP(D173,Controls!$A$25:$D$35,2,FALSE()),"No")="Yes",1,0)</f>
        <v/>
      </c>
      <c r="AI173" s="39">
        <f>IF(IFERROR(VLOOKUP(D173,Controls!$A$25:$D$35,3,FALSE()),"No")="Yes",1,0)</f>
        <v/>
      </c>
      <c r="AJ173" s="39">
        <f>IF(IFERROR(VLOOKUP(D173,Controls!$A$25:$D$35,4,FALSE()),"No")="Yes",1,0)</f>
        <v/>
      </c>
      <c r="AK173" s="96">
        <f>IF(AND($E173&gt;=Controls!$B$5,$E173&lt;=Controls!$B$6,OR(Controls!$E$9&lt;&gt;"Y",$BE173=1)),1,0)</f>
        <v/>
      </c>
      <c r="AL173" s="39">
        <f>1</f>
        <v/>
      </c>
      <c r="AM173" s="20">
        <f>S173-P173</f>
        <v/>
      </c>
      <c r="AN173" s="20">
        <f>IF(AH173=1,MAX(0,P173-S173),0)</f>
        <v/>
      </c>
      <c r="AO173" s="21">
        <f>IFERROR(S173/P173,"")</f>
        <v/>
      </c>
      <c r="AP173" s="22">
        <f>IF(Y173="","",P173/Y173)</f>
        <v/>
      </c>
      <c r="AQ173" s="39">
        <f>IF(Y173="",0,1)</f>
        <v/>
      </c>
      <c r="AR173" s="39">
        <f>IF(S173&lt;=0,1,0)</f>
        <v/>
      </c>
      <c r="AS173" s="17">
        <f>IF(AH173=1,AG173,"")</f>
        <v/>
      </c>
      <c r="AT173" s="17">
        <f>IF(AND(AH173=0,AJ173=1),AG173,"")</f>
        <v/>
      </c>
      <c r="AU173" s="5">
        <f>IF(P173&lt;10000,"Under $10K",IF(P173&lt;20000,"$10-20K",IF(P173&lt;30000,"$20-30K",IF(P173&lt;50000,"$30-50K",IF(P173&lt;100000,"$50-100K","$100K+")))))</f>
        <v/>
      </c>
      <c r="AV173" s="5">
        <f>IF(O173&lt;=1.35,"1.35 and under",IF(O173&lt;=1.42,"1.36-1.42",IF(O173&lt;=1.45,"1.43-1.45",IF(O173&lt;1.49,"1.46-1.48",IF(O173&lt;=1.49,"1.49","Above 1.49")))))</f>
        <v/>
      </c>
      <c r="AW173" s="5">
        <f>IF(AE173="","",IF(AE173&lt;60,"Under 60",IF(AE173&lt;90,"60-89",IF(AE173&lt;120,"90-119",IF(AE173&lt;150,"120-149","150+")))))</f>
        <v/>
      </c>
      <c r="AX173" s="5">
        <f>IF(AP173="","No revenue data",IF(AP173&lt;0.15,"Under 0.15x",IF(AP173&lt;0.3,"0.15-0.30x",IF(AP173&lt;0.5,"0.30-0.50x",IF(AP173&lt;1,"0.50-1.00x","1.00x+")))))</f>
        <v/>
      </c>
      <c r="AY173" s="5">
        <f>IF(J173="","No SIC",IFERROR(VLOOKUP(J173,Ref!$A$4:$C$67,2,FALSE()),"Unclassified"))</f>
        <v/>
      </c>
      <c r="AZ173" s="5">
        <f>IF(E173="","",TEXT(E173,"YYYY")&amp;"-Q"&amp;ROUNDUP(MONTH(E173)/3,0))</f>
        <v/>
      </c>
      <c r="BA173" s="5">
        <f>IF(E173="","",TEXT(E173,"YYYY-MM"))</f>
        <v/>
      </c>
      <c r="BB173" s="5">
        <f>IF(E173="","",TEXT(E173,"YYYY"))</f>
        <v/>
      </c>
      <c r="BC173" s="92">
        <f>IF($E173="","",NETWORKDAYS($E173,Controls!$B$9,Ref!$F$4:$F$47))</f>
        <v/>
      </c>
      <c r="BD173" s="92">
        <f>IF(OR($AH173=1,$AJ173=1),1,0)</f>
        <v/>
      </c>
      <c r="BE173" s="95">
        <f>IF(OR($BD173=1,AND($AE173&lt;&gt;"",$BC173&gt;=Controls!$B$10*$AE173)),1,0)</f>
        <v/>
      </c>
    </row>
    <row r="174" ht="15.75" customHeight="1" s="79">
      <c r="A174" s="5" t="inlineStr">
        <is>
          <t>5674162760</t>
        </is>
      </c>
      <c r="B174" s="5" t="inlineStr">
        <is>
          <t>THE ROBERT ESSIX FOUNDATION LLC</t>
        </is>
      </c>
      <c r="C174" s="5" t="inlineStr">
        <is>
          <t>THE ROBERT ESSIX FOUNDATION LLC</t>
        </is>
      </c>
      <c r="D174" s="5" t="inlineStr">
        <is>
          <t>Legal</t>
        </is>
      </c>
      <c r="E174" s="16" t="n">
        <v>45867</v>
      </c>
      <c r="F174" s="16" t="n">
        <v>45889</v>
      </c>
      <c r="G174" s="17" t="n">
        <v>2</v>
      </c>
      <c r="H174" s="5" t="inlineStr">
        <is>
          <t>8399</t>
        </is>
      </c>
      <c r="I174" s="5" t="inlineStr">
        <is>
          <t>Other Grantmaking and Giving Services</t>
        </is>
      </c>
      <c r="J174" s="5" t="inlineStr">
        <is>
          <t>83</t>
        </is>
      </c>
      <c r="K174" s="5" t="n">
        <v>8398</v>
      </c>
      <c r="L174" s="5" t="inlineStr">
        <is>
          <t>AZ</t>
        </is>
      </c>
      <c r="M174" s="5" t="inlineStr">
        <is>
          <t>Fundible</t>
        </is>
      </c>
      <c r="N174" s="5" t="inlineStr">
        <is>
          <t>New Deal</t>
        </is>
      </c>
      <c r="O174" s="19" t="n">
        <v>1.499</v>
      </c>
      <c r="P174" s="20" t="n">
        <v>7000</v>
      </c>
      <c r="Q174" s="20" t="n">
        <v>980</v>
      </c>
      <c r="R174" s="20" t="n">
        <v>10493</v>
      </c>
      <c r="S174" s="20" t="n">
        <v>1618.98</v>
      </c>
      <c r="T174" s="20" t="n">
        <v>8874.02</v>
      </c>
      <c r="U174" s="21" t="n">
        <v>0.154291432383494</v>
      </c>
      <c r="V174" s="22" t="n">
        <v>2.295</v>
      </c>
      <c r="W174" s="17" t="n">
        <v>372</v>
      </c>
      <c r="X174" s="17" t="n">
        <v>5</v>
      </c>
      <c r="Y174" s="20" t="n">
        <v>23702.33</v>
      </c>
      <c r="Z174" s="21" t="n">
        <v>0.1304</v>
      </c>
      <c r="AA174" s="16" t="n">
        <v>43956</v>
      </c>
      <c r="AB174" s="5">
        <f>IF(V174="","",IF(V174&lt;12,"Months","Weeks"))</f>
        <v/>
      </c>
      <c r="AC174" s="5">
        <f>IF(AB174="","",IF(AB174="Months","Daily","Weekly"))</f>
        <v/>
      </c>
      <c r="AD174" s="17">
        <f>IF(V174="","",IF(AC174="Daily",V174*Controls!$B$13,V174))</f>
        <v/>
      </c>
      <c r="AE174" s="17">
        <f>IF(V174="","",IF(AC174="Daily",V174*Controls!$B$13,V174*Controls!$B$12))</f>
        <v/>
      </c>
      <c r="AF174" s="17">
        <f>IF(OR(E174="",F174=""),"",F174-E174)</f>
        <v/>
      </c>
      <c r="AG174" s="17">
        <f>IF(OR(E174="",F174=""),"",NETWORKDAYS(E174,F174,Ref!$F$4:$F$47))</f>
        <v/>
      </c>
      <c r="AH174" s="39">
        <f>IF(IFERROR(VLOOKUP(D174,Controls!$A$25:$D$35,2,FALSE()),"No")="Yes",1,0)</f>
        <v/>
      </c>
      <c r="AI174" s="39">
        <f>IF(IFERROR(VLOOKUP(D174,Controls!$A$25:$D$35,3,FALSE()),"No")="Yes",1,0)</f>
        <v/>
      </c>
      <c r="AJ174" s="39">
        <f>IF(IFERROR(VLOOKUP(D174,Controls!$A$25:$D$35,4,FALSE()),"No")="Yes",1,0)</f>
        <v/>
      </c>
      <c r="AK174" s="96">
        <f>IF(AND($E174&gt;=Controls!$B$5,$E174&lt;=Controls!$B$6,OR(Controls!$E$9&lt;&gt;"Y",$BE174=1)),1,0)</f>
        <v/>
      </c>
      <c r="AL174" s="39">
        <f>1</f>
        <v/>
      </c>
      <c r="AM174" s="20">
        <f>S174-P174</f>
        <v/>
      </c>
      <c r="AN174" s="20">
        <f>IF(AH174=1,MAX(0,P174-S174),0)</f>
        <v/>
      </c>
      <c r="AO174" s="21">
        <f>IFERROR(S174/P174,"")</f>
        <v/>
      </c>
      <c r="AP174" s="22">
        <f>IF(Y174="","",P174/Y174)</f>
        <v/>
      </c>
      <c r="AQ174" s="39">
        <f>IF(Y174="",0,1)</f>
        <v/>
      </c>
      <c r="AR174" s="39">
        <f>IF(S174&lt;=0,1,0)</f>
        <v/>
      </c>
      <c r="AS174" s="17">
        <f>IF(AH174=1,AG174,"")</f>
        <v/>
      </c>
      <c r="AT174" s="17">
        <f>IF(AND(AH174=0,AJ174=1),AG174,"")</f>
        <v/>
      </c>
      <c r="AU174" s="5">
        <f>IF(P174&lt;10000,"Under $10K",IF(P174&lt;20000,"$10-20K",IF(P174&lt;30000,"$20-30K",IF(P174&lt;50000,"$30-50K",IF(P174&lt;100000,"$50-100K","$100K+")))))</f>
        <v/>
      </c>
      <c r="AV174" s="5">
        <f>IF(O174&lt;=1.35,"1.35 and under",IF(O174&lt;=1.42,"1.36-1.42",IF(O174&lt;=1.45,"1.43-1.45",IF(O174&lt;1.49,"1.46-1.48",IF(O174&lt;=1.49,"1.49","Above 1.49")))))</f>
        <v/>
      </c>
      <c r="AW174" s="5">
        <f>IF(AE174="","",IF(AE174&lt;60,"Under 60",IF(AE174&lt;90,"60-89",IF(AE174&lt;120,"90-119",IF(AE174&lt;150,"120-149","150+")))))</f>
        <v/>
      </c>
      <c r="AX174" s="5">
        <f>IF(AP174="","No revenue data",IF(AP174&lt;0.15,"Under 0.15x",IF(AP174&lt;0.3,"0.15-0.30x",IF(AP174&lt;0.5,"0.30-0.50x",IF(AP174&lt;1,"0.50-1.00x","1.00x+")))))</f>
        <v/>
      </c>
      <c r="AY174" s="5">
        <f>IF(J174="","No SIC",IFERROR(VLOOKUP(J174,Ref!$A$4:$C$67,2,FALSE()),"Unclassified"))</f>
        <v/>
      </c>
      <c r="AZ174" s="5">
        <f>IF(E174="","",TEXT(E174,"YYYY")&amp;"-Q"&amp;ROUNDUP(MONTH(E174)/3,0))</f>
        <v/>
      </c>
      <c r="BA174" s="5">
        <f>IF(E174="","",TEXT(E174,"YYYY-MM"))</f>
        <v/>
      </c>
      <c r="BB174" s="5">
        <f>IF(E174="","",TEXT(E174,"YYYY"))</f>
        <v/>
      </c>
      <c r="BC174" s="92">
        <f>IF($E174="","",NETWORKDAYS($E174,Controls!$B$9,Ref!$F$4:$F$47))</f>
        <v/>
      </c>
      <c r="BD174" s="92">
        <f>IF(OR($AH174=1,$AJ174=1),1,0)</f>
        <v/>
      </c>
      <c r="BE174" s="95">
        <f>IF(OR($BD174=1,AND($AE174&lt;&gt;"",$BC174&gt;=Controls!$B$10*$AE174)),1,0)</f>
        <v/>
      </c>
    </row>
    <row r="175" ht="15.75" customHeight="1" s="79">
      <c r="A175" s="5" t="inlineStr">
        <is>
          <t>5674162832</t>
        </is>
      </c>
      <c r="B175" s="5" t="inlineStr">
        <is>
          <t>Jojos italian diner</t>
        </is>
      </c>
      <c r="C175" s="5" t="inlineStr">
        <is>
          <t>Jojos italian diner llc</t>
        </is>
      </c>
      <c r="D175" s="5" t="inlineStr">
        <is>
          <t>Closed</t>
        </is>
      </c>
      <c r="E175" s="16" t="n">
        <v>45867</v>
      </c>
      <c r="F175" s="16" t="n">
        <v>45987</v>
      </c>
      <c r="G175" s="17" t="n">
        <v>4</v>
      </c>
      <c r="H175" s="5" t="inlineStr">
        <is>
          <t>3556</t>
        </is>
      </c>
      <c r="I175" s="5" t="inlineStr">
        <is>
          <t>Food Product Machinery Mfg.</t>
        </is>
      </c>
      <c r="J175" s="5" t="inlineStr">
        <is>
          <t>35</t>
        </is>
      </c>
      <c r="K175" s="5" t="n">
        <v>5812</v>
      </c>
      <c r="L175" s="5" t="inlineStr">
        <is>
          <t>FL</t>
        </is>
      </c>
      <c r="M175" s="5" t="inlineStr">
        <is>
          <t>Platform Funding</t>
        </is>
      </c>
      <c r="N175" s="5" t="inlineStr">
        <is>
          <t>New Deal</t>
        </is>
      </c>
      <c r="O175" s="19" t="n">
        <v>1.39</v>
      </c>
      <c r="P175" s="20" t="n">
        <v>20000</v>
      </c>
      <c r="Q175" s="20" t="n">
        <v>1800</v>
      </c>
      <c r="R175" s="20" t="n">
        <v>27800</v>
      </c>
      <c r="S175" s="20" t="n">
        <v>27800</v>
      </c>
      <c r="T175" s="20" t="n">
        <v>-3.63797880709171e-12</v>
      </c>
      <c r="U175" s="21" t="n">
        <v>1</v>
      </c>
      <c r="V175" s="22" t="n">
        <v>4.918</v>
      </c>
      <c r="W175" s="17" t="n">
        <v>266</v>
      </c>
      <c r="X175" s="17" t="n">
        <v>0</v>
      </c>
      <c r="Y175" s="20" t="n">
        <v>57649.78</v>
      </c>
      <c r="Z175" s="21" t="n">
        <v>0.0675</v>
      </c>
      <c r="AA175" s="16" t="n">
        <v>43844</v>
      </c>
      <c r="AB175" s="5">
        <f>IF(V175="","",IF(V175&lt;12,"Months","Weeks"))</f>
        <v/>
      </c>
      <c r="AC175" s="5">
        <f>IF(AB175="","",IF(AB175="Months","Daily","Weekly"))</f>
        <v/>
      </c>
      <c r="AD175" s="17">
        <f>IF(V175="","",IF(AC175="Daily",V175*Controls!$B$13,V175))</f>
        <v/>
      </c>
      <c r="AE175" s="17">
        <f>IF(V175="","",IF(AC175="Daily",V175*Controls!$B$13,V175*Controls!$B$12))</f>
        <v/>
      </c>
      <c r="AF175" s="17">
        <f>IF(OR(E175="",F175=""),"",F175-E175)</f>
        <v/>
      </c>
      <c r="AG175" s="17">
        <f>IF(OR(E175="",F175=""),"",NETWORKDAYS(E175,F175,Ref!$F$4:$F$47))</f>
        <v/>
      </c>
      <c r="AH175" s="39">
        <f>IF(IFERROR(VLOOKUP(D175,Controls!$A$25:$D$35,2,FALSE()),"No")="Yes",1,0)</f>
        <v/>
      </c>
      <c r="AI175" s="39">
        <f>IF(IFERROR(VLOOKUP(D175,Controls!$A$25:$D$35,3,FALSE()),"No")="Yes",1,0)</f>
        <v/>
      </c>
      <c r="AJ175" s="39">
        <f>IF(IFERROR(VLOOKUP(D175,Controls!$A$25:$D$35,4,FALSE()),"No")="Yes",1,0)</f>
        <v/>
      </c>
      <c r="AK175" s="96">
        <f>IF(AND($E175&gt;=Controls!$B$5,$E175&lt;=Controls!$B$6,OR(Controls!$E$9&lt;&gt;"Y",$BE175=1)),1,0)</f>
        <v/>
      </c>
      <c r="AL175" s="39">
        <f>1</f>
        <v/>
      </c>
      <c r="AM175" s="20">
        <f>S175-P175</f>
        <v/>
      </c>
      <c r="AN175" s="20">
        <f>IF(AH175=1,MAX(0,P175-S175),0)</f>
        <v/>
      </c>
      <c r="AO175" s="21">
        <f>IFERROR(S175/P175,"")</f>
        <v/>
      </c>
      <c r="AP175" s="22">
        <f>IF(Y175="","",P175/Y175)</f>
        <v/>
      </c>
      <c r="AQ175" s="39">
        <f>IF(Y175="",0,1)</f>
        <v/>
      </c>
      <c r="AR175" s="39">
        <f>IF(S175&lt;=0,1,0)</f>
        <v/>
      </c>
      <c r="AS175" s="17">
        <f>IF(AH175=1,AG175,"")</f>
        <v/>
      </c>
      <c r="AT175" s="17">
        <f>IF(AND(AH175=0,AJ175=1),AG175,"")</f>
        <v/>
      </c>
      <c r="AU175" s="5">
        <f>IF(P175&lt;10000,"Under $10K",IF(P175&lt;20000,"$10-20K",IF(P175&lt;30000,"$20-30K",IF(P175&lt;50000,"$30-50K",IF(P175&lt;100000,"$50-100K","$100K+")))))</f>
        <v/>
      </c>
      <c r="AV175" s="5">
        <f>IF(O175&lt;=1.35,"1.35 and under",IF(O175&lt;=1.42,"1.36-1.42",IF(O175&lt;=1.45,"1.43-1.45",IF(O175&lt;1.49,"1.46-1.48",IF(O175&lt;=1.49,"1.49","Above 1.49")))))</f>
        <v/>
      </c>
      <c r="AW175" s="5">
        <f>IF(AE175="","",IF(AE175&lt;60,"Under 60",IF(AE175&lt;90,"60-89",IF(AE175&lt;120,"90-119",IF(AE175&lt;150,"120-149","150+")))))</f>
        <v/>
      </c>
      <c r="AX175" s="5">
        <f>IF(AP175="","No revenue data",IF(AP175&lt;0.15,"Under 0.15x",IF(AP175&lt;0.3,"0.15-0.30x",IF(AP175&lt;0.5,"0.30-0.50x",IF(AP175&lt;1,"0.50-1.00x","1.00x+")))))</f>
        <v/>
      </c>
      <c r="AY175" s="5">
        <f>IF(J175="","No SIC",IFERROR(VLOOKUP(J175,Ref!$A$4:$C$67,2,FALSE()),"Unclassified"))</f>
        <v/>
      </c>
      <c r="AZ175" s="5">
        <f>IF(E175="","",TEXT(E175,"YYYY")&amp;"-Q"&amp;ROUNDUP(MONTH(E175)/3,0))</f>
        <v/>
      </c>
      <c r="BA175" s="5">
        <f>IF(E175="","",TEXT(E175,"YYYY-MM"))</f>
        <v/>
      </c>
      <c r="BB175" s="5">
        <f>IF(E175="","",TEXT(E175,"YYYY"))</f>
        <v/>
      </c>
      <c r="BC175" s="92">
        <f>IF($E175="","",NETWORKDAYS($E175,Controls!$B$9,Ref!$F$4:$F$47))</f>
        <v/>
      </c>
      <c r="BD175" s="92">
        <f>IF(OR($AH175=1,$AJ175=1),1,0)</f>
        <v/>
      </c>
      <c r="BE175" s="95">
        <f>IF(OR($BD175=1,AND($AE175&lt;&gt;"",$BC175&gt;=Controls!$B$10*$AE175)),1,0)</f>
        <v/>
      </c>
    </row>
    <row r="176" ht="15.75" customHeight="1" s="79">
      <c r="A176" s="5" t="inlineStr">
        <is>
          <t>5674162872</t>
        </is>
      </c>
      <c r="B176" s="5" t="inlineStr">
        <is>
          <t>CJB custom installs</t>
        </is>
      </c>
      <c r="C176" s="5" t="inlineStr">
        <is>
          <t>CJB custom installs LLC</t>
        </is>
      </c>
      <c r="D176" s="5" t="inlineStr">
        <is>
          <t>Closed</t>
        </is>
      </c>
      <c r="E176" s="16" t="n">
        <v>45868</v>
      </c>
      <c r="F176" s="16" t="n">
        <v>45954</v>
      </c>
      <c r="G176" s="17" t="n">
        <v>4</v>
      </c>
      <c r="H176" s="5" t="inlineStr">
        <is>
          <t>1521</t>
        </is>
      </c>
      <c r="I176" s="5" t="inlineStr">
        <is>
          <t>New Single-Family Housing Construction (Except For-Sale Builders)</t>
        </is>
      </c>
      <c r="J176" s="5" t="inlineStr">
        <is>
          <t>15</t>
        </is>
      </c>
      <c r="K176" s="5" t="n">
        <v>1520</v>
      </c>
      <c r="L176" s="5" t="inlineStr">
        <is>
          <t>FL</t>
        </is>
      </c>
      <c r="M176" s="5" t="inlineStr">
        <is>
          <t>BFA 3</t>
        </is>
      </c>
      <c r="N176" s="5" t="inlineStr">
        <is>
          <t>New Deal</t>
        </is>
      </c>
      <c r="O176" s="19" t="n">
        <v>1.499</v>
      </c>
      <c r="P176" s="20" t="n">
        <v>8000</v>
      </c>
      <c r="Q176" s="20" t="n">
        <v>1120</v>
      </c>
      <c r="R176" s="20" t="n">
        <v>11992</v>
      </c>
      <c r="S176" s="20" t="n">
        <v>11992</v>
      </c>
      <c r="T176" s="20" t="n">
        <v>0</v>
      </c>
      <c r="U176" s="21" t="n">
        <v>1</v>
      </c>
      <c r="V176" s="22" t="n">
        <v>1.967</v>
      </c>
      <c r="W176" s="17" t="n">
        <v>299</v>
      </c>
      <c r="X176" s="17" t="n">
        <v>0</v>
      </c>
      <c r="Y176" s="20" t="n">
        <v>36010.88</v>
      </c>
      <c r="Z176" s="21" t="n">
        <v>0.1159</v>
      </c>
      <c r="AA176" s="16" t="n">
        <v>44690</v>
      </c>
      <c r="AB176" s="5">
        <f>IF(V176="","",IF(V176&lt;12,"Months","Weeks"))</f>
        <v/>
      </c>
      <c r="AC176" s="5">
        <f>IF(AB176="","",IF(AB176="Months","Daily","Weekly"))</f>
        <v/>
      </c>
      <c r="AD176" s="17">
        <f>IF(V176="","",IF(AC176="Daily",V176*Controls!$B$13,V176))</f>
        <v/>
      </c>
      <c r="AE176" s="17">
        <f>IF(V176="","",IF(AC176="Daily",V176*Controls!$B$13,V176*Controls!$B$12))</f>
        <v/>
      </c>
      <c r="AF176" s="17">
        <f>IF(OR(E176="",F176=""),"",F176-E176)</f>
        <v/>
      </c>
      <c r="AG176" s="17">
        <f>IF(OR(E176="",F176=""),"",NETWORKDAYS(E176,F176,Ref!$F$4:$F$47))</f>
        <v/>
      </c>
      <c r="AH176" s="39">
        <f>IF(IFERROR(VLOOKUP(D176,Controls!$A$25:$D$35,2,FALSE()),"No")="Yes",1,0)</f>
        <v/>
      </c>
      <c r="AI176" s="39">
        <f>IF(IFERROR(VLOOKUP(D176,Controls!$A$25:$D$35,3,FALSE()),"No")="Yes",1,0)</f>
        <v/>
      </c>
      <c r="AJ176" s="39">
        <f>IF(IFERROR(VLOOKUP(D176,Controls!$A$25:$D$35,4,FALSE()),"No")="Yes",1,0)</f>
        <v/>
      </c>
      <c r="AK176" s="96">
        <f>IF(AND($E176&gt;=Controls!$B$5,$E176&lt;=Controls!$B$6,OR(Controls!$E$9&lt;&gt;"Y",$BE176=1)),1,0)</f>
        <v/>
      </c>
      <c r="AL176" s="39">
        <f>1</f>
        <v/>
      </c>
      <c r="AM176" s="20">
        <f>S176-P176</f>
        <v/>
      </c>
      <c r="AN176" s="20">
        <f>IF(AH176=1,MAX(0,P176-S176),0)</f>
        <v/>
      </c>
      <c r="AO176" s="21">
        <f>IFERROR(S176/P176,"")</f>
        <v/>
      </c>
      <c r="AP176" s="22">
        <f>IF(Y176="","",P176/Y176)</f>
        <v/>
      </c>
      <c r="AQ176" s="39">
        <f>IF(Y176="",0,1)</f>
        <v/>
      </c>
      <c r="AR176" s="39">
        <f>IF(S176&lt;=0,1,0)</f>
        <v/>
      </c>
      <c r="AS176" s="17">
        <f>IF(AH176=1,AG176,"")</f>
        <v/>
      </c>
      <c r="AT176" s="17">
        <f>IF(AND(AH176=0,AJ176=1),AG176,"")</f>
        <v/>
      </c>
      <c r="AU176" s="5">
        <f>IF(P176&lt;10000,"Under $10K",IF(P176&lt;20000,"$10-20K",IF(P176&lt;30000,"$20-30K",IF(P176&lt;50000,"$30-50K",IF(P176&lt;100000,"$50-100K","$100K+")))))</f>
        <v/>
      </c>
      <c r="AV176" s="5">
        <f>IF(O176&lt;=1.35,"1.35 and under",IF(O176&lt;=1.42,"1.36-1.42",IF(O176&lt;=1.45,"1.43-1.45",IF(O176&lt;1.49,"1.46-1.48",IF(O176&lt;=1.49,"1.49","Above 1.49")))))</f>
        <v/>
      </c>
      <c r="AW176" s="5">
        <f>IF(AE176="","",IF(AE176&lt;60,"Under 60",IF(AE176&lt;90,"60-89",IF(AE176&lt;120,"90-119",IF(AE176&lt;150,"120-149","150+")))))</f>
        <v/>
      </c>
      <c r="AX176" s="5">
        <f>IF(AP176="","No revenue data",IF(AP176&lt;0.15,"Under 0.15x",IF(AP176&lt;0.3,"0.15-0.30x",IF(AP176&lt;0.5,"0.30-0.50x",IF(AP176&lt;1,"0.50-1.00x","1.00x+")))))</f>
        <v/>
      </c>
      <c r="AY176" s="5">
        <f>IF(J176="","No SIC",IFERROR(VLOOKUP(J176,Ref!$A$4:$C$67,2,FALSE()),"Unclassified"))</f>
        <v/>
      </c>
      <c r="AZ176" s="5">
        <f>IF(E176="","",TEXT(E176,"YYYY")&amp;"-Q"&amp;ROUNDUP(MONTH(E176)/3,0))</f>
        <v/>
      </c>
      <c r="BA176" s="5">
        <f>IF(E176="","",TEXT(E176,"YYYY-MM"))</f>
        <v/>
      </c>
      <c r="BB176" s="5">
        <f>IF(E176="","",TEXT(E176,"YYYY"))</f>
        <v/>
      </c>
      <c r="BC176" s="92">
        <f>IF($E176="","",NETWORKDAYS($E176,Controls!$B$9,Ref!$F$4:$F$47))</f>
        <v/>
      </c>
      <c r="BD176" s="92">
        <f>IF(OR($AH176=1,$AJ176=1),1,0)</f>
        <v/>
      </c>
      <c r="BE176" s="95">
        <f>IF(OR($BD176=1,AND($AE176&lt;&gt;"",$BC176&gt;=Controls!$B$10*$AE176)),1,0)</f>
        <v/>
      </c>
    </row>
    <row r="177" ht="15.75" customHeight="1" s="79">
      <c r="A177" s="5" t="inlineStr">
        <is>
          <t>5674162911</t>
        </is>
      </c>
      <c r="B177" s="5" t="inlineStr">
        <is>
          <t>OUI BEACH</t>
        </is>
      </c>
      <c r="C177" s="5" t="inlineStr">
        <is>
          <t>OUI BEACH, LLC</t>
        </is>
      </c>
      <c r="D177" s="5" t="inlineStr">
        <is>
          <t>Legal</t>
        </is>
      </c>
      <c r="E177" s="16" t="n">
        <v>45868</v>
      </c>
      <c r="F177" s="16" t="n">
        <v>45884</v>
      </c>
      <c r="G177" s="17" t="n">
        <v>4</v>
      </c>
      <c r="H177" s="5" t="inlineStr">
        <is>
          <t>5137</t>
        </is>
      </c>
      <c r="I177" s="5" t="inlineStr">
        <is>
          <t>Womens, Childrens, and Infants Clothing and Accessories Merchant Wholesalers</t>
        </is>
      </c>
      <c r="J177" s="5" t="inlineStr">
        <is>
          <t>51</t>
        </is>
      </c>
      <c r="K177" s="5" t="n">
        <v>5137</v>
      </c>
      <c r="L177" s="5" t="inlineStr">
        <is>
          <t>CA</t>
        </is>
      </c>
      <c r="M177" s="5" t="inlineStr">
        <is>
          <t>Shield Funding</t>
        </is>
      </c>
      <c r="N177" s="5" t="inlineStr">
        <is>
          <t>New Deal</t>
        </is>
      </c>
      <c r="O177" s="19" t="n">
        <v>1.49</v>
      </c>
      <c r="P177" s="20" t="n">
        <v>30000</v>
      </c>
      <c r="Q177" s="20" t="n">
        <v>0</v>
      </c>
      <c r="R177" s="20" t="n">
        <v>44700</v>
      </c>
      <c r="S177" s="20" t="n">
        <v>2980.24</v>
      </c>
      <c r="T177" s="20" t="n">
        <v>41719.76</v>
      </c>
      <c r="U177" s="21" t="n">
        <v>0.0666720357941835</v>
      </c>
      <c r="V177" s="22" t="n">
        <v>3.934</v>
      </c>
      <c r="W177" s="17" t="n">
        <v>373</v>
      </c>
      <c r="X177" s="17" t="n">
        <v>5</v>
      </c>
      <c r="Y177" s="20" t="n">
        <v>50052.28</v>
      </c>
      <c r="Z177" s="21" t="n">
        <v>0.1563</v>
      </c>
      <c r="AA177" s="16" t="n">
        <v>44137</v>
      </c>
      <c r="AB177" s="5">
        <f>IF(V177="","",IF(V177&lt;12,"Months","Weeks"))</f>
        <v/>
      </c>
      <c r="AC177" s="5">
        <f>IF(AB177="","",IF(AB177="Months","Daily","Weekly"))</f>
        <v/>
      </c>
      <c r="AD177" s="17">
        <f>IF(V177="","",IF(AC177="Daily",V177*Controls!$B$13,V177))</f>
        <v/>
      </c>
      <c r="AE177" s="17">
        <f>IF(V177="","",IF(AC177="Daily",V177*Controls!$B$13,V177*Controls!$B$12))</f>
        <v/>
      </c>
      <c r="AF177" s="17">
        <f>IF(OR(E177="",F177=""),"",F177-E177)</f>
        <v/>
      </c>
      <c r="AG177" s="17">
        <f>IF(OR(E177="",F177=""),"",NETWORKDAYS(E177,F177,Ref!$F$4:$F$47))</f>
        <v/>
      </c>
      <c r="AH177" s="39">
        <f>IF(IFERROR(VLOOKUP(D177,Controls!$A$25:$D$35,2,FALSE()),"No")="Yes",1,0)</f>
        <v/>
      </c>
      <c r="AI177" s="39">
        <f>IF(IFERROR(VLOOKUP(D177,Controls!$A$25:$D$35,3,FALSE()),"No")="Yes",1,0)</f>
        <v/>
      </c>
      <c r="AJ177" s="39">
        <f>IF(IFERROR(VLOOKUP(D177,Controls!$A$25:$D$35,4,FALSE()),"No")="Yes",1,0)</f>
        <v/>
      </c>
      <c r="AK177" s="96">
        <f>IF(AND($E177&gt;=Controls!$B$5,$E177&lt;=Controls!$B$6,OR(Controls!$E$9&lt;&gt;"Y",$BE177=1)),1,0)</f>
        <v/>
      </c>
      <c r="AL177" s="39">
        <f>1</f>
        <v/>
      </c>
      <c r="AM177" s="20">
        <f>S177-P177</f>
        <v/>
      </c>
      <c r="AN177" s="20">
        <f>IF(AH177=1,MAX(0,P177-S177),0)</f>
        <v/>
      </c>
      <c r="AO177" s="21">
        <f>IFERROR(S177/P177,"")</f>
        <v/>
      </c>
      <c r="AP177" s="22">
        <f>IF(Y177="","",P177/Y177)</f>
        <v/>
      </c>
      <c r="AQ177" s="39">
        <f>IF(Y177="",0,1)</f>
        <v/>
      </c>
      <c r="AR177" s="39">
        <f>IF(S177&lt;=0,1,0)</f>
        <v/>
      </c>
      <c r="AS177" s="17">
        <f>IF(AH177=1,AG177,"")</f>
        <v/>
      </c>
      <c r="AT177" s="17">
        <f>IF(AND(AH177=0,AJ177=1),AG177,"")</f>
        <v/>
      </c>
      <c r="AU177" s="5">
        <f>IF(P177&lt;10000,"Under $10K",IF(P177&lt;20000,"$10-20K",IF(P177&lt;30000,"$20-30K",IF(P177&lt;50000,"$30-50K",IF(P177&lt;100000,"$50-100K","$100K+")))))</f>
        <v/>
      </c>
      <c r="AV177" s="5">
        <f>IF(O177&lt;=1.35,"1.35 and under",IF(O177&lt;=1.42,"1.36-1.42",IF(O177&lt;=1.45,"1.43-1.45",IF(O177&lt;1.49,"1.46-1.48",IF(O177&lt;=1.49,"1.49","Above 1.49")))))</f>
        <v/>
      </c>
      <c r="AW177" s="5">
        <f>IF(AE177="","",IF(AE177&lt;60,"Under 60",IF(AE177&lt;90,"60-89",IF(AE177&lt;120,"90-119",IF(AE177&lt;150,"120-149","150+")))))</f>
        <v/>
      </c>
      <c r="AX177" s="5">
        <f>IF(AP177="","No revenue data",IF(AP177&lt;0.15,"Under 0.15x",IF(AP177&lt;0.3,"0.15-0.30x",IF(AP177&lt;0.5,"0.30-0.50x",IF(AP177&lt;1,"0.50-1.00x","1.00x+")))))</f>
        <v/>
      </c>
      <c r="AY177" s="5">
        <f>IF(J177="","No SIC",IFERROR(VLOOKUP(J177,Ref!$A$4:$C$67,2,FALSE()),"Unclassified"))</f>
        <v/>
      </c>
      <c r="AZ177" s="5">
        <f>IF(E177="","",TEXT(E177,"YYYY")&amp;"-Q"&amp;ROUNDUP(MONTH(E177)/3,0))</f>
        <v/>
      </c>
      <c r="BA177" s="5">
        <f>IF(E177="","",TEXT(E177,"YYYY-MM"))</f>
        <v/>
      </c>
      <c r="BB177" s="5">
        <f>IF(E177="","",TEXT(E177,"YYYY"))</f>
        <v/>
      </c>
      <c r="BC177" s="92">
        <f>IF($E177="","",NETWORKDAYS($E177,Controls!$B$9,Ref!$F$4:$F$47))</f>
        <v/>
      </c>
      <c r="BD177" s="92">
        <f>IF(OR($AH177=1,$AJ177=1),1,0)</f>
        <v/>
      </c>
      <c r="BE177" s="95">
        <f>IF(OR($BD177=1,AND($AE177&lt;&gt;"",$BC177&gt;=Controls!$B$10*$AE177)),1,0)</f>
        <v/>
      </c>
    </row>
    <row r="178" ht="15.75" customHeight="1" s="79">
      <c r="A178" s="5" t="inlineStr">
        <is>
          <t>5674162914</t>
        </is>
      </c>
      <c r="B178" s="5" t="inlineStr">
        <is>
          <t>ProColor Collision Fontana</t>
        </is>
      </c>
      <c r="C178" s="5" t="inlineStr">
        <is>
          <t>Standers Inc</t>
        </is>
      </c>
      <c r="D178" s="5" t="inlineStr">
        <is>
          <t>Closed</t>
        </is>
      </c>
      <c r="E178" s="16" t="n">
        <v>45868</v>
      </c>
      <c r="F178" s="16" t="n">
        <v>46092</v>
      </c>
      <c r="G178" s="17" t="n">
        <v>1</v>
      </c>
      <c r="H178" s="5" t="inlineStr">
        <is>
          <t>7538</t>
        </is>
      </c>
      <c r="I178" s="5" t="inlineStr">
        <is>
          <t>General Automotive Repair</t>
        </is>
      </c>
      <c r="J178" s="5" t="inlineStr">
        <is>
          <t>75</t>
        </is>
      </c>
      <c r="K178" s="5" t="n">
        <v>7538</v>
      </c>
      <c r="L178" s="5" t="inlineStr">
        <is>
          <t>CA</t>
        </is>
      </c>
      <c r="M178" s="5" t="inlineStr">
        <is>
          <t>Fundwell</t>
        </is>
      </c>
      <c r="N178" s="5" t="inlineStr">
        <is>
          <t>New Deal</t>
        </is>
      </c>
      <c r="O178" s="19" t="n">
        <v>1.38</v>
      </c>
      <c r="P178" s="20" t="n">
        <v>70000</v>
      </c>
      <c r="Q178" s="20" t="n">
        <v>8400</v>
      </c>
      <c r="R178" s="20" t="n">
        <v>96600</v>
      </c>
      <c r="S178" s="20" t="n">
        <v>96600</v>
      </c>
      <c r="T178" s="20" t="n">
        <v>-1.45519152283669e-11</v>
      </c>
      <c r="U178" s="21" t="n">
        <v>1</v>
      </c>
      <c r="V178" s="22" t="n">
        <v>40</v>
      </c>
      <c r="W178" s="17" t="n">
        <v>161</v>
      </c>
      <c r="X178" s="17" t="n">
        <v>0</v>
      </c>
      <c r="Y178" s="20" t="n">
        <v>120575.72</v>
      </c>
      <c r="Z178" s="21" t="n">
        <v>0.0801</v>
      </c>
      <c r="AA178" s="16" t="n">
        <v>45100</v>
      </c>
      <c r="AB178" s="5">
        <f>IF(V178="","",IF(V178&lt;12,"Months","Weeks"))</f>
        <v/>
      </c>
      <c r="AC178" s="5">
        <f>IF(AB178="","",IF(AB178="Months","Daily","Weekly"))</f>
        <v/>
      </c>
      <c r="AD178" s="17">
        <f>IF(V178="","",IF(AC178="Daily",V178*Controls!$B$13,V178))</f>
        <v/>
      </c>
      <c r="AE178" s="17">
        <f>IF(V178="","",IF(AC178="Daily",V178*Controls!$B$13,V178*Controls!$B$12))</f>
        <v/>
      </c>
      <c r="AF178" s="17">
        <f>IF(OR(E178="",F178=""),"",F178-E178)</f>
        <v/>
      </c>
      <c r="AG178" s="17">
        <f>IF(OR(E178="",F178=""),"",NETWORKDAYS(E178,F178,Ref!$F$4:$F$47))</f>
        <v/>
      </c>
      <c r="AH178" s="39">
        <f>IF(IFERROR(VLOOKUP(D178,Controls!$A$25:$D$35,2,FALSE()),"No")="Yes",1,0)</f>
        <v/>
      </c>
      <c r="AI178" s="39">
        <f>IF(IFERROR(VLOOKUP(D178,Controls!$A$25:$D$35,3,FALSE()),"No")="Yes",1,0)</f>
        <v/>
      </c>
      <c r="AJ178" s="39">
        <f>IF(IFERROR(VLOOKUP(D178,Controls!$A$25:$D$35,4,FALSE()),"No")="Yes",1,0)</f>
        <v/>
      </c>
      <c r="AK178" s="96">
        <f>IF(AND($E178&gt;=Controls!$B$5,$E178&lt;=Controls!$B$6,OR(Controls!$E$9&lt;&gt;"Y",$BE178=1)),1,0)</f>
        <v/>
      </c>
      <c r="AL178" s="39">
        <f>1</f>
        <v/>
      </c>
      <c r="AM178" s="20">
        <f>S178-P178</f>
        <v/>
      </c>
      <c r="AN178" s="20">
        <f>IF(AH178=1,MAX(0,P178-S178),0)</f>
        <v/>
      </c>
      <c r="AO178" s="21">
        <f>IFERROR(S178/P178,"")</f>
        <v/>
      </c>
      <c r="AP178" s="22">
        <f>IF(Y178="","",P178/Y178)</f>
        <v/>
      </c>
      <c r="AQ178" s="39">
        <f>IF(Y178="",0,1)</f>
        <v/>
      </c>
      <c r="AR178" s="39">
        <f>IF(S178&lt;=0,1,0)</f>
        <v/>
      </c>
      <c r="AS178" s="17">
        <f>IF(AH178=1,AG178,"")</f>
        <v/>
      </c>
      <c r="AT178" s="17">
        <f>IF(AND(AH178=0,AJ178=1),AG178,"")</f>
        <v/>
      </c>
      <c r="AU178" s="5">
        <f>IF(P178&lt;10000,"Under $10K",IF(P178&lt;20000,"$10-20K",IF(P178&lt;30000,"$20-30K",IF(P178&lt;50000,"$30-50K",IF(P178&lt;100000,"$50-100K","$100K+")))))</f>
        <v/>
      </c>
      <c r="AV178" s="5">
        <f>IF(O178&lt;=1.35,"1.35 and under",IF(O178&lt;=1.42,"1.36-1.42",IF(O178&lt;=1.45,"1.43-1.45",IF(O178&lt;1.49,"1.46-1.48",IF(O178&lt;=1.49,"1.49","Above 1.49")))))</f>
        <v/>
      </c>
      <c r="AW178" s="5">
        <f>IF(AE178="","",IF(AE178&lt;60,"Under 60",IF(AE178&lt;90,"60-89",IF(AE178&lt;120,"90-119",IF(AE178&lt;150,"120-149","150+")))))</f>
        <v/>
      </c>
      <c r="AX178" s="5">
        <f>IF(AP178="","No revenue data",IF(AP178&lt;0.15,"Under 0.15x",IF(AP178&lt;0.3,"0.15-0.30x",IF(AP178&lt;0.5,"0.30-0.50x",IF(AP178&lt;1,"0.50-1.00x","1.00x+")))))</f>
        <v/>
      </c>
      <c r="AY178" s="5">
        <f>IF(J178="","No SIC",IFERROR(VLOOKUP(J178,Ref!$A$4:$C$67,2,FALSE()),"Unclassified"))</f>
        <v/>
      </c>
      <c r="AZ178" s="5">
        <f>IF(E178="","",TEXT(E178,"YYYY")&amp;"-Q"&amp;ROUNDUP(MONTH(E178)/3,0))</f>
        <v/>
      </c>
      <c r="BA178" s="5">
        <f>IF(E178="","",TEXT(E178,"YYYY-MM"))</f>
        <v/>
      </c>
      <c r="BB178" s="5">
        <f>IF(E178="","",TEXT(E178,"YYYY"))</f>
        <v/>
      </c>
      <c r="BC178" s="92">
        <f>IF($E178="","",NETWORKDAYS($E178,Controls!$B$9,Ref!$F$4:$F$47))</f>
        <v/>
      </c>
      <c r="BD178" s="92">
        <f>IF(OR($AH178=1,$AJ178=1),1,0)</f>
        <v/>
      </c>
      <c r="BE178" s="95">
        <f>IF(OR($BD178=1,AND($AE178&lt;&gt;"",$BC178&gt;=Controls!$B$10*$AE178)),1,0)</f>
        <v/>
      </c>
    </row>
    <row r="179" ht="15.75" customHeight="1" s="79">
      <c r="A179" s="5" t="inlineStr">
        <is>
          <t>5674162983</t>
        </is>
      </c>
      <c r="B179" s="5" t="inlineStr">
        <is>
          <t>ON SITE REPAIR SERVICES LLC</t>
        </is>
      </c>
      <c r="C179" s="5" t="inlineStr">
        <is>
          <t>ON SITE REPAIR SERVICES LLC</t>
        </is>
      </c>
      <c r="D179" s="5" t="inlineStr">
        <is>
          <t>Closed</t>
        </is>
      </c>
      <c r="E179" s="16" t="n">
        <v>45869</v>
      </c>
      <c r="F179" s="16" t="n">
        <v>45994</v>
      </c>
      <c r="G179" s="17" t="n">
        <v>2</v>
      </c>
      <c r="H179" s="5" t="inlineStr">
        <is>
          <t>1521</t>
        </is>
      </c>
      <c r="I179" s="5" t="inlineStr">
        <is>
          <t>New Single-Family Housing Construction (Except For-Sale Builders)</t>
        </is>
      </c>
      <c r="J179" s="5" t="inlineStr">
        <is>
          <t>15</t>
        </is>
      </c>
      <c r="K179" s="5" t="n">
        <v>1520</v>
      </c>
      <c r="L179" s="5" t="inlineStr">
        <is>
          <t>TX</t>
        </is>
      </c>
      <c r="M179" s="5" t="inlineStr">
        <is>
          <t>Ballicci</t>
        </is>
      </c>
      <c r="N179" s="5" t="inlineStr">
        <is>
          <t>New Deal</t>
        </is>
      </c>
      <c r="O179" s="19" t="n">
        <v>1.49</v>
      </c>
      <c r="P179" s="20" t="n">
        <v>15000</v>
      </c>
      <c r="Q179" s="20" t="n">
        <v>2100</v>
      </c>
      <c r="R179" s="20" t="n">
        <v>22350</v>
      </c>
      <c r="S179" s="20" t="n">
        <v>22350</v>
      </c>
      <c r="T179" s="20" t="n">
        <v>0</v>
      </c>
      <c r="U179" s="21" t="n">
        <v>1</v>
      </c>
      <c r="V179" s="22" t="n">
        <v>2.787</v>
      </c>
      <c r="W179" s="17" t="n">
        <v>259</v>
      </c>
      <c r="X179" s="17" t="n">
        <v>0</v>
      </c>
      <c r="Y179" s="20" t="n">
        <v>63010.24</v>
      </c>
      <c r="Z179" s="21" t="n">
        <v>0.0876</v>
      </c>
      <c r="AA179" s="5" t="n"/>
      <c r="AB179" s="5">
        <f>IF(V179="","",IF(V179&lt;12,"Months","Weeks"))</f>
        <v/>
      </c>
      <c r="AC179" s="5">
        <f>IF(AB179="","",IF(AB179="Months","Daily","Weekly"))</f>
        <v/>
      </c>
      <c r="AD179" s="17">
        <f>IF(V179="","",IF(AC179="Daily",V179*Controls!$B$13,V179))</f>
        <v/>
      </c>
      <c r="AE179" s="17">
        <f>IF(V179="","",IF(AC179="Daily",V179*Controls!$B$13,V179*Controls!$B$12))</f>
        <v/>
      </c>
      <c r="AF179" s="17">
        <f>IF(OR(E179="",F179=""),"",F179-E179)</f>
        <v/>
      </c>
      <c r="AG179" s="17">
        <f>IF(OR(E179="",F179=""),"",NETWORKDAYS(E179,F179,Ref!$F$4:$F$47))</f>
        <v/>
      </c>
      <c r="AH179" s="39">
        <f>IF(IFERROR(VLOOKUP(D179,Controls!$A$25:$D$35,2,FALSE()),"No")="Yes",1,0)</f>
        <v/>
      </c>
      <c r="AI179" s="39">
        <f>IF(IFERROR(VLOOKUP(D179,Controls!$A$25:$D$35,3,FALSE()),"No")="Yes",1,0)</f>
        <v/>
      </c>
      <c r="AJ179" s="39">
        <f>IF(IFERROR(VLOOKUP(D179,Controls!$A$25:$D$35,4,FALSE()),"No")="Yes",1,0)</f>
        <v/>
      </c>
      <c r="AK179" s="96">
        <f>IF(AND($E179&gt;=Controls!$B$5,$E179&lt;=Controls!$B$6,OR(Controls!$E$9&lt;&gt;"Y",$BE179=1)),1,0)</f>
        <v/>
      </c>
      <c r="AL179" s="39">
        <f>1</f>
        <v/>
      </c>
      <c r="AM179" s="20">
        <f>S179-P179</f>
        <v/>
      </c>
      <c r="AN179" s="20">
        <f>IF(AH179=1,MAX(0,P179-S179),0)</f>
        <v/>
      </c>
      <c r="AO179" s="21">
        <f>IFERROR(S179/P179,"")</f>
        <v/>
      </c>
      <c r="AP179" s="22">
        <f>IF(Y179="","",P179/Y179)</f>
        <v/>
      </c>
      <c r="AQ179" s="39">
        <f>IF(Y179="",0,1)</f>
        <v/>
      </c>
      <c r="AR179" s="39">
        <f>IF(S179&lt;=0,1,0)</f>
        <v/>
      </c>
      <c r="AS179" s="17">
        <f>IF(AH179=1,AG179,"")</f>
        <v/>
      </c>
      <c r="AT179" s="17">
        <f>IF(AND(AH179=0,AJ179=1),AG179,"")</f>
        <v/>
      </c>
      <c r="AU179" s="5">
        <f>IF(P179&lt;10000,"Under $10K",IF(P179&lt;20000,"$10-20K",IF(P179&lt;30000,"$20-30K",IF(P179&lt;50000,"$30-50K",IF(P179&lt;100000,"$50-100K","$100K+")))))</f>
        <v/>
      </c>
      <c r="AV179" s="5">
        <f>IF(O179&lt;=1.35,"1.35 and under",IF(O179&lt;=1.42,"1.36-1.42",IF(O179&lt;=1.45,"1.43-1.45",IF(O179&lt;1.49,"1.46-1.48",IF(O179&lt;=1.49,"1.49","Above 1.49")))))</f>
        <v/>
      </c>
      <c r="AW179" s="5">
        <f>IF(AE179="","",IF(AE179&lt;60,"Under 60",IF(AE179&lt;90,"60-89",IF(AE179&lt;120,"90-119",IF(AE179&lt;150,"120-149","150+")))))</f>
        <v/>
      </c>
      <c r="AX179" s="5">
        <f>IF(AP179="","No revenue data",IF(AP179&lt;0.15,"Under 0.15x",IF(AP179&lt;0.3,"0.15-0.30x",IF(AP179&lt;0.5,"0.30-0.50x",IF(AP179&lt;1,"0.50-1.00x","1.00x+")))))</f>
        <v/>
      </c>
      <c r="AY179" s="5">
        <f>IF(J179="","No SIC",IFERROR(VLOOKUP(J179,Ref!$A$4:$C$67,2,FALSE()),"Unclassified"))</f>
        <v/>
      </c>
      <c r="AZ179" s="5">
        <f>IF(E179="","",TEXT(E179,"YYYY")&amp;"-Q"&amp;ROUNDUP(MONTH(E179)/3,0))</f>
        <v/>
      </c>
      <c r="BA179" s="5">
        <f>IF(E179="","",TEXT(E179,"YYYY-MM"))</f>
        <v/>
      </c>
      <c r="BB179" s="5">
        <f>IF(E179="","",TEXT(E179,"YYYY"))</f>
        <v/>
      </c>
      <c r="BC179" s="92">
        <f>IF($E179="","",NETWORKDAYS($E179,Controls!$B$9,Ref!$F$4:$F$47))</f>
        <v/>
      </c>
      <c r="BD179" s="92">
        <f>IF(OR($AH179=1,$AJ179=1),1,0)</f>
        <v/>
      </c>
      <c r="BE179" s="95">
        <f>IF(OR($BD179=1,AND($AE179&lt;&gt;"",$BC179&gt;=Controls!$B$10*$AE179)),1,0)</f>
        <v/>
      </c>
    </row>
    <row r="180" ht="15.75" customHeight="1" s="79">
      <c r="A180" s="5" t="inlineStr">
        <is>
          <t>5674162988</t>
        </is>
      </c>
      <c r="B180" s="5" t="inlineStr">
        <is>
          <t>Stone Manufacture</t>
        </is>
      </c>
      <c r="C180" s="5" t="inlineStr">
        <is>
          <t>SAWAED INC</t>
        </is>
      </c>
      <c r="D180" s="5" t="inlineStr">
        <is>
          <t>Legal</t>
        </is>
      </c>
      <c r="E180" s="16" t="n">
        <v>45869</v>
      </c>
      <c r="F180" s="16" t="n">
        <v>46160</v>
      </c>
      <c r="G180" s="17" t="n">
        <v>3</v>
      </c>
      <c r="H180" s="5" t="inlineStr">
        <is>
          <t>1521</t>
        </is>
      </c>
      <c r="I180" s="5" t="inlineStr">
        <is>
          <t>Residential Remodelers</t>
        </is>
      </c>
      <c r="J180" s="5" t="inlineStr">
        <is>
          <t>15</t>
        </is>
      </c>
      <c r="K180" s="5" t="n">
        <v>1520</v>
      </c>
      <c r="L180" s="5" t="inlineStr">
        <is>
          <t>CA</t>
        </is>
      </c>
      <c r="M180" s="5" t="inlineStr">
        <is>
          <t>PMF</t>
        </is>
      </c>
      <c r="N180" s="5" t="inlineStr">
        <is>
          <t>New Deal</t>
        </is>
      </c>
      <c r="O180" s="19" t="n">
        <v>1.499</v>
      </c>
      <c r="P180" s="20" t="n">
        <v>5500</v>
      </c>
      <c r="Q180" s="20" t="n">
        <v>770</v>
      </c>
      <c r="R180" s="20" t="n">
        <v>8244.5</v>
      </c>
      <c r="S180" s="20" t="n">
        <v>6451.06</v>
      </c>
      <c r="T180" s="20" t="n">
        <v>1793.44</v>
      </c>
      <c r="U180" s="21" t="n">
        <v>0.7824683122081389</v>
      </c>
      <c r="V180" s="22" t="n">
        <v>2.459</v>
      </c>
      <c r="W180" s="17" t="n">
        <v>104</v>
      </c>
      <c r="X180" s="17" t="n">
        <v>36</v>
      </c>
      <c r="Y180" s="20" t="n">
        <v>30945.17</v>
      </c>
      <c r="Z180" s="21" t="n">
        <v>0.0742</v>
      </c>
      <c r="AA180" s="16" t="n">
        <v>38303</v>
      </c>
      <c r="AB180" s="5">
        <f>IF(V180="","",IF(V180&lt;12,"Months","Weeks"))</f>
        <v/>
      </c>
      <c r="AC180" s="5">
        <f>IF(AB180="","",IF(AB180="Months","Daily","Weekly"))</f>
        <v/>
      </c>
      <c r="AD180" s="17">
        <f>IF(V180="","",IF(AC180="Daily",V180*Controls!$B$13,V180))</f>
        <v/>
      </c>
      <c r="AE180" s="17">
        <f>IF(V180="","",IF(AC180="Daily",V180*Controls!$B$13,V180*Controls!$B$12))</f>
        <v/>
      </c>
      <c r="AF180" s="17">
        <f>IF(OR(E180="",F180=""),"",F180-E180)</f>
        <v/>
      </c>
      <c r="AG180" s="17">
        <f>IF(OR(E180="",F180=""),"",NETWORKDAYS(E180,F180,Ref!$F$4:$F$47))</f>
        <v/>
      </c>
      <c r="AH180" s="39">
        <f>IF(IFERROR(VLOOKUP(D180,Controls!$A$25:$D$35,2,FALSE()),"No")="Yes",1,0)</f>
        <v/>
      </c>
      <c r="AI180" s="39">
        <f>IF(IFERROR(VLOOKUP(D180,Controls!$A$25:$D$35,3,FALSE()),"No")="Yes",1,0)</f>
        <v/>
      </c>
      <c r="AJ180" s="39">
        <f>IF(IFERROR(VLOOKUP(D180,Controls!$A$25:$D$35,4,FALSE()),"No")="Yes",1,0)</f>
        <v/>
      </c>
      <c r="AK180" s="96">
        <f>IF(AND($E180&gt;=Controls!$B$5,$E180&lt;=Controls!$B$6,OR(Controls!$E$9&lt;&gt;"Y",$BE180=1)),1,0)</f>
        <v/>
      </c>
      <c r="AL180" s="39">
        <f>1</f>
        <v/>
      </c>
      <c r="AM180" s="20">
        <f>S180-P180</f>
        <v/>
      </c>
      <c r="AN180" s="20">
        <f>IF(AH180=1,MAX(0,P180-S180),0)</f>
        <v/>
      </c>
      <c r="AO180" s="21">
        <f>IFERROR(S180/P180,"")</f>
        <v/>
      </c>
      <c r="AP180" s="22">
        <f>IF(Y180="","",P180/Y180)</f>
        <v/>
      </c>
      <c r="AQ180" s="39">
        <f>IF(Y180="",0,1)</f>
        <v/>
      </c>
      <c r="AR180" s="39">
        <f>IF(S180&lt;=0,1,0)</f>
        <v/>
      </c>
      <c r="AS180" s="17">
        <f>IF(AH180=1,AG180,"")</f>
        <v/>
      </c>
      <c r="AT180" s="17">
        <f>IF(AND(AH180=0,AJ180=1),AG180,"")</f>
        <v/>
      </c>
      <c r="AU180" s="5">
        <f>IF(P180&lt;10000,"Under $10K",IF(P180&lt;20000,"$10-20K",IF(P180&lt;30000,"$20-30K",IF(P180&lt;50000,"$30-50K",IF(P180&lt;100000,"$50-100K","$100K+")))))</f>
        <v/>
      </c>
      <c r="AV180" s="5">
        <f>IF(O180&lt;=1.35,"1.35 and under",IF(O180&lt;=1.42,"1.36-1.42",IF(O180&lt;=1.45,"1.43-1.45",IF(O180&lt;1.49,"1.46-1.48",IF(O180&lt;=1.49,"1.49","Above 1.49")))))</f>
        <v/>
      </c>
      <c r="AW180" s="5">
        <f>IF(AE180="","",IF(AE180&lt;60,"Under 60",IF(AE180&lt;90,"60-89",IF(AE180&lt;120,"90-119",IF(AE180&lt;150,"120-149","150+")))))</f>
        <v/>
      </c>
      <c r="AX180" s="5">
        <f>IF(AP180="","No revenue data",IF(AP180&lt;0.15,"Under 0.15x",IF(AP180&lt;0.3,"0.15-0.30x",IF(AP180&lt;0.5,"0.30-0.50x",IF(AP180&lt;1,"0.50-1.00x","1.00x+")))))</f>
        <v/>
      </c>
      <c r="AY180" s="5">
        <f>IF(J180="","No SIC",IFERROR(VLOOKUP(J180,Ref!$A$4:$C$67,2,FALSE()),"Unclassified"))</f>
        <v/>
      </c>
      <c r="AZ180" s="5">
        <f>IF(E180="","",TEXT(E180,"YYYY")&amp;"-Q"&amp;ROUNDUP(MONTH(E180)/3,0))</f>
        <v/>
      </c>
      <c r="BA180" s="5">
        <f>IF(E180="","",TEXT(E180,"YYYY-MM"))</f>
        <v/>
      </c>
      <c r="BB180" s="5">
        <f>IF(E180="","",TEXT(E180,"YYYY"))</f>
        <v/>
      </c>
      <c r="BC180" s="92">
        <f>IF($E180="","",NETWORKDAYS($E180,Controls!$B$9,Ref!$F$4:$F$47))</f>
        <v/>
      </c>
      <c r="BD180" s="92">
        <f>IF(OR($AH180=1,$AJ180=1),1,0)</f>
        <v/>
      </c>
      <c r="BE180" s="95">
        <f>IF(OR($BD180=1,AND($AE180&lt;&gt;"",$BC180&gt;=Controls!$B$10*$AE180)),1,0)</f>
        <v/>
      </c>
    </row>
    <row r="181" ht="15.75" customHeight="1" s="79">
      <c r="A181" s="5" t="inlineStr">
        <is>
          <t>5674162990</t>
        </is>
      </c>
      <c r="B181" s="5" t="inlineStr">
        <is>
          <t>DALLAS DETAIL &amp; CONSTRUCTION</t>
        </is>
      </c>
      <c r="C181" s="5" t="inlineStr">
        <is>
          <t>DALLAS DETAIL &amp; CONSTRUCTION</t>
        </is>
      </c>
      <c r="D181" s="5" t="inlineStr">
        <is>
          <t>Closed</t>
        </is>
      </c>
      <c r="E181" s="16" t="n">
        <v>45869</v>
      </c>
      <c r="F181" s="16" t="n">
        <v>45947</v>
      </c>
      <c r="G181" s="17" t="n">
        <v>7</v>
      </c>
      <c r="H181" s="5" t="inlineStr">
        <is>
          <t>1521</t>
        </is>
      </c>
      <c r="I181" s="5" t="inlineStr">
        <is>
          <t>New Single-Family Housing Construction (Except For-Sale Builders)</t>
        </is>
      </c>
      <c r="J181" s="5" t="inlineStr">
        <is>
          <t>15</t>
        </is>
      </c>
      <c r="K181" s="5" t="n">
        <v>1520</v>
      </c>
      <c r="L181" s="5" t="inlineStr">
        <is>
          <t>TX</t>
        </is>
      </c>
      <c r="M181" s="5" t="inlineStr">
        <is>
          <t>The Funding Channel</t>
        </is>
      </c>
      <c r="N181" s="5" t="inlineStr">
        <is>
          <t>New Deal</t>
        </is>
      </c>
      <c r="O181" s="19" t="n">
        <v>1.5</v>
      </c>
      <c r="P181" s="20" t="n">
        <v>5000</v>
      </c>
      <c r="Q181" s="20" t="n">
        <v>700</v>
      </c>
      <c r="R181" s="20" t="n">
        <v>7500</v>
      </c>
      <c r="S181" s="20" t="n">
        <v>7500</v>
      </c>
      <c r="T181" s="20" t="n">
        <v>0</v>
      </c>
      <c r="U181" s="21" t="n">
        <v>1</v>
      </c>
      <c r="V181" s="22" t="n">
        <v>2.295</v>
      </c>
      <c r="W181" s="17" t="n">
        <v>306</v>
      </c>
      <c r="X181" s="17" t="n">
        <v>0</v>
      </c>
      <c r="Y181" s="20" t="n">
        <v>77765.69</v>
      </c>
      <c r="Z181" s="21" t="n">
        <v>0.0287</v>
      </c>
      <c r="AA181" s="16" t="n">
        <v>40917</v>
      </c>
      <c r="AB181" s="5">
        <f>IF(V181="","",IF(V181&lt;12,"Months","Weeks"))</f>
        <v/>
      </c>
      <c r="AC181" s="5">
        <f>IF(AB181="","",IF(AB181="Months","Daily","Weekly"))</f>
        <v/>
      </c>
      <c r="AD181" s="17">
        <f>IF(V181="","",IF(AC181="Daily",V181*Controls!$B$13,V181))</f>
        <v/>
      </c>
      <c r="AE181" s="17">
        <f>IF(V181="","",IF(AC181="Daily",V181*Controls!$B$13,V181*Controls!$B$12))</f>
        <v/>
      </c>
      <c r="AF181" s="17">
        <f>IF(OR(E181="",F181=""),"",F181-E181)</f>
        <v/>
      </c>
      <c r="AG181" s="17">
        <f>IF(OR(E181="",F181=""),"",NETWORKDAYS(E181,F181,Ref!$F$4:$F$47))</f>
        <v/>
      </c>
      <c r="AH181" s="39">
        <f>IF(IFERROR(VLOOKUP(D181,Controls!$A$25:$D$35,2,FALSE()),"No")="Yes",1,0)</f>
        <v/>
      </c>
      <c r="AI181" s="39">
        <f>IF(IFERROR(VLOOKUP(D181,Controls!$A$25:$D$35,3,FALSE()),"No")="Yes",1,0)</f>
        <v/>
      </c>
      <c r="AJ181" s="39">
        <f>IF(IFERROR(VLOOKUP(D181,Controls!$A$25:$D$35,4,FALSE()),"No")="Yes",1,0)</f>
        <v/>
      </c>
      <c r="AK181" s="96">
        <f>IF(AND($E181&gt;=Controls!$B$5,$E181&lt;=Controls!$B$6,OR(Controls!$E$9&lt;&gt;"Y",$BE181=1)),1,0)</f>
        <v/>
      </c>
      <c r="AL181" s="39">
        <f>1</f>
        <v/>
      </c>
      <c r="AM181" s="20">
        <f>S181-P181</f>
        <v/>
      </c>
      <c r="AN181" s="20">
        <f>IF(AH181=1,MAX(0,P181-S181),0)</f>
        <v/>
      </c>
      <c r="AO181" s="21">
        <f>IFERROR(S181/P181,"")</f>
        <v/>
      </c>
      <c r="AP181" s="22">
        <f>IF(Y181="","",P181/Y181)</f>
        <v/>
      </c>
      <c r="AQ181" s="39">
        <f>IF(Y181="",0,1)</f>
        <v/>
      </c>
      <c r="AR181" s="39">
        <f>IF(S181&lt;=0,1,0)</f>
        <v/>
      </c>
      <c r="AS181" s="17">
        <f>IF(AH181=1,AG181,"")</f>
        <v/>
      </c>
      <c r="AT181" s="17">
        <f>IF(AND(AH181=0,AJ181=1),AG181,"")</f>
        <v/>
      </c>
      <c r="AU181" s="5">
        <f>IF(P181&lt;10000,"Under $10K",IF(P181&lt;20000,"$10-20K",IF(P181&lt;30000,"$20-30K",IF(P181&lt;50000,"$30-50K",IF(P181&lt;100000,"$50-100K","$100K+")))))</f>
        <v/>
      </c>
      <c r="AV181" s="5">
        <f>IF(O181&lt;=1.35,"1.35 and under",IF(O181&lt;=1.42,"1.36-1.42",IF(O181&lt;=1.45,"1.43-1.45",IF(O181&lt;1.49,"1.46-1.48",IF(O181&lt;=1.49,"1.49","Above 1.49")))))</f>
        <v/>
      </c>
      <c r="AW181" s="5">
        <f>IF(AE181="","",IF(AE181&lt;60,"Under 60",IF(AE181&lt;90,"60-89",IF(AE181&lt;120,"90-119",IF(AE181&lt;150,"120-149","150+")))))</f>
        <v/>
      </c>
      <c r="AX181" s="5">
        <f>IF(AP181="","No revenue data",IF(AP181&lt;0.15,"Under 0.15x",IF(AP181&lt;0.3,"0.15-0.30x",IF(AP181&lt;0.5,"0.30-0.50x",IF(AP181&lt;1,"0.50-1.00x","1.00x+")))))</f>
        <v/>
      </c>
      <c r="AY181" s="5">
        <f>IF(J181="","No SIC",IFERROR(VLOOKUP(J181,Ref!$A$4:$C$67,2,FALSE()),"Unclassified"))</f>
        <v/>
      </c>
      <c r="AZ181" s="5">
        <f>IF(E181="","",TEXT(E181,"YYYY")&amp;"-Q"&amp;ROUNDUP(MONTH(E181)/3,0))</f>
        <v/>
      </c>
      <c r="BA181" s="5">
        <f>IF(E181="","",TEXT(E181,"YYYY-MM"))</f>
        <v/>
      </c>
      <c r="BB181" s="5">
        <f>IF(E181="","",TEXT(E181,"YYYY"))</f>
        <v/>
      </c>
      <c r="BC181" s="92">
        <f>IF($E181="","",NETWORKDAYS($E181,Controls!$B$9,Ref!$F$4:$F$47))</f>
        <v/>
      </c>
      <c r="BD181" s="92">
        <f>IF(OR($AH181=1,$AJ181=1),1,0)</f>
        <v/>
      </c>
      <c r="BE181" s="95">
        <f>IF(OR($BD181=1,AND($AE181&lt;&gt;"",$BC181&gt;=Controls!$B$10*$AE181)),1,0)</f>
        <v/>
      </c>
    </row>
    <row r="182" ht="15.75" customHeight="1" s="79">
      <c r="A182" s="5" t="inlineStr">
        <is>
          <t>5674162999</t>
        </is>
      </c>
      <c r="B182" s="5" t="inlineStr">
        <is>
          <t>GREENLIFE BOTANICALS LLC</t>
        </is>
      </c>
      <c r="C182" s="5" t="inlineStr">
        <is>
          <t>GREENLIFE BOTANICALS LLC</t>
        </is>
      </c>
      <c r="D182" s="5" t="inlineStr">
        <is>
          <t>Legal</t>
        </is>
      </c>
      <c r="E182" s="16" t="n">
        <v>45869</v>
      </c>
      <c r="F182" s="16" t="n">
        <v>45881</v>
      </c>
      <c r="G182" s="17" t="n">
        <v>8</v>
      </c>
      <c r="H182" s="5" t="inlineStr">
        <is>
          <t>5999</t>
        </is>
      </c>
      <c r="I182" s="5" t="inlineStr">
        <is>
          <t>All Other Health and Personal Care Stores</t>
        </is>
      </c>
      <c r="J182" s="5" t="inlineStr">
        <is>
          <t>59</t>
        </is>
      </c>
      <c r="K182" s="5" t="n">
        <v>5999</v>
      </c>
      <c r="L182" s="5" t="inlineStr">
        <is>
          <t>GA</t>
        </is>
      </c>
      <c r="M182" s="5" t="inlineStr">
        <is>
          <t>Premium Capital (AMRK)</t>
        </is>
      </c>
      <c r="N182" s="5" t="inlineStr">
        <is>
          <t>New Deal</t>
        </is>
      </c>
      <c r="O182" s="19" t="n">
        <v>1.49</v>
      </c>
      <c r="P182" s="20" t="n">
        <v>10000</v>
      </c>
      <c r="Q182" s="20" t="n">
        <v>0</v>
      </c>
      <c r="R182" s="20" t="n">
        <v>14900</v>
      </c>
      <c r="S182" s="20" t="n">
        <v>186.34</v>
      </c>
      <c r="T182" s="20" t="n">
        <v>14713.66</v>
      </c>
      <c r="U182" s="21" t="n">
        <v>0.0125060402684564</v>
      </c>
      <c r="V182" s="22" t="n">
        <v>2.623</v>
      </c>
      <c r="W182" s="17" t="n">
        <v>384</v>
      </c>
      <c r="X182" s="17" t="n">
        <v>7</v>
      </c>
      <c r="Y182" s="20" t="n">
        <v>39888.92</v>
      </c>
      <c r="Z182" s="21" t="n">
        <v>0.09810000000000001</v>
      </c>
      <c r="AA182" s="5" t="n"/>
      <c r="AB182" s="5">
        <f>IF(V182="","",IF(V182&lt;12,"Months","Weeks"))</f>
        <v/>
      </c>
      <c r="AC182" s="5">
        <f>IF(AB182="","",IF(AB182="Months","Daily","Weekly"))</f>
        <v/>
      </c>
      <c r="AD182" s="17">
        <f>IF(V182="","",IF(AC182="Daily",V182*Controls!$B$13,V182))</f>
        <v/>
      </c>
      <c r="AE182" s="17">
        <f>IF(V182="","",IF(AC182="Daily",V182*Controls!$B$13,V182*Controls!$B$12))</f>
        <v/>
      </c>
      <c r="AF182" s="17">
        <f>IF(OR(E182="",F182=""),"",F182-E182)</f>
        <v/>
      </c>
      <c r="AG182" s="17">
        <f>IF(OR(E182="",F182=""),"",NETWORKDAYS(E182,F182,Ref!$F$4:$F$47))</f>
        <v/>
      </c>
      <c r="AH182" s="39">
        <f>IF(IFERROR(VLOOKUP(D182,Controls!$A$25:$D$35,2,FALSE()),"No")="Yes",1,0)</f>
        <v/>
      </c>
      <c r="AI182" s="39">
        <f>IF(IFERROR(VLOOKUP(D182,Controls!$A$25:$D$35,3,FALSE()),"No")="Yes",1,0)</f>
        <v/>
      </c>
      <c r="AJ182" s="39">
        <f>IF(IFERROR(VLOOKUP(D182,Controls!$A$25:$D$35,4,FALSE()),"No")="Yes",1,0)</f>
        <v/>
      </c>
      <c r="AK182" s="96">
        <f>IF(AND($E182&gt;=Controls!$B$5,$E182&lt;=Controls!$B$6,OR(Controls!$E$9&lt;&gt;"Y",$BE182=1)),1,0)</f>
        <v/>
      </c>
      <c r="AL182" s="39">
        <f>1</f>
        <v/>
      </c>
      <c r="AM182" s="20">
        <f>S182-P182</f>
        <v/>
      </c>
      <c r="AN182" s="20">
        <f>IF(AH182=1,MAX(0,P182-S182),0)</f>
        <v/>
      </c>
      <c r="AO182" s="21">
        <f>IFERROR(S182/P182,"")</f>
        <v/>
      </c>
      <c r="AP182" s="22">
        <f>IF(Y182="","",P182/Y182)</f>
        <v/>
      </c>
      <c r="AQ182" s="39">
        <f>IF(Y182="",0,1)</f>
        <v/>
      </c>
      <c r="AR182" s="39">
        <f>IF(S182&lt;=0,1,0)</f>
        <v/>
      </c>
      <c r="AS182" s="17">
        <f>IF(AH182=1,AG182,"")</f>
        <v/>
      </c>
      <c r="AT182" s="17">
        <f>IF(AND(AH182=0,AJ182=1),AG182,"")</f>
        <v/>
      </c>
      <c r="AU182" s="5">
        <f>IF(P182&lt;10000,"Under $10K",IF(P182&lt;20000,"$10-20K",IF(P182&lt;30000,"$20-30K",IF(P182&lt;50000,"$30-50K",IF(P182&lt;100000,"$50-100K","$100K+")))))</f>
        <v/>
      </c>
      <c r="AV182" s="5">
        <f>IF(O182&lt;=1.35,"1.35 and under",IF(O182&lt;=1.42,"1.36-1.42",IF(O182&lt;=1.45,"1.43-1.45",IF(O182&lt;1.49,"1.46-1.48",IF(O182&lt;=1.49,"1.49","Above 1.49")))))</f>
        <v/>
      </c>
      <c r="AW182" s="5">
        <f>IF(AE182="","",IF(AE182&lt;60,"Under 60",IF(AE182&lt;90,"60-89",IF(AE182&lt;120,"90-119",IF(AE182&lt;150,"120-149","150+")))))</f>
        <v/>
      </c>
      <c r="AX182" s="5">
        <f>IF(AP182="","No revenue data",IF(AP182&lt;0.15,"Under 0.15x",IF(AP182&lt;0.3,"0.15-0.30x",IF(AP182&lt;0.5,"0.30-0.50x",IF(AP182&lt;1,"0.50-1.00x","1.00x+")))))</f>
        <v/>
      </c>
      <c r="AY182" s="5">
        <f>IF(J182="","No SIC",IFERROR(VLOOKUP(J182,Ref!$A$4:$C$67,2,FALSE()),"Unclassified"))</f>
        <v/>
      </c>
      <c r="AZ182" s="5">
        <f>IF(E182="","",TEXT(E182,"YYYY")&amp;"-Q"&amp;ROUNDUP(MONTH(E182)/3,0))</f>
        <v/>
      </c>
      <c r="BA182" s="5">
        <f>IF(E182="","",TEXT(E182,"YYYY-MM"))</f>
        <v/>
      </c>
      <c r="BB182" s="5">
        <f>IF(E182="","",TEXT(E182,"YYYY"))</f>
        <v/>
      </c>
      <c r="BC182" s="92">
        <f>IF($E182="","",NETWORKDAYS($E182,Controls!$B$9,Ref!$F$4:$F$47))</f>
        <v/>
      </c>
      <c r="BD182" s="92">
        <f>IF(OR($AH182=1,$AJ182=1),1,0)</f>
        <v/>
      </c>
      <c r="BE182" s="95">
        <f>IF(OR($BD182=1,AND($AE182&lt;&gt;"",$BC182&gt;=Controls!$B$10*$AE182)),1,0)</f>
        <v/>
      </c>
    </row>
    <row r="183" ht="15.75" customHeight="1" s="79">
      <c r="A183" s="5" t="inlineStr">
        <is>
          <t>5674163045</t>
        </is>
      </c>
      <c r="B183" s="5" t="inlineStr">
        <is>
          <t>coreys Southern Catering</t>
        </is>
      </c>
      <c r="C183" s="5" t="inlineStr">
        <is>
          <t>FAVOR ONE LLC</t>
        </is>
      </c>
      <c r="D183" s="5" t="inlineStr">
        <is>
          <t>Closed</t>
        </is>
      </c>
      <c r="E183" s="16" t="n">
        <v>45869</v>
      </c>
      <c r="F183" s="16" t="n">
        <v>45986</v>
      </c>
      <c r="G183" s="17" t="n">
        <v>6</v>
      </c>
      <c r="H183" s="5" t="inlineStr">
        <is>
          <t>5812</t>
        </is>
      </c>
      <c r="I183" s="5" t="inlineStr">
        <is>
          <t>Snack and Nonalcoholic Beverage Bars</t>
        </is>
      </c>
      <c r="J183" s="5" t="inlineStr">
        <is>
          <t>58</t>
        </is>
      </c>
      <c r="K183" s="5" t="n">
        <v>5812</v>
      </c>
      <c r="L183" s="5" t="inlineStr">
        <is>
          <t>VA</t>
        </is>
      </c>
      <c r="M183" s="5" t="inlineStr">
        <is>
          <t>Premium Capital (AMRK)</t>
        </is>
      </c>
      <c r="N183" s="5" t="inlineStr">
        <is>
          <t>New Deal</t>
        </is>
      </c>
      <c r="O183" s="19" t="n">
        <v>1.42</v>
      </c>
      <c r="P183" s="20" t="n">
        <v>10000</v>
      </c>
      <c r="Q183" s="20" t="n">
        <v>1050</v>
      </c>
      <c r="R183" s="20" t="n">
        <v>14200</v>
      </c>
      <c r="S183" s="20" t="n">
        <v>14200</v>
      </c>
      <c r="T183" s="20" t="n">
        <v>0</v>
      </c>
      <c r="U183" s="21" t="n">
        <v>1</v>
      </c>
      <c r="V183" s="22" t="n">
        <v>2.623</v>
      </c>
      <c r="W183" s="17" t="n">
        <v>267</v>
      </c>
      <c r="X183" s="17" t="n">
        <v>0</v>
      </c>
      <c r="Y183" s="20" t="n">
        <v>42674.88</v>
      </c>
      <c r="Z183" s="21" t="n">
        <v>0.0873</v>
      </c>
      <c r="AA183" s="5" t="n"/>
      <c r="AB183" s="5">
        <f>IF(V183="","",IF(V183&lt;12,"Months","Weeks"))</f>
        <v/>
      </c>
      <c r="AC183" s="5">
        <f>IF(AB183="","",IF(AB183="Months","Daily","Weekly"))</f>
        <v/>
      </c>
      <c r="AD183" s="17">
        <f>IF(V183="","",IF(AC183="Daily",V183*Controls!$B$13,V183))</f>
        <v/>
      </c>
      <c r="AE183" s="17">
        <f>IF(V183="","",IF(AC183="Daily",V183*Controls!$B$13,V183*Controls!$B$12))</f>
        <v/>
      </c>
      <c r="AF183" s="17">
        <f>IF(OR(E183="",F183=""),"",F183-E183)</f>
        <v/>
      </c>
      <c r="AG183" s="17">
        <f>IF(OR(E183="",F183=""),"",NETWORKDAYS(E183,F183,Ref!$F$4:$F$47))</f>
        <v/>
      </c>
      <c r="AH183" s="39">
        <f>IF(IFERROR(VLOOKUP(D183,Controls!$A$25:$D$35,2,FALSE()),"No")="Yes",1,0)</f>
        <v/>
      </c>
      <c r="AI183" s="39">
        <f>IF(IFERROR(VLOOKUP(D183,Controls!$A$25:$D$35,3,FALSE()),"No")="Yes",1,0)</f>
        <v/>
      </c>
      <c r="AJ183" s="39">
        <f>IF(IFERROR(VLOOKUP(D183,Controls!$A$25:$D$35,4,FALSE()),"No")="Yes",1,0)</f>
        <v/>
      </c>
      <c r="AK183" s="96">
        <f>IF(AND($E183&gt;=Controls!$B$5,$E183&lt;=Controls!$B$6,OR(Controls!$E$9&lt;&gt;"Y",$BE183=1)),1,0)</f>
        <v/>
      </c>
      <c r="AL183" s="39">
        <f>1</f>
        <v/>
      </c>
      <c r="AM183" s="20">
        <f>S183-P183</f>
        <v/>
      </c>
      <c r="AN183" s="20">
        <f>IF(AH183=1,MAX(0,P183-S183),0)</f>
        <v/>
      </c>
      <c r="AO183" s="21">
        <f>IFERROR(S183/P183,"")</f>
        <v/>
      </c>
      <c r="AP183" s="22">
        <f>IF(Y183="","",P183/Y183)</f>
        <v/>
      </c>
      <c r="AQ183" s="39">
        <f>IF(Y183="",0,1)</f>
        <v/>
      </c>
      <c r="AR183" s="39">
        <f>IF(S183&lt;=0,1,0)</f>
        <v/>
      </c>
      <c r="AS183" s="17">
        <f>IF(AH183=1,AG183,"")</f>
        <v/>
      </c>
      <c r="AT183" s="17">
        <f>IF(AND(AH183=0,AJ183=1),AG183,"")</f>
        <v/>
      </c>
      <c r="AU183" s="5">
        <f>IF(P183&lt;10000,"Under $10K",IF(P183&lt;20000,"$10-20K",IF(P183&lt;30000,"$20-30K",IF(P183&lt;50000,"$30-50K",IF(P183&lt;100000,"$50-100K","$100K+")))))</f>
        <v/>
      </c>
      <c r="AV183" s="5">
        <f>IF(O183&lt;=1.35,"1.35 and under",IF(O183&lt;=1.42,"1.36-1.42",IF(O183&lt;=1.45,"1.43-1.45",IF(O183&lt;1.49,"1.46-1.48",IF(O183&lt;=1.49,"1.49","Above 1.49")))))</f>
        <v/>
      </c>
      <c r="AW183" s="5">
        <f>IF(AE183="","",IF(AE183&lt;60,"Under 60",IF(AE183&lt;90,"60-89",IF(AE183&lt;120,"90-119",IF(AE183&lt;150,"120-149","150+")))))</f>
        <v/>
      </c>
      <c r="AX183" s="5">
        <f>IF(AP183="","No revenue data",IF(AP183&lt;0.15,"Under 0.15x",IF(AP183&lt;0.3,"0.15-0.30x",IF(AP183&lt;0.5,"0.30-0.50x",IF(AP183&lt;1,"0.50-1.00x","1.00x+")))))</f>
        <v/>
      </c>
      <c r="AY183" s="5">
        <f>IF(J183="","No SIC",IFERROR(VLOOKUP(J183,Ref!$A$4:$C$67,2,FALSE()),"Unclassified"))</f>
        <v/>
      </c>
      <c r="AZ183" s="5">
        <f>IF(E183="","",TEXT(E183,"YYYY")&amp;"-Q"&amp;ROUNDUP(MONTH(E183)/3,0))</f>
        <v/>
      </c>
      <c r="BA183" s="5">
        <f>IF(E183="","",TEXT(E183,"YYYY-MM"))</f>
        <v/>
      </c>
      <c r="BB183" s="5">
        <f>IF(E183="","",TEXT(E183,"YYYY"))</f>
        <v/>
      </c>
      <c r="BC183" s="92">
        <f>IF($E183="","",NETWORKDAYS($E183,Controls!$B$9,Ref!$F$4:$F$47))</f>
        <v/>
      </c>
      <c r="BD183" s="92">
        <f>IF(OR($AH183=1,$AJ183=1),1,0)</f>
        <v/>
      </c>
      <c r="BE183" s="95">
        <f>IF(OR($BD183=1,AND($AE183&lt;&gt;"",$BC183&gt;=Controls!$B$10*$AE183)),1,0)</f>
        <v/>
      </c>
    </row>
    <row r="184" ht="15.75" customHeight="1" s="79">
      <c r="A184" s="5" t="inlineStr">
        <is>
          <t>5674163052</t>
        </is>
      </c>
      <c r="B184" s="5" t="inlineStr">
        <is>
          <t>So Baltimore, LLC</t>
        </is>
      </c>
      <c r="C184" s="5" t="inlineStr">
        <is>
          <t>So Baltimore, LLC</t>
        </is>
      </c>
      <c r="D184" s="5" t="inlineStr">
        <is>
          <t>Closed</t>
        </is>
      </c>
      <c r="E184" s="16" t="n">
        <v>45869</v>
      </c>
      <c r="F184" s="16" t="n">
        <v>45953</v>
      </c>
      <c r="G184" s="17" t="n">
        <v>5</v>
      </c>
      <c r="H184" s="5" t="inlineStr">
        <is>
          <t>5812</t>
        </is>
      </c>
      <c r="I184" s="5" t="inlineStr">
        <is>
          <t>Snack and Nonalcoholic Beverage Bars</t>
        </is>
      </c>
      <c r="J184" s="5" t="inlineStr">
        <is>
          <t>58</t>
        </is>
      </c>
      <c r="K184" s="5" t="n">
        <v>5812</v>
      </c>
      <c r="L184" s="5" t="inlineStr">
        <is>
          <t>MD</t>
        </is>
      </c>
      <c r="M184" s="5" t="inlineStr">
        <is>
          <t>Llama Loan</t>
        </is>
      </c>
      <c r="N184" s="5" t="inlineStr">
        <is>
          <t>Renewal</t>
        </is>
      </c>
      <c r="O184" s="19" t="n">
        <v>1.43</v>
      </c>
      <c r="P184" s="20" t="n">
        <v>18000</v>
      </c>
      <c r="Q184" s="20" t="n">
        <v>1980</v>
      </c>
      <c r="R184" s="20" t="n">
        <v>25740</v>
      </c>
      <c r="S184" s="20" t="n">
        <v>25740</v>
      </c>
      <c r="T184" s="20" t="n">
        <v>0</v>
      </c>
      <c r="U184" s="21" t="n">
        <v>1</v>
      </c>
      <c r="V184" s="22" t="n">
        <v>2.951</v>
      </c>
      <c r="W184" s="17" t="n">
        <v>300</v>
      </c>
      <c r="X184" s="17" t="n">
        <v>0</v>
      </c>
      <c r="Y184" s="20" t="n">
        <v>82755.78</v>
      </c>
      <c r="Z184" s="21" t="n">
        <v>0.1058</v>
      </c>
      <c r="AA184" s="16" t="n">
        <v>44378</v>
      </c>
      <c r="AB184" s="5">
        <f>IF(V184="","",IF(V184&lt;12,"Months","Weeks"))</f>
        <v/>
      </c>
      <c r="AC184" s="5">
        <f>IF(AB184="","",IF(AB184="Months","Daily","Weekly"))</f>
        <v/>
      </c>
      <c r="AD184" s="17">
        <f>IF(V184="","",IF(AC184="Daily",V184*Controls!$B$13,V184))</f>
        <v/>
      </c>
      <c r="AE184" s="17">
        <f>IF(V184="","",IF(AC184="Daily",V184*Controls!$B$13,V184*Controls!$B$12))</f>
        <v/>
      </c>
      <c r="AF184" s="17">
        <f>IF(OR(E184="",F184=""),"",F184-E184)</f>
        <v/>
      </c>
      <c r="AG184" s="17">
        <f>IF(OR(E184="",F184=""),"",NETWORKDAYS(E184,F184,Ref!$F$4:$F$47))</f>
        <v/>
      </c>
      <c r="AH184" s="39">
        <f>IF(IFERROR(VLOOKUP(D184,Controls!$A$25:$D$35,2,FALSE()),"No")="Yes",1,0)</f>
        <v/>
      </c>
      <c r="AI184" s="39">
        <f>IF(IFERROR(VLOOKUP(D184,Controls!$A$25:$D$35,3,FALSE()),"No")="Yes",1,0)</f>
        <v/>
      </c>
      <c r="AJ184" s="39">
        <f>IF(IFERROR(VLOOKUP(D184,Controls!$A$25:$D$35,4,FALSE()),"No")="Yes",1,0)</f>
        <v/>
      </c>
      <c r="AK184" s="96">
        <f>IF(AND($E184&gt;=Controls!$B$5,$E184&lt;=Controls!$B$6,OR(Controls!$E$9&lt;&gt;"Y",$BE184=1)),1,0)</f>
        <v/>
      </c>
      <c r="AL184" s="39">
        <f>1</f>
        <v/>
      </c>
      <c r="AM184" s="20">
        <f>S184-P184</f>
        <v/>
      </c>
      <c r="AN184" s="20">
        <f>IF(AH184=1,MAX(0,P184-S184),0)</f>
        <v/>
      </c>
      <c r="AO184" s="21">
        <f>IFERROR(S184/P184,"")</f>
        <v/>
      </c>
      <c r="AP184" s="22">
        <f>IF(Y184="","",P184/Y184)</f>
        <v/>
      </c>
      <c r="AQ184" s="39">
        <f>IF(Y184="",0,1)</f>
        <v/>
      </c>
      <c r="AR184" s="39">
        <f>IF(S184&lt;=0,1,0)</f>
        <v/>
      </c>
      <c r="AS184" s="17">
        <f>IF(AH184=1,AG184,"")</f>
        <v/>
      </c>
      <c r="AT184" s="17">
        <f>IF(AND(AH184=0,AJ184=1),AG184,"")</f>
        <v/>
      </c>
      <c r="AU184" s="5">
        <f>IF(P184&lt;10000,"Under $10K",IF(P184&lt;20000,"$10-20K",IF(P184&lt;30000,"$20-30K",IF(P184&lt;50000,"$30-50K",IF(P184&lt;100000,"$50-100K","$100K+")))))</f>
        <v/>
      </c>
      <c r="AV184" s="5">
        <f>IF(O184&lt;=1.35,"1.35 and under",IF(O184&lt;=1.42,"1.36-1.42",IF(O184&lt;=1.45,"1.43-1.45",IF(O184&lt;1.49,"1.46-1.48",IF(O184&lt;=1.49,"1.49","Above 1.49")))))</f>
        <v/>
      </c>
      <c r="AW184" s="5">
        <f>IF(AE184="","",IF(AE184&lt;60,"Under 60",IF(AE184&lt;90,"60-89",IF(AE184&lt;120,"90-119",IF(AE184&lt;150,"120-149","150+")))))</f>
        <v/>
      </c>
      <c r="AX184" s="5">
        <f>IF(AP184="","No revenue data",IF(AP184&lt;0.15,"Under 0.15x",IF(AP184&lt;0.3,"0.15-0.30x",IF(AP184&lt;0.5,"0.30-0.50x",IF(AP184&lt;1,"0.50-1.00x","1.00x+")))))</f>
        <v/>
      </c>
      <c r="AY184" s="5">
        <f>IF(J184="","No SIC",IFERROR(VLOOKUP(J184,Ref!$A$4:$C$67,2,FALSE()),"Unclassified"))</f>
        <v/>
      </c>
      <c r="AZ184" s="5">
        <f>IF(E184="","",TEXT(E184,"YYYY")&amp;"-Q"&amp;ROUNDUP(MONTH(E184)/3,0))</f>
        <v/>
      </c>
      <c r="BA184" s="5">
        <f>IF(E184="","",TEXT(E184,"YYYY-MM"))</f>
        <v/>
      </c>
      <c r="BB184" s="5">
        <f>IF(E184="","",TEXT(E184,"YYYY"))</f>
        <v/>
      </c>
      <c r="BC184" s="92">
        <f>IF($E184="","",NETWORKDAYS($E184,Controls!$B$9,Ref!$F$4:$F$47))</f>
        <v/>
      </c>
      <c r="BD184" s="92">
        <f>IF(OR($AH184=1,$AJ184=1),1,0)</f>
        <v/>
      </c>
      <c r="BE184" s="95">
        <f>IF(OR($BD184=1,AND($AE184&lt;&gt;"",$BC184&gt;=Controls!$B$10*$AE184)),1,0)</f>
        <v/>
      </c>
    </row>
    <row r="185" ht="15.75" customHeight="1" s="79">
      <c r="A185" s="5" t="inlineStr">
        <is>
          <t>5674163227</t>
        </is>
      </c>
      <c r="B185" s="5" t="inlineStr">
        <is>
          <t>Cramer Brothers Farms LLC</t>
        </is>
      </c>
      <c r="C185" s="5" t="inlineStr">
        <is>
          <t>Cramer Brothers Farms LLC</t>
        </is>
      </c>
      <c r="D185" s="5" t="inlineStr">
        <is>
          <t>Closed</t>
        </is>
      </c>
      <c r="E185" s="16" t="n">
        <v>45873</v>
      </c>
      <c r="F185" s="16" t="n">
        <v>45975</v>
      </c>
      <c r="G185" s="17" t="n">
        <v>1</v>
      </c>
      <c r="H185" s="5" t="inlineStr">
        <is>
          <t>4212</t>
        </is>
      </c>
      <c r="I185" s="5" t="inlineStr">
        <is>
          <t>Specialized Freight (Except Used Goods) Trucking, Local</t>
        </is>
      </c>
      <c r="J185" s="5" t="inlineStr">
        <is>
          <t>42</t>
        </is>
      </c>
      <c r="K185" s="5" t="n">
        <v>4214</v>
      </c>
      <c r="L185" s="5" t="inlineStr">
        <is>
          <t>MO</t>
        </is>
      </c>
      <c r="M185" s="5" t="inlineStr">
        <is>
          <t>Smarter Credit Inc.</t>
        </is>
      </c>
      <c r="N185" s="5" t="inlineStr">
        <is>
          <t>New Deal</t>
        </is>
      </c>
      <c r="O185" s="19" t="n">
        <v>1.499</v>
      </c>
      <c r="P185" s="20" t="n">
        <v>5000</v>
      </c>
      <c r="Q185" s="20" t="n">
        <v>700</v>
      </c>
      <c r="R185" s="20" t="n">
        <v>7495</v>
      </c>
      <c r="S185" s="20" t="n">
        <v>7495</v>
      </c>
      <c r="T185" s="20" t="n">
        <v>9.09494701772928e-13</v>
      </c>
      <c r="U185" s="21" t="n">
        <v>1</v>
      </c>
      <c r="V185" s="22" t="n">
        <v>1.967</v>
      </c>
      <c r="W185" s="17" t="n">
        <v>278</v>
      </c>
      <c r="X185" s="17" t="n">
        <v>5</v>
      </c>
      <c r="Y185" s="20" t="n">
        <v>88870.11</v>
      </c>
      <c r="Z185" s="21" t="n">
        <v>0.0293</v>
      </c>
      <c r="AA185" s="16" t="n">
        <v>45258</v>
      </c>
      <c r="AB185" s="5">
        <f>IF(V185="","",IF(V185&lt;12,"Months","Weeks"))</f>
        <v/>
      </c>
      <c r="AC185" s="5">
        <f>IF(AB185="","",IF(AB185="Months","Daily","Weekly"))</f>
        <v/>
      </c>
      <c r="AD185" s="17">
        <f>IF(V185="","",IF(AC185="Daily",V185*Controls!$B$13,V185))</f>
        <v/>
      </c>
      <c r="AE185" s="17">
        <f>IF(V185="","",IF(AC185="Daily",V185*Controls!$B$13,V185*Controls!$B$12))</f>
        <v/>
      </c>
      <c r="AF185" s="17">
        <f>IF(OR(E185="",F185=""),"",F185-E185)</f>
        <v/>
      </c>
      <c r="AG185" s="17">
        <f>IF(OR(E185="",F185=""),"",NETWORKDAYS(E185,F185,Ref!$F$4:$F$47))</f>
        <v/>
      </c>
      <c r="AH185" s="39">
        <f>IF(IFERROR(VLOOKUP(D185,Controls!$A$25:$D$35,2,FALSE()),"No")="Yes",1,0)</f>
        <v/>
      </c>
      <c r="AI185" s="39">
        <f>IF(IFERROR(VLOOKUP(D185,Controls!$A$25:$D$35,3,FALSE()),"No")="Yes",1,0)</f>
        <v/>
      </c>
      <c r="AJ185" s="39">
        <f>IF(IFERROR(VLOOKUP(D185,Controls!$A$25:$D$35,4,FALSE()),"No")="Yes",1,0)</f>
        <v/>
      </c>
      <c r="AK185" s="96">
        <f>IF(AND($E185&gt;=Controls!$B$5,$E185&lt;=Controls!$B$6,OR(Controls!$E$9&lt;&gt;"Y",$BE185=1)),1,0)</f>
        <v/>
      </c>
      <c r="AL185" s="39">
        <f>1</f>
        <v/>
      </c>
      <c r="AM185" s="20">
        <f>S185-P185</f>
        <v/>
      </c>
      <c r="AN185" s="20">
        <f>IF(AH185=1,MAX(0,P185-S185),0)</f>
        <v/>
      </c>
      <c r="AO185" s="21">
        <f>IFERROR(S185/P185,"")</f>
        <v/>
      </c>
      <c r="AP185" s="22">
        <f>IF(Y185="","",P185/Y185)</f>
        <v/>
      </c>
      <c r="AQ185" s="39">
        <f>IF(Y185="",0,1)</f>
        <v/>
      </c>
      <c r="AR185" s="39">
        <f>IF(S185&lt;=0,1,0)</f>
        <v/>
      </c>
      <c r="AS185" s="17">
        <f>IF(AH185=1,AG185,"")</f>
        <v/>
      </c>
      <c r="AT185" s="17">
        <f>IF(AND(AH185=0,AJ185=1),AG185,"")</f>
        <v/>
      </c>
      <c r="AU185" s="5">
        <f>IF(P185&lt;10000,"Under $10K",IF(P185&lt;20000,"$10-20K",IF(P185&lt;30000,"$20-30K",IF(P185&lt;50000,"$30-50K",IF(P185&lt;100000,"$50-100K","$100K+")))))</f>
        <v/>
      </c>
      <c r="AV185" s="5">
        <f>IF(O185&lt;=1.35,"1.35 and under",IF(O185&lt;=1.42,"1.36-1.42",IF(O185&lt;=1.45,"1.43-1.45",IF(O185&lt;1.49,"1.46-1.48",IF(O185&lt;=1.49,"1.49","Above 1.49")))))</f>
        <v/>
      </c>
      <c r="AW185" s="5">
        <f>IF(AE185="","",IF(AE185&lt;60,"Under 60",IF(AE185&lt;90,"60-89",IF(AE185&lt;120,"90-119",IF(AE185&lt;150,"120-149","150+")))))</f>
        <v/>
      </c>
      <c r="AX185" s="5">
        <f>IF(AP185="","No revenue data",IF(AP185&lt;0.15,"Under 0.15x",IF(AP185&lt;0.3,"0.15-0.30x",IF(AP185&lt;0.5,"0.30-0.50x",IF(AP185&lt;1,"0.50-1.00x","1.00x+")))))</f>
        <v/>
      </c>
      <c r="AY185" s="5">
        <f>IF(J185="","No SIC",IFERROR(VLOOKUP(J185,Ref!$A$4:$C$67,2,FALSE()),"Unclassified"))</f>
        <v/>
      </c>
      <c r="AZ185" s="5">
        <f>IF(E185="","",TEXT(E185,"YYYY")&amp;"-Q"&amp;ROUNDUP(MONTH(E185)/3,0))</f>
        <v/>
      </c>
      <c r="BA185" s="5">
        <f>IF(E185="","",TEXT(E185,"YYYY-MM"))</f>
        <v/>
      </c>
      <c r="BB185" s="5">
        <f>IF(E185="","",TEXT(E185,"YYYY"))</f>
        <v/>
      </c>
      <c r="BC185" s="92">
        <f>IF($E185="","",NETWORKDAYS($E185,Controls!$B$9,Ref!$F$4:$F$47))</f>
        <v/>
      </c>
      <c r="BD185" s="92">
        <f>IF(OR($AH185=1,$AJ185=1),1,0)</f>
        <v/>
      </c>
      <c r="BE185" s="95">
        <f>IF(OR($BD185=1,AND($AE185&lt;&gt;"",$BC185&gt;=Controls!$B$10*$AE185)),1,0)</f>
        <v/>
      </c>
    </row>
    <row r="186" ht="15.75" customHeight="1" s="79">
      <c r="A186" s="5" t="inlineStr">
        <is>
          <t>5674163296</t>
        </is>
      </c>
      <c r="B186" s="5" t="inlineStr">
        <is>
          <t>parker construction company</t>
        </is>
      </c>
      <c r="C186" s="5" t="inlineStr">
        <is>
          <t>Parker construction company llc</t>
        </is>
      </c>
      <c r="D186" s="5" t="inlineStr">
        <is>
          <t>Legal</t>
        </is>
      </c>
      <c r="E186" s="16" t="n">
        <v>45874</v>
      </c>
      <c r="F186" s="16" t="n">
        <v>45889</v>
      </c>
      <c r="G186" s="17" t="n">
        <v>2</v>
      </c>
      <c r="H186" s="5" t="inlineStr">
        <is>
          <t>1521</t>
        </is>
      </c>
      <c r="I186" s="5" t="inlineStr">
        <is>
          <t>New Single-Family Housing Construction (Except For-Sale Builders)</t>
        </is>
      </c>
      <c r="J186" s="5" t="inlineStr">
        <is>
          <t>15</t>
        </is>
      </c>
      <c r="K186" s="5" t="n">
        <v>1520</v>
      </c>
      <c r="L186" s="5" t="inlineStr">
        <is>
          <t>TN</t>
        </is>
      </c>
      <c r="M186" s="5" t="inlineStr">
        <is>
          <t>Springville Partners</t>
        </is>
      </c>
      <c r="N186" s="5" t="inlineStr">
        <is>
          <t>New Deal</t>
        </is>
      </c>
      <c r="O186" s="19" t="n">
        <v>1.499</v>
      </c>
      <c r="P186" s="20" t="n">
        <v>20000</v>
      </c>
      <c r="Q186" s="20" t="n">
        <v>2400</v>
      </c>
      <c r="R186" s="20" t="n">
        <v>29980</v>
      </c>
      <c r="S186" s="20" t="n">
        <v>3350.52</v>
      </c>
      <c r="T186" s="20" t="n">
        <v>26629.48</v>
      </c>
      <c r="U186" s="21" t="n">
        <v>0.111758505670447</v>
      </c>
      <c r="V186" s="22" t="n">
        <v>2.623</v>
      </c>
      <c r="W186" s="17" t="n">
        <v>369</v>
      </c>
      <c r="X186" s="17" t="n">
        <v>3</v>
      </c>
      <c r="Y186" s="20" t="n">
        <v>132060.2</v>
      </c>
      <c r="Z186" s="21" t="n">
        <v>0.0592</v>
      </c>
      <c r="AA186" s="5" t="n"/>
      <c r="AB186" s="5">
        <f>IF(V186="","",IF(V186&lt;12,"Months","Weeks"))</f>
        <v/>
      </c>
      <c r="AC186" s="5">
        <f>IF(AB186="","",IF(AB186="Months","Daily","Weekly"))</f>
        <v/>
      </c>
      <c r="AD186" s="17">
        <f>IF(V186="","",IF(AC186="Daily",V186*Controls!$B$13,V186))</f>
        <v/>
      </c>
      <c r="AE186" s="17">
        <f>IF(V186="","",IF(AC186="Daily",V186*Controls!$B$13,V186*Controls!$B$12))</f>
        <v/>
      </c>
      <c r="AF186" s="17">
        <f>IF(OR(E186="",F186=""),"",F186-E186)</f>
        <v/>
      </c>
      <c r="AG186" s="17">
        <f>IF(OR(E186="",F186=""),"",NETWORKDAYS(E186,F186,Ref!$F$4:$F$47))</f>
        <v/>
      </c>
      <c r="AH186" s="39">
        <f>IF(IFERROR(VLOOKUP(D186,Controls!$A$25:$D$35,2,FALSE()),"No")="Yes",1,0)</f>
        <v/>
      </c>
      <c r="AI186" s="39">
        <f>IF(IFERROR(VLOOKUP(D186,Controls!$A$25:$D$35,3,FALSE()),"No")="Yes",1,0)</f>
        <v/>
      </c>
      <c r="AJ186" s="39">
        <f>IF(IFERROR(VLOOKUP(D186,Controls!$A$25:$D$35,4,FALSE()),"No")="Yes",1,0)</f>
        <v/>
      </c>
      <c r="AK186" s="96">
        <f>IF(AND($E186&gt;=Controls!$B$5,$E186&lt;=Controls!$B$6,OR(Controls!$E$9&lt;&gt;"Y",$BE186=1)),1,0)</f>
        <v/>
      </c>
      <c r="AL186" s="39">
        <f>1</f>
        <v/>
      </c>
      <c r="AM186" s="20">
        <f>S186-P186</f>
        <v/>
      </c>
      <c r="AN186" s="20">
        <f>IF(AH186=1,MAX(0,P186-S186),0)</f>
        <v/>
      </c>
      <c r="AO186" s="21">
        <f>IFERROR(S186/P186,"")</f>
        <v/>
      </c>
      <c r="AP186" s="22">
        <f>IF(Y186="","",P186/Y186)</f>
        <v/>
      </c>
      <c r="AQ186" s="39">
        <f>IF(Y186="",0,1)</f>
        <v/>
      </c>
      <c r="AR186" s="39">
        <f>IF(S186&lt;=0,1,0)</f>
        <v/>
      </c>
      <c r="AS186" s="17">
        <f>IF(AH186=1,AG186,"")</f>
        <v/>
      </c>
      <c r="AT186" s="17">
        <f>IF(AND(AH186=0,AJ186=1),AG186,"")</f>
        <v/>
      </c>
      <c r="AU186" s="5">
        <f>IF(P186&lt;10000,"Under $10K",IF(P186&lt;20000,"$10-20K",IF(P186&lt;30000,"$20-30K",IF(P186&lt;50000,"$30-50K",IF(P186&lt;100000,"$50-100K","$100K+")))))</f>
        <v/>
      </c>
      <c r="AV186" s="5">
        <f>IF(O186&lt;=1.35,"1.35 and under",IF(O186&lt;=1.42,"1.36-1.42",IF(O186&lt;=1.45,"1.43-1.45",IF(O186&lt;1.49,"1.46-1.48",IF(O186&lt;=1.49,"1.49","Above 1.49")))))</f>
        <v/>
      </c>
      <c r="AW186" s="5">
        <f>IF(AE186="","",IF(AE186&lt;60,"Under 60",IF(AE186&lt;90,"60-89",IF(AE186&lt;120,"90-119",IF(AE186&lt;150,"120-149","150+")))))</f>
        <v/>
      </c>
      <c r="AX186" s="5">
        <f>IF(AP186="","No revenue data",IF(AP186&lt;0.15,"Under 0.15x",IF(AP186&lt;0.3,"0.15-0.30x",IF(AP186&lt;0.5,"0.30-0.50x",IF(AP186&lt;1,"0.50-1.00x","1.00x+")))))</f>
        <v/>
      </c>
      <c r="AY186" s="5">
        <f>IF(J186="","No SIC",IFERROR(VLOOKUP(J186,Ref!$A$4:$C$67,2,FALSE()),"Unclassified"))</f>
        <v/>
      </c>
      <c r="AZ186" s="5">
        <f>IF(E186="","",TEXT(E186,"YYYY")&amp;"-Q"&amp;ROUNDUP(MONTH(E186)/3,0))</f>
        <v/>
      </c>
      <c r="BA186" s="5">
        <f>IF(E186="","",TEXT(E186,"YYYY-MM"))</f>
        <v/>
      </c>
      <c r="BB186" s="5">
        <f>IF(E186="","",TEXT(E186,"YYYY"))</f>
        <v/>
      </c>
      <c r="BC186" s="92">
        <f>IF($E186="","",NETWORKDAYS($E186,Controls!$B$9,Ref!$F$4:$F$47))</f>
        <v/>
      </c>
      <c r="BD186" s="92">
        <f>IF(OR($AH186=1,$AJ186=1),1,0)</f>
        <v/>
      </c>
      <c r="BE186" s="95">
        <f>IF(OR($BD186=1,AND($AE186&lt;&gt;"",$BC186&gt;=Controls!$B$10*$AE186)),1,0)</f>
        <v/>
      </c>
    </row>
    <row r="187" ht="15.75" customHeight="1" s="79">
      <c r="A187" s="5" t="inlineStr">
        <is>
          <t>5674163315</t>
        </is>
      </c>
      <c r="B187" s="5" t="inlineStr">
        <is>
          <t>CAPRI Transportation</t>
        </is>
      </c>
      <c r="C187" s="5" t="inlineStr">
        <is>
          <t>CAPRI TRANSPORTATION LLC</t>
        </is>
      </c>
      <c r="D187" s="5" t="inlineStr">
        <is>
          <t>Closed</t>
        </is>
      </c>
      <c r="E187" s="16" t="n">
        <v>45874</v>
      </c>
      <c r="F187" s="16" t="n">
        <v>45915</v>
      </c>
      <c r="G187" s="17" t="n">
        <v>2</v>
      </c>
      <c r="H187" s="5" t="inlineStr">
        <is>
          <t>4212</t>
        </is>
      </c>
      <c r="I187" s="5" t="inlineStr">
        <is>
          <t>Specialized Freight (Except Used Goods) Trucking, Local</t>
        </is>
      </c>
      <c r="J187" s="5" t="inlineStr">
        <is>
          <t>42</t>
        </is>
      </c>
      <c r="K187" s="5" t="n">
        <v>4214</v>
      </c>
      <c r="L187" s="5" t="inlineStr">
        <is>
          <t>FL</t>
        </is>
      </c>
      <c r="M187" s="5" t="inlineStr">
        <is>
          <t>Premium Capital (AMRK)</t>
        </is>
      </c>
      <c r="N187" s="5" t="inlineStr">
        <is>
          <t>New Deal</t>
        </is>
      </c>
      <c r="O187" s="19" t="n">
        <v>1.49</v>
      </c>
      <c r="P187" s="20" t="n">
        <v>12000</v>
      </c>
      <c r="Q187" s="20" t="n">
        <v>1680</v>
      </c>
      <c r="R187" s="20" t="n">
        <v>17880</v>
      </c>
      <c r="S187" s="20" t="n">
        <v>17880</v>
      </c>
      <c r="T187" s="20" t="n">
        <v>0</v>
      </c>
      <c r="U187" s="21" t="n">
        <v>1</v>
      </c>
      <c r="V187" s="22" t="n">
        <v>1.639</v>
      </c>
      <c r="W187" s="17" t="n">
        <v>338</v>
      </c>
      <c r="X187" s="17" t="n">
        <v>0</v>
      </c>
      <c r="Y187" s="20" t="n">
        <v>47015.44</v>
      </c>
      <c r="Z187" s="21" t="n">
        <v>0.1597</v>
      </c>
      <c r="AA187" s="5" t="n"/>
      <c r="AB187" s="5">
        <f>IF(V187="","",IF(V187&lt;12,"Months","Weeks"))</f>
        <v/>
      </c>
      <c r="AC187" s="5">
        <f>IF(AB187="","",IF(AB187="Months","Daily","Weekly"))</f>
        <v/>
      </c>
      <c r="AD187" s="17">
        <f>IF(V187="","",IF(AC187="Daily",V187*Controls!$B$13,V187))</f>
        <v/>
      </c>
      <c r="AE187" s="17">
        <f>IF(V187="","",IF(AC187="Daily",V187*Controls!$B$13,V187*Controls!$B$12))</f>
        <v/>
      </c>
      <c r="AF187" s="17">
        <f>IF(OR(E187="",F187=""),"",F187-E187)</f>
        <v/>
      </c>
      <c r="AG187" s="17">
        <f>IF(OR(E187="",F187=""),"",NETWORKDAYS(E187,F187,Ref!$F$4:$F$47))</f>
        <v/>
      </c>
      <c r="AH187" s="39">
        <f>IF(IFERROR(VLOOKUP(D187,Controls!$A$25:$D$35,2,FALSE()),"No")="Yes",1,0)</f>
        <v/>
      </c>
      <c r="AI187" s="39">
        <f>IF(IFERROR(VLOOKUP(D187,Controls!$A$25:$D$35,3,FALSE()),"No")="Yes",1,0)</f>
        <v/>
      </c>
      <c r="AJ187" s="39">
        <f>IF(IFERROR(VLOOKUP(D187,Controls!$A$25:$D$35,4,FALSE()),"No")="Yes",1,0)</f>
        <v/>
      </c>
      <c r="AK187" s="96">
        <f>IF(AND($E187&gt;=Controls!$B$5,$E187&lt;=Controls!$B$6,OR(Controls!$E$9&lt;&gt;"Y",$BE187=1)),1,0)</f>
        <v/>
      </c>
      <c r="AL187" s="39">
        <f>1</f>
        <v/>
      </c>
      <c r="AM187" s="20">
        <f>S187-P187</f>
        <v/>
      </c>
      <c r="AN187" s="20">
        <f>IF(AH187=1,MAX(0,P187-S187),0)</f>
        <v/>
      </c>
      <c r="AO187" s="21">
        <f>IFERROR(S187/P187,"")</f>
        <v/>
      </c>
      <c r="AP187" s="22">
        <f>IF(Y187="","",P187/Y187)</f>
        <v/>
      </c>
      <c r="AQ187" s="39">
        <f>IF(Y187="",0,1)</f>
        <v/>
      </c>
      <c r="AR187" s="39">
        <f>IF(S187&lt;=0,1,0)</f>
        <v/>
      </c>
      <c r="AS187" s="17">
        <f>IF(AH187=1,AG187,"")</f>
        <v/>
      </c>
      <c r="AT187" s="17">
        <f>IF(AND(AH187=0,AJ187=1),AG187,"")</f>
        <v/>
      </c>
      <c r="AU187" s="5">
        <f>IF(P187&lt;10000,"Under $10K",IF(P187&lt;20000,"$10-20K",IF(P187&lt;30000,"$20-30K",IF(P187&lt;50000,"$30-50K",IF(P187&lt;100000,"$50-100K","$100K+")))))</f>
        <v/>
      </c>
      <c r="AV187" s="5">
        <f>IF(O187&lt;=1.35,"1.35 and under",IF(O187&lt;=1.42,"1.36-1.42",IF(O187&lt;=1.45,"1.43-1.45",IF(O187&lt;1.49,"1.46-1.48",IF(O187&lt;=1.49,"1.49","Above 1.49")))))</f>
        <v/>
      </c>
      <c r="AW187" s="5">
        <f>IF(AE187="","",IF(AE187&lt;60,"Under 60",IF(AE187&lt;90,"60-89",IF(AE187&lt;120,"90-119",IF(AE187&lt;150,"120-149","150+")))))</f>
        <v/>
      </c>
      <c r="AX187" s="5">
        <f>IF(AP187="","No revenue data",IF(AP187&lt;0.15,"Under 0.15x",IF(AP187&lt;0.3,"0.15-0.30x",IF(AP187&lt;0.5,"0.30-0.50x",IF(AP187&lt;1,"0.50-1.00x","1.00x+")))))</f>
        <v/>
      </c>
      <c r="AY187" s="5">
        <f>IF(J187="","No SIC",IFERROR(VLOOKUP(J187,Ref!$A$4:$C$67,2,FALSE()),"Unclassified"))</f>
        <v/>
      </c>
      <c r="AZ187" s="5">
        <f>IF(E187="","",TEXT(E187,"YYYY")&amp;"-Q"&amp;ROUNDUP(MONTH(E187)/3,0))</f>
        <v/>
      </c>
      <c r="BA187" s="5">
        <f>IF(E187="","",TEXT(E187,"YYYY-MM"))</f>
        <v/>
      </c>
      <c r="BB187" s="5">
        <f>IF(E187="","",TEXT(E187,"YYYY"))</f>
        <v/>
      </c>
      <c r="BC187" s="92">
        <f>IF($E187="","",NETWORKDAYS($E187,Controls!$B$9,Ref!$F$4:$F$47))</f>
        <v/>
      </c>
      <c r="BD187" s="92">
        <f>IF(OR($AH187=1,$AJ187=1),1,0)</f>
        <v/>
      </c>
      <c r="BE187" s="95">
        <f>IF(OR($BD187=1,AND($AE187&lt;&gt;"",$BC187&gt;=Controls!$B$10*$AE187)),1,0)</f>
        <v/>
      </c>
    </row>
    <row r="188" ht="15.75" customHeight="1" s="79">
      <c r="A188" s="5" t="inlineStr">
        <is>
          <t>5674163394</t>
        </is>
      </c>
      <c r="B188" s="5" t="inlineStr">
        <is>
          <t>S&amp;C SERVICES LLC</t>
        </is>
      </c>
      <c r="C188" s="5" t="inlineStr">
        <is>
          <t>S&amp;C SERVICES LLC</t>
        </is>
      </c>
      <c r="D188" s="5" t="inlineStr">
        <is>
          <t>Legal</t>
        </is>
      </c>
      <c r="E188" s="16" t="n">
        <v>45875</v>
      </c>
      <c r="F188" s="16" t="n">
        <v>45891</v>
      </c>
      <c r="G188" s="17" t="n">
        <v>5</v>
      </c>
      <c r="H188" s="5" t="inlineStr">
        <is>
          <t>1521</t>
        </is>
      </c>
      <c r="I188" s="5" t="inlineStr">
        <is>
          <t>New Single-Family Housing Construction (Except For-Sale Builders)</t>
        </is>
      </c>
      <c r="J188" s="5" t="inlineStr">
        <is>
          <t>15</t>
        </is>
      </c>
      <c r="K188" s="5" t="n">
        <v>1520</v>
      </c>
      <c r="L188" s="5" t="inlineStr">
        <is>
          <t>MD</t>
        </is>
      </c>
      <c r="M188" s="5" t="inlineStr">
        <is>
          <t>United Secured Capital 8</t>
        </is>
      </c>
      <c r="N188" s="5" t="inlineStr">
        <is>
          <t>New Deal</t>
        </is>
      </c>
      <c r="O188" s="19" t="n">
        <v>1.499</v>
      </c>
      <c r="P188" s="20" t="n">
        <v>15000</v>
      </c>
      <c r="Q188" s="20" t="n">
        <v>2100</v>
      </c>
      <c r="R188" s="20" t="n">
        <v>22485</v>
      </c>
      <c r="S188" s="20" t="n">
        <v>1861.95</v>
      </c>
      <c r="T188" s="20" t="n">
        <v>20623.05</v>
      </c>
      <c r="U188" s="21" t="n">
        <v>0.0828085390260173</v>
      </c>
      <c r="V188" s="22" t="n">
        <v>1.967</v>
      </c>
      <c r="W188" s="17" t="n">
        <v>372</v>
      </c>
      <c r="X188" s="17" t="n">
        <v>7</v>
      </c>
      <c r="Y188" s="20" t="n">
        <v>99494.14999999999</v>
      </c>
      <c r="Z188" s="21" t="n">
        <v>0.0786</v>
      </c>
      <c r="AA188" s="16" t="n">
        <v>44958</v>
      </c>
      <c r="AB188" s="5">
        <f>IF(V188="","",IF(V188&lt;12,"Months","Weeks"))</f>
        <v/>
      </c>
      <c r="AC188" s="5">
        <f>IF(AB188="","",IF(AB188="Months","Daily","Weekly"))</f>
        <v/>
      </c>
      <c r="AD188" s="17">
        <f>IF(V188="","",IF(AC188="Daily",V188*Controls!$B$13,V188))</f>
        <v/>
      </c>
      <c r="AE188" s="17">
        <f>IF(V188="","",IF(AC188="Daily",V188*Controls!$B$13,V188*Controls!$B$12))</f>
        <v/>
      </c>
      <c r="AF188" s="17">
        <f>IF(OR(E188="",F188=""),"",F188-E188)</f>
        <v/>
      </c>
      <c r="AG188" s="17">
        <f>IF(OR(E188="",F188=""),"",NETWORKDAYS(E188,F188,Ref!$F$4:$F$47))</f>
        <v/>
      </c>
      <c r="AH188" s="39">
        <f>IF(IFERROR(VLOOKUP(D188,Controls!$A$25:$D$35,2,FALSE()),"No")="Yes",1,0)</f>
        <v/>
      </c>
      <c r="AI188" s="39">
        <f>IF(IFERROR(VLOOKUP(D188,Controls!$A$25:$D$35,3,FALSE()),"No")="Yes",1,0)</f>
        <v/>
      </c>
      <c r="AJ188" s="39">
        <f>IF(IFERROR(VLOOKUP(D188,Controls!$A$25:$D$35,4,FALSE()),"No")="Yes",1,0)</f>
        <v/>
      </c>
      <c r="AK188" s="96">
        <f>IF(AND($E188&gt;=Controls!$B$5,$E188&lt;=Controls!$B$6,OR(Controls!$E$9&lt;&gt;"Y",$BE188=1)),1,0)</f>
        <v/>
      </c>
      <c r="AL188" s="39">
        <f>1</f>
        <v/>
      </c>
      <c r="AM188" s="20">
        <f>S188-P188</f>
        <v/>
      </c>
      <c r="AN188" s="20">
        <f>IF(AH188=1,MAX(0,P188-S188),0)</f>
        <v/>
      </c>
      <c r="AO188" s="21">
        <f>IFERROR(S188/P188,"")</f>
        <v/>
      </c>
      <c r="AP188" s="22">
        <f>IF(Y188="","",P188/Y188)</f>
        <v/>
      </c>
      <c r="AQ188" s="39">
        <f>IF(Y188="",0,1)</f>
        <v/>
      </c>
      <c r="AR188" s="39">
        <f>IF(S188&lt;=0,1,0)</f>
        <v/>
      </c>
      <c r="AS188" s="17">
        <f>IF(AH188=1,AG188,"")</f>
        <v/>
      </c>
      <c r="AT188" s="17">
        <f>IF(AND(AH188=0,AJ188=1),AG188,"")</f>
        <v/>
      </c>
      <c r="AU188" s="5">
        <f>IF(P188&lt;10000,"Under $10K",IF(P188&lt;20000,"$10-20K",IF(P188&lt;30000,"$20-30K",IF(P188&lt;50000,"$30-50K",IF(P188&lt;100000,"$50-100K","$100K+")))))</f>
        <v/>
      </c>
      <c r="AV188" s="5">
        <f>IF(O188&lt;=1.35,"1.35 and under",IF(O188&lt;=1.42,"1.36-1.42",IF(O188&lt;=1.45,"1.43-1.45",IF(O188&lt;1.49,"1.46-1.48",IF(O188&lt;=1.49,"1.49","Above 1.49")))))</f>
        <v/>
      </c>
      <c r="AW188" s="5">
        <f>IF(AE188="","",IF(AE188&lt;60,"Under 60",IF(AE188&lt;90,"60-89",IF(AE188&lt;120,"90-119",IF(AE188&lt;150,"120-149","150+")))))</f>
        <v/>
      </c>
      <c r="AX188" s="5">
        <f>IF(AP188="","No revenue data",IF(AP188&lt;0.15,"Under 0.15x",IF(AP188&lt;0.3,"0.15-0.30x",IF(AP188&lt;0.5,"0.30-0.50x",IF(AP188&lt;1,"0.50-1.00x","1.00x+")))))</f>
        <v/>
      </c>
      <c r="AY188" s="5">
        <f>IF(J188="","No SIC",IFERROR(VLOOKUP(J188,Ref!$A$4:$C$67,2,FALSE()),"Unclassified"))</f>
        <v/>
      </c>
      <c r="AZ188" s="5">
        <f>IF(E188="","",TEXT(E188,"YYYY")&amp;"-Q"&amp;ROUNDUP(MONTH(E188)/3,0))</f>
        <v/>
      </c>
      <c r="BA188" s="5">
        <f>IF(E188="","",TEXT(E188,"YYYY-MM"))</f>
        <v/>
      </c>
      <c r="BB188" s="5">
        <f>IF(E188="","",TEXT(E188,"YYYY"))</f>
        <v/>
      </c>
      <c r="BC188" s="92">
        <f>IF($E188="","",NETWORKDAYS($E188,Controls!$B$9,Ref!$F$4:$F$47))</f>
        <v/>
      </c>
      <c r="BD188" s="92">
        <f>IF(OR($AH188=1,$AJ188=1),1,0)</f>
        <v/>
      </c>
      <c r="BE188" s="95">
        <f>IF(OR($BD188=1,AND($AE188&lt;&gt;"",$BC188&gt;=Controls!$B$10*$AE188)),1,0)</f>
        <v/>
      </c>
    </row>
    <row r="189" ht="15.75" customHeight="1" s="79">
      <c r="A189" s="5" t="inlineStr">
        <is>
          <t>5674163419</t>
        </is>
      </c>
      <c r="B189" s="5" t="inlineStr">
        <is>
          <t>POSA Management Group LLC</t>
        </is>
      </c>
      <c r="C189" s="5" t="inlineStr">
        <is>
          <t>POSA Management Group LLC</t>
        </is>
      </c>
      <c r="D189" s="5" t="inlineStr">
        <is>
          <t>Closed</t>
        </is>
      </c>
      <c r="E189" s="16" t="n">
        <v>45875</v>
      </c>
      <c r="F189" s="16" t="n">
        <v>45961</v>
      </c>
      <c r="G189" s="17" t="n">
        <v>1</v>
      </c>
      <c r="H189" s="5" t="inlineStr">
        <is>
          <t>5999</t>
        </is>
      </c>
      <c r="I189" s="5" t="inlineStr">
        <is>
          <t>All Other Misc. Store Retailers (Except Tobacco Stores)</t>
        </is>
      </c>
      <c r="J189" s="5" t="inlineStr">
        <is>
          <t>59</t>
        </is>
      </c>
      <c r="K189" s="5" t="n">
        <v>5999</v>
      </c>
      <c r="L189" s="5" t="inlineStr">
        <is>
          <t>NM</t>
        </is>
      </c>
      <c r="M189" s="5" t="inlineStr">
        <is>
          <t>Westwood</t>
        </is>
      </c>
      <c r="N189" s="5" t="inlineStr">
        <is>
          <t>New Deal</t>
        </is>
      </c>
      <c r="O189" s="19" t="n">
        <v>1.499</v>
      </c>
      <c r="P189" s="20" t="n">
        <v>3000</v>
      </c>
      <c r="Q189" s="20" t="n">
        <v>420</v>
      </c>
      <c r="R189" s="20" t="n">
        <v>4497</v>
      </c>
      <c r="S189" s="20" t="n">
        <v>4497</v>
      </c>
      <c r="T189" s="20" t="n">
        <v>0</v>
      </c>
      <c r="U189" s="21" t="n">
        <v>1</v>
      </c>
      <c r="V189" s="22" t="n">
        <v>1.967</v>
      </c>
      <c r="W189" s="17" t="n">
        <v>292</v>
      </c>
      <c r="X189" s="17" t="n">
        <v>0</v>
      </c>
      <c r="Y189" s="20" t="n">
        <v>9353.92</v>
      </c>
      <c r="Z189" s="21" t="n">
        <v>0.2</v>
      </c>
      <c r="AA189" s="16" t="n">
        <v>45243</v>
      </c>
      <c r="AB189" s="5">
        <f>IF(V189="","",IF(V189&lt;12,"Months","Weeks"))</f>
        <v/>
      </c>
      <c r="AC189" s="5">
        <f>IF(AB189="","",IF(AB189="Months","Daily","Weekly"))</f>
        <v/>
      </c>
      <c r="AD189" s="17">
        <f>IF(V189="","",IF(AC189="Daily",V189*Controls!$B$13,V189))</f>
        <v/>
      </c>
      <c r="AE189" s="17">
        <f>IF(V189="","",IF(AC189="Daily",V189*Controls!$B$13,V189*Controls!$B$12))</f>
        <v/>
      </c>
      <c r="AF189" s="17">
        <f>IF(OR(E189="",F189=""),"",F189-E189)</f>
        <v/>
      </c>
      <c r="AG189" s="17">
        <f>IF(OR(E189="",F189=""),"",NETWORKDAYS(E189,F189,Ref!$F$4:$F$47))</f>
        <v/>
      </c>
      <c r="AH189" s="39">
        <f>IF(IFERROR(VLOOKUP(D189,Controls!$A$25:$D$35,2,FALSE()),"No")="Yes",1,0)</f>
        <v/>
      </c>
      <c r="AI189" s="39">
        <f>IF(IFERROR(VLOOKUP(D189,Controls!$A$25:$D$35,3,FALSE()),"No")="Yes",1,0)</f>
        <v/>
      </c>
      <c r="AJ189" s="39">
        <f>IF(IFERROR(VLOOKUP(D189,Controls!$A$25:$D$35,4,FALSE()),"No")="Yes",1,0)</f>
        <v/>
      </c>
      <c r="AK189" s="96">
        <f>IF(AND($E189&gt;=Controls!$B$5,$E189&lt;=Controls!$B$6,OR(Controls!$E$9&lt;&gt;"Y",$BE189=1)),1,0)</f>
        <v/>
      </c>
      <c r="AL189" s="39">
        <f>1</f>
        <v/>
      </c>
      <c r="AM189" s="20">
        <f>S189-P189</f>
        <v/>
      </c>
      <c r="AN189" s="20">
        <f>IF(AH189=1,MAX(0,P189-S189),0)</f>
        <v/>
      </c>
      <c r="AO189" s="21">
        <f>IFERROR(S189/P189,"")</f>
        <v/>
      </c>
      <c r="AP189" s="22">
        <f>IF(Y189="","",P189/Y189)</f>
        <v/>
      </c>
      <c r="AQ189" s="39">
        <f>IF(Y189="",0,1)</f>
        <v/>
      </c>
      <c r="AR189" s="39">
        <f>IF(S189&lt;=0,1,0)</f>
        <v/>
      </c>
      <c r="AS189" s="17">
        <f>IF(AH189=1,AG189,"")</f>
        <v/>
      </c>
      <c r="AT189" s="17">
        <f>IF(AND(AH189=0,AJ189=1),AG189,"")</f>
        <v/>
      </c>
      <c r="AU189" s="5">
        <f>IF(P189&lt;10000,"Under $10K",IF(P189&lt;20000,"$10-20K",IF(P189&lt;30000,"$20-30K",IF(P189&lt;50000,"$30-50K",IF(P189&lt;100000,"$50-100K","$100K+")))))</f>
        <v/>
      </c>
      <c r="AV189" s="5">
        <f>IF(O189&lt;=1.35,"1.35 and under",IF(O189&lt;=1.42,"1.36-1.42",IF(O189&lt;=1.45,"1.43-1.45",IF(O189&lt;1.49,"1.46-1.48",IF(O189&lt;=1.49,"1.49","Above 1.49")))))</f>
        <v/>
      </c>
      <c r="AW189" s="5">
        <f>IF(AE189="","",IF(AE189&lt;60,"Under 60",IF(AE189&lt;90,"60-89",IF(AE189&lt;120,"90-119",IF(AE189&lt;150,"120-149","150+")))))</f>
        <v/>
      </c>
      <c r="AX189" s="5">
        <f>IF(AP189="","No revenue data",IF(AP189&lt;0.15,"Under 0.15x",IF(AP189&lt;0.3,"0.15-0.30x",IF(AP189&lt;0.5,"0.30-0.50x",IF(AP189&lt;1,"0.50-1.00x","1.00x+")))))</f>
        <v/>
      </c>
      <c r="AY189" s="5">
        <f>IF(J189="","No SIC",IFERROR(VLOOKUP(J189,Ref!$A$4:$C$67,2,FALSE()),"Unclassified"))</f>
        <v/>
      </c>
      <c r="AZ189" s="5">
        <f>IF(E189="","",TEXT(E189,"YYYY")&amp;"-Q"&amp;ROUNDUP(MONTH(E189)/3,0))</f>
        <v/>
      </c>
      <c r="BA189" s="5">
        <f>IF(E189="","",TEXT(E189,"YYYY-MM"))</f>
        <v/>
      </c>
      <c r="BB189" s="5">
        <f>IF(E189="","",TEXT(E189,"YYYY"))</f>
        <v/>
      </c>
      <c r="BC189" s="92">
        <f>IF($E189="","",NETWORKDAYS($E189,Controls!$B$9,Ref!$F$4:$F$47))</f>
        <v/>
      </c>
      <c r="BD189" s="92">
        <f>IF(OR($AH189=1,$AJ189=1),1,0)</f>
        <v/>
      </c>
      <c r="BE189" s="95">
        <f>IF(OR($BD189=1,AND($AE189&lt;&gt;"",$BC189&gt;=Controls!$B$10*$AE189)),1,0)</f>
        <v/>
      </c>
    </row>
    <row r="190" ht="15.75" customHeight="1" s="79">
      <c r="A190" s="5" t="inlineStr">
        <is>
          <t>5674163484</t>
        </is>
      </c>
      <c r="B190" s="5" t="inlineStr">
        <is>
          <t>Medina And Associates PC</t>
        </is>
      </c>
      <c r="C190" s="5" t="inlineStr">
        <is>
          <t>Medina And Associates PC</t>
        </is>
      </c>
      <c r="D190" s="5" t="inlineStr">
        <is>
          <t>Closed</t>
        </is>
      </c>
      <c r="E190" s="16" t="n">
        <v>45876</v>
      </c>
      <c r="F190" s="16" t="n">
        <v>45967</v>
      </c>
      <c r="G190" s="17" t="n">
        <v>6</v>
      </c>
      <c r="H190" s="5" t="inlineStr">
        <is>
          <t>8021</t>
        </is>
      </c>
      <c r="I190" s="5" t="inlineStr">
        <is>
          <t>Offices of Dentists</t>
        </is>
      </c>
      <c r="J190" s="5" t="inlineStr">
        <is>
          <t>80</t>
        </is>
      </c>
      <c r="K190" s="5" t="n">
        <v>8021</v>
      </c>
      <c r="L190" s="5" t="inlineStr">
        <is>
          <t>MD</t>
        </is>
      </c>
      <c r="M190" s="5" t="inlineStr">
        <is>
          <t>Premium Capital (AMRK)</t>
        </is>
      </c>
      <c r="N190" s="5" t="inlineStr">
        <is>
          <t>New Deal</t>
        </is>
      </c>
      <c r="O190" s="19" t="n">
        <v>1.5</v>
      </c>
      <c r="P190" s="20" t="n">
        <v>20000</v>
      </c>
      <c r="Q190" s="20" t="n">
        <v>2800</v>
      </c>
      <c r="R190" s="20" t="n">
        <v>30000</v>
      </c>
      <c r="S190" s="20" t="n">
        <v>30000</v>
      </c>
      <c r="T190" s="20" t="n">
        <v>0</v>
      </c>
      <c r="U190" s="21" t="n">
        <v>1</v>
      </c>
      <c r="V190" s="22" t="n">
        <v>22</v>
      </c>
      <c r="W190" s="17" t="n">
        <v>286</v>
      </c>
      <c r="X190" s="17" t="n">
        <v>0</v>
      </c>
      <c r="Y190" s="20" t="n">
        <v>122458.04</v>
      </c>
      <c r="Z190" s="21" t="n">
        <v>0.0466</v>
      </c>
      <c r="AA190" s="16" t="n">
        <v>45876</v>
      </c>
      <c r="AB190" s="5">
        <f>IF(V190="","",IF(V190&lt;12,"Months","Weeks"))</f>
        <v/>
      </c>
      <c r="AC190" s="5">
        <f>IF(AB190="","",IF(AB190="Months","Daily","Weekly"))</f>
        <v/>
      </c>
      <c r="AD190" s="17">
        <f>IF(V190="","",IF(AC190="Daily",V190*Controls!$B$13,V190))</f>
        <v/>
      </c>
      <c r="AE190" s="17">
        <f>IF(V190="","",IF(AC190="Daily",V190*Controls!$B$13,V190*Controls!$B$12))</f>
        <v/>
      </c>
      <c r="AF190" s="17">
        <f>IF(OR(E190="",F190=""),"",F190-E190)</f>
        <v/>
      </c>
      <c r="AG190" s="17">
        <f>IF(OR(E190="",F190=""),"",NETWORKDAYS(E190,F190,Ref!$F$4:$F$47))</f>
        <v/>
      </c>
      <c r="AH190" s="39">
        <f>IF(IFERROR(VLOOKUP(D190,Controls!$A$25:$D$35,2,FALSE()),"No")="Yes",1,0)</f>
        <v/>
      </c>
      <c r="AI190" s="39">
        <f>IF(IFERROR(VLOOKUP(D190,Controls!$A$25:$D$35,3,FALSE()),"No")="Yes",1,0)</f>
        <v/>
      </c>
      <c r="AJ190" s="39">
        <f>IF(IFERROR(VLOOKUP(D190,Controls!$A$25:$D$35,4,FALSE()),"No")="Yes",1,0)</f>
        <v/>
      </c>
      <c r="AK190" s="96">
        <f>IF(AND($E190&gt;=Controls!$B$5,$E190&lt;=Controls!$B$6,OR(Controls!$E$9&lt;&gt;"Y",$BE190=1)),1,0)</f>
        <v/>
      </c>
      <c r="AL190" s="39">
        <f>1</f>
        <v/>
      </c>
      <c r="AM190" s="20">
        <f>S190-P190</f>
        <v/>
      </c>
      <c r="AN190" s="20">
        <f>IF(AH190=1,MAX(0,P190-S190),0)</f>
        <v/>
      </c>
      <c r="AO190" s="21">
        <f>IFERROR(S190/P190,"")</f>
        <v/>
      </c>
      <c r="AP190" s="22">
        <f>IF(Y190="","",P190/Y190)</f>
        <v/>
      </c>
      <c r="AQ190" s="39">
        <f>IF(Y190="",0,1)</f>
        <v/>
      </c>
      <c r="AR190" s="39">
        <f>IF(S190&lt;=0,1,0)</f>
        <v/>
      </c>
      <c r="AS190" s="17">
        <f>IF(AH190=1,AG190,"")</f>
        <v/>
      </c>
      <c r="AT190" s="17">
        <f>IF(AND(AH190=0,AJ190=1),AG190,"")</f>
        <v/>
      </c>
      <c r="AU190" s="5">
        <f>IF(P190&lt;10000,"Under $10K",IF(P190&lt;20000,"$10-20K",IF(P190&lt;30000,"$20-30K",IF(P190&lt;50000,"$30-50K",IF(P190&lt;100000,"$50-100K","$100K+")))))</f>
        <v/>
      </c>
      <c r="AV190" s="5">
        <f>IF(O190&lt;=1.35,"1.35 and under",IF(O190&lt;=1.42,"1.36-1.42",IF(O190&lt;=1.45,"1.43-1.45",IF(O190&lt;1.49,"1.46-1.48",IF(O190&lt;=1.49,"1.49","Above 1.49")))))</f>
        <v/>
      </c>
      <c r="AW190" s="5">
        <f>IF(AE190="","",IF(AE190&lt;60,"Under 60",IF(AE190&lt;90,"60-89",IF(AE190&lt;120,"90-119",IF(AE190&lt;150,"120-149","150+")))))</f>
        <v/>
      </c>
      <c r="AX190" s="5">
        <f>IF(AP190="","No revenue data",IF(AP190&lt;0.15,"Under 0.15x",IF(AP190&lt;0.3,"0.15-0.30x",IF(AP190&lt;0.5,"0.30-0.50x",IF(AP190&lt;1,"0.50-1.00x","1.00x+")))))</f>
        <v/>
      </c>
      <c r="AY190" s="5">
        <f>IF(J190="","No SIC",IFERROR(VLOOKUP(J190,Ref!$A$4:$C$67,2,FALSE()),"Unclassified"))</f>
        <v/>
      </c>
      <c r="AZ190" s="5">
        <f>IF(E190="","",TEXT(E190,"YYYY")&amp;"-Q"&amp;ROUNDUP(MONTH(E190)/3,0))</f>
        <v/>
      </c>
      <c r="BA190" s="5">
        <f>IF(E190="","",TEXT(E190,"YYYY-MM"))</f>
        <v/>
      </c>
      <c r="BB190" s="5">
        <f>IF(E190="","",TEXT(E190,"YYYY"))</f>
        <v/>
      </c>
      <c r="BC190" s="92">
        <f>IF($E190="","",NETWORKDAYS($E190,Controls!$B$9,Ref!$F$4:$F$47))</f>
        <v/>
      </c>
      <c r="BD190" s="92">
        <f>IF(OR($AH190=1,$AJ190=1),1,0)</f>
        <v/>
      </c>
      <c r="BE190" s="95">
        <f>IF(OR($BD190=1,AND($AE190&lt;&gt;"",$BC190&gt;=Controls!$B$10*$AE190)),1,0)</f>
        <v/>
      </c>
    </row>
    <row r="191" ht="15.75" customHeight="1" s="79">
      <c r="A191" s="5" t="inlineStr">
        <is>
          <t>5674163699</t>
        </is>
      </c>
      <c r="B191" s="5" t="inlineStr">
        <is>
          <t>CLARITI EYE CARE LLC</t>
        </is>
      </c>
      <c r="C191" s="5" t="inlineStr">
        <is>
          <t>CLARITI EYE CARE LLC</t>
        </is>
      </c>
      <c r="D191" s="5" t="inlineStr">
        <is>
          <t>Legal</t>
        </is>
      </c>
      <c r="E191" s="16" t="n">
        <v>45880</v>
      </c>
      <c r="F191" s="16" t="n">
        <v>45908</v>
      </c>
      <c r="G191" s="17" t="n">
        <v>2</v>
      </c>
      <c r="H191" s="5" t="inlineStr">
        <is>
          <t>8011</t>
        </is>
      </c>
      <c r="I191" s="5" t="inlineStr">
        <is>
          <t>Offices of Physicians (Except Mental Health Specialists)</t>
        </is>
      </c>
      <c r="J191" s="5" t="inlineStr">
        <is>
          <t>80</t>
        </is>
      </c>
      <c r="K191" s="5" t="n">
        <v>8011</v>
      </c>
      <c r="L191" s="5" t="inlineStr">
        <is>
          <t>TN</t>
        </is>
      </c>
      <c r="M191" s="5" t="inlineStr">
        <is>
          <t>Fund Max</t>
        </is>
      </c>
      <c r="N191" s="5" t="inlineStr">
        <is>
          <t>New Deal</t>
        </is>
      </c>
      <c r="O191" s="19" t="n">
        <v>1.5</v>
      </c>
      <c r="P191" s="20" t="n">
        <v>12000</v>
      </c>
      <c r="Q191" s="20" t="n">
        <v>1680</v>
      </c>
      <c r="R191" s="20" t="n">
        <v>18000</v>
      </c>
      <c r="S191" s="20" t="n">
        <v>3351.54</v>
      </c>
      <c r="T191" s="20" t="n">
        <v>14648.46</v>
      </c>
      <c r="U191" s="21" t="n">
        <v>0.186196666666667</v>
      </c>
      <c r="V191" s="22" t="n">
        <v>16</v>
      </c>
      <c r="W191" s="17" t="n">
        <v>352</v>
      </c>
      <c r="X191" s="17" t="n">
        <v>1</v>
      </c>
      <c r="Y191" s="20" t="n">
        <v>37902.61</v>
      </c>
      <c r="Z191" s="21" t="n">
        <v>0.1179</v>
      </c>
      <c r="AA191" s="16" t="n">
        <v>45189</v>
      </c>
      <c r="AB191" s="5">
        <f>IF(V191="","",IF(V191&lt;12,"Months","Weeks"))</f>
        <v/>
      </c>
      <c r="AC191" s="5">
        <f>IF(AB191="","",IF(AB191="Months","Daily","Weekly"))</f>
        <v/>
      </c>
      <c r="AD191" s="17">
        <f>IF(V191="","",IF(AC191="Daily",V191*Controls!$B$13,V191))</f>
        <v/>
      </c>
      <c r="AE191" s="17">
        <f>IF(V191="","",IF(AC191="Daily",V191*Controls!$B$13,V191*Controls!$B$12))</f>
        <v/>
      </c>
      <c r="AF191" s="17">
        <f>IF(OR(E191="",F191=""),"",F191-E191)</f>
        <v/>
      </c>
      <c r="AG191" s="17">
        <f>IF(OR(E191="",F191=""),"",NETWORKDAYS(E191,F191,Ref!$F$4:$F$47))</f>
        <v/>
      </c>
      <c r="AH191" s="39">
        <f>IF(IFERROR(VLOOKUP(D191,Controls!$A$25:$D$35,2,FALSE()),"No")="Yes",1,0)</f>
        <v/>
      </c>
      <c r="AI191" s="39">
        <f>IF(IFERROR(VLOOKUP(D191,Controls!$A$25:$D$35,3,FALSE()),"No")="Yes",1,0)</f>
        <v/>
      </c>
      <c r="AJ191" s="39">
        <f>IF(IFERROR(VLOOKUP(D191,Controls!$A$25:$D$35,4,FALSE()),"No")="Yes",1,0)</f>
        <v/>
      </c>
      <c r="AK191" s="96">
        <f>IF(AND($E191&gt;=Controls!$B$5,$E191&lt;=Controls!$B$6,OR(Controls!$E$9&lt;&gt;"Y",$BE191=1)),1,0)</f>
        <v/>
      </c>
      <c r="AL191" s="39">
        <f>1</f>
        <v/>
      </c>
      <c r="AM191" s="20">
        <f>S191-P191</f>
        <v/>
      </c>
      <c r="AN191" s="20">
        <f>IF(AH191=1,MAX(0,P191-S191),0)</f>
        <v/>
      </c>
      <c r="AO191" s="21">
        <f>IFERROR(S191/P191,"")</f>
        <v/>
      </c>
      <c r="AP191" s="22">
        <f>IF(Y191="","",P191/Y191)</f>
        <v/>
      </c>
      <c r="AQ191" s="39">
        <f>IF(Y191="",0,1)</f>
        <v/>
      </c>
      <c r="AR191" s="39">
        <f>IF(S191&lt;=0,1,0)</f>
        <v/>
      </c>
      <c r="AS191" s="17">
        <f>IF(AH191=1,AG191,"")</f>
        <v/>
      </c>
      <c r="AT191" s="17">
        <f>IF(AND(AH191=0,AJ191=1),AG191,"")</f>
        <v/>
      </c>
      <c r="AU191" s="5">
        <f>IF(P191&lt;10000,"Under $10K",IF(P191&lt;20000,"$10-20K",IF(P191&lt;30000,"$20-30K",IF(P191&lt;50000,"$30-50K",IF(P191&lt;100000,"$50-100K","$100K+")))))</f>
        <v/>
      </c>
      <c r="AV191" s="5">
        <f>IF(O191&lt;=1.35,"1.35 and under",IF(O191&lt;=1.42,"1.36-1.42",IF(O191&lt;=1.45,"1.43-1.45",IF(O191&lt;1.49,"1.46-1.48",IF(O191&lt;=1.49,"1.49","Above 1.49")))))</f>
        <v/>
      </c>
      <c r="AW191" s="5">
        <f>IF(AE191="","",IF(AE191&lt;60,"Under 60",IF(AE191&lt;90,"60-89",IF(AE191&lt;120,"90-119",IF(AE191&lt;150,"120-149","150+")))))</f>
        <v/>
      </c>
      <c r="AX191" s="5">
        <f>IF(AP191="","No revenue data",IF(AP191&lt;0.15,"Under 0.15x",IF(AP191&lt;0.3,"0.15-0.30x",IF(AP191&lt;0.5,"0.30-0.50x",IF(AP191&lt;1,"0.50-1.00x","1.00x+")))))</f>
        <v/>
      </c>
      <c r="AY191" s="5">
        <f>IF(J191="","No SIC",IFERROR(VLOOKUP(J191,Ref!$A$4:$C$67,2,FALSE()),"Unclassified"))</f>
        <v/>
      </c>
      <c r="AZ191" s="5">
        <f>IF(E191="","",TEXT(E191,"YYYY")&amp;"-Q"&amp;ROUNDUP(MONTH(E191)/3,0))</f>
        <v/>
      </c>
      <c r="BA191" s="5">
        <f>IF(E191="","",TEXT(E191,"YYYY-MM"))</f>
        <v/>
      </c>
      <c r="BB191" s="5">
        <f>IF(E191="","",TEXT(E191,"YYYY"))</f>
        <v/>
      </c>
      <c r="BC191" s="92">
        <f>IF($E191="","",NETWORKDAYS($E191,Controls!$B$9,Ref!$F$4:$F$47))</f>
        <v/>
      </c>
      <c r="BD191" s="92">
        <f>IF(OR($AH191=1,$AJ191=1),1,0)</f>
        <v/>
      </c>
      <c r="BE191" s="95">
        <f>IF(OR($BD191=1,AND($AE191&lt;&gt;"",$BC191&gt;=Controls!$B$10*$AE191)),1,0)</f>
        <v/>
      </c>
    </row>
    <row r="192" ht="15.75" customHeight="1" s="79">
      <c r="A192" s="5" t="inlineStr">
        <is>
          <t>5674163921</t>
        </is>
      </c>
      <c r="B192" s="5" t="inlineStr">
        <is>
          <t>Tm Bristol group LLC</t>
        </is>
      </c>
      <c r="C192" s="5" t="inlineStr">
        <is>
          <t>Tm Bristol group LLC</t>
        </is>
      </c>
      <c r="D192" s="5" t="inlineStr">
        <is>
          <t>Legal</t>
        </is>
      </c>
      <c r="E192" s="16" t="n">
        <v>45882</v>
      </c>
      <c r="F192" s="16" t="n">
        <v>45985</v>
      </c>
      <c r="G192" s="17" t="n">
        <v>3</v>
      </c>
      <c r="H192" s="5" t="inlineStr">
        <is>
          <t>4212</t>
        </is>
      </c>
      <c r="I192" s="5" t="inlineStr">
        <is>
          <t>Specialized Freight (Except Used Goods) Trucking, Local</t>
        </is>
      </c>
      <c r="J192" s="5" t="inlineStr">
        <is>
          <t>42</t>
        </is>
      </c>
      <c r="K192" s="5" t="n">
        <v>4214</v>
      </c>
      <c r="L192" s="5" t="inlineStr">
        <is>
          <t>MD</t>
        </is>
      </c>
      <c r="M192" s="5" t="inlineStr">
        <is>
          <t>Tip Top Capital</t>
        </is>
      </c>
      <c r="N192" s="5" t="inlineStr">
        <is>
          <t>New Deal</t>
        </is>
      </c>
      <c r="O192" s="19" t="n">
        <v>1.499</v>
      </c>
      <c r="P192" s="20" t="n">
        <v>10000</v>
      </c>
      <c r="Q192" s="20" t="n">
        <v>1400</v>
      </c>
      <c r="R192" s="20" t="n">
        <v>14990</v>
      </c>
      <c r="S192" s="20" t="n">
        <v>7266.87</v>
      </c>
      <c r="T192" s="20" t="n">
        <v>7723.13</v>
      </c>
      <c r="U192" s="21" t="n">
        <v>0.484781187458306</v>
      </c>
      <c r="V192" s="22" t="n">
        <v>2.623</v>
      </c>
      <c r="W192" s="17" t="n">
        <v>316</v>
      </c>
      <c r="X192" s="17" t="n">
        <v>24</v>
      </c>
      <c r="Y192" s="20" t="n">
        <v>86571.36</v>
      </c>
      <c r="Z192" s="21" t="n">
        <v>0.0452</v>
      </c>
      <c r="AA192" s="16" t="n">
        <v>43507</v>
      </c>
      <c r="AB192" s="5">
        <f>IF(V192="","",IF(V192&lt;12,"Months","Weeks"))</f>
        <v/>
      </c>
      <c r="AC192" s="5">
        <f>IF(AB192="","",IF(AB192="Months","Daily","Weekly"))</f>
        <v/>
      </c>
      <c r="AD192" s="17">
        <f>IF(V192="","",IF(AC192="Daily",V192*Controls!$B$13,V192))</f>
        <v/>
      </c>
      <c r="AE192" s="17">
        <f>IF(V192="","",IF(AC192="Daily",V192*Controls!$B$13,V192*Controls!$B$12))</f>
        <v/>
      </c>
      <c r="AF192" s="17">
        <f>IF(OR(E192="",F192=""),"",F192-E192)</f>
        <v/>
      </c>
      <c r="AG192" s="17">
        <f>IF(OR(E192="",F192=""),"",NETWORKDAYS(E192,F192,Ref!$F$4:$F$47))</f>
        <v/>
      </c>
      <c r="AH192" s="39">
        <f>IF(IFERROR(VLOOKUP(D192,Controls!$A$25:$D$35,2,FALSE()),"No")="Yes",1,0)</f>
        <v/>
      </c>
      <c r="AI192" s="39">
        <f>IF(IFERROR(VLOOKUP(D192,Controls!$A$25:$D$35,3,FALSE()),"No")="Yes",1,0)</f>
        <v/>
      </c>
      <c r="AJ192" s="39">
        <f>IF(IFERROR(VLOOKUP(D192,Controls!$A$25:$D$35,4,FALSE()),"No")="Yes",1,0)</f>
        <v/>
      </c>
      <c r="AK192" s="96">
        <f>IF(AND($E192&gt;=Controls!$B$5,$E192&lt;=Controls!$B$6,OR(Controls!$E$9&lt;&gt;"Y",$BE192=1)),1,0)</f>
        <v/>
      </c>
      <c r="AL192" s="39">
        <f>1</f>
        <v/>
      </c>
      <c r="AM192" s="20">
        <f>S192-P192</f>
        <v/>
      </c>
      <c r="AN192" s="20">
        <f>IF(AH192=1,MAX(0,P192-S192),0)</f>
        <v/>
      </c>
      <c r="AO192" s="21">
        <f>IFERROR(S192/P192,"")</f>
        <v/>
      </c>
      <c r="AP192" s="22">
        <f>IF(Y192="","",P192/Y192)</f>
        <v/>
      </c>
      <c r="AQ192" s="39">
        <f>IF(Y192="",0,1)</f>
        <v/>
      </c>
      <c r="AR192" s="39">
        <f>IF(S192&lt;=0,1,0)</f>
        <v/>
      </c>
      <c r="AS192" s="17">
        <f>IF(AH192=1,AG192,"")</f>
        <v/>
      </c>
      <c r="AT192" s="17">
        <f>IF(AND(AH192=0,AJ192=1),AG192,"")</f>
        <v/>
      </c>
      <c r="AU192" s="5">
        <f>IF(P192&lt;10000,"Under $10K",IF(P192&lt;20000,"$10-20K",IF(P192&lt;30000,"$20-30K",IF(P192&lt;50000,"$30-50K",IF(P192&lt;100000,"$50-100K","$100K+")))))</f>
        <v/>
      </c>
      <c r="AV192" s="5">
        <f>IF(O192&lt;=1.35,"1.35 and under",IF(O192&lt;=1.42,"1.36-1.42",IF(O192&lt;=1.45,"1.43-1.45",IF(O192&lt;1.49,"1.46-1.48",IF(O192&lt;=1.49,"1.49","Above 1.49")))))</f>
        <v/>
      </c>
      <c r="AW192" s="5">
        <f>IF(AE192="","",IF(AE192&lt;60,"Under 60",IF(AE192&lt;90,"60-89",IF(AE192&lt;120,"90-119",IF(AE192&lt;150,"120-149","150+")))))</f>
        <v/>
      </c>
      <c r="AX192" s="5">
        <f>IF(AP192="","No revenue data",IF(AP192&lt;0.15,"Under 0.15x",IF(AP192&lt;0.3,"0.15-0.30x",IF(AP192&lt;0.5,"0.30-0.50x",IF(AP192&lt;1,"0.50-1.00x","1.00x+")))))</f>
        <v/>
      </c>
      <c r="AY192" s="5">
        <f>IF(J192="","No SIC",IFERROR(VLOOKUP(J192,Ref!$A$4:$C$67,2,FALSE()),"Unclassified"))</f>
        <v/>
      </c>
      <c r="AZ192" s="5">
        <f>IF(E192="","",TEXT(E192,"YYYY")&amp;"-Q"&amp;ROUNDUP(MONTH(E192)/3,0))</f>
        <v/>
      </c>
      <c r="BA192" s="5">
        <f>IF(E192="","",TEXT(E192,"YYYY-MM"))</f>
        <v/>
      </c>
      <c r="BB192" s="5">
        <f>IF(E192="","",TEXT(E192,"YYYY"))</f>
        <v/>
      </c>
      <c r="BC192" s="92">
        <f>IF($E192="","",NETWORKDAYS($E192,Controls!$B$9,Ref!$F$4:$F$47))</f>
        <v/>
      </c>
      <c r="BD192" s="92">
        <f>IF(OR($AH192=1,$AJ192=1),1,0)</f>
        <v/>
      </c>
      <c r="BE192" s="95">
        <f>IF(OR($BD192=1,AND($AE192&lt;&gt;"",$BC192&gt;=Controls!$B$10*$AE192)),1,0)</f>
        <v/>
      </c>
    </row>
    <row r="193" ht="15.75" customHeight="1" s="79">
      <c r="A193" s="5" t="inlineStr">
        <is>
          <t>5674163929</t>
        </is>
      </c>
      <c r="B193" s="5" t="inlineStr">
        <is>
          <t>EXCELLENCE HOME SERVICES LLC</t>
        </is>
      </c>
      <c r="C193" s="5" t="inlineStr">
        <is>
          <t>EXCELLENCE HOME SERVICES LLC</t>
        </is>
      </c>
      <c r="D193" s="5" t="inlineStr">
        <is>
          <t>Closed</t>
        </is>
      </c>
      <c r="E193" s="16" t="n">
        <v>45882</v>
      </c>
      <c r="F193" s="16" t="n">
        <v>45987</v>
      </c>
      <c r="G193" s="17" t="n">
        <v>2</v>
      </c>
      <c r="H193" s="5" t="inlineStr">
        <is>
          <t>1522</t>
        </is>
      </c>
      <c r="I193" s="5" t="inlineStr">
        <is>
          <t>New Multifamily Housing Construction (Except For-Sale Builders)</t>
        </is>
      </c>
      <c r="J193" s="5" t="inlineStr">
        <is>
          <t>15</t>
        </is>
      </c>
      <c r="K193" s="5" t="n">
        <v>1520</v>
      </c>
      <c r="L193" s="5" t="inlineStr">
        <is>
          <t>FL</t>
        </is>
      </c>
      <c r="M193" s="5" t="inlineStr">
        <is>
          <t>The Funding Channel</t>
        </is>
      </c>
      <c r="N193" s="5" t="inlineStr">
        <is>
          <t>New Deal</t>
        </is>
      </c>
      <c r="O193" s="19" t="n">
        <v>1.49</v>
      </c>
      <c r="P193" s="20" t="n">
        <v>15000</v>
      </c>
      <c r="Q193" s="20" t="n">
        <v>2100</v>
      </c>
      <c r="R193" s="20" t="n">
        <v>22350</v>
      </c>
      <c r="S193" s="20" t="n">
        <v>22350</v>
      </c>
      <c r="T193" s="20" t="n">
        <v>0</v>
      </c>
      <c r="U193" s="21" t="n">
        <v>1</v>
      </c>
      <c r="V193" s="22" t="n">
        <v>15</v>
      </c>
      <c r="W193" s="17" t="n">
        <v>266</v>
      </c>
      <c r="X193" s="17" t="n">
        <v>0</v>
      </c>
      <c r="Y193" s="20" t="n">
        <v>47733.57</v>
      </c>
      <c r="Z193" s="21" t="n">
        <v>0.1249</v>
      </c>
      <c r="AA193" s="16" t="n">
        <v>44697</v>
      </c>
      <c r="AB193" s="5">
        <f>IF(V193="","",IF(V193&lt;12,"Months","Weeks"))</f>
        <v/>
      </c>
      <c r="AC193" s="5">
        <f>IF(AB193="","",IF(AB193="Months","Daily","Weekly"))</f>
        <v/>
      </c>
      <c r="AD193" s="17">
        <f>IF(V193="","",IF(AC193="Daily",V193*Controls!$B$13,V193))</f>
        <v/>
      </c>
      <c r="AE193" s="17">
        <f>IF(V193="","",IF(AC193="Daily",V193*Controls!$B$13,V193*Controls!$B$12))</f>
        <v/>
      </c>
      <c r="AF193" s="17">
        <f>IF(OR(E193="",F193=""),"",F193-E193)</f>
        <v/>
      </c>
      <c r="AG193" s="17">
        <f>IF(OR(E193="",F193=""),"",NETWORKDAYS(E193,F193,Ref!$F$4:$F$47))</f>
        <v/>
      </c>
      <c r="AH193" s="39">
        <f>IF(IFERROR(VLOOKUP(D193,Controls!$A$25:$D$35,2,FALSE()),"No")="Yes",1,0)</f>
        <v/>
      </c>
      <c r="AI193" s="39">
        <f>IF(IFERROR(VLOOKUP(D193,Controls!$A$25:$D$35,3,FALSE()),"No")="Yes",1,0)</f>
        <v/>
      </c>
      <c r="AJ193" s="39">
        <f>IF(IFERROR(VLOOKUP(D193,Controls!$A$25:$D$35,4,FALSE()),"No")="Yes",1,0)</f>
        <v/>
      </c>
      <c r="AK193" s="96">
        <f>IF(AND($E193&gt;=Controls!$B$5,$E193&lt;=Controls!$B$6,OR(Controls!$E$9&lt;&gt;"Y",$BE193=1)),1,0)</f>
        <v/>
      </c>
      <c r="AL193" s="39">
        <f>1</f>
        <v/>
      </c>
      <c r="AM193" s="20">
        <f>S193-P193</f>
        <v/>
      </c>
      <c r="AN193" s="20">
        <f>IF(AH193=1,MAX(0,P193-S193),0)</f>
        <v/>
      </c>
      <c r="AO193" s="21">
        <f>IFERROR(S193/P193,"")</f>
        <v/>
      </c>
      <c r="AP193" s="22">
        <f>IF(Y193="","",P193/Y193)</f>
        <v/>
      </c>
      <c r="AQ193" s="39">
        <f>IF(Y193="",0,1)</f>
        <v/>
      </c>
      <c r="AR193" s="39">
        <f>IF(S193&lt;=0,1,0)</f>
        <v/>
      </c>
      <c r="AS193" s="17">
        <f>IF(AH193=1,AG193,"")</f>
        <v/>
      </c>
      <c r="AT193" s="17">
        <f>IF(AND(AH193=0,AJ193=1),AG193,"")</f>
        <v/>
      </c>
      <c r="AU193" s="5">
        <f>IF(P193&lt;10000,"Under $10K",IF(P193&lt;20000,"$10-20K",IF(P193&lt;30000,"$20-30K",IF(P193&lt;50000,"$30-50K",IF(P193&lt;100000,"$50-100K","$100K+")))))</f>
        <v/>
      </c>
      <c r="AV193" s="5">
        <f>IF(O193&lt;=1.35,"1.35 and under",IF(O193&lt;=1.42,"1.36-1.42",IF(O193&lt;=1.45,"1.43-1.45",IF(O193&lt;1.49,"1.46-1.48",IF(O193&lt;=1.49,"1.49","Above 1.49")))))</f>
        <v/>
      </c>
      <c r="AW193" s="5">
        <f>IF(AE193="","",IF(AE193&lt;60,"Under 60",IF(AE193&lt;90,"60-89",IF(AE193&lt;120,"90-119",IF(AE193&lt;150,"120-149","150+")))))</f>
        <v/>
      </c>
      <c r="AX193" s="5">
        <f>IF(AP193="","No revenue data",IF(AP193&lt;0.15,"Under 0.15x",IF(AP193&lt;0.3,"0.15-0.30x",IF(AP193&lt;0.5,"0.30-0.50x",IF(AP193&lt;1,"0.50-1.00x","1.00x+")))))</f>
        <v/>
      </c>
      <c r="AY193" s="5">
        <f>IF(J193="","No SIC",IFERROR(VLOOKUP(J193,Ref!$A$4:$C$67,2,FALSE()),"Unclassified"))</f>
        <v/>
      </c>
      <c r="AZ193" s="5">
        <f>IF(E193="","",TEXT(E193,"YYYY")&amp;"-Q"&amp;ROUNDUP(MONTH(E193)/3,0))</f>
        <v/>
      </c>
      <c r="BA193" s="5">
        <f>IF(E193="","",TEXT(E193,"YYYY-MM"))</f>
        <v/>
      </c>
      <c r="BB193" s="5">
        <f>IF(E193="","",TEXT(E193,"YYYY"))</f>
        <v/>
      </c>
      <c r="BC193" s="92">
        <f>IF($E193="","",NETWORKDAYS($E193,Controls!$B$9,Ref!$F$4:$F$47))</f>
        <v/>
      </c>
      <c r="BD193" s="92">
        <f>IF(OR($AH193=1,$AJ193=1),1,0)</f>
        <v/>
      </c>
      <c r="BE193" s="95">
        <f>IF(OR($BD193=1,AND($AE193&lt;&gt;"",$BC193&gt;=Controls!$B$10*$AE193)),1,0)</f>
        <v/>
      </c>
    </row>
    <row r="194" ht="15.75" customHeight="1" s="79">
      <c r="A194" s="5" t="inlineStr">
        <is>
          <t>5674164038</t>
        </is>
      </c>
      <c r="B194" s="5" t="inlineStr">
        <is>
          <t>DYVINE CARE LLC</t>
        </is>
      </c>
      <c r="C194" s="5" t="inlineStr">
        <is>
          <t>DYVINE CARE LLC</t>
        </is>
      </c>
      <c r="D194" s="5" t="inlineStr">
        <is>
          <t>Legal</t>
        </is>
      </c>
      <c r="E194" s="16" t="n">
        <v>45883</v>
      </c>
      <c r="F194" s="16" t="n">
        <v>45898</v>
      </c>
      <c r="G194" s="17" t="n">
        <v>3</v>
      </c>
      <c r="H194" s="5" t="inlineStr">
        <is>
          <t>8049</t>
        </is>
      </c>
      <c r="I194" s="5" t="inlineStr">
        <is>
          <t>Offices of All Other Misc. Health Practitioners</t>
        </is>
      </c>
      <c r="J194" s="5" t="inlineStr">
        <is>
          <t>80</t>
        </is>
      </c>
      <c r="K194" s="5" t="n">
        <v>8049</v>
      </c>
      <c r="L194" s="5" t="inlineStr">
        <is>
          <t>NC</t>
        </is>
      </c>
      <c r="M194" s="5" t="inlineStr">
        <is>
          <t>United Secured Capital 8</t>
        </is>
      </c>
      <c r="N194" s="5" t="inlineStr">
        <is>
          <t>New Deal</t>
        </is>
      </c>
      <c r="O194" s="19" t="n">
        <v>1.499</v>
      </c>
      <c r="P194" s="20" t="n">
        <v>30000</v>
      </c>
      <c r="Q194" s="20" t="n">
        <v>0</v>
      </c>
      <c r="R194" s="20" t="n">
        <v>44970</v>
      </c>
      <c r="S194" s="20" t="n">
        <v>1798.6</v>
      </c>
      <c r="T194" s="20" t="n">
        <v>43171.4</v>
      </c>
      <c r="U194" s="21" t="n">
        <v>0.039995552590616</v>
      </c>
      <c r="V194" s="22" t="n">
        <v>25</v>
      </c>
      <c r="W194" s="17" t="n">
        <v>362</v>
      </c>
      <c r="X194" s="17" t="n">
        <v>1</v>
      </c>
      <c r="Y194" s="20" t="n">
        <v>58490.99</v>
      </c>
      <c r="Z194" s="21" t="n">
        <v>0.123</v>
      </c>
      <c r="AA194" s="5" t="n"/>
      <c r="AB194" s="5">
        <f>IF(V194="","",IF(V194&lt;12,"Months","Weeks"))</f>
        <v/>
      </c>
      <c r="AC194" s="5">
        <f>IF(AB194="","",IF(AB194="Months","Daily","Weekly"))</f>
        <v/>
      </c>
      <c r="AD194" s="17">
        <f>IF(V194="","",IF(AC194="Daily",V194*Controls!$B$13,V194))</f>
        <v/>
      </c>
      <c r="AE194" s="17">
        <f>IF(V194="","",IF(AC194="Daily",V194*Controls!$B$13,V194*Controls!$B$12))</f>
        <v/>
      </c>
      <c r="AF194" s="17">
        <f>IF(OR(E194="",F194=""),"",F194-E194)</f>
        <v/>
      </c>
      <c r="AG194" s="17">
        <f>IF(OR(E194="",F194=""),"",NETWORKDAYS(E194,F194,Ref!$F$4:$F$47))</f>
        <v/>
      </c>
      <c r="AH194" s="39">
        <f>IF(IFERROR(VLOOKUP(D194,Controls!$A$25:$D$35,2,FALSE()),"No")="Yes",1,0)</f>
        <v/>
      </c>
      <c r="AI194" s="39">
        <f>IF(IFERROR(VLOOKUP(D194,Controls!$A$25:$D$35,3,FALSE()),"No")="Yes",1,0)</f>
        <v/>
      </c>
      <c r="AJ194" s="39">
        <f>IF(IFERROR(VLOOKUP(D194,Controls!$A$25:$D$35,4,FALSE()),"No")="Yes",1,0)</f>
        <v/>
      </c>
      <c r="AK194" s="96">
        <f>IF(AND($E194&gt;=Controls!$B$5,$E194&lt;=Controls!$B$6,OR(Controls!$E$9&lt;&gt;"Y",$BE194=1)),1,0)</f>
        <v/>
      </c>
      <c r="AL194" s="39">
        <f>1</f>
        <v/>
      </c>
      <c r="AM194" s="20">
        <f>S194-P194</f>
        <v/>
      </c>
      <c r="AN194" s="20">
        <f>IF(AH194=1,MAX(0,P194-S194),0)</f>
        <v/>
      </c>
      <c r="AO194" s="21">
        <f>IFERROR(S194/P194,"")</f>
        <v/>
      </c>
      <c r="AP194" s="22">
        <f>IF(Y194="","",P194/Y194)</f>
        <v/>
      </c>
      <c r="AQ194" s="39">
        <f>IF(Y194="",0,1)</f>
        <v/>
      </c>
      <c r="AR194" s="39">
        <f>IF(S194&lt;=0,1,0)</f>
        <v/>
      </c>
      <c r="AS194" s="17">
        <f>IF(AH194=1,AG194,"")</f>
        <v/>
      </c>
      <c r="AT194" s="17">
        <f>IF(AND(AH194=0,AJ194=1),AG194,"")</f>
        <v/>
      </c>
      <c r="AU194" s="5">
        <f>IF(P194&lt;10000,"Under $10K",IF(P194&lt;20000,"$10-20K",IF(P194&lt;30000,"$20-30K",IF(P194&lt;50000,"$30-50K",IF(P194&lt;100000,"$50-100K","$100K+")))))</f>
        <v/>
      </c>
      <c r="AV194" s="5">
        <f>IF(O194&lt;=1.35,"1.35 and under",IF(O194&lt;=1.42,"1.36-1.42",IF(O194&lt;=1.45,"1.43-1.45",IF(O194&lt;1.49,"1.46-1.48",IF(O194&lt;=1.49,"1.49","Above 1.49")))))</f>
        <v/>
      </c>
      <c r="AW194" s="5">
        <f>IF(AE194="","",IF(AE194&lt;60,"Under 60",IF(AE194&lt;90,"60-89",IF(AE194&lt;120,"90-119",IF(AE194&lt;150,"120-149","150+")))))</f>
        <v/>
      </c>
      <c r="AX194" s="5">
        <f>IF(AP194="","No revenue data",IF(AP194&lt;0.15,"Under 0.15x",IF(AP194&lt;0.3,"0.15-0.30x",IF(AP194&lt;0.5,"0.30-0.50x",IF(AP194&lt;1,"0.50-1.00x","1.00x+")))))</f>
        <v/>
      </c>
      <c r="AY194" s="5">
        <f>IF(J194="","No SIC",IFERROR(VLOOKUP(J194,Ref!$A$4:$C$67,2,FALSE()),"Unclassified"))</f>
        <v/>
      </c>
      <c r="AZ194" s="5">
        <f>IF(E194="","",TEXT(E194,"YYYY")&amp;"-Q"&amp;ROUNDUP(MONTH(E194)/3,0))</f>
        <v/>
      </c>
      <c r="BA194" s="5">
        <f>IF(E194="","",TEXT(E194,"YYYY-MM"))</f>
        <v/>
      </c>
      <c r="BB194" s="5">
        <f>IF(E194="","",TEXT(E194,"YYYY"))</f>
        <v/>
      </c>
      <c r="BC194" s="92">
        <f>IF($E194="","",NETWORKDAYS($E194,Controls!$B$9,Ref!$F$4:$F$47))</f>
        <v/>
      </c>
      <c r="BD194" s="92">
        <f>IF(OR($AH194=1,$AJ194=1),1,0)</f>
        <v/>
      </c>
      <c r="BE194" s="95">
        <f>IF(OR($BD194=1,AND($AE194&lt;&gt;"",$BC194&gt;=Controls!$B$10*$AE194)),1,0)</f>
        <v/>
      </c>
    </row>
    <row r="195" ht="15.75" customHeight="1" s="79">
      <c r="A195" s="5" t="inlineStr">
        <is>
          <t>5674164046</t>
        </is>
      </c>
      <c r="B195" s="5" t="inlineStr">
        <is>
          <t>GURU JI HOMECARE</t>
        </is>
      </c>
      <c r="C195" s="5" t="inlineStr">
        <is>
          <t>GURU JI HOMECARE AGENCY INC</t>
        </is>
      </c>
      <c r="D195" s="5" t="inlineStr">
        <is>
          <t>Closed</t>
        </is>
      </c>
      <c r="E195" s="16" t="n">
        <v>45883</v>
      </c>
      <c r="F195" s="16" t="n">
        <v>46066</v>
      </c>
      <c r="G195" s="17" t="n">
        <v>1</v>
      </c>
      <c r="H195" s="5" t="inlineStr">
        <is>
          <t>8049</t>
        </is>
      </c>
      <c r="I195" s="5" t="inlineStr">
        <is>
          <t>Offices of All Other Misc. Health Practitioners</t>
        </is>
      </c>
      <c r="J195" s="5" t="inlineStr">
        <is>
          <t>80</t>
        </is>
      </c>
      <c r="K195" s="5" t="n">
        <v>8049</v>
      </c>
      <c r="L195" s="5" t="inlineStr">
        <is>
          <t>IN</t>
        </is>
      </c>
      <c r="M195" s="5" t="inlineStr">
        <is>
          <t>BFA 3</t>
        </is>
      </c>
      <c r="N195" s="5" t="inlineStr">
        <is>
          <t>New Deal</t>
        </is>
      </c>
      <c r="O195" s="19" t="n">
        <v>1.47</v>
      </c>
      <c r="P195" s="20" t="n">
        <v>27000</v>
      </c>
      <c r="Q195" s="20" t="n">
        <v>3510</v>
      </c>
      <c r="R195" s="20" t="n">
        <v>39690</v>
      </c>
      <c r="S195" s="20" t="n">
        <v>39690</v>
      </c>
      <c r="T195" s="20" t="n">
        <v>0</v>
      </c>
      <c r="U195" s="21" t="n">
        <v>1</v>
      </c>
      <c r="V195" s="22" t="n">
        <v>25</v>
      </c>
      <c r="W195" s="17" t="n">
        <v>187</v>
      </c>
      <c r="X195" s="17" t="n">
        <v>0</v>
      </c>
      <c r="Y195" s="20" t="n">
        <v>65317.97</v>
      </c>
      <c r="Z195" s="21" t="n">
        <v>0.09719999999999999</v>
      </c>
      <c r="AA195" s="16" t="n">
        <v>45158</v>
      </c>
      <c r="AB195" s="5">
        <f>IF(V195="","",IF(V195&lt;12,"Months","Weeks"))</f>
        <v/>
      </c>
      <c r="AC195" s="5">
        <f>IF(AB195="","",IF(AB195="Months","Daily","Weekly"))</f>
        <v/>
      </c>
      <c r="AD195" s="17">
        <f>IF(V195="","",IF(AC195="Daily",V195*Controls!$B$13,V195))</f>
        <v/>
      </c>
      <c r="AE195" s="17">
        <f>IF(V195="","",IF(AC195="Daily",V195*Controls!$B$13,V195*Controls!$B$12))</f>
        <v/>
      </c>
      <c r="AF195" s="17">
        <f>IF(OR(E195="",F195=""),"",F195-E195)</f>
        <v/>
      </c>
      <c r="AG195" s="17">
        <f>IF(OR(E195="",F195=""),"",NETWORKDAYS(E195,F195,Ref!$F$4:$F$47))</f>
        <v/>
      </c>
      <c r="AH195" s="39">
        <f>IF(IFERROR(VLOOKUP(D195,Controls!$A$25:$D$35,2,FALSE()),"No")="Yes",1,0)</f>
        <v/>
      </c>
      <c r="AI195" s="39">
        <f>IF(IFERROR(VLOOKUP(D195,Controls!$A$25:$D$35,3,FALSE()),"No")="Yes",1,0)</f>
        <v/>
      </c>
      <c r="AJ195" s="39">
        <f>IF(IFERROR(VLOOKUP(D195,Controls!$A$25:$D$35,4,FALSE()),"No")="Yes",1,0)</f>
        <v/>
      </c>
      <c r="AK195" s="96">
        <f>IF(AND($E195&gt;=Controls!$B$5,$E195&lt;=Controls!$B$6,OR(Controls!$E$9&lt;&gt;"Y",$BE195=1)),1,0)</f>
        <v/>
      </c>
      <c r="AL195" s="39">
        <f>1</f>
        <v/>
      </c>
      <c r="AM195" s="20">
        <f>S195-P195</f>
        <v/>
      </c>
      <c r="AN195" s="20">
        <f>IF(AH195=1,MAX(0,P195-S195),0)</f>
        <v/>
      </c>
      <c r="AO195" s="21">
        <f>IFERROR(S195/P195,"")</f>
        <v/>
      </c>
      <c r="AP195" s="22">
        <f>IF(Y195="","",P195/Y195)</f>
        <v/>
      </c>
      <c r="AQ195" s="39">
        <f>IF(Y195="",0,1)</f>
        <v/>
      </c>
      <c r="AR195" s="39">
        <f>IF(S195&lt;=0,1,0)</f>
        <v/>
      </c>
      <c r="AS195" s="17">
        <f>IF(AH195=1,AG195,"")</f>
        <v/>
      </c>
      <c r="AT195" s="17">
        <f>IF(AND(AH195=0,AJ195=1),AG195,"")</f>
        <v/>
      </c>
      <c r="AU195" s="5">
        <f>IF(P195&lt;10000,"Under $10K",IF(P195&lt;20000,"$10-20K",IF(P195&lt;30000,"$20-30K",IF(P195&lt;50000,"$30-50K",IF(P195&lt;100000,"$50-100K","$100K+")))))</f>
        <v/>
      </c>
      <c r="AV195" s="5">
        <f>IF(O195&lt;=1.35,"1.35 and under",IF(O195&lt;=1.42,"1.36-1.42",IF(O195&lt;=1.45,"1.43-1.45",IF(O195&lt;1.49,"1.46-1.48",IF(O195&lt;=1.49,"1.49","Above 1.49")))))</f>
        <v/>
      </c>
      <c r="AW195" s="5">
        <f>IF(AE195="","",IF(AE195&lt;60,"Under 60",IF(AE195&lt;90,"60-89",IF(AE195&lt;120,"90-119",IF(AE195&lt;150,"120-149","150+")))))</f>
        <v/>
      </c>
      <c r="AX195" s="5">
        <f>IF(AP195="","No revenue data",IF(AP195&lt;0.15,"Under 0.15x",IF(AP195&lt;0.3,"0.15-0.30x",IF(AP195&lt;0.5,"0.30-0.50x",IF(AP195&lt;1,"0.50-1.00x","1.00x+")))))</f>
        <v/>
      </c>
      <c r="AY195" s="5">
        <f>IF(J195="","No SIC",IFERROR(VLOOKUP(J195,Ref!$A$4:$C$67,2,FALSE()),"Unclassified"))</f>
        <v/>
      </c>
      <c r="AZ195" s="5">
        <f>IF(E195="","",TEXT(E195,"YYYY")&amp;"-Q"&amp;ROUNDUP(MONTH(E195)/3,0))</f>
        <v/>
      </c>
      <c r="BA195" s="5">
        <f>IF(E195="","",TEXT(E195,"YYYY-MM"))</f>
        <v/>
      </c>
      <c r="BB195" s="5">
        <f>IF(E195="","",TEXT(E195,"YYYY"))</f>
        <v/>
      </c>
      <c r="BC195" s="92">
        <f>IF($E195="","",NETWORKDAYS($E195,Controls!$B$9,Ref!$F$4:$F$47))</f>
        <v/>
      </c>
      <c r="BD195" s="92">
        <f>IF(OR($AH195=1,$AJ195=1),1,0)</f>
        <v/>
      </c>
      <c r="BE195" s="95">
        <f>IF(OR($BD195=1,AND($AE195&lt;&gt;"",$BC195&gt;=Controls!$B$10*$AE195)),1,0)</f>
        <v/>
      </c>
    </row>
    <row r="196" ht="15.75" customHeight="1" s="79">
      <c r="A196" s="5" t="inlineStr">
        <is>
          <t>5674164085</t>
        </is>
      </c>
      <c r="B196" s="5" t="inlineStr">
        <is>
          <t>BLESSING FAMILY CARE HOME</t>
        </is>
      </c>
      <c r="C196" s="5" t="inlineStr">
        <is>
          <t>GERLYNE JEAN</t>
        </is>
      </c>
      <c r="D196" s="5" t="inlineStr">
        <is>
          <t>Legal</t>
        </is>
      </c>
      <c r="E196" s="16" t="n">
        <v>45883</v>
      </c>
      <c r="F196" s="16" t="n">
        <v>46181</v>
      </c>
      <c r="G196" s="17" t="n">
        <v>3</v>
      </c>
      <c r="H196" s="5" t="inlineStr">
        <is>
          <t>8082</t>
        </is>
      </c>
      <c r="I196" s="5" t="inlineStr">
        <is>
          <t>Home Health Care Services</t>
        </is>
      </c>
      <c r="J196" s="5" t="inlineStr">
        <is>
          <t>80</t>
        </is>
      </c>
      <c r="K196" s="5" t="n">
        <v>8050</v>
      </c>
      <c r="L196" s="5" t="inlineStr">
        <is>
          <t>FL</t>
        </is>
      </c>
      <c r="M196" s="5" t="inlineStr">
        <is>
          <t>United Secured Capital 8</t>
        </is>
      </c>
      <c r="N196" s="5" t="inlineStr">
        <is>
          <t>New Deal</t>
        </is>
      </c>
      <c r="O196" s="19" t="n">
        <v>1.499</v>
      </c>
      <c r="P196" s="20" t="n">
        <v>8000</v>
      </c>
      <c r="Q196" s="20" t="n">
        <v>1120</v>
      </c>
      <c r="R196" s="20" t="n">
        <v>11992</v>
      </c>
      <c r="S196" s="20" t="n">
        <v>7404.97</v>
      </c>
      <c r="T196" s="20" t="n">
        <v>4587.03</v>
      </c>
      <c r="U196" s="21" t="n">
        <v>0.617492494996665</v>
      </c>
      <c r="V196" s="22" t="n">
        <v>2.295</v>
      </c>
      <c r="W196" s="17" t="n">
        <v>76</v>
      </c>
      <c r="X196" s="17" t="n">
        <v>34</v>
      </c>
      <c r="Y196" s="20" t="n">
        <v>24553.12</v>
      </c>
      <c r="Z196" s="21" t="n">
        <v>0.1456</v>
      </c>
      <c r="AA196" s="5" t="n"/>
      <c r="AB196" s="5">
        <f>IF(V196="","",IF(V196&lt;12,"Months","Weeks"))</f>
        <v/>
      </c>
      <c r="AC196" s="5">
        <f>IF(AB196="","",IF(AB196="Months","Daily","Weekly"))</f>
        <v/>
      </c>
      <c r="AD196" s="17">
        <f>IF(V196="","",IF(AC196="Daily",V196*Controls!$B$13,V196))</f>
        <v/>
      </c>
      <c r="AE196" s="17">
        <f>IF(V196="","",IF(AC196="Daily",V196*Controls!$B$13,V196*Controls!$B$12))</f>
        <v/>
      </c>
      <c r="AF196" s="17">
        <f>IF(OR(E196="",F196=""),"",F196-E196)</f>
        <v/>
      </c>
      <c r="AG196" s="17">
        <f>IF(OR(E196="",F196=""),"",NETWORKDAYS(E196,F196,Ref!$F$4:$F$47))</f>
        <v/>
      </c>
      <c r="AH196" s="39">
        <f>IF(IFERROR(VLOOKUP(D196,Controls!$A$25:$D$35,2,FALSE()),"No")="Yes",1,0)</f>
        <v/>
      </c>
      <c r="AI196" s="39">
        <f>IF(IFERROR(VLOOKUP(D196,Controls!$A$25:$D$35,3,FALSE()),"No")="Yes",1,0)</f>
        <v/>
      </c>
      <c r="AJ196" s="39">
        <f>IF(IFERROR(VLOOKUP(D196,Controls!$A$25:$D$35,4,FALSE()),"No")="Yes",1,0)</f>
        <v/>
      </c>
      <c r="AK196" s="96">
        <f>IF(AND($E196&gt;=Controls!$B$5,$E196&lt;=Controls!$B$6,OR(Controls!$E$9&lt;&gt;"Y",$BE196=1)),1,0)</f>
        <v/>
      </c>
      <c r="AL196" s="39">
        <f>1</f>
        <v/>
      </c>
      <c r="AM196" s="20">
        <f>S196-P196</f>
        <v/>
      </c>
      <c r="AN196" s="20">
        <f>IF(AH196=1,MAX(0,P196-S196),0)</f>
        <v/>
      </c>
      <c r="AO196" s="21">
        <f>IFERROR(S196/P196,"")</f>
        <v/>
      </c>
      <c r="AP196" s="22">
        <f>IF(Y196="","",P196/Y196)</f>
        <v/>
      </c>
      <c r="AQ196" s="39">
        <f>IF(Y196="",0,1)</f>
        <v/>
      </c>
      <c r="AR196" s="39">
        <f>IF(S196&lt;=0,1,0)</f>
        <v/>
      </c>
      <c r="AS196" s="17">
        <f>IF(AH196=1,AG196,"")</f>
        <v/>
      </c>
      <c r="AT196" s="17">
        <f>IF(AND(AH196=0,AJ196=1),AG196,"")</f>
        <v/>
      </c>
      <c r="AU196" s="5">
        <f>IF(P196&lt;10000,"Under $10K",IF(P196&lt;20000,"$10-20K",IF(P196&lt;30000,"$20-30K",IF(P196&lt;50000,"$30-50K",IF(P196&lt;100000,"$50-100K","$100K+")))))</f>
        <v/>
      </c>
      <c r="AV196" s="5">
        <f>IF(O196&lt;=1.35,"1.35 and under",IF(O196&lt;=1.42,"1.36-1.42",IF(O196&lt;=1.45,"1.43-1.45",IF(O196&lt;1.49,"1.46-1.48",IF(O196&lt;=1.49,"1.49","Above 1.49")))))</f>
        <v/>
      </c>
      <c r="AW196" s="5">
        <f>IF(AE196="","",IF(AE196&lt;60,"Under 60",IF(AE196&lt;90,"60-89",IF(AE196&lt;120,"90-119",IF(AE196&lt;150,"120-149","150+")))))</f>
        <v/>
      </c>
      <c r="AX196" s="5">
        <f>IF(AP196="","No revenue data",IF(AP196&lt;0.15,"Under 0.15x",IF(AP196&lt;0.3,"0.15-0.30x",IF(AP196&lt;0.5,"0.30-0.50x",IF(AP196&lt;1,"0.50-1.00x","1.00x+")))))</f>
        <v/>
      </c>
      <c r="AY196" s="5">
        <f>IF(J196="","No SIC",IFERROR(VLOOKUP(J196,Ref!$A$4:$C$67,2,FALSE()),"Unclassified"))</f>
        <v/>
      </c>
      <c r="AZ196" s="5">
        <f>IF(E196="","",TEXT(E196,"YYYY")&amp;"-Q"&amp;ROUNDUP(MONTH(E196)/3,0))</f>
        <v/>
      </c>
      <c r="BA196" s="5">
        <f>IF(E196="","",TEXT(E196,"YYYY-MM"))</f>
        <v/>
      </c>
      <c r="BB196" s="5">
        <f>IF(E196="","",TEXT(E196,"YYYY"))</f>
        <v/>
      </c>
      <c r="BC196" s="92">
        <f>IF($E196="","",NETWORKDAYS($E196,Controls!$B$9,Ref!$F$4:$F$47))</f>
        <v/>
      </c>
      <c r="BD196" s="92">
        <f>IF(OR($AH196=1,$AJ196=1),1,0)</f>
        <v/>
      </c>
      <c r="BE196" s="95">
        <f>IF(OR($BD196=1,AND($AE196&lt;&gt;"",$BC196&gt;=Controls!$B$10*$AE196)),1,0)</f>
        <v/>
      </c>
    </row>
    <row r="197" ht="15.75" customHeight="1" s="79">
      <c r="A197" s="5" t="inlineStr">
        <is>
          <t>5674164116</t>
        </is>
      </c>
      <c r="B197" s="5" t="inlineStr">
        <is>
          <t>BIG DUDE AUTO CARE LLC</t>
        </is>
      </c>
      <c r="C197" s="5" t="inlineStr">
        <is>
          <t>BIG DUDE AUTO CARE LLC</t>
        </is>
      </c>
      <c r="D197" s="5" t="inlineStr">
        <is>
          <t>Legal</t>
        </is>
      </c>
      <c r="E197" s="16" t="n">
        <v>45884</v>
      </c>
      <c r="F197" s="16" t="n">
        <v>46036</v>
      </c>
      <c r="G197" s="17" t="n">
        <v>3</v>
      </c>
      <c r="H197" s="5" t="inlineStr">
        <is>
          <t>7533</t>
        </is>
      </c>
      <c r="I197" s="5" t="inlineStr">
        <is>
          <t>Automotive Exhaust System Repair</t>
        </is>
      </c>
      <c r="J197" s="5" t="inlineStr">
        <is>
          <t>75</t>
        </is>
      </c>
      <c r="K197" s="5" t="n">
        <v>7531</v>
      </c>
      <c r="L197" s="5" t="inlineStr">
        <is>
          <t>AZ</t>
        </is>
      </c>
      <c r="M197" s="5" t="inlineStr">
        <is>
          <t>Shield Funding</t>
        </is>
      </c>
      <c r="N197" s="5" t="inlineStr">
        <is>
          <t>New Deal</t>
        </is>
      </c>
      <c r="O197" s="19" t="n">
        <v>1.499</v>
      </c>
      <c r="P197" s="20" t="n">
        <v>3500</v>
      </c>
      <c r="Q197" s="20" t="n">
        <v>0</v>
      </c>
      <c r="R197" s="20" t="n">
        <v>5246.5</v>
      </c>
      <c r="S197" s="20" t="n">
        <v>111.78</v>
      </c>
      <c r="T197" s="20" t="n">
        <v>5134.72</v>
      </c>
      <c r="U197" s="21" t="n">
        <v>0.0213056323263128</v>
      </c>
      <c r="V197" s="22" t="n">
        <v>2.295</v>
      </c>
      <c r="W197" s="17" t="n">
        <v>217</v>
      </c>
      <c r="X197" s="17" t="n">
        <v>62</v>
      </c>
      <c r="Y197" s="20" t="n">
        <v>17194.25</v>
      </c>
      <c r="Z197" s="5" t="n"/>
      <c r="AA197" s="16" t="n">
        <v>44999</v>
      </c>
      <c r="AB197" s="5">
        <f>IF(V197="","",IF(V197&lt;12,"Months","Weeks"))</f>
        <v/>
      </c>
      <c r="AC197" s="5">
        <f>IF(AB197="","",IF(AB197="Months","Daily","Weekly"))</f>
        <v/>
      </c>
      <c r="AD197" s="17">
        <f>IF(V197="","",IF(AC197="Daily",V197*Controls!$B$13,V197))</f>
        <v/>
      </c>
      <c r="AE197" s="17">
        <f>IF(V197="","",IF(AC197="Daily",V197*Controls!$B$13,V197*Controls!$B$12))</f>
        <v/>
      </c>
      <c r="AF197" s="17">
        <f>IF(OR(E197="",F197=""),"",F197-E197)</f>
        <v/>
      </c>
      <c r="AG197" s="17">
        <f>IF(OR(E197="",F197=""),"",NETWORKDAYS(E197,F197,Ref!$F$4:$F$47))</f>
        <v/>
      </c>
      <c r="AH197" s="39">
        <f>IF(IFERROR(VLOOKUP(D197,Controls!$A$25:$D$35,2,FALSE()),"No")="Yes",1,0)</f>
        <v/>
      </c>
      <c r="AI197" s="39">
        <f>IF(IFERROR(VLOOKUP(D197,Controls!$A$25:$D$35,3,FALSE()),"No")="Yes",1,0)</f>
        <v/>
      </c>
      <c r="AJ197" s="39">
        <f>IF(IFERROR(VLOOKUP(D197,Controls!$A$25:$D$35,4,FALSE()),"No")="Yes",1,0)</f>
        <v/>
      </c>
      <c r="AK197" s="96">
        <f>IF(AND($E197&gt;=Controls!$B$5,$E197&lt;=Controls!$B$6,OR(Controls!$E$9&lt;&gt;"Y",$BE197=1)),1,0)</f>
        <v/>
      </c>
      <c r="AL197" s="39">
        <f>1</f>
        <v/>
      </c>
      <c r="AM197" s="20">
        <f>S197-P197</f>
        <v/>
      </c>
      <c r="AN197" s="20">
        <f>IF(AH197=1,MAX(0,P197-S197),0)</f>
        <v/>
      </c>
      <c r="AO197" s="21">
        <f>IFERROR(S197/P197,"")</f>
        <v/>
      </c>
      <c r="AP197" s="22">
        <f>IF(Y197="","",P197/Y197)</f>
        <v/>
      </c>
      <c r="AQ197" s="39">
        <f>IF(Y197="",0,1)</f>
        <v/>
      </c>
      <c r="AR197" s="39">
        <f>IF(S197&lt;=0,1,0)</f>
        <v/>
      </c>
      <c r="AS197" s="17">
        <f>IF(AH197=1,AG197,"")</f>
        <v/>
      </c>
      <c r="AT197" s="17">
        <f>IF(AND(AH197=0,AJ197=1),AG197,"")</f>
        <v/>
      </c>
      <c r="AU197" s="5">
        <f>IF(P197&lt;10000,"Under $10K",IF(P197&lt;20000,"$10-20K",IF(P197&lt;30000,"$20-30K",IF(P197&lt;50000,"$30-50K",IF(P197&lt;100000,"$50-100K","$100K+")))))</f>
        <v/>
      </c>
      <c r="AV197" s="5">
        <f>IF(O197&lt;=1.35,"1.35 and under",IF(O197&lt;=1.42,"1.36-1.42",IF(O197&lt;=1.45,"1.43-1.45",IF(O197&lt;1.49,"1.46-1.48",IF(O197&lt;=1.49,"1.49","Above 1.49")))))</f>
        <v/>
      </c>
      <c r="AW197" s="5">
        <f>IF(AE197="","",IF(AE197&lt;60,"Under 60",IF(AE197&lt;90,"60-89",IF(AE197&lt;120,"90-119",IF(AE197&lt;150,"120-149","150+")))))</f>
        <v/>
      </c>
      <c r="AX197" s="5">
        <f>IF(AP197="","No revenue data",IF(AP197&lt;0.15,"Under 0.15x",IF(AP197&lt;0.3,"0.15-0.30x",IF(AP197&lt;0.5,"0.30-0.50x",IF(AP197&lt;1,"0.50-1.00x","1.00x+")))))</f>
        <v/>
      </c>
      <c r="AY197" s="5">
        <f>IF(J197="","No SIC",IFERROR(VLOOKUP(J197,Ref!$A$4:$C$67,2,FALSE()),"Unclassified"))</f>
        <v/>
      </c>
      <c r="AZ197" s="5">
        <f>IF(E197="","",TEXT(E197,"YYYY")&amp;"-Q"&amp;ROUNDUP(MONTH(E197)/3,0))</f>
        <v/>
      </c>
      <c r="BA197" s="5">
        <f>IF(E197="","",TEXT(E197,"YYYY-MM"))</f>
        <v/>
      </c>
      <c r="BB197" s="5">
        <f>IF(E197="","",TEXT(E197,"YYYY"))</f>
        <v/>
      </c>
      <c r="BC197" s="92">
        <f>IF($E197="","",NETWORKDAYS($E197,Controls!$B$9,Ref!$F$4:$F$47))</f>
        <v/>
      </c>
      <c r="BD197" s="92">
        <f>IF(OR($AH197=1,$AJ197=1),1,0)</f>
        <v/>
      </c>
      <c r="BE197" s="95">
        <f>IF(OR($BD197=1,AND($AE197&lt;&gt;"",$BC197&gt;=Controls!$B$10*$AE197)),1,0)</f>
        <v/>
      </c>
    </row>
    <row r="198" ht="15.75" customHeight="1" s="79">
      <c r="A198" s="5" t="inlineStr">
        <is>
          <t>5674164132</t>
        </is>
      </c>
      <c r="B198" s="5" t="inlineStr">
        <is>
          <t>M. Delaney LLC</t>
        </is>
      </c>
      <c r="C198" s="5" t="inlineStr">
        <is>
          <t>M. Delaney LLC</t>
        </is>
      </c>
      <c r="D198" s="5" t="inlineStr">
        <is>
          <t>Closed</t>
        </is>
      </c>
      <c r="E198" s="16" t="n">
        <v>45884</v>
      </c>
      <c r="F198" s="16" t="n">
        <v>45996</v>
      </c>
      <c r="G198" s="17" t="n">
        <v>3</v>
      </c>
      <c r="H198" s="5" t="inlineStr">
        <is>
          <t>6513</t>
        </is>
      </c>
      <c r="I198" s="5" t="inlineStr">
        <is>
          <t>Lessors of Residential Buildings and Dwellings</t>
        </is>
      </c>
      <c r="J198" s="5" t="inlineStr">
        <is>
          <t>65</t>
        </is>
      </c>
      <c r="K198" s="5" t="n">
        <v>6513</v>
      </c>
      <c r="L198" s="5" t="inlineStr">
        <is>
          <t>GA</t>
        </is>
      </c>
      <c r="M198" s="5" t="inlineStr">
        <is>
          <t>Llama Loan</t>
        </is>
      </c>
      <c r="N198" s="5" t="inlineStr">
        <is>
          <t>Renewal</t>
        </is>
      </c>
      <c r="O198" s="19" t="n">
        <v>1.49</v>
      </c>
      <c r="P198" s="20" t="n">
        <v>22000</v>
      </c>
      <c r="Q198" s="20" t="n">
        <v>3080</v>
      </c>
      <c r="R198" s="20" t="n">
        <v>32780</v>
      </c>
      <c r="S198" s="20" t="n">
        <v>32780</v>
      </c>
      <c r="T198" s="20" t="n">
        <v>0</v>
      </c>
      <c r="U198" s="21" t="n">
        <v>1</v>
      </c>
      <c r="V198" s="22" t="n">
        <v>3.934</v>
      </c>
      <c r="W198" s="17" t="n">
        <v>257</v>
      </c>
      <c r="X198" s="17" t="n">
        <v>2</v>
      </c>
      <c r="Y198" s="20" t="n">
        <v>51823.33</v>
      </c>
      <c r="Z198" s="21" t="n">
        <v>0.1107</v>
      </c>
      <c r="AA198" s="5" t="n"/>
      <c r="AB198" s="5">
        <f>IF(V198="","",IF(V198&lt;12,"Months","Weeks"))</f>
        <v/>
      </c>
      <c r="AC198" s="5">
        <f>IF(AB198="","",IF(AB198="Months","Daily","Weekly"))</f>
        <v/>
      </c>
      <c r="AD198" s="17">
        <f>IF(V198="","",IF(AC198="Daily",V198*Controls!$B$13,V198))</f>
        <v/>
      </c>
      <c r="AE198" s="17">
        <f>IF(V198="","",IF(AC198="Daily",V198*Controls!$B$13,V198*Controls!$B$12))</f>
        <v/>
      </c>
      <c r="AF198" s="17">
        <f>IF(OR(E198="",F198=""),"",F198-E198)</f>
        <v/>
      </c>
      <c r="AG198" s="17">
        <f>IF(OR(E198="",F198=""),"",NETWORKDAYS(E198,F198,Ref!$F$4:$F$47))</f>
        <v/>
      </c>
      <c r="AH198" s="39">
        <f>IF(IFERROR(VLOOKUP(D198,Controls!$A$25:$D$35,2,FALSE()),"No")="Yes",1,0)</f>
        <v/>
      </c>
      <c r="AI198" s="39">
        <f>IF(IFERROR(VLOOKUP(D198,Controls!$A$25:$D$35,3,FALSE()),"No")="Yes",1,0)</f>
        <v/>
      </c>
      <c r="AJ198" s="39">
        <f>IF(IFERROR(VLOOKUP(D198,Controls!$A$25:$D$35,4,FALSE()),"No")="Yes",1,0)</f>
        <v/>
      </c>
      <c r="AK198" s="96">
        <f>IF(AND($E198&gt;=Controls!$B$5,$E198&lt;=Controls!$B$6,OR(Controls!$E$9&lt;&gt;"Y",$BE198=1)),1,0)</f>
        <v/>
      </c>
      <c r="AL198" s="39">
        <f>1</f>
        <v/>
      </c>
      <c r="AM198" s="20">
        <f>S198-P198</f>
        <v/>
      </c>
      <c r="AN198" s="20">
        <f>IF(AH198=1,MAX(0,P198-S198),0)</f>
        <v/>
      </c>
      <c r="AO198" s="21">
        <f>IFERROR(S198/P198,"")</f>
        <v/>
      </c>
      <c r="AP198" s="22">
        <f>IF(Y198="","",P198/Y198)</f>
        <v/>
      </c>
      <c r="AQ198" s="39">
        <f>IF(Y198="",0,1)</f>
        <v/>
      </c>
      <c r="AR198" s="39">
        <f>IF(S198&lt;=0,1,0)</f>
        <v/>
      </c>
      <c r="AS198" s="17">
        <f>IF(AH198=1,AG198,"")</f>
        <v/>
      </c>
      <c r="AT198" s="17">
        <f>IF(AND(AH198=0,AJ198=1),AG198,"")</f>
        <v/>
      </c>
      <c r="AU198" s="5">
        <f>IF(P198&lt;10000,"Under $10K",IF(P198&lt;20000,"$10-20K",IF(P198&lt;30000,"$20-30K",IF(P198&lt;50000,"$30-50K",IF(P198&lt;100000,"$50-100K","$100K+")))))</f>
        <v/>
      </c>
      <c r="AV198" s="5">
        <f>IF(O198&lt;=1.35,"1.35 and under",IF(O198&lt;=1.42,"1.36-1.42",IF(O198&lt;=1.45,"1.43-1.45",IF(O198&lt;1.49,"1.46-1.48",IF(O198&lt;=1.49,"1.49","Above 1.49")))))</f>
        <v/>
      </c>
      <c r="AW198" s="5">
        <f>IF(AE198="","",IF(AE198&lt;60,"Under 60",IF(AE198&lt;90,"60-89",IF(AE198&lt;120,"90-119",IF(AE198&lt;150,"120-149","150+")))))</f>
        <v/>
      </c>
      <c r="AX198" s="5">
        <f>IF(AP198="","No revenue data",IF(AP198&lt;0.15,"Under 0.15x",IF(AP198&lt;0.3,"0.15-0.30x",IF(AP198&lt;0.5,"0.30-0.50x",IF(AP198&lt;1,"0.50-1.00x","1.00x+")))))</f>
        <v/>
      </c>
      <c r="AY198" s="5">
        <f>IF(J198="","No SIC",IFERROR(VLOOKUP(J198,Ref!$A$4:$C$67,2,FALSE()),"Unclassified"))</f>
        <v/>
      </c>
      <c r="AZ198" s="5">
        <f>IF(E198="","",TEXT(E198,"YYYY")&amp;"-Q"&amp;ROUNDUP(MONTH(E198)/3,0))</f>
        <v/>
      </c>
      <c r="BA198" s="5">
        <f>IF(E198="","",TEXT(E198,"YYYY-MM"))</f>
        <v/>
      </c>
      <c r="BB198" s="5">
        <f>IF(E198="","",TEXT(E198,"YYYY"))</f>
        <v/>
      </c>
      <c r="BC198" s="92">
        <f>IF($E198="","",NETWORKDAYS($E198,Controls!$B$9,Ref!$F$4:$F$47))</f>
        <v/>
      </c>
      <c r="BD198" s="92">
        <f>IF(OR($AH198=1,$AJ198=1),1,0)</f>
        <v/>
      </c>
      <c r="BE198" s="95">
        <f>IF(OR($BD198=1,AND($AE198&lt;&gt;"",$BC198&gt;=Controls!$B$10*$AE198)),1,0)</f>
        <v/>
      </c>
    </row>
    <row r="199" ht="15.75" customHeight="1" s="79">
      <c r="A199" s="5" t="inlineStr">
        <is>
          <t>5674164163</t>
        </is>
      </c>
      <c r="B199" s="5" t="inlineStr">
        <is>
          <t>Balanced Bites Cafe LLC</t>
        </is>
      </c>
      <c r="C199" s="5" t="inlineStr">
        <is>
          <t>Balanced Bites Cafe LLC</t>
        </is>
      </c>
      <c r="D199" s="5" t="inlineStr">
        <is>
          <t>In House Collection</t>
        </is>
      </c>
      <c r="E199" s="16" t="n">
        <v>45884</v>
      </c>
      <c r="F199" s="16" t="n">
        <v>46253</v>
      </c>
      <c r="G199" s="17" t="n">
        <v>1</v>
      </c>
      <c r="H199" s="5" t="inlineStr">
        <is>
          <t>5812</t>
        </is>
      </c>
      <c r="I199" s="5" t="inlineStr">
        <is>
          <t>Snack and Nonalcoholic Beverage Bars</t>
        </is>
      </c>
      <c r="J199" s="5" t="inlineStr">
        <is>
          <t>58</t>
        </is>
      </c>
      <c r="K199" s="5" t="n">
        <v>5812</v>
      </c>
      <c r="L199" s="5" t="inlineStr">
        <is>
          <t>CA</t>
        </is>
      </c>
      <c r="M199" s="5" t="inlineStr">
        <is>
          <t>PMF</t>
        </is>
      </c>
      <c r="N199" s="5" t="inlineStr">
        <is>
          <t>New Deal</t>
        </is>
      </c>
      <c r="O199" s="19" t="n">
        <v>1.499</v>
      </c>
      <c r="P199" s="20" t="n">
        <v>10000</v>
      </c>
      <c r="Q199" s="20" t="n">
        <v>1400</v>
      </c>
      <c r="R199" s="20" t="n">
        <v>14990</v>
      </c>
      <c r="S199" s="20" t="n">
        <v>7358.06</v>
      </c>
      <c r="T199" s="20" t="n">
        <v>7631.94</v>
      </c>
      <c r="U199" s="21" t="n">
        <v>0.490864576384256</v>
      </c>
      <c r="V199" s="22" t="n">
        <v>2.623</v>
      </c>
      <c r="W199" s="17" t="n">
        <v>0</v>
      </c>
      <c r="X199" s="17" t="n">
        <v>42</v>
      </c>
      <c r="Y199" s="20" t="n">
        <v>32383.46</v>
      </c>
      <c r="Z199" s="21" t="n">
        <v>0.1208</v>
      </c>
      <c r="AA199" s="16" t="n">
        <v>45659</v>
      </c>
      <c r="AB199" s="5">
        <f>IF(V199="","",IF(V199&lt;12,"Months","Weeks"))</f>
        <v/>
      </c>
      <c r="AC199" s="5">
        <f>IF(AB199="","",IF(AB199="Months","Daily","Weekly"))</f>
        <v/>
      </c>
      <c r="AD199" s="17">
        <f>IF(V199="","",IF(AC199="Daily",V199*Controls!$B$13,V199))</f>
        <v/>
      </c>
      <c r="AE199" s="17">
        <f>IF(V199="","",IF(AC199="Daily",V199*Controls!$B$13,V199*Controls!$B$12))</f>
        <v/>
      </c>
      <c r="AF199" s="17">
        <f>IF(OR(E199="",F199=""),"",F199-E199)</f>
        <v/>
      </c>
      <c r="AG199" s="17">
        <f>IF(OR(E199="",F199=""),"",NETWORKDAYS(E199,F199,Ref!$F$4:$F$47))</f>
        <v/>
      </c>
      <c r="AH199" s="39">
        <f>IF(IFERROR(VLOOKUP(D199,Controls!$A$25:$D$35,2,FALSE()),"No")="Yes",1,0)</f>
        <v/>
      </c>
      <c r="AI199" s="39">
        <f>IF(IFERROR(VLOOKUP(D199,Controls!$A$25:$D$35,3,FALSE()),"No")="Yes",1,0)</f>
        <v/>
      </c>
      <c r="AJ199" s="39">
        <f>IF(IFERROR(VLOOKUP(D199,Controls!$A$25:$D$35,4,FALSE()),"No")="Yes",1,0)</f>
        <v/>
      </c>
      <c r="AK199" s="96">
        <f>IF(AND($E199&gt;=Controls!$B$5,$E199&lt;=Controls!$B$6,OR(Controls!$E$9&lt;&gt;"Y",$BE199=1)),1,0)</f>
        <v/>
      </c>
      <c r="AL199" s="39">
        <f>1</f>
        <v/>
      </c>
      <c r="AM199" s="20">
        <f>S199-P199</f>
        <v/>
      </c>
      <c r="AN199" s="20">
        <f>IF(AH199=1,MAX(0,P199-S199),0)</f>
        <v/>
      </c>
      <c r="AO199" s="21">
        <f>IFERROR(S199/P199,"")</f>
        <v/>
      </c>
      <c r="AP199" s="22">
        <f>IF(Y199="","",P199/Y199)</f>
        <v/>
      </c>
      <c r="AQ199" s="39">
        <f>IF(Y199="",0,1)</f>
        <v/>
      </c>
      <c r="AR199" s="39">
        <f>IF(S199&lt;=0,1,0)</f>
        <v/>
      </c>
      <c r="AS199" s="17">
        <f>IF(AH199=1,AG199,"")</f>
        <v/>
      </c>
      <c r="AT199" s="17">
        <f>IF(AND(AH199=0,AJ199=1),AG199,"")</f>
        <v/>
      </c>
      <c r="AU199" s="5">
        <f>IF(P199&lt;10000,"Under $10K",IF(P199&lt;20000,"$10-20K",IF(P199&lt;30000,"$20-30K",IF(P199&lt;50000,"$30-50K",IF(P199&lt;100000,"$50-100K","$100K+")))))</f>
        <v/>
      </c>
      <c r="AV199" s="5">
        <f>IF(O199&lt;=1.35,"1.35 and under",IF(O199&lt;=1.42,"1.36-1.42",IF(O199&lt;=1.45,"1.43-1.45",IF(O199&lt;1.49,"1.46-1.48",IF(O199&lt;=1.49,"1.49","Above 1.49")))))</f>
        <v/>
      </c>
      <c r="AW199" s="5">
        <f>IF(AE199="","",IF(AE199&lt;60,"Under 60",IF(AE199&lt;90,"60-89",IF(AE199&lt;120,"90-119",IF(AE199&lt;150,"120-149","150+")))))</f>
        <v/>
      </c>
      <c r="AX199" s="5">
        <f>IF(AP199="","No revenue data",IF(AP199&lt;0.15,"Under 0.15x",IF(AP199&lt;0.3,"0.15-0.30x",IF(AP199&lt;0.5,"0.30-0.50x",IF(AP199&lt;1,"0.50-1.00x","1.00x+")))))</f>
        <v/>
      </c>
      <c r="AY199" s="5">
        <f>IF(J199="","No SIC",IFERROR(VLOOKUP(J199,Ref!$A$4:$C$67,2,FALSE()),"Unclassified"))</f>
        <v/>
      </c>
      <c r="AZ199" s="5">
        <f>IF(E199="","",TEXT(E199,"YYYY")&amp;"-Q"&amp;ROUNDUP(MONTH(E199)/3,0))</f>
        <v/>
      </c>
      <c r="BA199" s="5">
        <f>IF(E199="","",TEXT(E199,"YYYY-MM"))</f>
        <v/>
      </c>
      <c r="BB199" s="5">
        <f>IF(E199="","",TEXT(E199,"YYYY"))</f>
        <v/>
      </c>
      <c r="BC199" s="92">
        <f>IF($E199="","",NETWORKDAYS($E199,Controls!$B$9,Ref!$F$4:$F$47))</f>
        <v/>
      </c>
      <c r="BD199" s="92">
        <f>IF(OR($AH199=1,$AJ199=1),1,0)</f>
        <v/>
      </c>
      <c r="BE199" s="95">
        <f>IF(OR($BD199=1,AND($AE199&lt;&gt;"",$BC199&gt;=Controls!$B$10*$AE199)),1,0)</f>
        <v/>
      </c>
    </row>
    <row r="200" ht="15.75" customHeight="1" s="79">
      <c r="A200" s="5" t="inlineStr">
        <is>
          <t>5674164225</t>
        </is>
      </c>
      <c r="B200" s="5" t="inlineStr">
        <is>
          <t>Charles Hannum Inc</t>
        </is>
      </c>
      <c r="C200" s="5" t="inlineStr">
        <is>
          <t>Charles Hannum Inc</t>
        </is>
      </c>
      <c r="D200" s="5" t="inlineStr">
        <is>
          <t>Closed</t>
        </is>
      </c>
      <c r="E200" s="16" t="n">
        <v>45887</v>
      </c>
      <c r="F200" s="16" t="n">
        <v>45960</v>
      </c>
      <c r="G200" s="17" t="n">
        <v>6</v>
      </c>
      <c r="H200" s="5" t="inlineStr">
        <is>
          <t>5999</t>
        </is>
      </c>
      <c r="I200" s="5" t="inlineStr">
        <is>
          <t>All Other Misc. Store Retailers (Except Tobacco Stores)</t>
        </is>
      </c>
      <c r="J200" s="5" t="inlineStr">
        <is>
          <t>59</t>
        </is>
      </c>
      <c r="K200" s="5" t="n">
        <v>5999</v>
      </c>
      <c r="L200" s="5" t="inlineStr">
        <is>
          <t>PA</t>
        </is>
      </c>
      <c r="M200" s="5" t="inlineStr">
        <is>
          <t>Triumph Cap Fund</t>
        </is>
      </c>
      <c r="N200" s="5" t="inlineStr">
        <is>
          <t>New Deal</t>
        </is>
      </c>
      <c r="O200" s="19" t="n">
        <v>1.36</v>
      </c>
      <c r="P200" s="20" t="n">
        <v>15000</v>
      </c>
      <c r="Q200" s="20" t="n">
        <v>1125</v>
      </c>
      <c r="R200" s="20" t="n">
        <v>20400</v>
      </c>
      <c r="S200" s="20" t="n">
        <v>20400</v>
      </c>
      <c r="T200" s="20" t="n">
        <v>0</v>
      </c>
      <c r="U200" s="21" t="n">
        <v>1</v>
      </c>
      <c r="V200" s="22" t="n">
        <v>3.279</v>
      </c>
      <c r="W200" s="17" t="n">
        <v>293</v>
      </c>
      <c r="X200" s="17" t="n">
        <v>0</v>
      </c>
      <c r="Y200" s="20" t="n">
        <v>33782.45</v>
      </c>
      <c r="Z200" s="21" t="n">
        <v>0.1268</v>
      </c>
      <c r="AA200" s="5" t="n"/>
      <c r="AB200" s="5">
        <f>IF(V200="","",IF(V200&lt;12,"Months","Weeks"))</f>
        <v/>
      </c>
      <c r="AC200" s="5">
        <f>IF(AB200="","",IF(AB200="Months","Daily","Weekly"))</f>
        <v/>
      </c>
      <c r="AD200" s="17">
        <f>IF(V200="","",IF(AC200="Daily",V200*Controls!$B$13,V200))</f>
        <v/>
      </c>
      <c r="AE200" s="17">
        <f>IF(V200="","",IF(AC200="Daily",V200*Controls!$B$13,V200*Controls!$B$12))</f>
        <v/>
      </c>
      <c r="AF200" s="17">
        <f>IF(OR(E200="",F200=""),"",F200-E200)</f>
        <v/>
      </c>
      <c r="AG200" s="17">
        <f>IF(OR(E200="",F200=""),"",NETWORKDAYS(E200,F200,Ref!$F$4:$F$47))</f>
        <v/>
      </c>
      <c r="AH200" s="39">
        <f>IF(IFERROR(VLOOKUP(D200,Controls!$A$25:$D$35,2,FALSE()),"No")="Yes",1,0)</f>
        <v/>
      </c>
      <c r="AI200" s="39">
        <f>IF(IFERROR(VLOOKUP(D200,Controls!$A$25:$D$35,3,FALSE()),"No")="Yes",1,0)</f>
        <v/>
      </c>
      <c r="AJ200" s="39">
        <f>IF(IFERROR(VLOOKUP(D200,Controls!$A$25:$D$35,4,FALSE()),"No")="Yes",1,0)</f>
        <v/>
      </c>
      <c r="AK200" s="96">
        <f>IF(AND($E200&gt;=Controls!$B$5,$E200&lt;=Controls!$B$6,OR(Controls!$E$9&lt;&gt;"Y",$BE200=1)),1,0)</f>
        <v/>
      </c>
      <c r="AL200" s="39">
        <f>1</f>
        <v/>
      </c>
      <c r="AM200" s="20">
        <f>S200-P200</f>
        <v/>
      </c>
      <c r="AN200" s="20">
        <f>IF(AH200=1,MAX(0,P200-S200),0)</f>
        <v/>
      </c>
      <c r="AO200" s="21">
        <f>IFERROR(S200/P200,"")</f>
        <v/>
      </c>
      <c r="AP200" s="22">
        <f>IF(Y200="","",P200/Y200)</f>
        <v/>
      </c>
      <c r="AQ200" s="39">
        <f>IF(Y200="",0,1)</f>
        <v/>
      </c>
      <c r="AR200" s="39">
        <f>IF(S200&lt;=0,1,0)</f>
        <v/>
      </c>
      <c r="AS200" s="17">
        <f>IF(AH200=1,AG200,"")</f>
        <v/>
      </c>
      <c r="AT200" s="17">
        <f>IF(AND(AH200=0,AJ200=1),AG200,"")</f>
        <v/>
      </c>
      <c r="AU200" s="5">
        <f>IF(P200&lt;10000,"Under $10K",IF(P200&lt;20000,"$10-20K",IF(P200&lt;30000,"$20-30K",IF(P200&lt;50000,"$30-50K",IF(P200&lt;100000,"$50-100K","$100K+")))))</f>
        <v/>
      </c>
      <c r="AV200" s="5">
        <f>IF(O200&lt;=1.35,"1.35 and under",IF(O200&lt;=1.42,"1.36-1.42",IF(O200&lt;=1.45,"1.43-1.45",IF(O200&lt;1.49,"1.46-1.48",IF(O200&lt;=1.49,"1.49","Above 1.49")))))</f>
        <v/>
      </c>
      <c r="AW200" s="5">
        <f>IF(AE200="","",IF(AE200&lt;60,"Under 60",IF(AE200&lt;90,"60-89",IF(AE200&lt;120,"90-119",IF(AE200&lt;150,"120-149","150+")))))</f>
        <v/>
      </c>
      <c r="AX200" s="5">
        <f>IF(AP200="","No revenue data",IF(AP200&lt;0.15,"Under 0.15x",IF(AP200&lt;0.3,"0.15-0.30x",IF(AP200&lt;0.5,"0.30-0.50x",IF(AP200&lt;1,"0.50-1.00x","1.00x+")))))</f>
        <v/>
      </c>
      <c r="AY200" s="5">
        <f>IF(J200="","No SIC",IFERROR(VLOOKUP(J200,Ref!$A$4:$C$67,2,FALSE()),"Unclassified"))</f>
        <v/>
      </c>
      <c r="AZ200" s="5">
        <f>IF(E200="","",TEXT(E200,"YYYY")&amp;"-Q"&amp;ROUNDUP(MONTH(E200)/3,0))</f>
        <v/>
      </c>
      <c r="BA200" s="5">
        <f>IF(E200="","",TEXT(E200,"YYYY-MM"))</f>
        <v/>
      </c>
      <c r="BB200" s="5">
        <f>IF(E200="","",TEXT(E200,"YYYY"))</f>
        <v/>
      </c>
      <c r="BC200" s="92">
        <f>IF($E200="","",NETWORKDAYS($E200,Controls!$B$9,Ref!$F$4:$F$47))</f>
        <v/>
      </c>
      <c r="BD200" s="92">
        <f>IF(OR($AH200=1,$AJ200=1),1,0)</f>
        <v/>
      </c>
      <c r="BE200" s="95">
        <f>IF(OR($BD200=1,AND($AE200&lt;&gt;"",$BC200&gt;=Controls!$B$10*$AE200)),1,0)</f>
        <v/>
      </c>
    </row>
    <row r="201" ht="15.75" customHeight="1" s="79">
      <c r="A201" s="5" t="inlineStr">
        <is>
          <t>5674164276</t>
        </is>
      </c>
      <c r="B201" s="5" t="inlineStr">
        <is>
          <t>COASTLINE SERVICES</t>
        </is>
      </c>
      <c r="C201" s="5" t="inlineStr">
        <is>
          <t>JULIAN JAKE CANALES</t>
        </is>
      </c>
      <c r="D201" s="5" t="inlineStr">
        <is>
          <t>Closed/NSF Unpaid</t>
        </is>
      </c>
      <c r="E201" s="16" t="n">
        <v>45888</v>
      </c>
      <c r="F201" s="16" t="n">
        <v>46113</v>
      </c>
      <c r="G201" s="17" t="n">
        <v>4</v>
      </c>
      <c r="H201" s="5" t="inlineStr">
        <is>
          <t>7521</t>
        </is>
      </c>
      <c r="I201" s="5" t="inlineStr">
        <is>
          <t>Parking Lots and Garages</t>
        </is>
      </c>
      <c r="J201" s="5" t="inlineStr">
        <is>
          <t>75</t>
        </is>
      </c>
      <c r="K201" s="5" t="n">
        <v>7523</v>
      </c>
      <c r="L201" s="5" t="inlineStr">
        <is>
          <t>CA</t>
        </is>
      </c>
      <c r="M201" s="5" t="inlineStr">
        <is>
          <t>Fundible</t>
        </is>
      </c>
      <c r="N201" s="5" t="inlineStr">
        <is>
          <t>New Deal</t>
        </is>
      </c>
      <c r="O201" s="19" t="n">
        <v>1.499</v>
      </c>
      <c r="P201" s="20" t="n">
        <v>4500</v>
      </c>
      <c r="Q201" s="20" t="n">
        <v>630</v>
      </c>
      <c r="R201" s="20" t="n">
        <v>6745.5</v>
      </c>
      <c r="S201" s="20" t="n">
        <v>6745.5</v>
      </c>
      <c r="T201" s="20" t="n">
        <v>9.09494701772928e-13</v>
      </c>
      <c r="U201" s="21" t="n">
        <v>1</v>
      </c>
      <c r="V201" s="22" t="n">
        <v>1.967</v>
      </c>
      <c r="W201" s="17" t="n">
        <v>141</v>
      </c>
      <c r="X201" s="17" t="n">
        <v>44</v>
      </c>
      <c r="Y201" s="20" t="n">
        <v>18481.21</v>
      </c>
      <c r="Z201" s="21" t="n">
        <v>0.1261</v>
      </c>
      <c r="AA201" s="16" t="n">
        <v>39083</v>
      </c>
      <c r="AB201" s="5">
        <f>IF(V201="","",IF(V201&lt;12,"Months","Weeks"))</f>
        <v/>
      </c>
      <c r="AC201" s="5">
        <f>IF(AB201="","",IF(AB201="Months","Daily","Weekly"))</f>
        <v/>
      </c>
      <c r="AD201" s="17">
        <f>IF(V201="","",IF(AC201="Daily",V201*Controls!$B$13,V201))</f>
        <v/>
      </c>
      <c r="AE201" s="17">
        <f>IF(V201="","",IF(AC201="Daily",V201*Controls!$B$13,V201*Controls!$B$12))</f>
        <v/>
      </c>
      <c r="AF201" s="17">
        <f>IF(OR(E201="",F201=""),"",F201-E201)</f>
        <v/>
      </c>
      <c r="AG201" s="17">
        <f>IF(OR(E201="",F201=""),"",NETWORKDAYS(E201,F201,Ref!$F$4:$F$47))</f>
        <v/>
      </c>
      <c r="AH201" s="39">
        <f>IF(IFERROR(VLOOKUP(D201,Controls!$A$25:$D$35,2,FALSE()),"No")="Yes",1,0)</f>
        <v/>
      </c>
      <c r="AI201" s="39">
        <f>IF(IFERROR(VLOOKUP(D201,Controls!$A$25:$D$35,3,FALSE()),"No")="Yes",1,0)</f>
        <v/>
      </c>
      <c r="AJ201" s="39">
        <f>IF(IFERROR(VLOOKUP(D201,Controls!$A$25:$D$35,4,FALSE()),"No")="Yes",1,0)</f>
        <v/>
      </c>
      <c r="AK201" s="96">
        <f>IF(AND($E201&gt;=Controls!$B$5,$E201&lt;=Controls!$B$6,OR(Controls!$E$9&lt;&gt;"Y",$BE201=1)),1,0)</f>
        <v/>
      </c>
      <c r="AL201" s="39">
        <f>1</f>
        <v/>
      </c>
      <c r="AM201" s="20">
        <f>S201-P201</f>
        <v/>
      </c>
      <c r="AN201" s="20">
        <f>IF(AH201=1,MAX(0,P201-S201),0)</f>
        <v/>
      </c>
      <c r="AO201" s="21">
        <f>IFERROR(S201/P201,"")</f>
        <v/>
      </c>
      <c r="AP201" s="22">
        <f>IF(Y201="","",P201/Y201)</f>
        <v/>
      </c>
      <c r="AQ201" s="39">
        <f>IF(Y201="",0,1)</f>
        <v/>
      </c>
      <c r="AR201" s="39">
        <f>IF(S201&lt;=0,1,0)</f>
        <v/>
      </c>
      <c r="AS201" s="17">
        <f>IF(AH201=1,AG201,"")</f>
        <v/>
      </c>
      <c r="AT201" s="17">
        <f>IF(AND(AH201=0,AJ201=1),AG201,"")</f>
        <v/>
      </c>
      <c r="AU201" s="5">
        <f>IF(P201&lt;10000,"Under $10K",IF(P201&lt;20000,"$10-20K",IF(P201&lt;30000,"$20-30K",IF(P201&lt;50000,"$30-50K",IF(P201&lt;100000,"$50-100K","$100K+")))))</f>
        <v/>
      </c>
      <c r="AV201" s="5">
        <f>IF(O201&lt;=1.35,"1.35 and under",IF(O201&lt;=1.42,"1.36-1.42",IF(O201&lt;=1.45,"1.43-1.45",IF(O201&lt;1.49,"1.46-1.48",IF(O201&lt;=1.49,"1.49","Above 1.49")))))</f>
        <v/>
      </c>
      <c r="AW201" s="5">
        <f>IF(AE201="","",IF(AE201&lt;60,"Under 60",IF(AE201&lt;90,"60-89",IF(AE201&lt;120,"90-119",IF(AE201&lt;150,"120-149","150+")))))</f>
        <v/>
      </c>
      <c r="AX201" s="5">
        <f>IF(AP201="","No revenue data",IF(AP201&lt;0.15,"Under 0.15x",IF(AP201&lt;0.3,"0.15-0.30x",IF(AP201&lt;0.5,"0.30-0.50x",IF(AP201&lt;1,"0.50-1.00x","1.00x+")))))</f>
        <v/>
      </c>
      <c r="AY201" s="5">
        <f>IF(J201="","No SIC",IFERROR(VLOOKUP(J201,Ref!$A$4:$C$67,2,FALSE()),"Unclassified"))</f>
        <v/>
      </c>
      <c r="AZ201" s="5">
        <f>IF(E201="","",TEXT(E201,"YYYY")&amp;"-Q"&amp;ROUNDUP(MONTH(E201)/3,0))</f>
        <v/>
      </c>
      <c r="BA201" s="5">
        <f>IF(E201="","",TEXT(E201,"YYYY-MM"))</f>
        <v/>
      </c>
      <c r="BB201" s="5">
        <f>IF(E201="","",TEXT(E201,"YYYY"))</f>
        <v/>
      </c>
      <c r="BC201" s="92">
        <f>IF($E201="","",NETWORKDAYS($E201,Controls!$B$9,Ref!$F$4:$F$47))</f>
        <v/>
      </c>
      <c r="BD201" s="92">
        <f>IF(OR($AH201=1,$AJ201=1),1,0)</f>
        <v/>
      </c>
      <c r="BE201" s="95">
        <f>IF(OR($BD201=1,AND($AE201&lt;&gt;"",$BC201&gt;=Controls!$B$10*$AE201)),1,0)</f>
        <v/>
      </c>
    </row>
    <row r="202" ht="15.75" customHeight="1" s="79">
      <c r="A202" s="5" t="inlineStr">
        <is>
          <t>5674164322</t>
        </is>
      </c>
      <c r="B202" s="5" t="inlineStr">
        <is>
          <t>Fast Line Delivery</t>
        </is>
      </c>
      <c r="C202" s="5" t="inlineStr">
        <is>
          <t>Fast Line Delivery LLC</t>
        </is>
      </c>
      <c r="D202" s="5" t="inlineStr">
        <is>
          <t>Closed</t>
        </is>
      </c>
      <c r="E202" s="16" t="n">
        <v>45888</v>
      </c>
      <c r="F202" s="16" t="n">
        <v>46113</v>
      </c>
      <c r="G202" s="17" t="n">
        <v>3</v>
      </c>
      <c r="H202" s="5" t="inlineStr">
        <is>
          <t>4212</t>
        </is>
      </c>
      <c r="I202" s="5" t="inlineStr">
        <is>
          <t>Specialized Freight (Except Used Goods) Trucking, Local</t>
        </is>
      </c>
      <c r="J202" s="5" t="inlineStr">
        <is>
          <t>42</t>
        </is>
      </c>
      <c r="K202" s="5" t="n">
        <v>4214</v>
      </c>
      <c r="L202" s="5" t="inlineStr">
        <is>
          <t>FL</t>
        </is>
      </c>
      <c r="M202" s="5" t="inlineStr">
        <is>
          <t>Diamond Bar Funding</t>
        </is>
      </c>
      <c r="N202" s="5" t="inlineStr">
        <is>
          <t>New Deal</t>
        </is>
      </c>
      <c r="O202" s="19" t="n">
        <v>1.4</v>
      </c>
      <c r="P202" s="20" t="n">
        <v>7000</v>
      </c>
      <c r="Q202" s="20" t="n">
        <v>665</v>
      </c>
      <c r="R202" s="20" t="n">
        <v>9800</v>
      </c>
      <c r="S202" s="20" t="n">
        <v>9800</v>
      </c>
      <c r="T202" s="20" t="n">
        <v>0</v>
      </c>
      <c r="U202" s="21" t="n">
        <v>1</v>
      </c>
      <c r="V202" s="22" t="n">
        <v>3.934</v>
      </c>
      <c r="W202" s="17" t="n">
        <v>140</v>
      </c>
      <c r="X202" s="17" t="n">
        <v>40</v>
      </c>
      <c r="Y202" s="20" t="n">
        <v>63028.05</v>
      </c>
      <c r="Z202" s="21" t="n">
        <v>0.0272</v>
      </c>
      <c r="AA202" s="16" t="n">
        <v>44673</v>
      </c>
      <c r="AB202" s="5">
        <f>IF(V202="","",IF(V202&lt;12,"Months","Weeks"))</f>
        <v/>
      </c>
      <c r="AC202" s="5">
        <f>IF(AB202="","",IF(AB202="Months","Daily","Weekly"))</f>
        <v/>
      </c>
      <c r="AD202" s="17">
        <f>IF(V202="","",IF(AC202="Daily",V202*Controls!$B$13,V202))</f>
        <v/>
      </c>
      <c r="AE202" s="17">
        <f>IF(V202="","",IF(AC202="Daily",V202*Controls!$B$13,V202*Controls!$B$12))</f>
        <v/>
      </c>
      <c r="AF202" s="17">
        <f>IF(OR(E202="",F202=""),"",F202-E202)</f>
        <v/>
      </c>
      <c r="AG202" s="17">
        <f>IF(OR(E202="",F202=""),"",NETWORKDAYS(E202,F202,Ref!$F$4:$F$47))</f>
        <v/>
      </c>
      <c r="AH202" s="39">
        <f>IF(IFERROR(VLOOKUP(D202,Controls!$A$25:$D$35,2,FALSE()),"No")="Yes",1,0)</f>
        <v/>
      </c>
      <c r="AI202" s="39">
        <f>IF(IFERROR(VLOOKUP(D202,Controls!$A$25:$D$35,3,FALSE()),"No")="Yes",1,0)</f>
        <v/>
      </c>
      <c r="AJ202" s="39">
        <f>IF(IFERROR(VLOOKUP(D202,Controls!$A$25:$D$35,4,FALSE()),"No")="Yes",1,0)</f>
        <v/>
      </c>
      <c r="AK202" s="96">
        <f>IF(AND($E202&gt;=Controls!$B$5,$E202&lt;=Controls!$B$6,OR(Controls!$E$9&lt;&gt;"Y",$BE202=1)),1,0)</f>
        <v/>
      </c>
      <c r="AL202" s="39">
        <f>1</f>
        <v/>
      </c>
      <c r="AM202" s="20">
        <f>S202-P202</f>
        <v/>
      </c>
      <c r="AN202" s="20">
        <f>IF(AH202=1,MAX(0,P202-S202),0)</f>
        <v/>
      </c>
      <c r="AO202" s="21">
        <f>IFERROR(S202/P202,"")</f>
        <v/>
      </c>
      <c r="AP202" s="22">
        <f>IF(Y202="","",P202/Y202)</f>
        <v/>
      </c>
      <c r="AQ202" s="39">
        <f>IF(Y202="",0,1)</f>
        <v/>
      </c>
      <c r="AR202" s="39">
        <f>IF(S202&lt;=0,1,0)</f>
        <v/>
      </c>
      <c r="AS202" s="17">
        <f>IF(AH202=1,AG202,"")</f>
        <v/>
      </c>
      <c r="AT202" s="17">
        <f>IF(AND(AH202=0,AJ202=1),AG202,"")</f>
        <v/>
      </c>
      <c r="AU202" s="5">
        <f>IF(P202&lt;10000,"Under $10K",IF(P202&lt;20000,"$10-20K",IF(P202&lt;30000,"$20-30K",IF(P202&lt;50000,"$30-50K",IF(P202&lt;100000,"$50-100K","$100K+")))))</f>
        <v/>
      </c>
      <c r="AV202" s="5">
        <f>IF(O202&lt;=1.35,"1.35 and under",IF(O202&lt;=1.42,"1.36-1.42",IF(O202&lt;=1.45,"1.43-1.45",IF(O202&lt;1.49,"1.46-1.48",IF(O202&lt;=1.49,"1.49","Above 1.49")))))</f>
        <v/>
      </c>
      <c r="AW202" s="5">
        <f>IF(AE202="","",IF(AE202&lt;60,"Under 60",IF(AE202&lt;90,"60-89",IF(AE202&lt;120,"90-119",IF(AE202&lt;150,"120-149","150+")))))</f>
        <v/>
      </c>
      <c r="AX202" s="5">
        <f>IF(AP202="","No revenue data",IF(AP202&lt;0.15,"Under 0.15x",IF(AP202&lt;0.3,"0.15-0.30x",IF(AP202&lt;0.5,"0.30-0.50x",IF(AP202&lt;1,"0.50-1.00x","1.00x+")))))</f>
        <v/>
      </c>
      <c r="AY202" s="5">
        <f>IF(J202="","No SIC",IFERROR(VLOOKUP(J202,Ref!$A$4:$C$67,2,FALSE()),"Unclassified"))</f>
        <v/>
      </c>
      <c r="AZ202" s="5">
        <f>IF(E202="","",TEXT(E202,"YYYY")&amp;"-Q"&amp;ROUNDUP(MONTH(E202)/3,0))</f>
        <v/>
      </c>
      <c r="BA202" s="5">
        <f>IF(E202="","",TEXT(E202,"YYYY-MM"))</f>
        <v/>
      </c>
      <c r="BB202" s="5">
        <f>IF(E202="","",TEXT(E202,"YYYY"))</f>
        <v/>
      </c>
      <c r="BC202" s="92">
        <f>IF($E202="","",NETWORKDAYS($E202,Controls!$B$9,Ref!$F$4:$F$47))</f>
        <v/>
      </c>
      <c r="BD202" s="92">
        <f>IF(OR($AH202=1,$AJ202=1),1,0)</f>
        <v/>
      </c>
      <c r="BE202" s="95">
        <f>IF(OR($BD202=1,AND($AE202&lt;&gt;"",$BC202&gt;=Controls!$B$10*$AE202)),1,0)</f>
        <v/>
      </c>
    </row>
    <row r="203" ht="15.75" customHeight="1" s="79">
      <c r="A203" s="5" t="inlineStr">
        <is>
          <t>5674164352</t>
        </is>
      </c>
      <c r="B203" s="5" t="inlineStr">
        <is>
          <t>Properties on the Go LLC</t>
        </is>
      </c>
      <c r="C203" s="5" t="inlineStr">
        <is>
          <t>Properties on the Go LLC</t>
        </is>
      </c>
      <c r="D203" s="5" t="inlineStr">
        <is>
          <t>Closed</t>
        </is>
      </c>
      <c r="E203" s="16" t="n">
        <v>45888</v>
      </c>
      <c r="F203" s="16" t="n">
        <v>45985</v>
      </c>
      <c r="G203" s="17" t="n">
        <v>1</v>
      </c>
      <c r="H203" s="5" t="inlineStr">
        <is>
          <t>8741</t>
        </is>
      </c>
      <c r="I203" s="5" t="inlineStr">
        <is>
          <t>Office Administrative Services</t>
        </is>
      </c>
      <c r="J203" s="5" t="inlineStr">
        <is>
          <t>87</t>
        </is>
      </c>
      <c r="K203" s="5" t="n">
        <v>7392</v>
      </c>
      <c r="L203" s="5" t="inlineStr">
        <is>
          <t>CA</t>
        </is>
      </c>
      <c r="M203" s="5" t="inlineStr">
        <is>
          <t>Tech Consulting Pro LLC D/B/A: Nationwide Advance</t>
        </is>
      </c>
      <c r="N203" s="5" t="inlineStr">
        <is>
          <t>New Deal</t>
        </is>
      </c>
      <c r="O203" s="19" t="n">
        <v>1.49</v>
      </c>
      <c r="P203" s="20" t="n">
        <v>30000</v>
      </c>
      <c r="Q203" s="20" t="n">
        <v>4200</v>
      </c>
      <c r="R203" s="20" t="n">
        <v>44700</v>
      </c>
      <c r="S203" s="20" t="n">
        <v>44700</v>
      </c>
      <c r="T203" s="20" t="n">
        <v>0</v>
      </c>
      <c r="U203" s="21" t="n">
        <v>1</v>
      </c>
      <c r="V203" s="22" t="n">
        <v>3.934</v>
      </c>
      <c r="W203" s="17" t="n">
        <v>268</v>
      </c>
      <c r="X203" s="17" t="n">
        <v>0</v>
      </c>
      <c r="Y203" s="20" t="n">
        <v>496879.88</v>
      </c>
      <c r="Z203" s="21" t="n">
        <v>0.0157</v>
      </c>
      <c r="AA203" s="5" t="n"/>
      <c r="AB203" s="5">
        <f>IF(V203="","",IF(V203&lt;12,"Months","Weeks"))</f>
        <v/>
      </c>
      <c r="AC203" s="5">
        <f>IF(AB203="","",IF(AB203="Months","Daily","Weekly"))</f>
        <v/>
      </c>
      <c r="AD203" s="17">
        <f>IF(V203="","",IF(AC203="Daily",V203*Controls!$B$13,V203))</f>
        <v/>
      </c>
      <c r="AE203" s="17">
        <f>IF(V203="","",IF(AC203="Daily",V203*Controls!$B$13,V203*Controls!$B$12))</f>
        <v/>
      </c>
      <c r="AF203" s="17">
        <f>IF(OR(E203="",F203=""),"",F203-E203)</f>
        <v/>
      </c>
      <c r="AG203" s="17">
        <f>IF(OR(E203="",F203=""),"",NETWORKDAYS(E203,F203,Ref!$F$4:$F$47))</f>
        <v/>
      </c>
      <c r="AH203" s="39">
        <f>IF(IFERROR(VLOOKUP(D203,Controls!$A$25:$D$35,2,FALSE()),"No")="Yes",1,0)</f>
        <v/>
      </c>
      <c r="AI203" s="39">
        <f>IF(IFERROR(VLOOKUP(D203,Controls!$A$25:$D$35,3,FALSE()),"No")="Yes",1,0)</f>
        <v/>
      </c>
      <c r="AJ203" s="39">
        <f>IF(IFERROR(VLOOKUP(D203,Controls!$A$25:$D$35,4,FALSE()),"No")="Yes",1,0)</f>
        <v/>
      </c>
      <c r="AK203" s="96">
        <f>IF(AND($E203&gt;=Controls!$B$5,$E203&lt;=Controls!$B$6,OR(Controls!$E$9&lt;&gt;"Y",$BE203=1)),1,0)</f>
        <v/>
      </c>
      <c r="AL203" s="39">
        <f>1</f>
        <v/>
      </c>
      <c r="AM203" s="20">
        <f>S203-P203</f>
        <v/>
      </c>
      <c r="AN203" s="20">
        <f>IF(AH203=1,MAX(0,P203-S203),0)</f>
        <v/>
      </c>
      <c r="AO203" s="21">
        <f>IFERROR(S203/P203,"")</f>
        <v/>
      </c>
      <c r="AP203" s="22">
        <f>IF(Y203="","",P203/Y203)</f>
        <v/>
      </c>
      <c r="AQ203" s="39">
        <f>IF(Y203="",0,1)</f>
        <v/>
      </c>
      <c r="AR203" s="39">
        <f>IF(S203&lt;=0,1,0)</f>
        <v/>
      </c>
      <c r="AS203" s="17">
        <f>IF(AH203=1,AG203,"")</f>
        <v/>
      </c>
      <c r="AT203" s="17">
        <f>IF(AND(AH203=0,AJ203=1),AG203,"")</f>
        <v/>
      </c>
      <c r="AU203" s="5">
        <f>IF(P203&lt;10000,"Under $10K",IF(P203&lt;20000,"$10-20K",IF(P203&lt;30000,"$20-30K",IF(P203&lt;50000,"$30-50K",IF(P203&lt;100000,"$50-100K","$100K+")))))</f>
        <v/>
      </c>
      <c r="AV203" s="5">
        <f>IF(O203&lt;=1.35,"1.35 and under",IF(O203&lt;=1.42,"1.36-1.42",IF(O203&lt;=1.45,"1.43-1.45",IF(O203&lt;1.49,"1.46-1.48",IF(O203&lt;=1.49,"1.49","Above 1.49")))))</f>
        <v/>
      </c>
      <c r="AW203" s="5">
        <f>IF(AE203="","",IF(AE203&lt;60,"Under 60",IF(AE203&lt;90,"60-89",IF(AE203&lt;120,"90-119",IF(AE203&lt;150,"120-149","150+")))))</f>
        <v/>
      </c>
      <c r="AX203" s="5">
        <f>IF(AP203="","No revenue data",IF(AP203&lt;0.15,"Under 0.15x",IF(AP203&lt;0.3,"0.15-0.30x",IF(AP203&lt;0.5,"0.30-0.50x",IF(AP203&lt;1,"0.50-1.00x","1.00x+")))))</f>
        <v/>
      </c>
      <c r="AY203" s="5">
        <f>IF(J203="","No SIC",IFERROR(VLOOKUP(J203,Ref!$A$4:$C$67,2,FALSE()),"Unclassified"))</f>
        <v/>
      </c>
      <c r="AZ203" s="5">
        <f>IF(E203="","",TEXT(E203,"YYYY")&amp;"-Q"&amp;ROUNDUP(MONTH(E203)/3,0))</f>
        <v/>
      </c>
      <c r="BA203" s="5">
        <f>IF(E203="","",TEXT(E203,"YYYY-MM"))</f>
        <v/>
      </c>
      <c r="BB203" s="5">
        <f>IF(E203="","",TEXT(E203,"YYYY"))</f>
        <v/>
      </c>
      <c r="BC203" s="92">
        <f>IF($E203="","",NETWORKDAYS($E203,Controls!$B$9,Ref!$F$4:$F$47))</f>
        <v/>
      </c>
      <c r="BD203" s="92">
        <f>IF(OR($AH203=1,$AJ203=1),1,0)</f>
        <v/>
      </c>
      <c r="BE203" s="95">
        <f>IF(OR($BD203=1,AND($AE203&lt;&gt;"",$BC203&gt;=Controls!$B$10*$AE203)),1,0)</f>
        <v/>
      </c>
    </row>
    <row r="204" ht="15.75" customHeight="1" s="79">
      <c r="A204" s="5" t="inlineStr">
        <is>
          <t>5674164385</t>
        </is>
      </c>
      <c r="B204" s="5" t="inlineStr">
        <is>
          <t>Philadelphia Academy for Nurse Aide Training</t>
        </is>
      </c>
      <c r="C204" s="5" t="inlineStr">
        <is>
          <t>PA NAT INC</t>
        </is>
      </c>
      <c r="D204" s="5" t="inlineStr">
        <is>
          <t>Legal</t>
        </is>
      </c>
      <c r="E204" s="16" t="n">
        <v>45889</v>
      </c>
      <c r="F204" s="16" t="n">
        <v>46234</v>
      </c>
      <c r="G204" s="17" t="n">
        <v>3</v>
      </c>
      <c r="H204" s="5" t="inlineStr">
        <is>
          <t>8331</t>
        </is>
      </c>
      <c r="I204" s="5" t="inlineStr">
        <is>
          <t>Vocational Rehabilitation Services</t>
        </is>
      </c>
      <c r="J204" s="5" t="inlineStr">
        <is>
          <t>83</t>
        </is>
      </c>
      <c r="K204" s="5" t="n">
        <v>8050</v>
      </c>
      <c r="L204" s="5" t="inlineStr">
        <is>
          <t>PA</t>
        </is>
      </c>
      <c r="M204" s="5" t="inlineStr">
        <is>
          <t>Shore Funding USA</t>
        </is>
      </c>
      <c r="N204" s="5" t="inlineStr">
        <is>
          <t>New Deal</t>
        </is>
      </c>
      <c r="O204" s="19" t="n">
        <v>1.45</v>
      </c>
      <c r="P204" s="20" t="n">
        <v>4000</v>
      </c>
      <c r="Q204" s="20" t="n">
        <v>480</v>
      </c>
      <c r="R204" s="20" t="n">
        <v>5800</v>
      </c>
      <c r="S204" s="20" t="n">
        <v>4658.88</v>
      </c>
      <c r="T204" s="20" t="n">
        <v>1141.12</v>
      </c>
      <c r="U204" s="21" t="n">
        <v>0.803255172413793</v>
      </c>
      <c r="V204" s="22" t="n">
        <v>14</v>
      </c>
      <c r="W204" s="17" t="n">
        <v>19</v>
      </c>
      <c r="X204" s="17" t="n">
        <v>12</v>
      </c>
      <c r="Y204" s="20" t="n">
        <v>33266.53</v>
      </c>
      <c r="Z204" s="21" t="n">
        <v>0.047</v>
      </c>
      <c r="AA204" s="16" t="n">
        <v>42964</v>
      </c>
      <c r="AB204" s="5">
        <f>IF(V204="","",IF(V204&lt;12,"Months","Weeks"))</f>
        <v/>
      </c>
      <c r="AC204" s="5">
        <f>IF(AB204="","",IF(AB204="Months","Daily","Weekly"))</f>
        <v/>
      </c>
      <c r="AD204" s="17">
        <f>IF(V204="","",IF(AC204="Daily",V204*Controls!$B$13,V204))</f>
        <v/>
      </c>
      <c r="AE204" s="17">
        <f>IF(V204="","",IF(AC204="Daily",V204*Controls!$B$13,V204*Controls!$B$12))</f>
        <v/>
      </c>
      <c r="AF204" s="17">
        <f>IF(OR(E204="",F204=""),"",F204-E204)</f>
        <v/>
      </c>
      <c r="AG204" s="17">
        <f>IF(OR(E204="",F204=""),"",NETWORKDAYS(E204,F204,Ref!$F$4:$F$47))</f>
        <v/>
      </c>
      <c r="AH204" s="39">
        <f>IF(IFERROR(VLOOKUP(D204,Controls!$A$25:$D$35,2,FALSE()),"No")="Yes",1,0)</f>
        <v/>
      </c>
      <c r="AI204" s="39">
        <f>IF(IFERROR(VLOOKUP(D204,Controls!$A$25:$D$35,3,FALSE()),"No")="Yes",1,0)</f>
        <v/>
      </c>
      <c r="AJ204" s="39">
        <f>IF(IFERROR(VLOOKUP(D204,Controls!$A$25:$D$35,4,FALSE()),"No")="Yes",1,0)</f>
        <v/>
      </c>
      <c r="AK204" s="96">
        <f>IF(AND($E204&gt;=Controls!$B$5,$E204&lt;=Controls!$B$6,OR(Controls!$E$9&lt;&gt;"Y",$BE204=1)),1,0)</f>
        <v/>
      </c>
      <c r="AL204" s="39">
        <f>1</f>
        <v/>
      </c>
      <c r="AM204" s="20">
        <f>S204-P204</f>
        <v/>
      </c>
      <c r="AN204" s="20">
        <f>IF(AH204=1,MAX(0,P204-S204),0)</f>
        <v/>
      </c>
      <c r="AO204" s="21">
        <f>IFERROR(S204/P204,"")</f>
        <v/>
      </c>
      <c r="AP204" s="22">
        <f>IF(Y204="","",P204/Y204)</f>
        <v/>
      </c>
      <c r="AQ204" s="39">
        <f>IF(Y204="",0,1)</f>
        <v/>
      </c>
      <c r="AR204" s="39">
        <f>IF(S204&lt;=0,1,0)</f>
        <v/>
      </c>
      <c r="AS204" s="17">
        <f>IF(AH204=1,AG204,"")</f>
        <v/>
      </c>
      <c r="AT204" s="17">
        <f>IF(AND(AH204=0,AJ204=1),AG204,"")</f>
        <v/>
      </c>
      <c r="AU204" s="5">
        <f>IF(P204&lt;10000,"Under $10K",IF(P204&lt;20000,"$10-20K",IF(P204&lt;30000,"$20-30K",IF(P204&lt;50000,"$30-50K",IF(P204&lt;100000,"$50-100K","$100K+")))))</f>
        <v/>
      </c>
      <c r="AV204" s="5">
        <f>IF(O204&lt;=1.35,"1.35 and under",IF(O204&lt;=1.42,"1.36-1.42",IF(O204&lt;=1.45,"1.43-1.45",IF(O204&lt;1.49,"1.46-1.48",IF(O204&lt;=1.49,"1.49","Above 1.49")))))</f>
        <v/>
      </c>
      <c r="AW204" s="5">
        <f>IF(AE204="","",IF(AE204&lt;60,"Under 60",IF(AE204&lt;90,"60-89",IF(AE204&lt;120,"90-119",IF(AE204&lt;150,"120-149","150+")))))</f>
        <v/>
      </c>
      <c r="AX204" s="5">
        <f>IF(AP204="","No revenue data",IF(AP204&lt;0.15,"Under 0.15x",IF(AP204&lt;0.3,"0.15-0.30x",IF(AP204&lt;0.5,"0.30-0.50x",IF(AP204&lt;1,"0.50-1.00x","1.00x+")))))</f>
        <v/>
      </c>
      <c r="AY204" s="5">
        <f>IF(J204="","No SIC",IFERROR(VLOOKUP(J204,Ref!$A$4:$C$67,2,FALSE()),"Unclassified"))</f>
        <v/>
      </c>
      <c r="AZ204" s="5">
        <f>IF(E204="","",TEXT(E204,"YYYY")&amp;"-Q"&amp;ROUNDUP(MONTH(E204)/3,0))</f>
        <v/>
      </c>
      <c r="BA204" s="5">
        <f>IF(E204="","",TEXT(E204,"YYYY-MM"))</f>
        <v/>
      </c>
      <c r="BB204" s="5">
        <f>IF(E204="","",TEXT(E204,"YYYY"))</f>
        <v/>
      </c>
      <c r="BC204" s="92">
        <f>IF($E204="","",NETWORKDAYS($E204,Controls!$B$9,Ref!$F$4:$F$47))</f>
        <v/>
      </c>
      <c r="BD204" s="92">
        <f>IF(OR($AH204=1,$AJ204=1),1,0)</f>
        <v/>
      </c>
      <c r="BE204" s="95">
        <f>IF(OR($BD204=1,AND($AE204&lt;&gt;"",$BC204&gt;=Controls!$B$10*$AE204)),1,0)</f>
        <v/>
      </c>
    </row>
    <row r="205" ht="15.75" customHeight="1" s="79">
      <c r="A205" s="5" t="inlineStr">
        <is>
          <t>5674164388</t>
        </is>
      </c>
      <c r="B205" s="5" t="inlineStr">
        <is>
          <t>BOUNCIN LIL' RASCALS</t>
        </is>
      </c>
      <c r="C205" s="5" t="inlineStr">
        <is>
          <t>KARLY MARGARET SCOTT</t>
        </is>
      </c>
      <c r="D205" s="5" t="inlineStr">
        <is>
          <t>Closed</t>
        </is>
      </c>
      <c r="E205" s="16" t="n">
        <v>45889</v>
      </c>
      <c r="F205" s="16" t="n">
        <v>46120</v>
      </c>
      <c r="G205" s="17" t="n">
        <v>2</v>
      </c>
      <c r="H205" s="5" t="inlineStr">
        <is>
          <t>7999</t>
        </is>
      </c>
      <c r="I205" s="5" t="inlineStr">
        <is>
          <t>All Other Amusement and Recreation Industries</t>
        </is>
      </c>
      <c r="J205" s="5" t="inlineStr">
        <is>
          <t>79</t>
        </is>
      </c>
      <c r="K205" s="5" t="n">
        <v>7999</v>
      </c>
      <c r="L205" s="5" t="inlineStr">
        <is>
          <t>TX</t>
        </is>
      </c>
      <c r="M205" s="5" t="inlineStr">
        <is>
          <t>Fidelity Funding</t>
        </is>
      </c>
      <c r="N205" s="5" t="inlineStr">
        <is>
          <t>New Deal</t>
        </is>
      </c>
      <c r="O205" s="19" t="n">
        <v>1.49</v>
      </c>
      <c r="P205" s="20" t="n">
        <v>25000</v>
      </c>
      <c r="Q205" s="20" t="n">
        <v>3500</v>
      </c>
      <c r="R205" s="20" t="n">
        <v>37250</v>
      </c>
      <c r="S205" s="20" t="n">
        <v>37250</v>
      </c>
      <c r="T205" s="20" t="n">
        <v>0</v>
      </c>
      <c r="U205" s="21" t="n">
        <v>1</v>
      </c>
      <c r="V205" s="22" t="n">
        <v>32</v>
      </c>
      <c r="W205" s="17" t="n">
        <v>133</v>
      </c>
      <c r="X205" s="17" t="n">
        <v>0</v>
      </c>
      <c r="Y205" s="20" t="n">
        <v>39684.84</v>
      </c>
      <c r="Z205" s="21" t="n">
        <v>0.1173</v>
      </c>
      <c r="AA205" s="5" t="n"/>
      <c r="AB205" s="5">
        <f>IF(V205="","",IF(V205&lt;12,"Months","Weeks"))</f>
        <v/>
      </c>
      <c r="AC205" s="5">
        <f>IF(AB205="","",IF(AB205="Months","Daily","Weekly"))</f>
        <v/>
      </c>
      <c r="AD205" s="17">
        <f>IF(V205="","",IF(AC205="Daily",V205*Controls!$B$13,V205))</f>
        <v/>
      </c>
      <c r="AE205" s="17">
        <f>IF(V205="","",IF(AC205="Daily",V205*Controls!$B$13,V205*Controls!$B$12))</f>
        <v/>
      </c>
      <c r="AF205" s="17">
        <f>IF(OR(E205="",F205=""),"",F205-E205)</f>
        <v/>
      </c>
      <c r="AG205" s="17">
        <f>IF(OR(E205="",F205=""),"",NETWORKDAYS(E205,F205,Ref!$F$4:$F$47))</f>
        <v/>
      </c>
      <c r="AH205" s="39">
        <f>IF(IFERROR(VLOOKUP(D205,Controls!$A$25:$D$35,2,FALSE()),"No")="Yes",1,0)</f>
        <v/>
      </c>
      <c r="AI205" s="39">
        <f>IF(IFERROR(VLOOKUP(D205,Controls!$A$25:$D$35,3,FALSE()),"No")="Yes",1,0)</f>
        <v/>
      </c>
      <c r="AJ205" s="39">
        <f>IF(IFERROR(VLOOKUP(D205,Controls!$A$25:$D$35,4,FALSE()),"No")="Yes",1,0)</f>
        <v/>
      </c>
      <c r="AK205" s="96">
        <f>IF(AND($E205&gt;=Controls!$B$5,$E205&lt;=Controls!$B$6,OR(Controls!$E$9&lt;&gt;"Y",$BE205=1)),1,0)</f>
        <v/>
      </c>
      <c r="AL205" s="39">
        <f>1</f>
        <v/>
      </c>
      <c r="AM205" s="20">
        <f>S205-P205</f>
        <v/>
      </c>
      <c r="AN205" s="20">
        <f>IF(AH205=1,MAX(0,P205-S205),0)</f>
        <v/>
      </c>
      <c r="AO205" s="21">
        <f>IFERROR(S205/P205,"")</f>
        <v/>
      </c>
      <c r="AP205" s="22">
        <f>IF(Y205="","",P205/Y205)</f>
        <v/>
      </c>
      <c r="AQ205" s="39">
        <f>IF(Y205="",0,1)</f>
        <v/>
      </c>
      <c r="AR205" s="39">
        <f>IF(S205&lt;=0,1,0)</f>
        <v/>
      </c>
      <c r="AS205" s="17">
        <f>IF(AH205=1,AG205,"")</f>
        <v/>
      </c>
      <c r="AT205" s="17">
        <f>IF(AND(AH205=0,AJ205=1),AG205,"")</f>
        <v/>
      </c>
      <c r="AU205" s="5">
        <f>IF(P205&lt;10000,"Under $10K",IF(P205&lt;20000,"$10-20K",IF(P205&lt;30000,"$20-30K",IF(P205&lt;50000,"$30-50K",IF(P205&lt;100000,"$50-100K","$100K+")))))</f>
        <v/>
      </c>
      <c r="AV205" s="5">
        <f>IF(O205&lt;=1.35,"1.35 and under",IF(O205&lt;=1.42,"1.36-1.42",IF(O205&lt;=1.45,"1.43-1.45",IF(O205&lt;1.49,"1.46-1.48",IF(O205&lt;=1.49,"1.49","Above 1.49")))))</f>
        <v/>
      </c>
      <c r="AW205" s="5">
        <f>IF(AE205="","",IF(AE205&lt;60,"Under 60",IF(AE205&lt;90,"60-89",IF(AE205&lt;120,"90-119",IF(AE205&lt;150,"120-149","150+")))))</f>
        <v/>
      </c>
      <c r="AX205" s="5">
        <f>IF(AP205="","No revenue data",IF(AP205&lt;0.15,"Under 0.15x",IF(AP205&lt;0.3,"0.15-0.30x",IF(AP205&lt;0.5,"0.30-0.50x",IF(AP205&lt;1,"0.50-1.00x","1.00x+")))))</f>
        <v/>
      </c>
      <c r="AY205" s="5">
        <f>IF(J205="","No SIC",IFERROR(VLOOKUP(J205,Ref!$A$4:$C$67,2,FALSE()),"Unclassified"))</f>
        <v/>
      </c>
      <c r="AZ205" s="5">
        <f>IF(E205="","",TEXT(E205,"YYYY")&amp;"-Q"&amp;ROUNDUP(MONTH(E205)/3,0))</f>
        <v/>
      </c>
      <c r="BA205" s="5">
        <f>IF(E205="","",TEXT(E205,"YYYY-MM"))</f>
        <v/>
      </c>
      <c r="BB205" s="5">
        <f>IF(E205="","",TEXT(E205,"YYYY"))</f>
        <v/>
      </c>
      <c r="BC205" s="92">
        <f>IF($E205="","",NETWORKDAYS($E205,Controls!$B$9,Ref!$F$4:$F$47))</f>
        <v/>
      </c>
      <c r="BD205" s="92">
        <f>IF(OR($AH205=1,$AJ205=1),1,0)</f>
        <v/>
      </c>
      <c r="BE205" s="95">
        <f>IF(OR($BD205=1,AND($AE205&lt;&gt;"",$BC205&gt;=Controls!$B$10*$AE205)),1,0)</f>
        <v/>
      </c>
    </row>
    <row r="206" ht="15.75" customHeight="1" s="79">
      <c r="A206" s="5" t="inlineStr">
        <is>
          <t>5674164443</t>
        </is>
      </c>
      <c r="B206" s="5" t="inlineStr">
        <is>
          <t>The Head Spa Sanctuary</t>
        </is>
      </c>
      <c r="C206" s="5" t="inlineStr">
        <is>
          <t>The Head Spa Sanctuary</t>
        </is>
      </c>
      <c r="D206" s="5" t="inlineStr">
        <is>
          <t>Closed</t>
        </is>
      </c>
      <c r="E206" s="16" t="n">
        <v>45889</v>
      </c>
      <c r="F206" s="16" t="n">
        <v>46191</v>
      </c>
      <c r="G206" s="17" t="n">
        <v>4</v>
      </c>
      <c r="H206" s="5" t="inlineStr">
        <is>
          <t>7299</t>
        </is>
      </c>
      <c r="I206" s="5" t="inlineStr">
        <is>
          <t>All Other Personal Services</t>
        </is>
      </c>
      <c r="J206" s="5" t="inlineStr">
        <is>
          <t>72</t>
        </is>
      </c>
      <c r="K206" s="5" t="n">
        <v>7299</v>
      </c>
      <c r="L206" s="5" t="inlineStr">
        <is>
          <t>NC</t>
        </is>
      </c>
      <c r="M206" s="5" t="inlineStr">
        <is>
          <t>Tech Consulting Pro LLC D/B/A: Nationwide Advance</t>
        </is>
      </c>
      <c r="N206" s="5" t="inlineStr">
        <is>
          <t>New Deal</t>
        </is>
      </c>
      <c r="O206" s="19" t="n">
        <v>1.49</v>
      </c>
      <c r="P206" s="20" t="n">
        <v>30000</v>
      </c>
      <c r="Q206" s="20" t="n">
        <v>4200</v>
      </c>
      <c r="R206" s="20" t="n">
        <v>44700</v>
      </c>
      <c r="S206" s="20" t="n">
        <v>44700</v>
      </c>
      <c r="T206" s="20" t="n">
        <v>0</v>
      </c>
      <c r="U206" s="21" t="n">
        <v>1</v>
      </c>
      <c r="V206" s="22" t="n">
        <v>26</v>
      </c>
      <c r="W206" s="17" t="n">
        <v>62</v>
      </c>
      <c r="X206" s="17" t="n">
        <v>0</v>
      </c>
      <c r="Y206" s="20" t="n">
        <v>417627.88</v>
      </c>
      <c r="Z206" s="21" t="n">
        <v>0.0165</v>
      </c>
      <c r="AA206" s="5" t="n"/>
      <c r="AB206" s="5">
        <f>IF(V206="","",IF(V206&lt;12,"Months","Weeks"))</f>
        <v/>
      </c>
      <c r="AC206" s="5">
        <f>IF(AB206="","",IF(AB206="Months","Daily","Weekly"))</f>
        <v/>
      </c>
      <c r="AD206" s="17">
        <f>IF(V206="","",IF(AC206="Daily",V206*Controls!$B$13,V206))</f>
        <v/>
      </c>
      <c r="AE206" s="17">
        <f>IF(V206="","",IF(AC206="Daily",V206*Controls!$B$13,V206*Controls!$B$12))</f>
        <v/>
      </c>
      <c r="AF206" s="17">
        <f>IF(OR(E206="",F206=""),"",F206-E206)</f>
        <v/>
      </c>
      <c r="AG206" s="17">
        <f>IF(OR(E206="",F206=""),"",NETWORKDAYS(E206,F206,Ref!$F$4:$F$47))</f>
        <v/>
      </c>
      <c r="AH206" s="39">
        <f>IF(IFERROR(VLOOKUP(D206,Controls!$A$25:$D$35,2,FALSE()),"No")="Yes",1,0)</f>
        <v/>
      </c>
      <c r="AI206" s="39">
        <f>IF(IFERROR(VLOOKUP(D206,Controls!$A$25:$D$35,3,FALSE()),"No")="Yes",1,0)</f>
        <v/>
      </c>
      <c r="AJ206" s="39">
        <f>IF(IFERROR(VLOOKUP(D206,Controls!$A$25:$D$35,4,FALSE()),"No")="Yes",1,0)</f>
        <v/>
      </c>
      <c r="AK206" s="96">
        <f>IF(AND($E206&gt;=Controls!$B$5,$E206&lt;=Controls!$B$6,OR(Controls!$E$9&lt;&gt;"Y",$BE206=1)),1,0)</f>
        <v/>
      </c>
      <c r="AL206" s="39">
        <f>1</f>
        <v/>
      </c>
      <c r="AM206" s="20">
        <f>S206-P206</f>
        <v/>
      </c>
      <c r="AN206" s="20">
        <f>IF(AH206=1,MAX(0,P206-S206),0)</f>
        <v/>
      </c>
      <c r="AO206" s="21">
        <f>IFERROR(S206/P206,"")</f>
        <v/>
      </c>
      <c r="AP206" s="22">
        <f>IF(Y206="","",P206/Y206)</f>
        <v/>
      </c>
      <c r="AQ206" s="39">
        <f>IF(Y206="",0,1)</f>
        <v/>
      </c>
      <c r="AR206" s="39">
        <f>IF(S206&lt;=0,1,0)</f>
        <v/>
      </c>
      <c r="AS206" s="17">
        <f>IF(AH206=1,AG206,"")</f>
        <v/>
      </c>
      <c r="AT206" s="17">
        <f>IF(AND(AH206=0,AJ206=1),AG206,"")</f>
        <v/>
      </c>
      <c r="AU206" s="5">
        <f>IF(P206&lt;10000,"Under $10K",IF(P206&lt;20000,"$10-20K",IF(P206&lt;30000,"$20-30K",IF(P206&lt;50000,"$30-50K",IF(P206&lt;100000,"$50-100K","$100K+")))))</f>
        <v/>
      </c>
      <c r="AV206" s="5">
        <f>IF(O206&lt;=1.35,"1.35 and under",IF(O206&lt;=1.42,"1.36-1.42",IF(O206&lt;=1.45,"1.43-1.45",IF(O206&lt;1.49,"1.46-1.48",IF(O206&lt;=1.49,"1.49","Above 1.49")))))</f>
        <v/>
      </c>
      <c r="AW206" s="5">
        <f>IF(AE206="","",IF(AE206&lt;60,"Under 60",IF(AE206&lt;90,"60-89",IF(AE206&lt;120,"90-119",IF(AE206&lt;150,"120-149","150+")))))</f>
        <v/>
      </c>
      <c r="AX206" s="5">
        <f>IF(AP206="","No revenue data",IF(AP206&lt;0.15,"Under 0.15x",IF(AP206&lt;0.3,"0.15-0.30x",IF(AP206&lt;0.5,"0.30-0.50x",IF(AP206&lt;1,"0.50-1.00x","1.00x+")))))</f>
        <v/>
      </c>
      <c r="AY206" s="5">
        <f>IF(J206="","No SIC",IFERROR(VLOOKUP(J206,Ref!$A$4:$C$67,2,FALSE()),"Unclassified"))</f>
        <v/>
      </c>
      <c r="AZ206" s="5">
        <f>IF(E206="","",TEXT(E206,"YYYY")&amp;"-Q"&amp;ROUNDUP(MONTH(E206)/3,0))</f>
        <v/>
      </c>
      <c r="BA206" s="5">
        <f>IF(E206="","",TEXT(E206,"YYYY-MM"))</f>
        <v/>
      </c>
      <c r="BB206" s="5">
        <f>IF(E206="","",TEXT(E206,"YYYY"))</f>
        <v/>
      </c>
      <c r="BC206" s="92">
        <f>IF($E206="","",NETWORKDAYS($E206,Controls!$B$9,Ref!$F$4:$F$47))</f>
        <v/>
      </c>
      <c r="BD206" s="92">
        <f>IF(OR($AH206=1,$AJ206=1),1,0)</f>
        <v/>
      </c>
      <c r="BE206" s="95">
        <f>IF(OR($BD206=1,AND($AE206&lt;&gt;"",$BC206&gt;=Controls!$B$10*$AE206)),1,0)</f>
        <v/>
      </c>
    </row>
    <row r="207" ht="15.75" customHeight="1" s="79">
      <c r="A207" s="5" t="inlineStr">
        <is>
          <t>5674164518</t>
        </is>
      </c>
      <c r="B207" s="5" t="inlineStr">
        <is>
          <t>REDLINE FORESTRY MULCHING LLC</t>
        </is>
      </c>
      <c r="C207" s="5" t="inlineStr">
        <is>
          <t>REDLINE FORESTRY MULCHING LLC</t>
        </is>
      </c>
      <c r="D207" s="5" t="inlineStr">
        <is>
          <t>Closed</t>
        </is>
      </c>
      <c r="E207" s="16" t="n">
        <v>45890</v>
      </c>
      <c r="F207" s="16" t="n">
        <v>45939</v>
      </c>
      <c r="G207" s="17" t="n">
        <v>3</v>
      </c>
      <c r="H207" s="5" t="inlineStr">
        <is>
          <t>0781</t>
        </is>
      </c>
      <c r="I207" s="5" t="inlineStr">
        <is>
          <t>Landscape Architectural Services</t>
        </is>
      </c>
      <c r="J207" s="5" t="inlineStr">
        <is>
          <t>07</t>
        </is>
      </c>
      <c r="K207" s="5" t="n">
        <v>1799</v>
      </c>
      <c r="L207" s="5" t="inlineStr">
        <is>
          <t>NC</t>
        </is>
      </c>
      <c r="M207" s="5" t="inlineStr">
        <is>
          <t>United Secured Capital 8</t>
        </is>
      </c>
      <c r="N207" s="5" t="inlineStr">
        <is>
          <t>New Deal</t>
        </is>
      </c>
      <c r="O207" s="19" t="n">
        <v>1.499</v>
      </c>
      <c r="P207" s="20" t="n">
        <v>10000</v>
      </c>
      <c r="Q207" s="20" t="n">
        <v>1400</v>
      </c>
      <c r="R207" s="20" t="n">
        <v>14990</v>
      </c>
      <c r="S207" s="20" t="n">
        <v>14990</v>
      </c>
      <c r="T207" s="20" t="n">
        <v>1.81898940354586e-12</v>
      </c>
      <c r="U207" s="21" t="n">
        <v>1</v>
      </c>
      <c r="V207" s="22" t="n">
        <v>2.295</v>
      </c>
      <c r="W207" s="17" t="n">
        <v>314</v>
      </c>
      <c r="X207" s="17" t="n">
        <v>0</v>
      </c>
      <c r="Y207" s="20" t="n">
        <v>27587.37</v>
      </c>
      <c r="Z207" s="21" t="n">
        <v>0.162</v>
      </c>
      <c r="AA207" s="5" t="n"/>
      <c r="AB207" s="5">
        <f>IF(V207="","",IF(V207&lt;12,"Months","Weeks"))</f>
        <v/>
      </c>
      <c r="AC207" s="5">
        <f>IF(AB207="","",IF(AB207="Months","Daily","Weekly"))</f>
        <v/>
      </c>
      <c r="AD207" s="17">
        <f>IF(V207="","",IF(AC207="Daily",V207*Controls!$B$13,V207))</f>
        <v/>
      </c>
      <c r="AE207" s="17">
        <f>IF(V207="","",IF(AC207="Daily",V207*Controls!$B$13,V207*Controls!$B$12))</f>
        <v/>
      </c>
      <c r="AF207" s="17">
        <f>IF(OR(E207="",F207=""),"",F207-E207)</f>
        <v/>
      </c>
      <c r="AG207" s="17">
        <f>IF(OR(E207="",F207=""),"",NETWORKDAYS(E207,F207,Ref!$F$4:$F$47))</f>
        <v/>
      </c>
      <c r="AH207" s="39">
        <f>IF(IFERROR(VLOOKUP(D207,Controls!$A$25:$D$35,2,FALSE()),"No")="Yes",1,0)</f>
        <v/>
      </c>
      <c r="AI207" s="39">
        <f>IF(IFERROR(VLOOKUP(D207,Controls!$A$25:$D$35,3,FALSE()),"No")="Yes",1,0)</f>
        <v/>
      </c>
      <c r="AJ207" s="39">
        <f>IF(IFERROR(VLOOKUP(D207,Controls!$A$25:$D$35,4,FALSE()),"No")="Yes",1,0)</f>
        <v/>
      </c>
      <c r="AK207" s="96">
        <f>IF(AND($E207&gt;=Controls!$B$5,$E207&lt;=Controls!$B$6,OR(Controls!$E$9&lt;&gt;"Y",$BE207=1)),1,0)</f>
        <v/>
      </c>
      <c r="AL207" s="39">
        <f>1</f>
        <v/>
      </c>
      <c r="AM207" s="20">
        <f>S207-P207</f>
        <v/>
      </c>
      <c r="AN207" s="20">
        <f>IF(AH207=1,MAX(0,P207-S207),0)</f>
        <v/>
      </c>
      <c r="AO207" s="21">
        <f>IFERROR(S207/P207,"")</f>
        <v/>
      </c>
      <c r="AP207" s="22">
        <f>IF(Y207="","",P207/Y207)</f>
        <v/>
      </c>
      <c r="AQ207" s="39">
        <f>IF(Y207="",0,1)</f>
        <v/>
      </c>
      <c r="AR207" s="39">
        <f>IF(S207&lt;=0,1,0)</f>
        <v/>
      </c>
      <c r="AS207" s="17">
        <f>IF(AH207=1,AG207,"")</f>
        <v/>
      </c>
      <c r="AT207" s="17">
        <f>IF(AND(AH207=0,AJ207=1),AG207,"")</f>
        <v/>
      </c>
      <c r="AU207" s="5">
        <f>IF(P207&lt;10000,"Under $10K",IF(P207&lt;20000,"$10-20K",IF(P207&lt;30000,"$20-30K",IF(P207&lt;50000,"$30-50K",IF(P207&lt;100000,"$50-100K","$100K+")))))</f>
        <v/>
      </c>
      <c r="AV207" s="5">
        <f>IF(O207&lt;=1.35,"1.35 and under",IF(O207&lt;=1.42,"1.36-1.42",IF(O207&lt;=1.45,"1.43-1.45",IF(O207&lt;1.49,"1.46-1.48",IF(O207&lt;=1.49,"1.49","Above 1.49")))))</f>
        <v/>
      </c>
      <c r="AW207" s="5">
        <f>IF(AE207="","",IF(AE207&lt;60,"Under 60",IF(AE207&lt;90,"60-89",IF(AE207&lt;120,"90-119",IF(AE207&lt;150,"120-149","150+")))))</f>
        <v/>
      </c>
      <c r="AX207" s="5">
        <f>IF(AP207="","No revenue data",IF(AP207&lt;0.15,"Under 0.15x",IF(AP207&lt;0.3,"0.15-0.30x",IF(AP207&lt;0.5,"0.30-0.50x",IF(AP207&lt;1,"0.50-1.00x","1.00x+")))))</f>
        <v/>
      </c>
      <c r="AY207" s="5">
        <f>IF(J207="","No SIC",IFERROR(VLOOKUP(J207,Ref!$A$4:$C$67,2,FALSE()),"Unclassified"))</f>
        <v/>
      </c>
      <c r="AZ207" s="5">
        <f>IF(E207="","",TEXT(E207,"YYYY")&amp;"-Q"&amp;ROUNDUP(MONTH(E207)/3,0))</f>
        <v/>
      </c>
      <c r="BA207" s="5">
        <f>IF(E207="","",TEXT(E207,"YYYY-MM"))</f>
        <v/>
      </c>
      <c r="BB207" s="5">
        <f>IF(E207="","",TEXT(E207,"YYYY"))</f>
        <v/>
      </c>
      <c r="BC207" s="92">
        <f>IF($E207="","",NETWORKDAYS($E207,Controls!$B$9,Ref!$F$4:$F$47))</f>
        <v/>
      </c>
      <c r="BD207" s="92">
        <f>IF(OR($AH207=1,$AJ207=1),1,0)</f>
        <v/>
      </c>
      <c r="BE207" s="95">
        <f>IF(OR($BD207=1,AND($AE207&lt;&gt;"",$BC207&gt;=Controls!$B$10*$AE207)),1,0)</f>
        <v/>
      </c>
    </row>
    <row r="208" ht="15.75" customHeight="1" s="79">
      <c r="A208" s="5" t="inlineStr">
        <is>
          <t>5674164557</t>
        </is>
      </c>
      <c r="B208" s="5" t="inlineStr">
        <is>
          <t>Energy Curve Technologies</t>
        </is>
      </c>
      <c r="C208" s="5" t="inlineStr">
        <is>
          <t>ENERGY CURVE TECHNOLOGIES LLC</t>
        </is>
      </c>
      <c r="D208" s="5" t="inlineStr">
        <is>
          <t>Closed</t>
        </is>
      </c>
      <c r="E208" s="16" t="n">
        <v>45890</v>
      </c>
      <c r="F208" s="16" t="n">
        <v>46051</v>
      </c>
      <c r="G208" s="17" t="n">
        <v>1</v>
      </c>
      <c r="H208" s="5" t="inlineStr">
        <is>
          <t>5191</t>
        </is>
      </c>
      <c r="I208" s="5" t="inlineStr">
        <is>
          <t>Farm Supplies Merchant Wholesalers</t>
        </is>
      </c>
      <c r="J208" s="5" t="inlineStr">
        <is>
          <t>51</t>
        </is>
      </c>
      <c r="K208" s="5" t="n">
        <v>763</v>
      </c>
      <c r="L208" s="5" t="inlineStr">
        <is>
          <t>MO</t>
        </is>
      </c>
      <c r="M208" s="5" t="inlineStr">
        <is>
          <t>Vanguard Equities</t>
        </is>
      </c>
      <c r="N208" s="5" t="inlineStr">
        <is>
          <t>New Deal</t>
        </is>
      </c>
      <c r="O208" s="19" t="n">
        <v>1.49</v>
      </c>
      <c r="P208" s="20" t="n">
        <v>22000</v>
      </c>
      <c r="Q208" s="20" t="n">
        <v>3080</v>
      </c>
      <c r="R208" s="20" t="n">
        <v>32780</v>
      </c>
      <c r="S208" s="20" t="n">
        <v>32780</v>
      </c>
      <c r="T208" s="20" t="n">
        <v>0</v>
      </c>
      <c r="U208" s="21" t="n">
        <v>1</v>
      </c>
      <c r="V208" s="22" t="n">
        <v>3.279</v>
      </c>
      <c r="W208" s="17" t="n">
        <v>202</v>
      </c>
      <c r="X208" s="17" t="n">
        <v>9</v>
      </c>
      <c r="Y208" s="20" t="n">
        <v>70400.13</v>
      </c>
      <c r="Z208" s="21" t="n">
        <v>0.0978</v>
      </c>
      <c r="AA208" s="5" t="n"/>
      <c r="AB208" s="5">
        <f>IF(V208="","",IF(V208&lt;12,"Months","Weeks"))</f>
        <v/>
      </c>
      <c r="AC208" s="5">
        <f>IF(AB208="","",IF(AB208="Months","Daily","Weekly"))</f>
        <v/>
      </c>
      <c r="AD208" s="17">
        <f>IF(V208="","",IF(AC208="Daily",V208*Controls!$B$13,V208))</f>
        <v/>
      </c>
      <c r="AE208" s="17">
        <f>IF(V208="","",IF(AC208="Daily",V208*Controls!$B$13,V208*Controls!$B$12))</f>
        <v/>
      </c>
      <c r="AF208" s="17">
        <f>IF(OR(E208="",F208=""),"",F208-E208)</f>
        <v/>
      </c>
      <c r="AG208" s="17">
        <f>IF(OR(E208="",F208=""),"",NETWORKDAYS(E208,F208,Ref!$F$4:$F$47))</f>
        <v/>
      </c>
      <c r="AH208" s="39">
        <f>IF(IFERROR(VLOOKUP(D208,Controls!$A$25:$D$35,2,FALSE()),"No")="Yes",1,0)</f>
        <v/>
      </c>
      <c r="AI208" s="39">
        <f>IF(IFERROR(VLOOKUP(D208,Controls!$A$25:$D$35,3,FALSE()),"No")="Yes",1,0)</f>
        <v/>
      </c>
      <c r="AJ208" s="39">
        <f>IF(IFERROR(VLOOKUP(D208,Controls!$A$25:$D$35,4,FALSE()),"No")="Yes",1,0)</f>
        <v/>
      </c>
      <c r="AK208" s="96">
        <f>IF(AND($E208&gt;=Controls!$B$5,$E208&lt;=Controls!$B$6,OR(Controls!$E$9&lt;&gt;"Y",$BE208=1)),1,0)</f>
        <v/>
      </c>
      <c r="AL208" s="39">
        <f>1</f>
        <v/>
      </c>
      <c r="AM208" s="20">
        <f>S208-P208</f>
        <v/>
      </c>
      <c r="AN208" s="20">
        <f>IF(AH208=1,MAX(0,P208-S208),0)</f>
        <v/>
      </c>
      <c r="AO208" s="21">
        <f>IFERROR(S208/P208,"")</f>
        <v/>
      </c>
      <c r="AP208" s="22">
        <f>IF(Y208="","",P208/Y208)</f>
        <v/>
      </c>
      <c r="AQ208" s="39">
        <f>IF(Y208="",0,1)</f>
        <v/>
      </c>
      <c r="AR208" s="39">
        <f>IF(S208&lt;=0,1,0)</f>
        <v/>
      </c>
      <c r="AS208" s="17">
        <f>IF(AH208=1,AG208,"")</f>
        <v/>
      </c>
      <c r="AT208" s="17">
        <f>IF(AND(AH208=0,AJ208=1),AG208,"")</f>
        <v/>
      </c>
      <c r="AU208" s="5">
        <f>IF(P208&lt;10000,"Under $10K",IF(P208&lt;20000,"$10-20K",IF(P208&lt;30000,"$20-30K",IF(P208&lt;50000,"$30-50K",IF(P208&lt;100000,"$50-100K","$100K+")))))</f>
        <v/>
      </c>
      <c r="AV208" s="5">
        <f>IF(O208&lt;=1.35,"1.35 and under",IF(O208&lt;=1.42,"1.36-1.42",IF(O208&lt;=1.45,"1.43-1.45",IF(O208&lt;1.49,"1.46-1.48",IF(O208&lt;=1.49,"1.49","Above 1.49")))))</f>
        <v/>
      </c>
      <c r="AW208" s="5">
        <f>IF(AE208="","",IF(AE208&lt;60,"Under 60",IF(AE208&lt;90,"60-89",IF(AE208&lt;120,"90-119",IF(AE208&lt;150,"120-149","150+")))))</f>
        <v/>
      </c>
      <c r="AX208" s="5">
        <f>IF(AP208="","No revenue data",IF(AP208&lt;0.15,"Under 0.15x",IF(AP208&lt;0.3,"0.15-0.30x",IF(AP208&lt;0.5,"0.30-0.50x",IF(AP208&lt;1,"0.50-1.00x","1.00x+")))))</f>
        <v/>
      </c>
      <c r="AY208" s="5">
        <f>IF(J208="","No SIC",IFERROR(VLOOKUP(J208,Ref!$A$4:$C$67,2,FALSE()),"Unclassified"))</f>
        <v/>
      </c>
      <c r="AZ208" s="5">
        <f>IF(E208="","",TEXT(E208,"YYYY")&amp;"-Q"&amp;ROUNDUP(MONTH(E208)/3,0))</f>
        <v/>
      </c>
      <c r="BA208" s="5">
        <f>IF(E208="","",TEXT(E208,"YYYY-MM"))</f>
        <v/>
      </c>
      <c r="BB208" s="5">
        <f>IF(E208="","",TEXT(E208,"YYYY"))</f>
        <v/>
      </c>
      <c r="BC208" s="92">
        <f>IF($E208="","",NETWORKDAYS($E208,Controls!$B$9,Ref!$F$4:$F$47))</f>
        <v/>
      </c>
      <c r="BD208" s="92">
        <f>IF(OR($AH208=1,$AJ208=1),1,0)</f>
        <v/>
      </c>
      <c r="BE208" s="95">
        <f>IF(OR($BD208=1,AND($AE208&lt;&gt;"",$BC208&gt;=Controls!$B$10*$AE208)),1,0)</f>
        <v/>
      </c>
    </row>
    <row r="209" ht="15.75" customHeight="1" s="79">
      <c r="A209" s="5" t="inlineStr">
        <is>
          <t>5674164561</t>
        </is>
      </c>
      <c r="B209" s="5" t="inlineStr">
        <is>
          <t>OL SKOOL TRUCKING</t>
        </is>
      </c>
      <c r="C209" s="5" t="inlineStr">
        <is>
          <t>OL SKOOL TRUCKING INC</t>
        </is>
      </c>
      <c r="D209" s="5" t="inlineStr">
        <is>
          <t>Closed</t>
        </is>
      </c>
      <c r="E209" s="16" t="n">
        <v>45890</v>
      </c>
      <c r="F209" s="16" t="n">
        <v>46132</v>
      </c>
      <c r="G209" s="17" t="n">
        <v>1</v>
      </c>
      <c r="H209" s="5" t="inlineStr">
        <is>
          <t>4212</t>
        </is>
      </c>
      <c r="I209" s="5" t="inlineStr">
        <is>
          <t>Specialized Freight (Except Used Goods) Trucking, Local</t>
        </is>
      </c>
      <c r="J209" s="5" t="inlineStr">
        <is>
          <t>42</t>
        </is>
      </c>
      <c r="K209" s="5" t="n">
        <v>4214</v>
      </c>
      <c r="L209" s="5" t="inlineStr">
        <is>
          <t>UT</t>
        </is>
      </c>
      <c r="M209" s="5" t="inlineStr">
        <is>
          <t>United Secured Capital 8</t>
        </is>
      </c>
      <c r="N209" s="5" t="inlineStr">
        <is>
          <t>Renewal</t>
        </is>
      </c>
      <c r="O209" s="19" t="n">
        <v>1.49</v>
      </c>
      <c r="P209" s="20" t="n">
        <v>40000</v>
      </c>
      <c r="Q209" s="20" t="n">
        <v>5600</v>
      </c>
      <c r="R209" s="20" t="n">
        <v>59600</v>
      </c>
      <c r="S209" s="20" t="n">
        <v>59600</v>
      </c>
      <c r="T209" s="20" t="n">
        <v>0</v>
      </c>
      <c r="U209" s="21" t="n">
        <v>1</v>
      </c>
      <c r="V209" s="22" t="n">
        <v>22</v>
      </c>
      <c r="W209" s="17" t="n">
        <v>121</v>
      </c>
      <c r="X209" s="17" t="n">
        <v>0</v>
      </c>
      <c r="Y209" s="20" t="n">
        <v>110307.25</v>
      </c>
      <c r="Z209" s="21" t="n">
        <v>0.1067</v>
      </c>
      <c r="AA209" s="16" t="n">
        <v>40861</v>
      </c>
      <c r="AB209" s="5">
        <f>IF(V209="","",IF(V209&lt;12,"Months","Weeks"))</f>
        <v/>
      </c>
      <c r="AC209" s="5">
        <f>IF(AB209="","",IF(AB209="Months","Daily","Weekly"))</f>
        <v/>
      </c>
      <c r="AD209" s="17">
        <f>IF(V209="","",IF(AC209="Daily",V209*Controls!$B$13,V209))</f>
        <v/>
      </c>
      <c r="AE209" s="17">
        <f>IF(V209="","",IF(AC209="Daily",V209*Controls!$B$13,V209*Controls!$B$12))</f>
        <v/>
      </c>
      <c r="AF209" s="17">
        <f>IF(OR(E209="",F209=""),"",F209-E209)</f>
        <v/>
      </c>
      <c r="AG209" s="17">
        <f>IF(OR(E209="",F209=""),"",NETWORKDAYS(E209,F209,Ref!$F$4:$F$47))</f>
        <v/>
      </c>
      <c r="AH209" s="39">
        <f>IF(IFERROR(VLOOKUP(D209,Controls!$A$25:$D$35,2,FALSE()),"No")="Yes",1,0)</f>
        <v/>
      </c>
      <c r="AI209" s="39">
        <f>IF(IFERROR(VLOOKUP(D209,Controls!$A$25:$D$35,3,FALSE()),"No")="Yes",1,0)</f>
        <v/>
      </c>
      <c r="AJ209" s="39">
        <f>IF(IFERROR(VLOOKUP(D209,Controls!$A$25:$D$35,4,FALSE()),"No")="Yes",1,0)</f>
        <v/>
      </c>
      <c r="AK209" s="96">
        <f>IF(AND($E209&gt;=Controls!$B$5,$E209&lt;=Controls!$B$6,OR(Controls!$E$9&lt;&gt;"Y",$BE209=1)),1,0)</f>
        <v/>
      </c>
      <c r="AL209" s="39">
        <f>1</f>
        <v/>
      </c>
      <c r="AM209" s="20">
        <f>S209-P209</f>
        <v/>
      </c>
      <c r="AN209" s="20">
        <f>IF(AH209=1,MAX(0,P209-S209),0)</f>
        <v/>
      </c>
      <c r="AO209" s="21">
        <f>IFERROR(S209/P209,"")</f>
        <v/>
      </c>
      <c r="AP209" s="22">
        <f>IF(Y209="","",P209/Y209)</f>
        <v/>
      </c>
      <c r="AQ209" s="39">
        <f>IF(Y209="",0,1)</f>
        <v/>
      </c>
      <c r="AR209" s="39">
        <f>IF(S209&lt;=0,1,0)</f>
        <v/>
      </c>
      <c r="AS209" s="17">
        <f>IF(AH209=1,AG209,"")</f>
        <v/>
      </c>
      <c r="AT209" s="17">
        <f>IF(AND(AH209=0,AJ209=1),AG209,"")</f>
        <v/>
      </c>
      <c r="AU209" s="5">
        <f>IF(P209&lt;10000,"Under $10K",IF(P209&lt;20000,"$10-20K",IF(P209&lt;30000,"$20-30K",IF(P209&lt;50000,"$30-50K",IF(P209&lt;100000,"$50-100K","$100K+")))))</f>
        <v/>
      </c>
      <c r="AV209" s="5">
        <f>IF(O209&lt;=1.35,"1.35 and under",IF(O209&lt;=1.42,"1.36-1.42",IF(O209&lt;=1.45,"1.43-1.45",IF(O209&lt;1.49,"1.46-1.48",IF(O209&lt;=1.49,"1.49","Above 1.49")))))</f>
        <v/>
      </c>
      <c r="AW209" s="5">
        <f>IF(AE209="","",IF(AE209&lt;60,"Under 60",IF(AE209&lt;90,"60-89",IF(AE209&lt;120,"90-119",IF(AE209&lt;150,"120-149","150+")))))</f>
        <v/>
      </c>
      <c r="AX209" s="5">
        <f>IF(AP209="","No revenue data",IF(AP209&lt;0.15,"Under 0.15x",IF(AP209&lt;0.3,"0.15-0.30x",IF(AP209&lt;0.5,"0.30-0.50x",IF(AP209&lt;1,"0.50-1.00x","1.00x+")))))</f>
        <v/>
      </c>
      <c r="AY209" s="5">
        <f>IF(J209="","No SIC",IFERROR(VLOOKUP(J209,Ref!$A$4:$C$67,2,FALSE()),"Unclassified"))</f>
        <v/>
      </c>
      <c r="AZ209" s="5">
        <f>IF(E209="","",TEXT(E209,"YYYY")&amp;"-Q"&amp;ROUNDUP(MONTH(E209)/3,0))</f>
        <v/>
      </c>
      <c r="BA209" s="5">
        <f>IF(E209="","",TEXT(E209,"YYYY-MM"))</f>
        <v/>
      </c>
      <c r="BB209" s="5">
        <f>IF(E209="","",TEXT(E209,"YYYY"))</f>
        <v/>
      </c>
      <c r="BC209" s="92">
        <f>IF($E209="","",NETWORKDAYS($E209,Controls!$B$9,Ref!$F$4:$F$47))</f>
        <v/>
      </c>
      <c r="BD209" s="92">
        <f>IF(OR($AH209=1,$AJ209=1),1,0)</f>
        <v/>
      </c>
      <c r="BE209" s="95">
        <f>IF(OR($BD209=1,AND($AE209&lt;&gt;"",$BC209&gt;=Controls!$B$10*$AE209)),1,0)</f>
        <v/>
      </c>
    </row>
    <row r="210" ht="15.75" customHeight="1" s="79">
      <c r="A210" s="5" t="inlineStr">
        <is>
          <t>5674164599</t>
        </is>
      </c>
      <c r="B210" s="5" t="inlineStr">
        <is>
          <t>KNGDM Sports Performance</t>
        </is>
      </c>
      <c r="C210" s="5" t="inlineStr">
        <is>
          <t>KNGDM SPORTS PERFORMANCE CORP</t>
        </is>
      </c>
      <c r="D210" s="5" t="inlineStr">
        <is>
          <t>Closed</t>
        </is>
      </c>
      <c r="E210" s="16" t="n">
        <v>45891</v>
      </c>
      <c r="F210" s="16" t="n">
        <v>46129</v>
      </c>
      <c r="G210" s="17" t="n">
        <v>2</v>
      </c>
      <c r="H210" s="5" t="inlineStr">
        <is>
          <t>7997</t>
        </is>
      </c>
      <c r="I210" s="5" t="inlineStr">
        <is>
          <t>Fitness and Recreational Sports Centers</t>
        </is>
      </c>
      <c r="J210" s="5" t="inlineStr">
        <is>
          <t>79</t>
        </is>
      </c>
      <c r="K210" s="5" t="n">
        <v>7997</v>
      </c>
      <c r="L210" s="5" t="inlineStr">
        <is>
          <t>CO</t>
        </is>
      </c>
      <c r="M210" s="5" t="inlineStr">
        <is>
          <t>Fundwell</t>
        </is>
      </c>
      <c r="N210" s="5" t="inlineStr">
        <is>
          <t>New Deal</t>
        </is>
      </c>
      <c r="O210" s="19" t="n">
        <v>1.32</v>
      </c>
      <c r="P210" s="20" t="n">
        <v>53000</v>
      </c>
      <c r="Q210" s="20" t="n">
        <v>3710</v>
      </c>
      <c r="R210" s="20" t="n">
        <v>69960</v>
      </c>
      <c r="S210" s="20" t="n">
        <v>69960</v>
      </c>
      <c r="T210" s="20" t="n">
        <v>0</v>
      </c>
      <c r="U210" s="21" t="n">
        <v>1</v>
      </c>
      <c r="V210" s="22" t="n">
        <v>46</v>
      </c>
      <c r="W210" s="17" t="n">
        <v>124</v>
      </c>
      <c r="X210" s="17" t="n">
        <v>1</v>
      </c>
      <c r="Y210" s="20" t="n">
        <v>185128.1</v>
      </c>
      <c r="Z210" s="21" t="n">
        <v>0.0329</v>
      </c>
      <c r="AA210" s="16" t="n">
        <v>44896</v>
      </c>
      <c r="AB210" s="5">
        <f>IF(V210="","",IF(V210&lt;12,"Months","Weeks"))</f>
        <v/>
      </c>
      <c r="AC210" s="5">
        <f>IF(AB210="","",IF(AB210="Months","Daily","Weekly"))</f>
        <v/>
      </c>
      <c r="AD210" s="17">
        <f>IF(V210="","",IF(AC210="Daily",V210*Controls!$B$13,V210))</f>
        <v/>
      </c>
      <c r="AE210" s="17">
        <f>IF(V210="","",IF(AC210="Daily",V210*Controls!$B$13,V210*Controls!$B$12))</f>
        <v/>
      </c>
      <c r="AF210" s="17">
        <f>IF(OR(E210="",F210=""),"",F210-E210)</f>
        <v/>
      </c>
      <c r="AG210" s="17">
        <f>IF(OR(E210="",F210=""),"",NETWORKDAYS(E210,F210,Ref!$F$4:$F$47))</f>
        <v/>
      </c>
      <c r="AH210" s="39">
        <f>IF(IFERROR(VLOOKUP(D210,Controls!$A$25:$D$35,2,FALSE()),"No")="Yes",1,0)</f>
        <v/>
      </c>
      <c r="AI210" s="39">
        <f>IF(IFERROR(VLOOKUP(D210,Controls!$A$25:$D$35,3,FALSE()),"No")="Yes",1,0)</f>
        <v/>
      </c>
      <c r="AJ210" s="39">
        <f>IF(IFERROR(VLOOKUP(D210,Controls!$A$25:$D$35,4,FALSE()),"No")="Yes",1,0)</f>
        <v/>
      </c>
      <c r="AK210" s="96">
        <f>IF(AND($E210&gt;=Controls!$B$5,$E210&lt;=Controls!$B$6,OR(Controls!$E$9&lt;&gt;"Y",$BE210=1)),1,0)</f>
        <v/>
      </c>
      <c r="AL210" s="39">
        <f>1</f>
        <v/>
      </c>
      <c r="AM210" s="20">
        <f>S210-P210</f>
        <v/>
      </c>
      <c r="AN210" s="20">
        <f>IF(AH210=1,MAX(0,P210-S210),0)</f>
        <v/>
      </c>
      <c r="AO210" s="21">
        <f>IFERROR(S210/P210,"")</f>
        <v/>
      </c>
      <c r="AP210" s="22">
        <f>IF(Y210="","",P210/Y210)</f>
        <v/>
      </c>
      <c r="AQ210" s="39">
        <f>IF(Y210="",0,1)</f>
        <v/>
      </c>
      <c r="AR210" s="39">
        <f>IF(S210&lt;=0,1,0)</f>
        <v/>
      </c>
      <c r="AS210" s="17">
        <f>IF(AH210=1,AG210,"")</f>
        <v/>
      </c>
      <c r="AT210" s="17">
        <f>IF(AND(AH210=0,AJ210=1),AG210,"")</f>
        <v/>
      </c>
      <c r="AU210" s="5">
        <f>IF(P210&lt;10000,"Under $10K",IF(P210&lt;20000,"$10-20K",IF(P210&lt;30000,"$20-30K",IF(P210&lt;50000,"$30-50K",IF(P210&lt;100000,"$50-100K","$100K+")))))</f>
        <v/>
      </c>
      <c r="AV210" s="5">
        <f>IF(O210&lt;=1.35,"1.35 and under",IF(O210&lt;=1.42,"1.36-1.42",IF(O210&lt;=1.45,"1.43-1.45",IF(O210&lt;1.49,"1.46-1.48",IF(O210&lt;=1.49,"1.49","Above 1.49")))))</f>
        <v/>
      </c>
      <c r="AW210" s="5">
        <f>IF(AE210="","",IF(AE210&lt;60,"Under 60",IF(AE210&lt;90,"60-89",IF(AE210&lt;120,"90-119",IF(AE210&lt;150,"120-149","150+")))))</f>
        <v/>
      </c>
      <c r="AX210" s="5">
        <f>IF(AP210="","No revenue data",IF(AP210&lt;0.15,"Under 0.15x",IF(AP210&lt;0.3,"0.15-0.30x",IF(AP210&lt;0.5,"0.30-0.50x",IF(AP210&lt;1,"0.50-1.00x","1.00x+")))))</f>
        <v/>
      </c>
      <c r="AY210" s="5">
        <f>IF(J210="","No SIC",IFERROR(VLOOKUP(J210,Ref!$A$4:$C$67,2,FALSE()),"Unclassified"))</f>
        <v/>
      </c>
      <c r="AZ210" s="5">
        <f>IF(E210="","",TEXT(E210,"YYYY")&amp;"-Q"&amp;ROUNDUP(MONTH(E210)/3,0))</f>
        <v/>
      </c>
      <c r="BA210" s="5">
        <f>IF(E210="","",TEXT(E210,"YYYY-MM"))</f>
        <v/>
      </c>
      <c r="BB210" s="5">
        <f>IF(E210="","",TEXT(E210,"YYYY"))</f>
        <v/>
      </c>
      <c r="BC210" s="92">
        <f>IF($E210="","",NETWORKDAYS($E210,Controls!$B$9,Ref!$F$4:$F$47))</f>
        <v/>
      </c>
      <c r="BD210" s="92">
        <f>IF(OR($AH210=1,$AJ210=1),1,0)</f>
        <v/>
      </c>
      <c r="BE210" s="95">
        <f>IF(OR($BD210=1,AND($AE210&lt;&gt;"",$BC210&gt;=Controls!$B$10*$AE210)),1,0)</f>
        <v/>
      </c>
    </row>
    <row r="211" ht="15.75" customHeight="1" s="79">
      <c r="A211" s="5" t="inlineStr">
        <is>
          <t>5674164604</t>
        </is>
      </c>
      <c r="B211" s="5" t="inlineStr">
        <is>
          <t>OPTIMUS LOGISTICS LLC</t>
        </is>
      </c>
      <c r="C211" s="5" t="inlineStr">
        <is>
          <t>OPTIMUS LOGISTICS LLC</t>
        </is>
      </c>
      <c r="D211" s="5" t="inlineStr">
        <is>
          <t>Legal</t>
        </is>
      </c>
      <c r="E211" s="16" t="n">
        <v>45891</v>
      </c>
      <c r="F211" s="16" t="n">
        <v>45931</v>
      </c>
      <c r="G211" s="17" t="n">
        <v>3</v>
      </c>
      <c r="H211" s="5" t="inlineStr">
        <is>
          <t>4212</t>
        </is>
      </c>
      <c r="I211" s="5" t="inlineStr">
        <is>
          <t>Specialized Freight (Except Used Goods) Trucking, Local</t>
        </is>
      </c>
      <c r="J211" s="5" t="inlineStr">
        <is>
          <t>42</t>
        </is>
      </c>
      <c r="K211" s="5" t="n">
        <v>4214</v>
      </c>
      <c r="L211" s="5" t="inlineStr">
        <is>
          <t>TN</t>
        </is>
      </c>
      <c r="M211" s="5" t="inlineStr">
        <is>
          <t>Shield Funding</t>
        </is>
      </c>
      <c r="N211" s="5" t="inlineStr">
        <is>
          <t>New Deal</t>
        </is>
      </c>
      <c r="O211" s="19" t="n">
        <v>1.499</v>
      </c>
      <c r="P211" s="20" t="n">
        <v>6000</v>
      </c>
      <c r="Q211" s="20" t="n">
        <v>840</v>
      </c>
      <c r="R211" s="20" t="n">
        <v>8994</v>
      </c>
      <c r="S211" s="20" t="n">
        <v>2207.73</v>
      </c>
      <c r="T211" s="20" t="n">
        <v>6786.27</v>
      </c>
      <c r="U211" s="21" t="n">
        <v>0.245466977985324</v>
      </c>
      <c r="V211" s="22" t="n">
        <v>2.787</v>
      </c>
      <c r="W211" s="17" t="n">
        <v>331</v>
      </c>
      <c r="X211" s="17" t="n">
        <v>7</v>
      </c>
      <c r="Y211" s="20" t="n">
        <v>19712.41</v>
      </c>
      <c r="Z211" s="21" t="n">
        <v>0.112</v>
      </c>
      <c r="AA211" s="16" t="n">
        <v>43032</v>
      </c>
      <c r="AB211" s="5">
        <f>IF(V211="","",IF(V211&lt;12,"Months","Weeks"))</f>
        <v/>
      </c>
      <c r="AC211" s="5">
        <f>IF(AB211="","",IF(AB211="Months","Daily","Weekly"))</f>
        <v/>
      </c>
      <c r="AD211" s="17">
        <f>IF(V211="","",IF(AC211="Daily",V211*Controls!$B$13,V211))</f>
        <v/>
      </c>
      <c r="AE211" s="17">
        <f>IF(V211="","",IF(AC211="Daily",V211*Controls!$B$13,V211*Controls!$B$12))</f>
        <v/>
      </c>
      <c r="AF211" s="17">
        <f>IF(OR(E211="",F211=""),"",F211-E211)</f>
        <v/>
      </c>
      <c r="AG211" s="17">
        <f>IF(OR(E211="",F211=""),"",NETWORKDAYS(E211,F211,Ref!$F$4:$F$47))</f>
        <v/>
      </c>
      <c r="AH211" s="39">
        <f>IF(IFERROR(VLOOKUP(D211,Controls!$A$25:$D$35,2,FALSE()),"No")="Yes",1,0)</f>
        <v/>
      </c>
      <c r="AI211" s="39">
        <f>IF(IFERROR(VLOOKUP(D211,Controls!$A$25:$D$35,3,FALSE()),"No")="Yes",1,0)</f>
        <v/>
      </c>
      <c r="AJ211" s="39">
        <f>IF(IFERROR(VLOOKUP(D211,Controls!$A$25:$D$35,4,FALSE()),"No")="Yes",1,0)</f>
        <v/>
      </c>
      <c r="AK211" s="96">
        <f>IF(AND($E211&gt;=Controls!$B$5,$E211&lt;=Controls!$B$6,OR(Controls!$E$9&lt;&gt;"Y",$BE211=1)),1,0)</f>
        <v/>
      </c>
      <c r="AL211" s="39">
        <f>1</f>
        <v/>
      </c>
      <c r="AM211" s="20">
        <f>S211-P211</f>
        <v/>
      </c>
      <c r="AN211" s="20">
        <f>IF(AH211=1,MAX(0,P211-S211),0)</f>
        <v/>
      </c>
      <c r="AO211" s="21">
        <f>IFERROR(S211/P211,"")</f>
        <v/>
      </c>
      <c r="AP211" s="22">
        <f>IF(Y211="","",P211/Y211)</f>
        <v/>
      </c>
      <c r="AQ211" s="39">
        <f>IF(Y211="",0,1)</f>
        <v/>
      </c>
      <c r="AR211" s="39">
        <f>IF(S211&lt;=0,1,0)</f>
        <v/>
      </c>
      <c r="AS211" s="17">
        <f>IF(AH211=1,AG211,"")</f>
        <v/>
      </c>
      <c r="AT211" s="17">
        <f>IF(AND(AH211=0,AJ211=1),AG211,"")</f>
        <v/>
      </c>
      <c r="AU211" s="5">
        <f>IF(P211&lt;10000,"Under $10K",IF(P211&lt;20000,"$10-20K",IF(P211&lt;30000,"$20-30K",IF(P211&lt;50000,"$30-50K",IF(P211&lt;100000,"$50-100K","$100K+")))))</f>
        <v/>
      </c>
      <c r="AV211" s="5">
        <f>IF(O211&lt;=1.35,"1.35 and under",IF(O211&lt;=1.42,"1.36-1.42",IF(O211&lt;=1.45,"1.43-1.45",IF(O211&lt;1.49,"1.46-1.48",IF(O211&lt;=1.49,"1.49","Above 1.49")))))</f>
        <v/>
      </c>
      <c r="AW211" s="5">
        <f>IF(AE211="","",IF(AE211&lt;60,"Under 60",IF(AE211&lt;90,"60-89",IF(AE211&lt;120,"90-119",IF(AE211&lt;150,"120-149","150+")))))</f>
        <v/>
      </c>
      <c r="AX211" s="5">
        <f>IF(AP211="","No revenue data",IF(AP211&lt;0.15,"Under 0.15x",IF(AP211&lt;0.3,"0.15-0.30x",IF(AP211&lt;0.5,"0.30-0.50x",IF(AP211&lt;1,"0.50-1.00x","1.00x+")))))</f>
        <v/>
      </c>
      <c r="AY211" s="5">
        <f>IF(J211="","No SIC",IFERROR(VLOOKUP(J211,Ref!$A$4:$C$67,2,FALSE()),"Unclassified"))</f>
        <v/>
      </c>
      <c r="AZ211" s="5">
        <f>IF(E211="","",TEXT(E211,"YYYY")&amp;"-Q"&amp;ROUNDUP(MONTH(E211)/3,0))</f>
        <v/>
      </c>
      <c r="BA211" s="5">
        <f>IF(E211="","",TEXT(E211,"YYYY-MM"))</f>
        <v/>
      </c>
      <c r="BB211" s="5">
        <f>IF(E211="","",TEXT(E211,"YYYY"))</f>
        <v/>
      </c>
      <c r="BC211" s="92">
        <f>IF($E211="","",NETWORKDAYS($E211,Controls!$B$9,Ref!$F$4:$F$47))</f>
        <v/>
      </c>
      <c r="BD211" s="92">
        <f>IF(OR($AH211=1,$AJ211=1),1,0)</f>
        <v/>
      </c>
      <c r="BE211" s="95">
        <f>IF(OR($BD211=1,AND($AE211&lt;&gt;"",$BC211&gt;=Controls!$B$10*$AE211)),1,0)</f>
        <v/>
      </c>
    </row>
    <row r="212" ht="15.75" customHeight="1" s="79">
      <c r="A212" s="5" t="inlineStr">
        <is>
          <t>5674164632</t>
        </is>
      </c>
      <c r="B212" s="5" t="inlineStr">
        <is>
          <t>YOANNA FLIGHT SCHOOL INTERNATIONAL</t>
        </is>
      </c>
      <c r="C212" s="5" t="inlineStr">
        <is>
          <t>Yoanna Flight School International, Inc</t>
        </is>
      </c>
      <c r="D212" s="5" t="inlineStr">
        <is>
          <t>Lowered Payments</t>
        </is>
      </c>
      <c r="E212" s="16" t="n">
        <v>45891</v>
      </c>
      <c r="F212" s="16" t="n">
        <v>46253</v>
      </c>
      <c r="G212" s="17" t="n">
        <v>3</v>
      </c>
      <c r="H212" s="5" t="inlineStr">
        <is>
          <t>4581</t>
        </is>
      </c>
      <c r="I212" s="5" t="inlineStr">
        <is>
          <t>Other Support Activities for Air Transportation</t>
        </is>
      </c>
      <c r="J212" s="5" t="inlineStr">
        <is>
          <t>45</t>
        </is>
      </c>
      <c r="K212" s="5" t="n">
        <v>4582</v>
      </c>
      <c r="L212" s="5" t="inlineStr">
        <is>
          <t>FL</t>
        </is>
      </c>
      <c r="M212" s="5" t="inlineStr">
        <is>
          <t>Shore Funding USA</t>
        </is>
      </c>
      <c r="N212" s="5" t="inlineStr">
        <is>
          <t>New Deal</t>
        </is>
      </c>
      <c r="O212" s="19" t="n">
        <v>1.45</v>
      </c>
      <c r="P212" s="20" t="n">
        <v>35000</v>
      </c>
      <c r="Q212" s="20" t="n">
        <v>4200</v>
      </c>
      <c r="R212" s="20" t="n">
        <v>50750</v>
      </c>
      <c r="S212" s="20" t="n">
        <v>29464.46</v>
      </c>
      <c r="T212" s="20" t="n">
        <v>21285.54</v>
      </c>
      <c r="U212" s="21" t="n">
        <v>0.580580492610837</v>
      </c>
      <c r="V212" s="22" t="n">
        <v>32</v>
      </c>
      <c r="W212" s="17" t="n">
        <v>0</v>
      </c>
      <c r="X212" s="17" t="n">
        <v>36</v>
      </c>
      <c r="Y212" s="20" t="n">
        <v>49442.1</v>
      </c>
      <c r="Z212" s="21" t="n">
        <v>0.1283</v>
      </c>
      <c r="AA212" s="16" t="n">
        <v>43975</v>
      </c>
      <c r="AB212" s="5">
        <f>IF(V212="","",IF(V212&lt;12,"Months","Weeks"))</f>
        <v/>
      </c>
      <c r="AC212" s="5">
        <f>IF(AB212="","",IF(AB212="Months","Daily","Weekly"))</f>
        <v/>
      </c>
      <c r="AD212" s="17">
        <f>IF(V212="","",IF(AC212="Daily",V212*Controls!$B$13,V212))</f>
        <v/>
      </c>
      <c r="AE212" s="17">
        <f>IF(V212="","",IF(AC212="Daily",V212*Controls!$B$13,V212*Controls!$B$12))</f>
        <v/>
      </c>
      <c r="AF212" s="17">
        <f>IF(OR(E212="",F212=""),"",F212-E212)</f>
        <v/>
      </c>
      <c r="AG212" s="17">
        <f>IF(OR(E212="",F212=""),"",NETWORKDAYS(E212,F212,Ref!$F$4:$F$47))</f>
        <v/>
      </c>
      <c r="AH212" s="39">
        <f>IF(IFERROR(VLOOKUP(D212,Controls!$A$25:$D$35,2,FALSE()),"No")="Yes",1,0)</f>
        <v/>
      </c>
      <c r="AI212" s="39">
        <f>IF(IFERROR(VLOOKUP(D212,Controls!$A$25:$D$35,3,FALSE()),"No")="Yes",1,0)</f>
        <v/>
      </c>
      <c r="AJ212" s="39">
        <f>IF(IFERROR(VLOOKUP(D212,Controls!$A$25:$D$35,4,FALSE()),"No")="Yes",1,0)</f>
        <v/>
      </c>
      <c r="AK212" s="96">
        <f>IF(AND($E212&gt;=Controls!$B$5,$E212&lt;=Controls!$B$6,OR(Controls!$E$9&lt;&gt;"Y",$BE212=1)),1,0)</f>
        <v/>
      </c>
      <c r="AL212" s="39">
        <f>1</f>
        <v/>
      </c>
      <c r="AM212" s="20">
        <f>S212-P212</f>
        <v/>
      </c>
      <c r="AN212" s="20">
        <f>IF(AH212=1,MAX(0,P212-S212),0)</f>
        <v/>
      </c>
      <c r="AO212" s="21">
        <f>IFERROR(S212/P212,"")</f>
        <v/>
      </c>
      <c r="AP212" s="22">
        <f>IF(Y212="","",P212/Y212)</f>
        <v/>
      </c>
      <c r="AQ212" s="39">
        <f>IF(Y212="",0,1)</f>
        <v/>
      </c>
      <c r="AR212" s="39">
        <f>IF(S212&lt;=0,1,0)</f>
        <v/>
      </c>
      <c r="AS212" s="17">
        <f>IF(AH212=1,AG212,"")</f>
        <v/>
      </c>
      <c r="AT212" s="17">
        <f>IF(AND(AH212=0,AJ212=1),AG212,"")</f>
        <v/>
      </c>
      <c r="AU212" s="5">
        <f>IF(P212&lt;10000,"Under $10K",IF(P212&lt;20000,"$10-20K",IF(P212&lt;30000,"$20-30K",IF(P212&lt;50000,"$30-50K",IF(P212&lt;100000,"$50-100K","$100K+")))))</f>
        <v/>
      </c>
      <c r="AV212" s="5">
        <f>IF(O212&lt;=1.35,"1.35 and under",IF(O212&lt;=1.42,"1.36-1.42",IF(O212&lt;=1.45,"1.43-1.45",IF(O212&lt;1.49,"1.46-1.48",IF(O212&lt;=1.49,"1.49","Above 1.49")))))</f>
        <v/>
      </c>
      <c r="AW212" s="5">
        <f>IF(AE212="","",IF(AE212&lt;60,"Under 60",IF(AE212&lt;90,"60-89",IF(AE212&lt;120,"90-119",IF(AE212&lt;150,"120-149","150+")))))</f>
        <v/>
      </c>
      <c r="AX212" s="5">
        <f>IF(AP212="","No revenue data",IF(AP212&lt;0.15,"Under 0.15x",IF(AP212&lt;0.3,"0.15-0.30x",IF(AP212&lt;0.5,"0.30-0.50x",IF(AP212&lt;1,"0.50-1.00x","1.00x+")))))</f>
        <v/>
      </c>
      <c r="AY212" s="5">
        <f>IF(J212="","No SIC",IFERROR(VLOOKUP(J212,Ref!$A$4:$C$67,2,FALSE()),"Unclassified"))</f>
        <v/>
      </c>
      <c r="AZ212" s="5">
        <f>IF(E212="","",TEXT(E212,"YYYY")&amp;"-Q"&amp;ROUNDUP(MONTH(E212)/3,0))</f>
        <v/>
      </c>
      <c r="BA212" s="5">
        <f>IF(E212="","",TEXT(E212,"YYYY-MM"))</f>
        <v/>
      </c>
      <c r="BB212" s="5">
        <f>IF(E212="","",TEXT(E212,"YYYY"))</f>
        <v/>
      </c>
      <c r="BC212" s="92">
        <f>IF($E212="","",NETWORKDAYS($E212,Controls!$B$9,Ref!$F$4:$F$47))</f>
        <v/>
      </c>
      <c r="BD212" s="92">
        <f>IF(OR($AH212=1,$AJ212=1),1,0)</f>
        <v/>
      </c>
      <c r="BE212" s="95">
        <f>IF(OR($BD212=1,AND($AE212&lt;&gt;"",$BC212&gt;=Controls!$B$10*$AE212)),1,0)</f>
        <v/>
      </c>
    </row>
    <row r="213" ht="15.75" customHeight="1" s="79">
      <c r="A213" s="5" t="inlineStr">
        <is>
          <t>5674164635</t>
        </is>
      </c>
      <c r="B213" s="5" t="inlineStr">
        <is>
          <t>503 BUILDERS LLC</t>
        </is>
      </c>
      <c r="C213" s="5" t="inlineStr">
        <is>
          <t>503 Builders LLC</t>
        </is>
      </c>
      <c r="D213" s="5" t="inlineStr">
        <is>
          <t>Closed</t>
        </is>
      </c>
      <c r="E213" s="16" t="n">
        <v>45891</v>
      </c>
      <c r="F213" s="16" t="n">
        <v>45950</v>
      </c>
      <c r="G213" s="17" t="n">
        <v>5</v>
      </c>
      <c r="H213" s="5" t="inlineStr">
        <is>
          <t>1521</t>
        </is>
      </c>
      <c r="I213" s="5" t="inlineStr">
        <is>
          <t>New Single-Family Housing Construction (Except For-Sale Builders)</t>
        </is>
      </c>
      <c r="J213" s="5" t="inlineStr">
        <is>
          <t>15</t>
        </is>
      </c>
      <c r="K213" s="5" t="n">
        <v>1520</v>
      </c>
      <c r="L213" s="5" t="inlineStr">
        <is>
          <t>OR</t>
        </is>
      </c>
      <c r="M213" s="5" t="inlineStr">
        <is>
          <t>Biz fuel</t>
        </is>
      </c>
      <c r="N213" s="5" t="inlineStr">
        <is>
          <t>New Deal</t>
        </is>
      </c>
      <c r="O213" s="19" t="n">
        <v>1.499</v>
      </c>
      <c r="P213" s="20" t="n">
        <v>12000</v>
      </c>
      <c r="Q213" s="20" t="n">
        <v>1680</v>
      </c>
      <c r="R213" s="20" t="n">
        <v>17988</v>
      </c>
      <c r="S213" s="20" t="n">
        <v>17988</v>
      </c>
      <c r="T213" s="20" t="n">
        <v>0</v>
      </c>
      <c r="U213" s="21" t="n">
        <v>1</v>
      </c>
      <c r="V213" s="22" t="n">
        <v>2.131</v>
      </c>
      <c r="W213" s="17" t="n">
        <v>303</v>
      </c>
      <c r="X213" s="17" t="n">
        <v>0</v>
      </c>
      <c r="Y213" s="20" t="n">
        <v>70535.06</v>
      </c>
      <c r="Z213" s="21" t="n">
        <v>0.0819</v>
      </c>
      <c r="AA213" s="16" t="n">
        <v>44367</v>
      </c>
      <c r="AB213" s="5">
        <f>IF(V213="","",IF(V213&lt;12,"Months","Weeks"))</f>
        <v/>
      </c>
      <c r="AC213" s="5">
        <f>IF(AB213="","",IF(AB213="Months","Daily","Weekly"))</f>
        <v/>
      </c>
      <c r="AD213" s="17">
        <f>IF(V213="","",IF(AC213="Daily",V213*Controls!$B$13,V213))</f>
        <v/>
      </c>
      <c r="AE213" s="17">
        <f>IF(V213="","",IF(AC213="Daily",V213*Controls!$B$13,V213*Controls!$B$12))</f>
        <v/>
      </c>
      <c r="AF213" s="17">
        <f>IF(OR(E213="",F213=""),"",F213-E213)</f>
        <v/>
      </c>
      <c r="AG213" s="17">
        <f>IF(OR(E213="",F213=""),"",NETWORKDAYS(E213,F213,Ref!$F$4:$F$47))</f>
        <v/>
      </c>
      <c r="AH213" s="39">
        <f>IF(IFERROR(VLOOKUP(D213,Controls!$A$25:$D$35,2,FALSE()),"No")="Yes",1,0)</f>
        <v/>
      </c>
      <c r="AI213" s="39">
        <f>IF(IFERROR(VLOOKUP(D213,Controls!$A$25:$D$35,3,FALSE()),"No")="Yes",1,0)</f>
        <v/>
      </c>
      <c r="AJ213" s="39">
        <f>IF(IFERROR(VLOOKUP(D213,Controls!$A$25:$D$35,4,FALSE()),"No")="Yes",1,0)</f>
        <v/>
      </c>
      <c r="AK213" s="96">
        <f>IF(AND($E213&gt;=Controls!$B$5,$E213&lt;=Controls!$B$6,OR(Controls!$E$9&lt;&gt;"Y",$BE213=1)),1,0)</f>
        <v/>
      </c>
      <c r="AL213" s="39">
        <f>1</f>
        <v/>
      </c>
      <c r="AM213" s="20">
        <f>S213-P213</f>
        <v/>
      </c>
      <c r="AN213" s="20">
        <f>IF(AH213=1,MAX(0,P213-S213),0)</f>
        <v/>
      </c>
      <c r="AO213" s="21">
        <f>IFERROR(S213/P213,"")</f>
        <v/>
      </c>
      <c r="AP213" s="22">
        <f>IF(Y213="","",P213/Y213)</f>
        <v/>
      </c>
      <c r="AQ213" s="39">
        <f>IF(Y213="",0,1)</f>
        <v/>
      </c>
      <c r="AR213" s="39">
        <f>IF(S213&lt;=0,1,0)</f>
        <v/>
      </c>
      <c r="AS213" s="17">
        <f>IF(AH213=1,AG213,"")</f>
        <v/>
      </c>
      <c r="AT213" s="17">
        <f>IF(AND(AH213=0,AJ213=1),AG213,"")</f>
        <v/>
      </c>
      <c r="AU213" s="5">
        <f>IF(P213&lt;10000,"Under $10K",IF(P213&lt;20000,"$10-20K",IF(P213&lt;30000,"$20-30K",IF(P213&lt;50000,"$30-50K",IF(P213&lt;100000,"$50-100K","$100K+")))))</f>
        <v/>
      </c>
      <c r="AV213" s="5">
        <f>IF(O213&lt;=1.35,"1.35 and under",IF(O213&lt;=1.42,"1.36-1.42",IF(O213&lt;=1.45,"1.43-1.45",IF(O213&lt;1.49,"1.46-1.48",IF(O213&lt;=1.49,"1.49","Above 1.49")))))</f>
        <v/>
      </c>
      <c r="AW213" s="5">
        <f>IF(AE213="","",IF(AE213&lt;60,"Under 60",IF(AE213&lt;90,"60-89",IF(AE213&lt;120,"90-119",IF(AE213&lt;150,"120-149","150+")))))</f>
        <v/>
      </c>
      <c r="AX213" s="5">
        <f>IF(AP213="","No revenue data",IF(AP213&lt;0.15,"Under 0.15x",IF(AP213&lt;0.3,"0.15-0.30x",IF(AP213&lt;0.5,"0.30-0.50x",IF(AP213&lt;1,"0.50-1.00x","1.00x+")))))</f>
        <v/>
      </c>
      <c r="AY213" s="5">
        <f>IF(J213="","No SIC",IFERROR(VLOOKUP(J213,Ref!$A$4:$C$67,2,FALSE()),"Unclassified"))</f>
        <v/>
      </c>
      <c r="AZ213" s="5">
        <f>IF(E213="","",TEXT(E213,"YYYY")&amp;"-Q"&amp;ROUNDUP(MONTH(E213)/3,0))</f>
        <v/>
      </c>
      <c r="BA213" s="5">
        <f>IF(E213="","",TEXT(E213,"YYYY-MM"))</f>
        <v/>
      </c>
      <c r="BB213" s="5">
        <f>IF(E213="","",TEXT(E213,"YYYY"))</f>
        <v/>
      </c>
      <c r="BC213" s="92">
        <f>IF($E213="","",NETWORKDAYS($E213,Controls!$B$9,Ref!$F$4:$F$47))</f>
        <v/>
      </c>
      <c r="BD213" s="92">
        <f>IF(OR($AH213=1,$AJ213=1),1,0)</f>
        <v/>
      </c>
      <c r="BE213" s="95">
        <f>IF(OR($BD213=1,AND($AE213&lt;&gt;"",$BC213&gt;=Controls!$B$10*$AE213)),1,0)</f>
        <v/>
      </c>
    </row>
    <row r="214" ht="15.75" customHeight="1" s="79">
      <c r="A214" s="5" t="inlineStr">
        <is>
          <t>5674164667</t>
        </is>
      </c>
      <c r="B214" s="5" t="inlineStr">
        <is>
          <t>Haus of Athletes</t>
        </is>
      </c>
      <c r="C214" s="5" t="inlineStr">
        <is>
          <t>Hybrid Athlete llc</t>
        </is>
      </c>
      <c r="D214" s="5" t="inlineStr">
        <is>
          <t>Legal</t>
        </is>
      </c>
      <c r="E214" s="16" t="n">
        <v>45891</v>
      </c>
      <c r="F214" s="16" t="n">
        <v>46142</v>
      </c>
      <c r="G214" s="17" t="n">
        <v>2</v>
      </c>
      <c r="H214" s="5" t="inlineStr">
        <is>
          <t>7991</t>
        </is>
      </c>
      <c r="I214" s="5" t="inlineStr">
        <is>
          <t>Fitness and Recreational Sports Centers</t>
        </is>
      </c>
      <c r="J214" s="5" t="inlineStr">
        <is>
          <t>79</t>
        </is>
      </c>
      <c r="K214" s="5" t="n">
        <v>7997</v>
      </c>
      <c r="L214" s="5" t="inlineStr">
        <is>
          <t>MA</t>
        </is>
      </c>
      <c r="M214" s="5" t="inlineStr">
        <is>
          <t>Fundwell</t>
        </is>
      </c>
      <c r="N214" s="5" t="inlineStr">
        <is>
          <t>New Deal</t>
        </is>
      </c>
      <c r="O214" s="19" t="n">
        <v>1.42</v>
      </c>
      <c r="P214" s="20" t="n">
        <v>26500</v>
      </c>
      <c r="Q214" s="20" t="n">
        <v>3710</v>
      </c>
      <c r="R214" s="20" t="n">
        <v>37630</v>
      </c>
      <c r="S214" s="20" t="n">
        <v>33332.19</v>
      </c>
      <c r="T214" s="20" t="n">
        <v>4297.81</v>
      </c>
      <c r="U214" s="21" t="n">
        <v>0.885787669412703</v>
      </c>
      <c r="V214" s="22" t="n">
        <v>28</v>
      </c>
      <c r="W214" s="17" t="n">
        <v>111</v>
      </c>
      <c r="X214" s="17" t="n">
        <v>8</v>
      </c>
      <c r="Y214" s="20" t="n">
        <v>165974.37</v>
      </c>
      <c r="Z214" s="21" t="n">
        <v>0.0324</v>
      </c>
      <c r="AA214" s="16" t="n">
        <v>44348</v>
      </c>
      <c r="AB214" s="5">
        <f>IF(V214="","",IF(V214&lt;12,"Months","Weeks"))</f>
        <v/>
      </c>
      <c r="AC214" s="5">
        <f>IF(AB214="","",IF(AB214="Months","Daily","Weekly"))</f>
        <v/>
      </c>
      <c r="AD214" s="17">
        <f>IF(V214="","",IF(AC214="Daily",V214*Controls!$B$13,V214))</f>
        <v/>
      </c>
      <c r="AE214" s="17">
        <f>IF(V214="","",IF(AC214="Daily",V214*Controls!$B$13,V214*Controls!$B$12))</f>
        <v/>
      </c>
      <c r="AF214" s="17">
        <f>IF(OR(E214="",F214=""),"",F214-E214)</f>
        <v/>
      </c>
      <c r="AG214" s="17">
        <f>IF(OR(E214="",F214=""),"",NETWORKDAYS(E214,F214,Ref!$F$4:$F$47))</f>
        <v/>
      </c>
      <c r="AH214" s="39">
        <f>IF(IFERROR(VLOOKUP(D214,Controls!$A$25:$D$35,2,FALSE()),"No")="Yes",1,0)</f>
        <v/>
      </c>
      <c r="AI214" s="39">
        <f>IF(IFERROR(VLOOKUP(D214,Controls!$A$25:$D$35,3,FALSE()),"No")="Yes",1,0)</f>
        <v/>
      </c>
      <c r="AJ214" s="39">
        <f>IF(IFERROR(VLOOKUP(D214,Controls!$A$25:$D$35,4,FALSE()),"No")="Yes",1,0)</f>
        <v/>
      </c>
      <c r="AK214" s="96">
        <f>IF(AND($E214&gt;=Controls!$B$5,$E214&lt;=Controls!$B$6,OR(Controls!$E$9&lt;&gt;"Y",$BE214=1)),1,0)</f>
        <v/>
      </c>
      <c r="AL214" s="39">
        <f>1</f>
        <v/>
      </c>
      <c r="AM214" s="20">
        <f>S214-P214</f>
        <v/>
      </c>
      <c r="AN214" s="20">
        <f>IF(AH214=1,MAX(0,P214-S214),0)</f>
        <v/>
      </c>
      <c r="AO214" s="21">
        <f>IFERROR(S214/P214,"")</f>
        <v/>
      </c>
      <c r="AP214" s="22">
        <f>IF(Y214="","",P214/Y214)</f>
        <v/>
      </c>
      <c r="AQ214" s="39">
        <f>IF(Y214="",0,1)</f>
        <v/>
      </c>
      <c r="AR214" s="39">
        <f>IF(S214&lt;=0,1,0)</f>
        <v/>
      </c>
      <c r="AS214" s="17">
        <f>IF(AH214=1,AG214,"")</f>
        <v/>
      </c>
      <c r="AT214" s="17">
        <f>IF(AND(AH214=0,AJ214=1),AG214,"")</f>
        <v/>
      </c>
      <c r="AU214" s="5">
        <f>IF(P214&lt;10000,"Under $10K",IF(P214&lt;20000,"$10-20K",IF(P214&lt;30000,"$20-30K",IF(P214&lt;50000,"$30-50K",IF(P214&lt;100000,"$50-100K","$100K+")))))</f>
        <v/>
      </c>
      <c r="AV214" s="5">
        <f>IF(O214&lt;=1.35,"1.35 and under",IF(O214&lt;=1.42,"1.36-1.42",IF(O214&lt;=1.45,"1.43-1.45",IF(O214&lt;1.49,"1.46-1.48",IF(O214&lt;=1.49,"1.49","Above 1.49")))))</f>
        <v/>
      </c>
      <c r="AW214" s="5">
        <f>IF(AE214="","",IF(AE214&lt;60,"Under 60",IF(AE214&lt;90,"60-89",IF(AE214&lt;120,"90-119",IF(AE214&lt;150,"120-149","150+")))))</f>
        <v/>
      </c>
      <c r="AX214" s="5">
        <f>IF(AP214="","No revenue data",IF(AP214&lt;0.15,"Under 0.15x",IF(AP214&lt;0.3,"0.15-0.30x",IF(AP214&lt;0.5,"0.30-0.50x",IF(AP214&lt;1,"0.50-1.00x","1.00x+")))))</f>
        <v/>
      </c>
      <c r="AY214" s="5">
        <f>IF(J214="","No SIC",IFERROR(VLOOKUP(J214,Ref!$A$4:$C$67,2,FALSE()),"Unclassified"))</f>
        <v/>
      </c>
      <c r="AZ214" s="5">
        <f>IF(E214="","",TEXT(E214,"YYYY")&amp;"-Q"&amp;ROUNDUP(MONTH(E214)/3,0))</f>
        <v/>
      </c>
      <c r="BA214" s="5">
        <f>IF(E214="","",TEXT(E214,"YYYY-MM"))</f>
        <v/>
      </c>
      <c r="BB214" s="5">
        <f>IF(E214="","",TEXT(E214,"YYYY"))</f>
        <v/>
      </c>
      <c r="BC214" s="92">
        <f>IF($E214="","",NETWORKDAYS($E214,Controls!$B$9,Ref!$F$4:$F$47))</f>
        <v/>
      </c>
      <c r="BD214" s="92">
        <f>IF(OR($AH214=1,$AJ214=1),1,0)</f>
        <v/>
      </c>
      <c r="BE214" s="95">
        <f>IF(OR($BD214=1,AND($AE214&lt;&gt;"",$BC214&gt;=Controls!$B$10*$AE214)),1,0)</f>
        <v/>
      </c>
    </row>
    <row r="215" ht="15.75" customHeight="1" s="79">
      <c r="A215" s="5" t="inlineStr">
        <is>
          <t>5674164698</t>
        </is>
      </c>
      <c r="B215" s="5" t="inlineStr">
        <is>
          <t>S&amp;E ENTERPRISE LLC</t>
        </is>
      </c>
      <c r="C215" s="5" t="inlineStr">
        <is>
          <t>S&amp;E ENTERPRISE LLC</t>
        </is>
      </c>
      <c r="D215" s="5" t="inlineStr">
        <is>
          <t>Legal</t>
        </is>
      </c>
      <c r="E215" s="16" t="n">
        <v>45894</v>
      </c>
      <c r="F215" s="16" t="n">
        <v>45917</v>
      </c>
      <c r="G215" s="17" t="n">
        <v>2</v>
      </c>
      <c r="H215" s="5" t="inlineStr">
        <is>
          <t>1521</t>
        </is>
      </c>
      <c r="I215" s="5" t="inlineStr">
        <is>
          <t>New Single-Family Housing Construction (Except For-Sale Builders)</t>
        </is>
      </c>
      <c r="J215" s="5" t="inlineStr">
        <is>
          <t>15</t>
        </is>
      </c>
      <c r="K215" s="5" t="n">
        <v>1520</v>
      </c>
      <c r="L215" s="5" t="inlineStr">
        <is>
          <t>RI</t>
        </is>
      </c>
      <c r="M215" s="5" t="inlineStr">
        <is>
          <t>Triumph Cap Fund</t>
        </is>
      </c>
      <c r="N215" s="5" t="inlineStr">
        <is>
          <t>Renewal</t>
        </is>
      </c>
      <c r="O215" s="19" t="n">
        <v>1.49</v>
      </c>
      <c r="P215" s="20" t="n">
        <v>32000</v>
      </c>
      <c r="Q215" s="20" t="n">
        <v>4480</v>
      </c>
      <c r="R215" s="20" t="n">
        <v>47680</v>
      </c>
      <c r="S215" s="20" t="n">
        <v>4628.39</v>
      </c>
      <c r="T215" s="20" t="n">
        <v>43051.61</v>
      </c>
      <c r="U215" s="21" t="n">
        <v>0.0970719379194631</v>
      </c>
      <c r="V215" s="22" t="n">
        <v>3.607</v>
      </c>
      <c r="W215" s="17" t="n">
        <v>343</v>
      </c>
      <c r="X215" s="17" t="n">
        <v>5</v>
      </c>
      <c r="Y215" s="20" t="n">
        <v>35079.82</v>
      </c>
      <c r="Z215" s="21" t="n">
        <v>0.2595</v>
      </c>
      <c r="AA215" s="16" t="n">
        <v>45005</v>
      </c>
      <c r="AB215" s="5">
        <f>IF(V215="","",IF(V215&lt;12,"Months","Weeks"))</f>
        <v/>
      </c>
      <c r="AC215" s="5">
        <f>IF(AB215="","",IF(AB215="Months","Daily","Weekly"))</f>
        <v/>
      </c>
      <c r="AD215" s="17">
        <f>IF(V215="","",IF(AC215="Daily",V215*Controls!$B$13,V215))</f>
        <v/>
      </c>
      <c r="AE215" s="17">
        <f>IF(V215="","",IF(AC215="Daily",V215*Controls!$B$13,V215*Controls!$B$12))</f>
        <v/>
      </c>
      <c r="AF215" s="17">
        <f>IF(OR(E215="",F215=""),"",F215-E215)</f>
        <v/>
      </c>
      <c r="AG215" s="17">
        <f>IF(OR(E215="",F215=""),"",NETWORKDAYS(E215,F215,Ref!$F$4:$F$47))</f>
        <v/>
      </c>
      <c r="AH215" s="39">
        <f>IF(IFERROR(VLOOKUP(D215,Controls!$A$25:$D$35,2,FALSE()),"No")="Yes",1,0)</f>
        <v/>
      </c>
      <c r="AI215" s="39">
        <f>IF(IFERROR(VLOOKUP(D215,Controls!$A$25:$D$35,3,FALSE()),"No")="Yes",1,0)</f>
        <v/>
      </c>
      <c r="AJ215" s="39">
        <f>IF(IFERROR(VLOOKUP(D215,Controls!$A$25:$D$35,4,FALSE()),"No")="Yes",1,0)</f>
        <v/>
      </c>
      <c r="AK215" s="96">
        <f>IF(AND($E215&gt;=Controls!$B$5,$E215&lt;=Controls!$B$6,OR(Controls!$E$9&lt;&gt;"Y",$BE215=1)),1,0)</f>
        <v/>
      </c>
      <c r="AL215" s="39">
        <f>1</f>
        <v/>
      </c>
      <c r="AM215" s="20">
        <f>S215-P215</f>
        <v/>
      </c>
      <c r="AN215" s="20">
        <f>IF(AH215=1,MAX(0,P215-S215),0)</f>
        <v/>
      </c>
      <c r="AO215" s="21">
        <f>IFERROR(S215/P215,"")</f>
        <v/>
      </c>
      <c r="AP215" s="22">
        <f>IF(Y215="","",P215/Y215)</f>
        <v/>
      </c>
      <c r="AQ215" s="39">
        <f>IF(Y215="",0,1)</f>
        <v/>
      </c>
      <c r="AR215" s="39">
        <f>IF(S215&lt;=0,1,0)</f>
        <v/>
      </c>
      <c r="AS215" s="17">
        <f>IF(AH215=1,AG215,"")</f>
        <v/>
      </c>
      <c r="AT215" s="17">
        <f>IF(AND(AH215=0,AJ215=1),AG215,"")</f>
        <v/>
      </c>
      <c r="AU215" s="5">
        <f>IF(P215&lt;10000,"Under $10K",IF(P215&lt;20000,"$10-20K",IF(P215&lt;30000,"$20-30K",IF(P215&lt;50000,"$30-50K",IF(P215&lt;100000,"$50-100K","$100K+")))))</f>
        <v/>
      </c>
      <c r="AV215" s="5">
        <f>IF(O215&lt;=1.35,"1.35 and under",IF(O215&lt;=1.42,"1.36-1.42",IF(O215&lt;=1.45,"1.43-1.45",IF(O215&lt;1.49,"1.46-1.48",IF(O215&lt;=1.49,"1.49","Above 1.49")))))</f>
        <v/>
      </c>
      <c r="AW215" s="5">
        <f>IF(AE215="","",IF(AE215&lt;60,"Under 60",IF(AE215&lt;90,"60-89",IF(AE215&lt;120,"90-119",IF(AE215&lt;150,"120-149","150+")))))</f>
        <v/>
      </c>
      <c r="AX215" s="5">
        <f>IF(AP215="","No revenue data",IF(AP215&lt;0.15,"Under 0.15x",IF(AP215&lt;0.3,"0.15-0.30x",IF(AP215&lt;0.5,"0.30-0.50x",IF(AP215&lt;1,"0.50-1.00x","1.00x+")))))</f>
        <v/>
      </c>
      <c r="AY215" s="5">
        <f>IF(J215="","No SIC",IFERROR(VLOOKUP(J215,Ref!$A$4:$C$67,2,FALSE()),"Unclassified"))</f>
        <v/>
      </c>
      <c r="AZ215" s="5">
        <f>IF(E215="","",TEXT(E215,"YYYY")&amp;"-Q"&amp;ROUNDUP(MONTH(E215)/3,0))</f>
        <v/>
      </c>
      <c r="BA215" s="5">
        <f>IF(E215="","",TEXT(E215,"YYYY-MM"))</f>
        <v/>
      </c>
      <c r="BB215" s="5">
        <f>IF(E215="","",TEXT(E215,"YYYY"))</f>
        <v/>
      </c>
      <c r="BC215" s="92">
        <f>IF($E215="","",NETWORKDAYS($E215,Controls!$B$9,Ref!$F$4:$F$47))</f>
        <v/>
      </c>
      <c r="BD215" s="92">
        <f>IF(OR($AH215=1,$AJ215=1),1,0)</f>
        <v/>
      </c>
      <c r="BE215" s="95">
        <f>IF(OR($BD215=1,AND($AE215&lt;&gt;"",$BC215&gt;=Controls!$B$10*$AE215)),1,0)</f>
        <v/>
      </c>
    </row>
    <row r="216" ht="15.75" customHeight="1" s="79">
      <c r="A216" s="5" t="inlineStr">
        <is>
          <t>5674164716</t>
        </is>
      </c>
      <c r="B216" s="5" t="inlineStr">
        <is>
          <t>JIU HONG CANYIN YULE, INC</t>
        </is>
      </c>
      <c r="C216" s="5" t="inlineStr">
        <is>
          <t>JIU HONG CANYIN YULE, INC</t>
        </is>
      </c>
      <c r="D216" s="5" t="inlineStr">
        <is>
          <t>Closed</t>
        </is>
      </c>
      <c r="E216" s="16" t="n">
        <v>45894</v>
      </c>
      <c r="F216" s="16" t="n">
        <v>45981</v>
      </c>
      <c r="G216" s="17" t="n">
        <v>7</v>
      </c>
      <c r="H216" s="5" t="inlineStr">
        <is>
          <t>5812</t>
        </is>
      </c>
      <c r="I216" s="5" t="inlineStr">
        <is>
          <t>Snack and Nonalcoholic Beverage Bars</t>
        </is>
      </c>
      <c r="J216" s="5" t="inlineStr">
        <is>
          <t>58</t>
        </is>
      </c>
      <c r="K216" s="5" t="n">
        <v>5812</v>
      </c>
      <c r="L216" s="5" t="inlineStr">
        <is>
          <t>CO</t>
        </is>
      </c>
      <c r="M216" s="5" t="inlineStr">
        <is>
          <t>United Secured Capital 8</t>
        </is>
      </c>
      <c r="N216" s="5" t="inlineStr">
        <is>
          <t>New Deal</t>
        </is>
      </c>
      <c r="O216" s="19" t="n">
        <v>1.49</v>
      </c>
      <c r="P216" s="20" t="n">
        <v>12500</v>
      </c>
      <c r="Q216" s="20" t="n">
        <v>1750</v>
      </c>
      <c r="R216" s="20" t="n">
        <v>18625</v>
      </c>
      <c r="S216" s="20" t="n">
        <v>18625</v>
      </c>
      <c r="T216" s="20" t="n">
        <v>0</v>
      </c>
      <c r="U216" s="21" t="n">
        <v>1</v>
      </c>
      <c r="V216" s="22" t="n">
        <v>3.279</v>
      </c>
      <c r="W216" s="17" t="n">
        <v>272</v>
      </c>
      <c r="X216" s="17" t="n">
        <v>0</v>
      </c>
      <c r="Y216" s="20" t="n">
        <v>42013.9</v>
      </c>
      <c r="Z216" s="21" t="n">
        <v>0.0931</v>
      </c>
      <c r="AA216" s="5" t="n"/>
      <c r="AB216" s="5">
        <f>IF(V216="","",IF(V216&lt;12,"Months","Weeks"))</f>
        <v/>
      </c>
      <c r="AC216" s="5">
        <f>IF(AB216="","",IF(AB216="Months","Daily","Weekly"))</f>
        <v/>
      </c>
      <c r="AD216" s="17">
        <f>IF(V216="","",IF(AC216="Daily",V216*Controls!$B$13,V216))</f>
        <v/>
      </c>
      <c r="AE216" s="17">
        <f>IF(V216="","",IF(AC216="Daily",V216*Controls!$B$13,V216*Controls!$B$12))</f>
        <v/>
      </c>
      <c r="AF216" s="17">
        <f>IF(OR(E216="",F216=""),"",F216-E216)</f>
        <v/>
      </c>
      <c r="AG216" s="17">
        <f>IF(OR(E216="",F216=""),"",NETWORKDAYS(E216,F216,Ref!$F$4:$F$47))</f>
        <v/>
      </c>
      <c r="AH216" s="39">
        <f>IF(IFERROR(VLOOKUP(D216,Controls!$A$25:$D$35,2,FALSE()),"No")="Yes",1,0)</f>
        <v/>
      </c>
      <c r="AI216" s="39">
        <f>IF(IFERROR(VLOOKUP(D216,Controls!$A$25:$D$35,3,FALSE()),"No")="Yes",1,0)</f>
        <v/>
      </c>
      <c r="AJ216" s="39">
        <f>IF(IFERROR(VLOOKUP(D216,Controls!$A$25:$D$35,4,FALSE()),"No")="Yes",1,0)</f>
        <v/>
      </c>
      <c r="AK216" s="96">
        <f>IF(AND($E216&gt;=Controls!$B$5,$E216&lt;=Controls!$B$6,OR(Controls!$E$9&lt;&gt;"Y",$BE216=1)),1,0)</f>
        <v/>
      </c>
      <c r="AL216" s="39">
        <f>1</f>
        <v/>
      </c>
      <c r="AM216" s="20">
        <f>S216-P216</f>
        <v/>
      </c>
      <c r="AN216" s="20">
        <f>IF(AH216=1,MAX(0,P216-S216),0)</f>
        <v/>
      </c>
      <c r="AO216" s="21">
        <f>IFERROR(S216/P216,"")</f>
        <v/>
      </c>
      <c r="AP216" s="22">
        <f>IF(Y216="","",P216/Y216)</f>
        <v/>
      </c>
      <c r="AQ216" s="39">
        <f>IF(Y216="",0,1)</f>
        <v/>
      </c>
      <c r="AR216" s="39">
        <f>IF(S216&lt;=0,1,0)</f>
        <v/>
      </c>
      <c r="AS216" s="17">
        <f>IF(AH216=1,AG216,"")</f>
        <v/>
      </c>
      <c r="AT216" s="17">
        <f>IF(AND(AH216=0,AJ216=1),AG216,"")</f>
        <v/>
      </c>
      <c r="AU216" s="5">
        <f>IF(P216&lt;10000,"Under $10K",IF(P216&lt;20000,"$10-20K",IF(P216&lt;30000,"$20-30K",IF(P216&lt;50000,"$30-50K",IF(P216&lt;100000,"$50-100K","$100K+")))))</f>
        <v/>
      </c>
      <c r="AV216" s="5">
        <f>IF(O216&lt;=1.35,"1.35 and under",IF(O216&lt;=1.42,"1.36-1.42",IF(O216&lt;=1.45,"1.43-1.45",IF(O216&lt;1.49,"1.46-1.48",IF(O216&lt;=1.49,"1.49","Above 1.49")))))</f>
        <v/>
      </c>
      <c r="AW216" s="5">
        <f>IF(AE216="","",IF(AE216&lt;60,"Under 60",IF(AE216&lt;90,"60-89",IF(AE216&lt;120,"90-119",IF(AE216&lt;150,"120-149","150+")))))</f>
        <v/>
      </c>
      <c r="AX216" s="5">
        <f>IF(AP216="","No revenue data",IF(AP216&lt;0.15,"Under 0.15x",IF(AP216&lt;0.3,"0.15-0.30x",IF(AP216&lt;0.5,"0.30-0.50x",IF(AP216&lt;1,"0.50-1.00x","1.00x+")))))</f>
        <v/>
      </c>
      <c r="AY216" s="5">
        <f>IF(J216="","No SIC",IFERROR(VLOOKUP(J216,Ref!$A$4:$C$67,2,FALSE()),"Unclassified"))</f>
        <v/>
      </c>
      <c r="AZ216" s="5">
        <f>IF(E216="","",TEXT(E216,"YYYY")&amp;"-Q"&amp;ROUNDUP(MONTH(E216)/3,0))</f>
        <v/>
      </c>
      <c r="BA216" s="5">
        <f>IF(E216="","",TEXT(E216,"YYYY-MM"))</f>
        <v/>
      </c>
      <c r="BB216" s="5">
        <f>IF(E216="","",TEXT(E216,"YYYY"))</f>
        <v/>
      </c>
      <c r="BC216" s="92">
        <f>IF($E216="","",NETWORKDAYS($E216,Controls!$B$9,Ref!$F$4:$F$47))</f>
        <v/>
      </c>
      <c r="BD216" s="92">
        <f>IF(OR($AH216=1,$AJ216=1),1,0)</f>
        <v/>
      </c>
      <c r="BE216" s="95">
        <f>IF(OR($BD216=1,AND($AE216&lt;&gt;"",$BC216&gt;=Controls!$B$10*$AE216)),1,0)</f>
        <v/>
      </c>
    </row>
    <row r="217" ht="15.75" customHeight="1" s="79">
      <c r="A217" s="5" t="inlineStr">
        <is>
          <t>5674164806</t>
        </is>
      </c>
      <c r="B217" s="5" t="inlineStr">
        <is>
          <t>Phiri Property Management LLC</t>
        </is>
      </c>
      <c r="C217" s="5" t="inlineStr">
        <is>
          <t>Phiri Property Management LLC</t>
        </is>
      </c>
      <c r="D217" s="5" t="inlineStr">
        <is>
          <t>Closed</t>
        </is>
      </c>
      <c r="E217" s="16" t="n">
        <v>45895</v>
      </c>
      <c r="F217" s="16" t="n">
        <v>46009</v>
      </c>
      <c r="G217" s="17" t="n">
        <v>4</v>
      </c>
      <c r="H217" s="5" t="inlineStr">
        <is>
          <t>1521</t>
        </is>
      </c>
      <c r="I217" s="5" t="inlineStr">
        <is>
          <t>New Single-Family Housing Construction (Except For-Sale Builders)</t>
        </is>
      </c>
      <c r="J217" s="5" t="inlineStr">
        <is>
          <t>15</t>
        </is>
      </c>
      <c r="K217" s="5" t="n">
        <v>1520</v>
      </c>
      <c r="L217" s="5" t="inlineStr">
        <is>
          <t>IL</t>
        </is>
      </c>
      <c r="M217" s="5" t="inlineStr">
        <is>
          <t>cavala funding</t>
        </is>
      </c>
      <c r="N217" s="5" t="inlineStr">
        <is>
          <t>New Deal</t>
        </is>
      </c>
      <c r="O217" s="19" t="n">
        <v>1.35</v>
      </c>
      <c r="P217" s="20" t="n">
        <v>10000</v>
      </c>
      <c r="Q217" s="20" t="n">
        <v>700</v>
      </c>
      <c r="R217" s="20" t="n">
        <v>13500</v>
      </c>
      <c r="S217" s="20" t="n">
        <v>13500</v>
      </c>
      <c r="T217" s="20" t="n">
        <v>0</v>
      </c>
      <c r="U217" s="21" t="n">
        <v>1</v>
      </c>
      <c r="V217" s="22" t="n">
        <v>15</v>
      </c>
      <c r="W217" s="17" t="n">
        <v>244</v>
      </c>
      <c r="X217" s="17" t="n">
        <v>0</v>
      </c>
      <c r="Y217" s="20" t="n">
        <v>31931.67</v>
      </c>
      <c r="Z217" s="21" t="n">
        <v>0.1127</v>
      </c>
      <c r="AA217" s="16" t="n">
        <v>42557</v>
      </c>
      <c r="AB217" s="5">
        <f>IF(V217="","",IF(V217&lt;12,"Months","Weeks"))</f>
        <v/>
      </c>
      <c r="AC217" s="5">
        <f>IF(AB217="","",IF(AB217="Months","Daily","Weekly"))</f>
        <v/>
      </c>
      <c r="AD217" s="17">
        <f>IF(V217="","",IF(AC217="Daily",V217*Controls!$B$13,V217))</f>
        <v/>
      </c>
      <c r="AE217" s="17">
        <f>IF(V217="","",IF(AC217="Daily",V217*Controls!$B$13,V217*Controls!$B$12))</f>
        <v/>
      </c>
      <c r="AF217" s="17">
        <f>IF(OR(E217="",F217=""),"",F217-E217)</f>
        <v/>
      </c>
      <c r="AG217" s="17">
        <f>IF(OR(E217="",F217=""),"",NETWORKDAYS(E217,F217,Ref!$F$4:$F$47))</f>
        <v/>
      </c>
      <c r="AH217" s="39">
        <f>IF(IFERROR(VLOOKUP(D217,Controls!$A$25:$D$35,2,FALSE()),"No")="Yes",1,0)</f>
        <v/>
      </c>
      <c r="AI217" s="39">
        <f>IF(IFERROR(VLOOKUP(D217,Controls!$A$25:$D$35,3,FALSE()),"No")="Yes",1,0)</f>
        <v/>
      </c>
      <c r="AJ217" s="39">
        <f>IF(IFERROR(VLOOKUP(D217,Controls!$A$25:$D$35,4,FALSE()),"No")="Yes",1,0)</f>
        <v/>
      </c>
      <c r="AK217" s="96">
        <f>IF(AND($E217&gt;=Controls!$B$5,$E217&lt;=Controls!$B$6,OR(Controls!$E$9&lt;&gt;"Y",$BE217=1)),1,0)</f>
        <v/>
      </c>
      <c r="AL217" s="39">
        <f>1</f>
        <v/>
      </c>
      <c r="AM217" s="20">
        <f>S217-P217</f>
        <v/>
      </c>
      <c r="AN217" s="20">
        <f>IF(AH217=1,MAX(0,P217-S217),0)</f>
        <v/>
      </c>
      <c r="AO217" s="21">
        <f>IFERROR(S217/P217,"")</f>
        <v/>
      </c>
      <c r="AP217" s="22">
        <f>IF(Y217="","",P217/Y217)</f>
        <v/>
      </c>
      <c r="AQ217" s="39">
        <f>IF(Y217="",0,1)</f>
        <v/>
      </c>
      <c r="AR217" s="39">
        <f>IF(S217&lt;=0,1,0)</f>
        <v/>
      </c>
      <c r="AS217" s="17">
        <f>IF(AH217=1,AG217,"")</f>
        <v/>
      </c>
      <c r="AT217" s="17">
        <f>IF(AND(AH217=0,AJ217=1),AG217,"")</f>
        <v/>
      </c>
      <c r="AU217" s="5">
        <f>IF(P217&lt;10000,"Under $10K",IF(P217&lt;20000,"$10-20K",IF(P217&lt;30000,"$20-30K",IF(P217&lt;50000,"$30-50K",IF(P217&lt;100000,"$50-100K","$100K+")))))</f>
        <v/>
      </c>
      <c r="AV217" s="5">
        <f>IF(O217&lt;=1.35,"1.35 and under",IF(O217&lt;=1.42,"1.36-1.42",IF(O217&lt;=1.45,"1.43-1.45",IF(O217&lt;1.49,"1.46-1.48",IF(O217&lt;=1.49,"1.49","Above 1.49")))))</f>
        <v/>
      </c>
      <c r="AW217" s="5">
        <f>IF(AE217="","",IF(AE217&lt;60,"Under 60",IF(AE217&lt;90,"60-89",IF(AE217&lt;120,"90-119",IF(AE217&lt;150,"120-149","150+")))))</f>
        <v/>
      </c>
      <c r="AX217" s="5">
        <f>IF(AP217="","No revenue data",IF(AP217&lt;0.15,"Under 0.15x",IF(AP217&lt;0.3,"0.15-0.30x",IF(AP217&lt;0.5,"0.30-0.50x",IF(AP217&lt;1,"0.50-1.00x","1.00x+")))))</f>
        <v/>
      </c>
      <c r="AY217" s="5">
        <f>IF(J217="","No SIC",IFERROR(VLOOKUP(J217,Ref!$A$4:$C$67,2,FALSE()),"Unclassified"))</f>
        <v/>
      </c>
      <c r="AZ217" s="5">
        <f>IF(E217="","",TEXT(E217,"YYYY")&amp;"-Q"&amp;ROUNDUP(MONTH(E217)/3,0))</f>
        <v/>
      </c>
      <c r="BA217" s="5">
        <f>IF(E217="","",TEXT(E217,"YYYY-MM"))</f>
        <v/>
      </c>
      <c r="BB217" s="5">
        <f>IF(E217="","",TEXT(E217,"YYYY"))</f>
        <v/>
      </c>
      <c r="BC217" s="92">
        <f>IF($E217="","",NETWORKDAYS($E217,Controls!$B$9,Ref!$F$4:$F$47))</f>
        <v/>
      </c>
      <c r="BD217" s="92">
        <f>IF(OR($AH217=1,$AJ217=1),1,0)</f>
        <v/>
      </c>
      <c r="BE217" s="95">
        <f>IF(OR($BD217=1,AND($AE217&lt;&gt;"",$BC217&gt;=Controls!$B$10*$AE217)),1,0)</f>
        <v/>
      </c>
    </row>
    <row r="218" ht="15.75" customHeight="1" s="79">
      <c r="A218" s="5" t="inlineStr">
        <is>
          <t>5674164817</t>
        </is>
      </c>
      <c r="B218" s="5" t="inlineStr">
        <is>
          <t>JAMES CORVIN</t>
        </is>
      </c>
      <c r="C218" s="5" t="inlineStr">
        <is>
          <t>James Corvin Inc</t>
        </is>
      </c>
      <c r="D218" s="5" t="inlineStr">
        <is>
          <t>Legal</t>
        </is>
      </c>
      <c r="E218" s="16" t="n">
        <v>45895</v>
      </c>
      <c r="F218" s="16" t="n">
        <v>45950</v>
      </c>
      <c r="G218" s="17" t="n">
        <v>2</v>
      </c>
      <c r="H218" s="5" t="inlineStr">
        <is>
          <t>1521</t>
        </is>
      </c>
      <c r="I218" s="5" t="inlineStr">
        <is>
          <t>New Single-Family Housing Construction (Except For-Sale Builders)</t>
        </is>
      </c>
      <c r="J218" s="5" t="inlineStr">
        <is>
          <t>15</t>
        </is>
      </c>
      <c r="K218" s="5" t="n">
        <v>1520</v>
      </c>
      <c r="L218" s="5" t="inlineStr">
        <is>
          <t>VA</t>
        </is>
      </c>
      <c r="M218" s="5" t="inlineStr">
        <is>
          <t>PMF</t>
        </is>
      </c>
      <c r="N218" s="5" t="inlineStr">
        <is>
          <t>New Deal</t>
        </is>
      </c>
      <c r="O218" s="19" t="n">
        <v>1.49</v>
      </c>
      <c r="P218" s="20" t="n">
        <v>75000</v>
      </c>
      <c r="Q218" s="20" t="n">
        <v>10500</v>
      </c>
      <c r="R218" s="20" t="n">
        <v>111750</v>
      </c>
      <c r="S218" s="20" t="n">
        <v>27953.45</v>
      </c>
      <c r="T218" s="20" t="n">
        <v>83796.55</v>
      </c>
      <c r="U218" s="21" t="n">
        <v>0.250142729306488</v>
      </c>
      <c r="V218" s="22" t="n">
        <v>28</v>
      </c>
      <c r="W218" s="17" t="n">
        <v>310</v>
      </c>
      <c r="X218" s="17" t="n">
        <v>1</v>
      </c>
      <c r="Y218" s="20" t="n">
        <v>192218.95</v>
      </c>
      <c r="Z218" s="21" t="n">
        <v>0.08309999999999999</v>
      </c>
      <c r="AA218" s="16" t="n">
        <v>36161</v>
      </c>
      <c r="AB218" s="5">
        <f>IF(V218="","",IF(V218&lt;12,"Months","Weeks"))</f>
        <v/>
      </c>
      <c r="AC218" s="5">
        <f>IF(AB218="","",IF(AB218="Months","Daily","Weekly"))</f>
        <v/>
      </c>
      <c r="AD218" s="17">
        <f>IF(V218="","",IF(AC218="Daily",V218*Controls!$B$13,V218))</f>
        <v/>
      </c>
      <c r="AE218" s="17">
        <f>IF(V218="","",IF(AC218="Daily",V218*Controls!$B$13,V218*Controls!$B$12))</f>
        <v/>
      </c>
      <c r="AF218" s="17">
        <f>IF(OR(E218="",F218=""),"",F218-E218)</f>
        <v/>
      </c>
      <c r="AG218" s="17">
        <f>IF(OR(E218="",F218=""),"",NETWORKDAYS(E218,F218,Ref!$F$4:$F$47))</f>
        <v/>
      </c>
      <c r="AH218" s="39">
        <f>IF(IFERROR(VLOOKUP(D218,Controls!$A$25:$D$35,2,FALSE()),"No")="Yes",1,0)</f>
        <v/>
      </c>
      <c r="AI218" s="39">
        <f>IF(IFERROR(VLOOKUP(D218,Controls!$A$25:$D$35,3,FALSE()),"No")="Yes",1,0)</f>
        <v/>
      </c>
      <c r="AJ218" s="39">
        <f>IF(IFERROR(VLOOKUP(D218,Controls!$A$25:$D$35,4,FALSE()),"No")="Yes",1,0)</f>
        <v/>
      </c>
      <c r="AK218" s="96">
        <f>IF(AND($E218&gt;=Controls!$B$5,$E218&lt;=Controls!$B$6,OR(Controls!$E$9&lt;&gt;"Y",$BE218=1)),1,0)</f>
        <v/>
      </c>
      <c r="AL218" s="39">
        <f>1</f>
        <v/>
      </c>
      <c r="AM218" s="20">
        <f>S218-P218</f>
        <v/>
      </c>
      <c r="AN218" s="20">
        <f>IF(AH218=1,MAX(0,P218-S218),0)</f>
        <v/>
      </c>
      <c r="AO218" s="21">
        <f>IFERROR(S218/P218,"")</f>
        <v/>
      </c>
      <c r="AP218" s="22">
        <f>IF(Y218="","",P218/Y218)</f>
        <v/>
      </c>
      <c r="AQ218" s="39">
        <f>IF(Y218="",0,1)</f>
        <v/>
      </c>
      <c r="AR218" s="39">
        <f>IF(S218&lt;=0,1,0)</f>
        <v/>
      </c>
      <c r="AS218" s="17">
        <f>IF(AH218=1,AG218,"")</f>
        <v/>
      </c>
      <c r="AT218" s="17">
        <f>IF(AND(AH218=0,AJ218=1),AG218,"")</f>
        <v/>
      </c>
      <c r="AU218" s="5">
        <f>IF(P218&lt;10000,"Under $10K",IF(P218&lt;20000,"$10-20K",IF(P218&lt;30000,"$20-30K",IF(P218&lt;50000,"$30-50K",IF(P218&lt;100000,"$50-100K","$100K+")))))</f>
        <v/>
      </c>
      <c r="AV218" s="5">
        <f>IF(O218&lt;=1.35,"1.35 and under",IF(O218&lt;=1.42,"1.36-1.42",IF(O218&lt;=1.45,"1.43-1.45",IF(O218&lt;1.49,"1.46-1.48",IF(O218&lt;=1.49,"1.49","Above 1.49")))))</f>
        <v/>
      </c>
      <c r="AW218" s="5">
        <f>IF(AE218="","",IF(AE218&lt;60,"Under 60",IF(AE218&lt;90,"60-89",IF(AE218&lt;120,"90-119",IF(AE218&lt;150,"120-149","150+")))))</f>
        <v/>
      </c>
      <c r="AX218" s="5">
        <f>IF(AP218="","No revenue data",IF(AP218&lt;0.15,"Under 0.15x",IF(AP218&lt;0.3,"0.15-0.30x",IF(AP218&lt;0.5,"0.30-0.50x",IF(AP218&lt;1,"0.50-1.00x","1.00x+")))))</f>
        <v/>
      </c>
      <c r="AY218" s="5">
        <f>IF(J218="","No SIC",IFERROR(VLOOKUP(J218,Ref!$A$4:$C$67,2,FALSE()),"Unclassified"))</f>
        <v/>
      </c>
      <c r="AZ218" s="5">
        <f>IF(E218="","",TEXT(E218,"YYYY")&amp;"-Q"&amp;ROUNDUP(MONTH(E218)/3,0))</f>
        <v/>
      </c>
      <c r="BA218" s="5">
        <f>IF(E218="","",TEXT(E218,"YYYY-MM"))</f>
        <v/>
      </c>
      <c r="BB218" s="5">
        <f>IF(E218="","",TEXT(E218,"YYYY"))</f>
        <v/>
      </c>
      <c r="BC218" s="92">
        <f>IF($E218="","",NETWORKDAYS($E218,Controls!$B$9,Ref!$F$4:$F$47))</f>
        <v/>
      </c>
      <c r="BD218" s="92">
        <f>IF(OR($AH218=1,$AJ218=1),1,0)</f>
        <v/>
      </c>
      <c r="BE218" s="95">
        <f>IF(OR($BD218=1,AND($AE218&lt;&gt;"",$BC218&gt;=Controls!$B$10*$AE218)),1,0)</f>
        <v/>
      </c>
    </row>
    <row r="219" ht="15.75" customHeight="1" s="79">
      <c r="A219" s="5" t="inlineStr">
        <is>
          <t>5674164844</t>
        </is>
      </c>
      <c r="B219" s="5" t="inlineStr">
        <is>
          <t>Alpine Springs Water Distribution</t>
        </is>
      </c>
      <c r="C219" s="5" t="inlineStr">
        <is>
          <t>ALPINE SPRINGS WATER DISTRIBUTION LLC</t>
        </is>
      </c>
      <c r="D219" s="5" t="inlineStr">
        <is>
          <t>Open</t>
        </is>
      </c>
      <c r="E219" s="16" t="n">
        <v>45895</v>
      </c>
      <c r="F219" s="16" t="n">
        <v>46252</v>
      </c>
      <c r="G219" s="17" t="n">
        <v>3</v>
      </c>
      <c r="H219" s="5" t="inlineStr">
        <is>
          <t>4941</t>
        </is>
      </c>
      <c r="I219" s="5" t="inlineStr">
        <is>
          <t>Water Supply and Irrigation Systems</t>
        </is>
      </c>
      <c r="J219" s="5" t="inlineStr">
        <is>
          <t>49</t>
        </is>
      </c>
      <c r="K219" s="5" t="n">
        <v>4900</v>
      </c>
      <c r="L219" s="5" t="inlineStr">
        <is>
          <t>CA</t>
        </is>
      </c>
      <c r="M219" s="5" t="inlineStr">
        <is>
          <t>Shore Funding USA</t>
        </is>
      </c>
      <c r="N219" s="5" t="inlineStr">
        <is>
          <t>New Deal</t>
        </is>
      </c>
      <c r="O219" s="19" t="n">
        <v>1.43</v>
      </c>
      <c r="P219" s="20" t="n">
        <v>30000</v>
      </c>
      <c r="Q219" s="20" t="n">
        <v>3300</v>
      </c>
      <c r="R219" s="20" t="n">
        <v>42900</v>
      </c>
      <c r="S219" s="20" t="n">
        <v>34021.27</v>
      </c>
      <c r="T219" s="20" t="n">
        <v>8878.73</v>
      </c>
      <c r="U219" s="21" t="n">
        <v>0.793036596736597</v>
      </c>
      <c r="V219" s="22" t="n">
        <v>34</v>
      </c>
      <c r="W219" s="17" t="n">
        <v>1</v>
      </c>
      <c r="X219" s="17" t="n">
        <v>16</v>
      </c>
      <c r="Y219" s="20" t="n">
        <v>91768.06</v>
      </c>
      <c r="Z219" s="21" t="n">
        <v>0.055</v>
      </c>
      <c r="AA219" s="16" t="n">
        <v>43025</v>
      </c>
      <c r="AB219" s="5">
        <f>IF(V219="","",IF(V219&lt;12,"Months","Weeks"))</f>
        <v/>
      </c>
      <c r="AC219" s="5">
        <f>IF(AB219="","",IF(AB219="Months","Daily","Weekly"))</f>
        <v/>
      </c>
      <c r="AD219" s="17">
        <f>IF(V219="","",IF(AC219="Daily",V219*Controls!$B$13,V219))</f>
        <v/>
      </c>
      <c r="AE219" s="17">
        <f>IF(V219="","",IF(AC219="Daily",V219*Controls!$B$13,V219*Controls!$B$12))</f>
        <v/>
      </c>
      <c r="AF219" s="17">
        <f>IF(OR(E219="",F219=""),"",F219-E219)</f>
        <v/>
      </c>
      <c r="AG219" s="17">
        <f>IF(OR(E219="",F219=""),"",NETWORKDAYS(E219,F219,Ref!$F$4:$F$47))</f>
        <v/>
      </c>
      <c r="AH219" s="39">
        <f>IF(IFERROR(VLOOKUP(D219,Controls!$A$25:$D$35,2,FALSE()),"No")="Yes",1,0)</f>
        <v/>
      </c>
      <c r="AI219" s="39">
        <f>IF(IFERROR(VLOOKUP(D219,Controls!$A$25:$D$35,3,FALSE()),"No")="Yes",1,0)</f>
        <v/>
      </c>
      <c r="AJ219" s="39">
        <f>IF(IFERROR(VLOOKUP(D219,Controls!$A$25:$D$35,4,FALSE()),"No")="Yes",1,0)</f>
        <v/>
      </c>
      <c r="AK219" s="96">
        <f>IF(AND($E219&gt;=Controls!$B$5,$E219&lt;=Controls!$B$6,OR(Controls!$E$9&lt;&gt;"Y",$BE219=1)),1,0)</f>
        <v/>
      </c>
      <c r="AL219" s="39">
        <f>1</f>
        <v/>
      </c>
      <c r="AM219" s="20">
        <f>S219-P219</f>
        <v/>
      </c>
      <c r="AN219" s="20">
        <f>IF(AH219=1,MAX(0,P219-S219),0)</f>
        <v/>
      </c>
      <c r="AO219" s="21">
        <f>IFERROR(S219/P219,"")</f>
        <v/>
      </c>
      <c r="AP219" s="22">
        <f>IF(Y219="","",P219/Y219)</f>
        <v/>
      </c>
      <c r="AQ219" s="39">
        <f>IF(Y219="",0,1)</f>
        <v/>
      </c>
      <c r="AR219" s="39">
        <f>IF(S219&lt;=0,1,0)</f>
        <v/>
      </c>
      <c r="AS219" s="17">
        <f>IF(AH219=1,AG219,"")</f>
        <v/>
      </c>
      <c r="AT219" s="17">
        <f>IF(AND(AH219=0,AJ219=1),AG219,"")</f>
        <v/>
      </c>
      <c r="AU219" s="5">
        <f>IF(P219&lt;10000,"Under $10K",IF(P219&lt;20000,"$10-20K",IF(P219&lt;30000,"$20-30K",IF(P219&lt;50000,"$30-50K",IF(P219&lt;100000,"$50-100K","$100K+")))))</f>
        <v/>
      </c>
      <c r="AV219" s="5">
        <f>IF(O219&lt;=1.35,"1.35 and under",IF(O219&lt;=1.42,"1.36-1.42",IF(O219&lt;=1.45,"1.43-1.45",IF(O219&lt;1.49,"1.46-1.48",IF(O219&lt;=1.49,"1.49","Above 1.49")))))</f>
        <v/>
      </c>
      <c r="AW219" s="5">
        <f>IF(AE219="","",IF(AE219&lt;60,"Under 60",IF(AE219&lt;90,"60-89",IF(AE219&lt;120,"90-119",IF(AE219&lt;150,"120-149","150+")))))</f>
        <v/>
      </c>
      <c r="AX219" s="5">
        <f>IF(AP219="","No revenue data",IF(AP219&lt;0.15,"Under 0.15x",IF(AP219&lt;0.3,"0.15-0.30x",IF(AP219&lt;0.5,"0.30-0.50x",IF(AP219&lt;1,"0.50-1.00x","1.00x+")))))</f>
        <v/>
      </c>
      <c r="AY219" s="5">
        <f>IF(J219="","No SIC",IFERROR(VLOOKUP(J219,Ref!$A$4:$C$67,2,FALSE()),"Unclassified"))</f>
        <v/>
      </c>
      <c r="AZ219" s="5">
        <f>IF(E219="","",TEXT(E219,"YYYY")&amp;"-Q"&amp;ROUNDUP(MONTH(E219)/3,0))</f>
        <v/>
      </c>
      <c r="BA219" s="5">
        <f>IF(E219="","",TEXT(E219,"YYYY-MM"))</f>
        <v/>
      </c>
      <c r="BB219" s="5">
        <f>IF(E219="","",TEXT(E219,"YYYY"))</f>
        <v/>
      </c>
      <c r="BC219" s="92">
        <f>IF($E219="","",NETWORKDAYS($E219,Controls!$B$9,Ref!$F$4:$F$47))</f>
        <v/>
      </c>
      <c r="BD219" s="92">
        <f>IF(OR($AH219=1,$AJ219=1),1,0)</f>
        <v/>
      </c>
      <c r="BE219" s="95">
        <f>IF(OR($BD219=1,AND($AE219&lt;&gt;"",$BC219&gt;=Controls!$B$10*$AE219)),1,0)</f>
        <v/>
      </c>
    </row>
    <row r="220" ht="15.75" customHeight="1" s="79">
      <c r="A220" s="5" t="inlineStr">
        <is>
          <t>5674164847</t>
        </is>
      </c>
      <c r="B220" s="5" t="inlineStr">
        <is>
          <t>HOLLINS &amp; ASSOCIATES</t>
        </is>
      </c>
      <c r="C220" s="5" t="inlineStr">
        <is>
          <t>HOLLINS &amp; ASSOCIATES LLC</t>
        </is>
      </c>
      <c r="D220" s="5" t="inlineStr">
        <is>
          <t>Closed</t>
        </is>
      </c>
      <c r="E220" s="16" t="n">
        <v>45895</v>
      </c>
      <c r="F220" s="16" t="n">
        <v>46070</v>
      </c>
      <c r="G220" s="17" t="n">
        <v>4</v>
      </c>
      <c r="H220" s="5" t="inlineStr">
        <is>
          <t>8721</t>
        </is>
      </c>
      <c r="I220" s="5" t="inlineStr">
        <is>
          <t>Other Accounting Services</t>
        </is>
      </c>
      <c r="J220" s="5" t="inlineStr">
        <is>
          <t>87</t>
        </is>
      </c>
      <c r="K220" s="5" t="n">
        <v>8931</v>
      </c>
      <c r="L220" s="5" t="inlineStr">
        <is>
          <t>TX</t>
        </is>
      </c>
      <c r="M220" s="5" t="inlineStr">
        <is>
          <t>Shore Funding USA</t>
        </is>
      </c>
      <c r="N220" s="5" t="inlineStr">
        <is>
          <t>New Deal</t>
        </is>
      </c>
      <c r="O220" s="19" t="n">
        <v>1.48</v>
      </c>
      <c r="P220" s="20" t="n">
        <v>16000</v>
      </c>
      <c r="Q220" s="20" t="n">
        <v>2160</v>
      </c>
      <c r="R220" s="20" t="n">
        <v>23680</v>
      </c>
      <c r="S220" s="20" t="n">
        <v>23680</v>
      </c>
      <c r="T220" s="20" t="n">
        <v>0</v>
      </c>
      <c r="U220" s="21" t="n">
        <v>1</v>
      </c>
      <c r="V220" s="22" t="n">
        <v>24</v>
      </c>
      <c r="W220" s="17" t="n">
        <v>183</v>
      </c>
      <c r="X220" s="17" t="n">
        <v>0</v>
      </c>
      <c r="Y220" s="20" t="n">
        <v>15131.52</v>
      </c>
      <c r="Z220" s="21" t="n">
        <v>0.2608</v>
      </c>
      <c r="AA220" s="16" t="n">
        <v>44153</v>
      </c>
      <c r="AB220" s="5">
        <f>IF(V220="","",IF(V220&lt;12,"Months","Weeks"))</f>
        <v/>
      </c>
      <c r="AC220" s="5">
        <f>IF(AB220="","",IF(AB220="Months","Daily","Weekly"))</f>
        <v/>
      </c>
      <c r="AD220" s="17">
        <f>IF(V220="","",IF(AC220="Daily",V220*Controls!$B$13,V220))</f>
        <v/>
      </c>
      <c r="AE220" s="17">
        <f>IF(V220="","",IF(AC220="Daily",V220*Controls!$B$13,V220*Controls!$B$12))</f>
        <v/>
      </c>
      <c r="AF220" s="17">
        <f>IF(OR(E220="",F220=""),"",F220-E220)</f>
        <v/>
      </c>
      <c r="AG220" s="17">
        <f>IF(OR(E220="",F220=""),"",NETWORKDAYS(E220,F220,Ref!$F$4:$F$47))</f>
        <v/>
      </c>
      <c r="AH220" s="39">
        <f>IF(IFERROR(VLOOKUP(D220,Controls!$A$25:$D$35,2,FALSE()),"No")="Yes",1,0)</f>
        <v/>
      </c>
      <c r="AI220" s="39">
        <f>IF(IFERROR(VLOOKUP(D220,Controls!$A$25:$D$35,3,FALSE()),"No")="Yes",1,0)</f>
        <v/>
      </c>
      <c r="AJ220" s="39">
        <f>IF(IFERROR(VLOOKUP(D220,Controls!$A$25:$D$35,4,FALSE()),"No")="Yes",1,0)</f>
        <v/>
      </c>
      <c r="AK220" s="96">
        <f>IF(AND($E220&gt;=Controls!$B$5,$E220&lt;=Controls!$B$6,OR(Controls!$E$9&lt;&gt;"Y",$BE220=1)),1,0)</f>
        <v/>
      </c>
      <c r="AL220" s="39">
        <f>1</f>
        <v/>
      </c>
      <c r="AM220" s="20">
        <f>S220-P220</f>
        <v/>
      </c>
      <c r="AN220" s="20">
        <f>IF(AH220=1,MAX(0,P220-S220),0)</f>
        <v/>
      </c>
      <c r="AO220" s="21">
        <f>IFERROR(S220/P220,"")</f>
        <v/>
      </c>
      <c r="AP220" s="22">
        <f>IF(Y220="","",P220/Y220)</f>
        <v/>
      </c>
      <c r="AQ220" s="39">
        <f>IF(Y220="",0,1)</f>
        <v/>
      </c>
      <c r="AR220" s="39">
        <f>IF(S220&lt;=0,1,0)</f>
        <v/>
      </c>
      <c r="AS220" s="17">
        <f>IF(AH220=1,AG220,"")</f>
        <v/>
      </c>
      <c r="AT220" s="17">
        <f>IF(AND(AH220=0,AJ220=1),AG220,"")</f>
        <v/>
      </c>
      <c r="AU220" s="5">
        <f>IF(P220&lt;10000,"Under $10K",IF(P220&lt;20000,"$10-20K",IF(P220&lt;30000,"$20-30K",IF(P220&lt;50000,"$30-50K",IF(P220&lt;100000,"$50-100K","$100K+")))))</f>
        <v/>
      </c>
      <c r="AV220" s="5">
        <f>IF(O220&lt;=1.35,"1.35 and under",IF(O220&lt;=1.42,"1.36-1.42",IF(O220&lt;=1.45,"1.43-1.45",IF(O220&lt;1.49,"1.46-1.48",IF(O220&lt;=1.49,"1.49","Above 1.49")))))</f>
        <v/>
      </c>
      <c r="AW220" s="5">
        <f>IF(AE220="","",IF(AE220&lt;60,"Under 60",IF(AE220&lt;90,"60-89",IF(AE220&lt;120,"90-119",IF(AE220&lt;150,"120-149","150+")))))</f>
        <v/>
      </c>
      <c r="AX220" s="5">
        <f>IF(AP220="","No revenue data",IF(AP220&lt;0.15,"Under 0.15x",IF(AP220&lt;0.3,"0.15-0.30x",IF(AP220&lt;0.5,"0.30-0.50x",IF(AP220&lt;1,"0.50-1.00x","1.00x+")))))</f>
        <v/>
      </c>
      <c r="AY220" s="5">
        <f>IF(J220="","No SIC",IFERROR(VLOOKUP(J220,Ref!$A$4:$C$67,2,FALSE()),"Unclassified"))</f>
        <v/>
      </c>
      <c r="AZ220" s="5">
        <f>IF(E220="","",TEXT(E220,"YYYY")&amp;"-Q"&amp;ROUNDUP(MONTH(E220)/3,0))</f>
        <v/>
      </c>
      <c r="BA220" s="5">
        <f>IF(E220="","",TEXT(E220,"YYYY-MM"))</f>
        <v/>
      </c>
      <c r="BB220" s="5">
        <f>IF(E220="","",TEXT(E220,"YYYY"))</f>
        <v/>
      </c>
      <c r="BC220" s="92">
        <f>IF($E220="","",NETWORKDAYS($E220,Controls!$B$9,Ref!$F$4:$F$47))</f>
        <v/>
      </c>
      <c r="BD220" s="92">
        <f>IF(OR($AH220=1,$AJ220=1),1,0)</f>
        <v/>
      </c>
      <c r="BE220" s="95">
        <f>IF(OR($BD220=1,AND($AE220&lt;&gt;"",$BC220&gt;=Controls!$B$10*$AE220)),1,0)</f>
        <v/>
      </c>
    </row>
    <row r="221" ht="15.75" customHeight="1" s="79">
      <c r="A221" s="5" t="inlineStr">
        <is>
          <t>5674164887</t>
        </is>
      </c>
      <c r="B221" s="5" t="inlineStr">
        <is>
          <t>SOCAL MEDICAL TRANSPORTATION LLC</t>
        </is>
      </c>
      <c r="C221" s="5" t="inlineStr">
        <is>
          <t>SOCAL MEDICAL TRANSPORTATION LLC</t>
        </is>
      </c>
      <c r="D221" s="5" t="inlineStr">
        <is>
          <t>Closed</t>
        </is>
      </c>
      <c r="E221" s="16" t="n">
        <v>45896</v>
      </c>
      <c r="F221" s="16" t="n">
        <v>46029</v>
      </c>
      <c r="G221" s="17" t="n">
        <v>2</v>
      </c>
      <c r="H221" s="5" t="inlineStr">
        <is>
          <t>4119</t>
        </is>
      </c>
      <c r="I221" s="5" t="inlineStr">
        <is>
          <t>Ambulance Services</t>
        </is>
      </c>
      <c r="J221" s="5" t="inlineStr">
        <is>
          <t>41</t>
        </is>
      </c>
      <c r="K221" s="5" t="n">
        <v>4119</v>
      </c>
      <c r="L221" s="5" t="inlineStr">
        <is>
          <t>CA</t>
        </is>
      </c>
      <c r="M221" s="5" t="inlineStr">
        <is>
          <t>The Funding Channel</t>
        </is>
      </c>
      <c r="N221" s="5" t="inlineStr">
        <is>
          <t>New Deal</t>
        </is>
      </c>
      <c r="O221" s="19" t="n">
        <v>1.45</v>
      </c>
      <c r="P221" s="20" t="n">
        <v>20000</v>
      </c>
      <c r="Q221" s="20" t="n">
        <v>2400</v>
      </c>
      <c r="R221" s="20" t="n">
        <v>29000</v>
      </c>
      <c r="S221" s="20" t="n">
        <v>29000</v>
      </c>
      <c r="T221" s="20" t="n">
        <v>0</v>
      </c>
      <c r="U221" s="21" t="n">
        <v>1</v>
      </c>
      <c r="V221" s="22" t="n">
        <v>28</v>
      </c>
      <c r="W221" s="17" t="n">
        <v>224</v>
      </c>
      <c r="X221" s="17" t="n">
        <v>1</v>
      </c>
      <c r="Y221" s="20" t="n">
        <v>108901.57</v>
      </c>
      <c r="Z221" s="21" t="n">
        <v>0.038</v>
      </c>
      <c r="AA221" s="16" t="n">
        <v>45497</v>
      </c>
      <c r="AB221" s="5">
        <f>IF(V221="","",IF(V221&lt;12,"Months","Weeks"))</f>
        <v/>
      </c>
      <c r="AC221" s="5">
        <f>IF(AB221="","",IF(AB221="Months","Daily","Weekly"))</f>
        <v/>
      </c>
      <c r="AD221" s="17">
        <f>IF(V221="","",IF(AC221="Daily",V221*Controls!$B$13,V221))</f>
        <v/>
      </c>
      <c r="AE221" s="17">
        <f>IF(V221="","",IF(AC221="Daily",V221*Controls!$B$13,V221*Controls!$B$12))</f>
        <v/>
      </c>
      <c r="AF221" s="17">
        <f>IF(OR(E221="",F221=""),"",F221-E221)</f>
        <v/>
      </c>
      <c r="AG221" s="17">
        <f>IF(OR(E221="",F221=""),"",NETWORKDAYS(E221,F221,Ref!$F$4:$F$47))</f>
        <v/>
      </c>
      <c r="AH221" s="39">
        <f>IF(IFERROR(VLOOKUP(D221,Controls!$A$25:$D$35,2,FALSE()),"No")="Yes",1,0)</f>
        <v/>
      </c>
      <c r="AI221" s="39">
        <f>IF(IFERROR(VLOOKUP(D221,Controls!$A$25:$D$35,3,FALSE()),"No")="Yes",1,0)</f>
        <v/>
      </c>
      <c r="AJ221" s="39">
        <f>IF(IFERROR(VLOOKUP(D221,Controls!$A$25:$D$35,4,FALSE()),"No")="Yes",1,0)</f>
        <v/>
      </c>
      <c r="AK221" s="96">
        <f>IF(AND($E221&gt;=Controls!$B$5,$E221&lt;=Controls!$B$6,OR(Controls!$E$9&lt;&gt;"Y",$BE221=1)),1,0)</f>
        <v/>
      </c>
      <c r="AL221" s="39">
        <f>1</f>
        <v/>
      </c>
      <c r="AM221" s="20">
        <f>S221-P221</f>
        <v/>
      </c>
      <c r="AN221" s="20">
        <f>IF(AH221=1,MAX(0,P221-S221),0)</f>
        <v/>
      </c>
      <c r="AO221" s="21">
        <f>IFERROR(S221/P221,"")</f>
        <v/>
      </c>
      <c r="AP221" s="22">
        <f>IF(Y221="","",P221/Y221)</f>
        <v/>
      </c>
      <c r="AQ221" s="39">
        <f>IF(Y221="",0,1)</f>
        <v/>
      </c>
      <c r="AR221" s="39">
        <f>IF(S221&lt;=0,1,0)</f>
        <v/>
      </c>
      <c r="AS221" s="17">
        <f>IF(AH221=1,AG221,"")</f>
        <v/>
      </c>
      <c r="AT221" s="17">
        <f>IF(AND(AH221=0,AJ221=1),AG221,"")</f>
        <v/>
      </c>
      <c r="AU221" s="5">
        <f>IF(P221&lt;10000,"Under $10K",IF(P221&lt;20000,"$10-20K",IF(P221&lt;30000,"$20-30K",IF(P221&lt;50000,"$30-50K",IF(P221&lt;100000,"$50-100K","$100K+")))))</f>
        <v/>
      </c>
      <c r="AV221" s="5">
        <f>IF(O221&lt;=1.35,"1.35 and under",IF(O221&lt;=1.42,"1.36-1.42",IF(O221&lt;=1.45,"1.43-1.45",IF(O221&lt;1.49,"1.46-1.48",IF(O221&lt;=1.49,"1.49","Above 1.49")))))</f>
        <v/>
      </c>
      <c r="AW221" s="5">
        <f>IF(AE221="","",IF(AE221&lt;60,"Under 60",IF(AE221&lt;90,"60-89",IF(AE221&lt;120,"90-119",IF(AE221&lt;150,"120-149","150+")))))</f>
        <v/>
      </c>
      <c r="AX221" s="5">
        <f>IF(AP221="","No revenue data",IF(AP221&lt;0.15,"Under 0.15x",IF(AP221&lt;0.3,"0.15-0.30x",IF(AP221&lt;0.5,"0.30-0.50x",IF(AP221&lt;1,"0.50-1.00x","1.00x+")))))</f>
        <v/>
      </c>
      <c r="AY221" s="5">
        <f>IF(J221="","No SIC",IFERROR(VLOOKUP(J221,Ref!$A$4:$C$67,2,FALSE()),"Unclassified"))</f>
        <v/>
      </c>
      <c r="AZ221" s="5">
        <f>IF(E221="","",TEXT(E221,"YYYY")&amp;"-Q"&amp;ROUNDUP(MONTH(E221)/3,0))</f>
        <v/>
      </c>
      <c r="BA221" s="5">
        <f>IF(E221="","",TEXT(E221,"YYYY-MM"))</f>
        <v/>
      </c>
      <c r="BB221" s="5">
        <f>IF(E221="","",TEXT(E221,"YYYY"))</f>
        <v/>
      </c>
      <c r="BC221" s="92">
        <f>IF($E221="","",NETWORKDAYS($E221,Controls!$B$9,Ref!$F$4:$F$47))</f>
        <v/>
      </c>
      <c r="BD221" s="92">
        <f>IF(OR($AH221=1,$AJ221=1),1,0)</f>
        <v/>
      </c>
      <c r="BE221" s="95">
        <f>IF(OR($BD221=1,AND($AE221&lt;&gt;"",$BC221&gt;=Controls!$B$10*$AE221)),1,0)</f>
        <v/>
      </c>
    </row>
    <row r="222" ht="15.75" customHeight="1" s="79">
      <c r="A222" s="5" t="inlineStr">
        <is>
          <t>5674164922</t>
        </is>
      </c>
      <c r="B222" s="5" t="inlineStr">
        <is>
          <t>MAMMA LEONE BAKERY, LLC</t>
        </is>
      </c>
      <c r="C222" s="5" t="inlineStr">
        <is>
          <t>MAMMA LEONE BAKERY, LLC</t>
        </is>
      </c>
      <c r="D222" s="5" t="inlineStr">
        <is>
          <t>Legal</t>
        </is>
      </c>
      <c r="E222" s="16" t="n">
        <v>45896</v>
      </c>
      <c r="F222" s="16" t="n">
        <v>45912</v>
      </c>
      <c r="G222" s="17" t="n">
        <v>4</v>
      </c>
      <c r="H222" s="5" t="inlineStr">
        <is>
          <t>5812</t>
        </is>
      </c>
      <c r="I222" s="5" t="inlineStr">
        <is>
          <t>Snack and Nonalcoholic Beverage Bars</t>
        </is>
      </c>
      <c r="J222" s="5" t="inlineStr">
        <is>
          <t>58</t>
        </is>
      </c>
      <c r="K222" s="5" t="n">
        <v>5812</v>
      </c>
      <c r="L222" s="5" t="inlineStr">
        <is>
          <t>FL</t>
        </is>
      </c>
      <c r="M222" s="5" t="inlineStr">
        <is>
          <t>Westwood</t>
        </is>
      </c>
      <c r="N222" s="5" t="inlineStr">
        <is>
          <t>New Deal</t>
        </is>
      </c>
      <c r="O222" s="19" t="n">
        <v>1.49</v>
      </c>
      <c r="P222" s="20" t="n">
        <v>10000</v>
      </c>
      <c r="Q222" s="20" t="n">
        <v>1400</v>
      </c>
      <c r="R222" s="20" t="n">
        <v>14900</v>
      </c>
      <c r="S222" s="20" t="n">
        <v>1489.6</v>
      </c>
      <c r="T222" s="20" t="n">
        <v>13410.4</v>
      </c>
      <c r="U222" s="21" t="n">
        <v>0.09997315436241611</v>
      </c>
      <c r="V222" s="22" t="n">
        <v>2.623</v>
      </c>
      <c r="W222" s="17" t="n">
        <v>345</v>
      </c>
      <c r="X222" s="17" t="n">
        <v>4</v>
      </c>
      <c r="Y222" s="20" t="n">
        <v>35406.72</v>
      </c>
      <c r="Z222" s="21" t="n">
        <v>0.0595</v>
      </c>
      <c r="AA222" s="16" t="n">
        <v>43388</v>
      </c>
      <c r="AB222" s="5">
        <f>IF(V222="","",IF(V222&lt;12,"Months","Weeks"))</f>
        <v/>
      </c>
      <c r="AC222" s="5">
        <f>IF(AB222="","",IF(AB222="Months","Daily","Weekly"))</f>
        <v/>
      </c>
      <c r="AD222" s="17">
        <f>IF(V222="","",IF(AC222="Daily",V222*Controls!$B$13,V222))</f>
        <v/>
      </c>
      <c r="AE222" s="17">
        <f>IF(V222="","",IF(AC222="Daily",V222*Controls!$B$13,V222*Controls!$B$12))</f>
        <v/>
      </c>
      <c r="AF222" s="17">
        <f>IF(OR(E222="",F222=""),"",F222-E222)</f>
        <v/>
      </c>
      <c r="AG222" s="17">
        <f>IF(OR(E222="",F222=""),"",NETWORKDAYS(E222,F222,Ref!$F$4:$F$47))</f>
        <v/>
      </c>
      <c r="AH222" s="39">
        <f>IF(IFERROR(VLOOKUP(D222,Controls!$A$25:$D$35,2,FALSE()),"No")="Yes",1,0)</f>
        <v/>
      </c>
      <c r="AI222" s="39">
        <f>IF(IFERROR(VLOOKUP(D222,Controls!$A$25:$D$35,3,FALSE()),"No")="Yes",1,0)</f>
        <v/>
      </c>
      <c r="AJ222" s="39">
        <f>IF(IFERROR(VLOOKUP(D222,Controls!$A$25:$D$35,4,FALSE()),"No")="Yes",1,0)</f>
        <v/>
      </c>
      <c r="AK222" s="96">
        <f>IF(AND($E222&gt;=Controls!$B$5,$E222&lt;=Controls!$B$6,OR(Controls!$E$9&lt;&gt;"Y",$BE222=1)),1,0)</f>
        <v/>
      </c>
      <c r="AL222" s="39">
        <f>1</f>
        <v/>
      </c>
      <c r="AM222" s="20">
        <f>S222-P222</f>
        <v/>
      </c>
      <c r="AN222" s="20">
        <f>IF(AH222=1,MAX(0,P222-S222),0)</f>
        <v/>
      </c>
      <c r="AO222" s="21">
        <f>IFERROR(S222/P222,"")</f>
        <v/>
      </c>
      <c r="AP222" s="22">
        <f>IF(Y222="","",P222/Y222)</f>
        <v/>
      </c>
      <c r="AQ222" s="39">
        <f>IF(Y222="",0,1)</f>
        <v/>
      </c>
      <c r="AR222" s="39">
        <f>IF(S222&lt;=0,1,0)</f>
        <v/>
      </c>
      <c r="AS222" s="17">
        <f>IF(AH222=1,AG222,"")</f>
        <v/>
      </c>
      <c r="AT222" s="17">
        <f>IF(AND(AH222=0,AJ222=1),AG222,"")</f>
        <v/>
      </c>
      <c r="AU222" s="5">
        <f>IF(P222&lt;10000,"Under $10K",IF(P222&lt;20000,"$10-20K",IF(P222&lt;30000,"$20-30K",IF(P222&lt;50000,"$30-50K",IF(P222&lt;100000,"$50-100K","$100K+")))))</f>
        <v/>
      </c>
      <c r="AV222" s="5">
        <f>IF(O222&lt;=1.35,"1.35 and under",IF(O222&lt;=1.42,"1.36-1.42",IF(O222&lt;=1.45,"1.43-1.45",IF(O222&lt;1.49,"1.46-1.48",IF(O222&lt;=1.49,"1.49","Above 1.49")))))</f>
        <v/>
      </c>
      <c r="AW222" s="5">
        <f>IF(AE222="","",IF(AE222&lt;60,"Under 60",IF(AE222&lt;90,"60-89",IF(AE222&lt;120,"90-119",IF(AE222&lt;150,"120-149","150+")))))</f>
        <v/>
      </c>
      <c r="AX222" s="5">
        <f>IF(AP222="","No revenue data",IF(AP222&lt;0.15,"Under 0.15x",IF(AP222&lt;0.3,"0.15-0.30x",IF(AP222&lt;0.5,"0.30-0.50x",IF(AP222&lt;1,"0.50-1.00x","1.00x+")))))</f>
        <v/>
      </c>
      <c r="AY222" s="5">
        <f>IF(J222="","No SIC",IFERROR(VLOOKUP(J222,Ref!$A$4:$C$67,2,FALSE()),"Unclassified"))</f>
        <v/>
      </c>
      <c r="AZ222" s="5">
        <f>IF(E222="","",TEXT(E222,"YYYY")&amp;"-Q"&amp;ROUNDUP(MONTH(E222)/3,0))</f>
        <v/>
      </c>
      <c r="BA222" s="5">
        <f>IF(E222="","",TEXT(E222,"YYYY-MM"))</f>
        <v/>
      </c>
      <c r="BB222" s="5">
        <f>IF(E222="","",TEXT(E222,"YYYY"))</f>
        <v/>
      </c>
      <c r="BC222" s="92">
        <f>IF($E222="","",NETWORKDAYS($E222,Controls!$B$9,Ref!$F$4:$F$47))</f>
        <v/>
      </c>
      <c r="BD222" s="92">
        <f>IF(OR($AH222=1,$AJ222=1),1,0)</f>
        <v/>
      </c>
      <c r="BE222" s="95">
        <f>IF(OR($BD222=1,AND($AE222&lt;&gt;"",$BC222&gt;=Controls!$B$10*$AE222)),1,0)</f>
        <v/>
      </c>
    </row>
    <row r="223" ht="15.75" customHeight="1" s="79">
      <c r="A223" s="5" t="inlineStr">
        <is>
          <t>5674164997</t>
        </is>
      </c>
      <c r="B223" s="5" t="inlineStr">
        <is>
          <t>Star Nails LLC</t>
        </is>
      </c>
      <c r="C223" s="5" t="inlineStr">
        <is>
          <t>Star Nails LLC</t>
        </is>
      </c>
      <c r="D223" s="5" t="inlineStr">
        <is>
          <t>Closed</t>
        </is>
      </c>
      <c r="E223" s="16" t="n">
        <v>45897</v>
      </c>
      <c r="F223" s="16" t="n">
        <v>46008</v>
      </c>
      <c r="G223" s="17" t="n">
        <v>2</v>
      </c>
      <c r="H223" s="5" t="inlineStr">
        <is>
          <t>7231</t>
        </is>
      </c>
      <c r="I223" s="5" t="inlineStr">
        <is>
          <t>Beauty Salons</t>
        </is>
      </c>
      <c r="J223" s="5" t="inlineStr">
        <is>
          <t>72</t>
        </is>
      </c>
      <c r="K223" s="5" t="n">
        <v>7230</v>
      </c>
      <c r="L223" s="5" t="inlineStr">
        <is>
          <t>IN</t>
        </is>
      </c>
      <c r="M223" s="5" t="inlineStr">
        <is>
          <t>Fund Your Bizz</t>
        </is>
      </c>
      <c r="N223" s="5" t="inlineStr">
        <is>
          <t>New Deal</t>
        </is>
      </c>
      <c r="O223" s="19" t="n">
        <v>1.499</v>
      </c>
      <c r="P223" s="20" t="n">
        <v>15000</v>
      </c>
      <c r="Q223" s="20" t="n">
        <v>2100</v>
      </c>
      <c r="R223" s="20" t="n">
        <v>22485</v>
      </c>
      <c r="S223" s="20" t="n">
        <v>22485</v>
      </c>
      <c r="T223" s="20" t="n">
        <v>0</v>
      </c>
      <c r="U223" s="21" t="n">
        <v>1</v>
      </c>
      <c r="V223" s="22" t="n">
        <v>36</v>
      </c>
      <c r="W223" s="17" t="n">
        <v>245</v>
      </c>
      <c r="X223" s="17" t="n">
        <v>0</v>
      </c>
      <c r="Y223" s="20" t="n">
        <v>27724.08</v>
      </c>
      <c r="Z223" s="21" t="n">
        <v>0.0896</v>
      </c>
      <c r="AA223" s="16" t="n">
        <v>38838</v>
      </c>
      <c r="AB223" s="5">
        <f>IF(V223="","",IF(V223&lt;12,"Months","Weeks"))</f>
        <v/>
      </c>
      <c r="AC223" s="5">
        <f>IF(AB223="","",IF(AB223="Months","Daily","Weekly"))</f>
        <v/>
      </c>
      <c r="AD223" s="17">
        <f>IF(V223="","",IF(AC223="Daily",V223*Controls!$B$13,V223))</f>
        <v/>
      </c>
      <c r="AE223" s="17">
        <f>IF(V223="","",IF(AC223="Daily",V223*Controls!$B$13,V223*Controls!$B$12))</f>
        <v/>
      </c>
      <c r="AF223" s="17">
        <f>IF(OR(E223="",F223=""),"",F223-E223)</f>
        <v/>
      </c>
      <c r="AG223" s="17">
        <f>IF(OR(E223="",F223=""),"",NETWORKDAYS(E223,F223,Ref!$F$4:$F$47))</f>
        <v/>
      </c>
      <c r="AH223" s="39">
        <f>IF(IFERROR(VLOOKUP(D223,Controls!$A$25:$D$35,2,FALSE()),"No")="Yes",1,0)</f>
        <v/>
      </c>
      <c r="AI223" s="39">
        <f>IF(IFERROR(VLOOKUP(D223,Controls!$A$25:$D$35,3,FALSE()),"No")="Yes",1,0)</f>
        <v/>
      </c>
      <c r="AJ223" s="39">
        <f>IF(IFERROR(VLOOKUP(D223,Controls!$A$25:$D$35,4,FALSE()),"No")="Yes",1,0)</f>
        <v/>
      </c>
      <c r="AK223" s="96">
        <f>IF(AND($E223&gt;=Controls!$B$5,$E223&lt;=Controls!$B$6,OR(Controls!$E$9&lt;&gt;"Y",$BE223=1)),1,0)</f>
        <v/>
      </c>
      <c r="AL223" s="39">
        <f>1</f>
        <v/>
      </c>
      <c r="AM223" s="20">
        <f>S223-P223</f>
        <v/>
      </c>
      <c r="AN223" s="20">
        <f>IF(AH223=1,MAX(0,P223-S223),0)</f>
        <v/>
      </c>
      <c r="AO223" s="21">
        <f>IFERROR(S223/P223,"")</f>
        <v/>
      </c>
      <c r="AP223" s="22">
        <f>IF(Y223="","",P223/Y223)</f>
        <v/>
      </c>
      <c r="AQ223" s="39">
        <f>IF(Y223="",0,1)</f>
        <v/>
      </c>
      <c r="AR223" s="39">
        <f>IF(S223&lt;=0,1,0)</f>
        <v/>
      </c>
      <c r="AS223" s="17">
        <f>IF(AH223=1,AG223,"")</f>
        <v/>
      </c>
      <c r="AT223" s="17">
        <f>IF(AND(AH223=0,AJ223=1),AG223,"")</f>
        <v/>
      </c>
      <c r="AU223" s="5">
        <f>IF(P223&lt;10000,"Under $10K",IF(P223&lt;20000,"$10-20K",IF(P223&lt;30000,"$20-30K",IF(P223&lt;50000,"$30-50K",IF(P223&lt;100000,"$50-100K","$100K+")))))</f>
        <v/>
      </c>
      <c r="AV223" s="5">
        <f>IF(O223&lt;=1.35,"1.35 and under",IF(O223&lt;=1.42,"1.36-1.42",IF(O223&lt;=1.45,"1.43-1.45",IF(O223&lt;1.49,"1.46-1.48",IF(O223&lt;=1.49,"1.49","Above 1.49")))))</f>
        <v/>
      </c>
      <c r="AW223" s="5">
        <f>IF(AE223="","",IF(AE223&lt;60,"Under 60",IF(AE223&lt;90,"60-89",IF(AE223&lt;120,"90-119",IF(AE223&lt;150,"120-149","150+")))))</f>
        <v/>
      </c>
      <c r="AX223" s="5">
        <f>IF(AP223="","No revenue data",IF(AP223&lt;0.15,"Under 0.15x",IF(AP223&lt;0.3,"0.15-0.30x",IF(AP223&lt;0.5,"0.30-0.50x",IF(AP223&lt;1,"0.50-1.00x","1.00x+")))))</f>
        <v/>
      </c>
      <c r="AY223" s="5">
        <f>IF(J223="","No SIC",IFERROR(VLOOKUP(J223,Ref!$A$4:$C$67,2,FALSE()),"Unclassified"))</f>
        <v/>
      </c>
      <c r="AZ223" s="5">
        <f>IF(E223="","",TEXT(E223,"YYYY")&amp;"-Q"&amp;ROUNDUP(MONTH(E223)/3,0))</f>
        <v/>
      </c>
      <c r="BA223" s="5">
        <f>IF(E223="","",TEXT(E223,"YYYY-MM"))</f>
        <v/>
      </c>
      <c r="BB223" s="5">
        <f>IF(E223="","",TEXT(E223,"YYYY"))</f>
        <v/>
      </c>
      <c r="BC223" s="92">
        <f>IF($E223="","",NETWORKDAYS($E223,Controls!$B$9,Ref!$F$4:$F$47))</f>
        <v/>
      </c>
      <c r="BD223" s="92">
        <f>IF(OR($AH223=1,$AJ223=1),1,0)</f>
        <v/>
      </c>
      <c r="BE223" s="95">
        <f>IF(OR($BD223=1,AND($AE223&lt;&gt;"",$BC223&gt;=Controls!$B$10*$AE223)),1,0)</f>
        <v/>
      </c>
    </row>
    <row r="224" ht="15.75" customHeight="1" s="79">
      <c r="A224" s="5" t="inlineStr">
        <is>
          <t>5674165100</t>
        </is>
      </c>
      <c r="B224" s="5" t="inlineStr">
        <is>
          <t>Q&amp;B Trucking Fleet LLC</t>
        </is>
      </c>
      <c r="C224" s="5" t="inlineStr">
        <is>
          <t>Q&amp;B Trucking Fleet LLC</t>
        </is>
      </c>
      <c r="D224" s="5" t="inlineStr">
        <is>
          <t>Legal</t>
        </is>
      </c>
      <c r="E224" s="16" t="n">
        <v>45897</v>
      </c>
      <c r="F224" s="16" t="n">
        <v>45909</v>
      </c>
      <c r="G224" s="17" t="n">
        <v>1</v>
      </c>
      <c r="H224" s="5" t="inlineStr">
        <is>
          <t>4212</t>
        </is>
      </c>
      <c r="I224" s="5" t="inlineStr">
        <is>
          <t>Specialized Freight (Except Used Goods) Trucking, Local</t>
        </is>
      </c>
      <c r="J224" s="5" t="inlineStr">
        <is>
          <t>42</t>
        </is>
      </c>
      <c r="K224" s="5" t="n">
        <v>4214</v>
      </c>
      <c r="L224" s="5" t="inlineStr">
        <is>
          <t>GA</t>
        </is>
      </c>
      <c r="M224" s="5" t="inlineStr">
        <is>
          <t>Vanguard Equities</t>
        </is>
      </c>
      <c r="N224" s="5" t="inlineStr">
        <is>
          <t>New Deal</t>
        </is>
      </c>
      <c r="O224" s="19" t="n">
        <v>1.49</v>
      </c>
      <c r="P224" s="20" t="n">
        <v>3500</v>
      </c>
      <c r="Q224" s="20" t="n">
        <v>490</v>
      </c>
      <c r="R224" s="20" t="n">
        <v>5215</v>
      </c>
      <c r="S224" s="20" t="n">
        <v>74.48</v>
      </c>
      <c r="T224" s="20" t="n">
        <v>5140.52</v>
      </c>
      <c r="U224" s="21" t="n">
        <v>0.0142818791946309</v>
      </c>
      <c r="V224" s="22" t="n">
        <v>2.295</v>
      </c>
      <c r="W224" s="17" t="n">
        <v>356</v>
      </c>
      <c r="X224" s="17" t="n">
        <v>6</v>
      </c>
      <c r="Y224" s="20" t="n">
        <v>10999.31</v>
      </c>
      <c r="Z224" s="5" t="n"/>
      <c r="AA224" s="5" t="n"/>
      <c r="AB224" s="5">
        <f>IF(V224="","",IF(V224&lt;12,"Months","Weeks"))</f>
        <v/>
      </c>
      <c r="AC224" s="5">
        <f>IF(AB224="","",IF(AB224="Months","Daily","Weekly"))</f>
        <v/>
      </c>
      <c r="AD224" s="17">
        <f>IF(V224="","",IF(AC224="Daily",V224*Controls!$B$13,V224))</f>
        <v/>
      </c>
      <c r="AE224" s="17">
        <f>IF(V224="","",IF(AC224="Daily",V224*Controls!$B$13,V224*Controls!$B$12))</f>
        <v/>
      </c>
      <c r="AF224" s="17">
        <f>IF(OR(E224="",F224=""),"",F224-E224)</f>
        <v/>
      </c>
      <c r="AG224" s="17">
        <f>IF(OR(E224="",F224=""),"",NETWORKDAYS(E224,F224,Ref!$F$4:$F$47))</f>
        <v/>
      </c>
      <c r="AH224" s="39">
        <f>IF(IFERROR(VLOOKUP(D224,Controls!$A$25:$D$35,2,FALSE()),"No")="Yes",1,0)</f>
        <v/>
      </c>
      <c r="AI224" s="39">
        <f>IF(IFERROR(VLOOKUP(D224,Controls!$A$25:$D$35,3,FALSE()),"No")="Yes",1,0)</f>
        <v/>
      </c>
      <c r="AJ224" s="39">
        <f>IF(IFERROR(VLOOKUP(D224,Controls!$A$25:$D$35,4,FALSE()),"No")="Yes",1,0)</f>
        <v/>
      </c>
      <c r="AK224" s="96">
        <f>IF(AND($E224&gt;=Controls!$B$5,$E224&lt;=Controls!$B$6,OR(Controls!$E$9&lt;&gt;"Y",$BE224=1)),1,0)</f>
        <v/>
      </c>
      <c r="AL224" s="39">
        <f>1</f>
        <v/>
      </c>
      <c r="AM224" s="20">
        <f>S224-P224</f>
        <v/>
      </c>
      <c r="AN224" s="20">
        <f>IF(AH224=1,MAX(0,P224-S224),0)</f>
        <v/>
      </c>
      <c r="AO224" s="21">
        <f>IFERROR(S224/P224,"")</f>
        <v/>
      </c>
      <c r="AP224" s="22">
        <f>IF(Y224="","",P224/Y224)</f>
        <v/>
      </c>
      <c r="AQ224" s="39">
        <f>IF(Y224="",0,1)</f>
        <v/>
      </c>
      <c r="AR224" s="39">
        <f>IF(S224&lt;=0,1,0)</f>
        <v/>
      </c>
      <c r="AS224" s="17">
        <f>IF(AH224=1,AG224,"")</f>
        <v/>
      </c>
      <c r="AT224" s="17">
        <f>IF(AND(AH224=0,AJ224=1),AG224,"")</f>
        <v/>
      </c>
      <c r="AU224" s="5">
        <f>IF(P224&lt;10000,"Under $10K",IF(P224&lt;20000,"$10-20K",IF(P224&lt;30000,"$20-30K",IF(P224&lt;50000,"$30-50K",IF(P224&lt;100000,"$50-100K","$100K+")))))</f>
        <v/>
      </c>
      <c r="AV224" s="5">
        <f>IF(O224&lt;=1.35,"1.35 and under",IF(O224&lt;=1.42,"1.36-1.42",IF(O224&lt;=1.45,"1.43-1.45",IF(O224&lt;1.49,"1.46-1.48",IF(O224&lt;=1.49,"1.49","Above 1.49")))))</f>
        <v/>
      </c>
      <c r="AW224" s="5">
        <f>IF(AE224="","",IF(AE224&lt;60,"Under 60",IF(AE224&lt;90,"60-89",IF(AE224&lt;120,"90-119",IF(AE224&lt;150,"120-149","150+")))))</f>
        <v/>
      </c>
      <c r="AX224" s="5">
        <f>IF(AP224="","No revenue data",IF(AP224&lt;0.15,"Under 0.15x",IF(AP224&lt;0.3,"0.15-0.30x",IF(AP224&lt;0.5,"0.30-0.50x",IF(AP224&lt;1,"0.50-1.00x","1.00x+")))))</f>
        <v/>
      </c>
      <c r="AY224" s="5">
        <f>IF(J224="","No SIC",IFERROR(VLOOKUP(J224,Ref!$A$4:$C$67,2,FALSE()),"Unclassified"))</f>
        <v/>
      </c>
      <c r="AZ224" s="5">
        <f>IF(E224="","",TEXT(E224,"YYYY")&amp;"-Q"&amp;ROUNDUP(MONTH(E224)/3,0))</f>
        <v/>
      </c>
      <c r="BA224" s="5">
        <f>IF(E224="","",TEXT(E224,"YYYY-MM"))</f>
        <v/>
      </c>
      <c r="BB224" s="5">
        <f>IF(E224="","",TEXT(E224,"YYYY"))</f>
        <v/>
      </c>
      <c r="BC224" s="92">
        <f>IF($E224="","",NETWORKDAYS($E224,Controls!$B$9,Ref!$F$4:$F$47))</f>
        <v/>
      </c>
      <c r="BD224" s="92">
        <f>IF(OR($AH224=1,$AJ224=1),1,0)</f>
        <v/>
      </c>
      <c r="BE224" s="95">
        <f>IF(OR($BD224=1,AND($AE224&lt;&gt;"",$BC224&gt;=Controls!$B$10*$AE224)),1,0)</f>
        <v/>
      </c>
    </row>
    <row r="225" ht="15.75" customHeight="1" s="79">
      <c r="A225" s="5" t="inlineStr">
        <is>
          <t>5674165134</t>
        </is>
      </c>
      <c r="B225" s="5" t="inlineStr">
        <is>
          <t>TH Custom Finishes</t>
        </is>
      </c>
      <c r="C225" s="5" t="inlineStr">
        <is>
          <t>TH CUSTOM FINISHES LLC</t>
        </is>
      </c>
      <c r="D225" s="5" t="inlineStr">
        <is>
          <t>Legal</t>
        </is>
      </c>
      <c r="E225" s="16" t="n">
        <v>45898</v>
      </c>
      <c r="F225" s="16" t="n">
        <v>46234</v>
      </c>
      <c r="G225" s="17" t="n">
        <v>1</v>
      </c>
      <c r="H225" s="5" t="inlineStr">
        <is>
          <t>1521</t>
        </is>
      </c>
      <c r="I225" s="5" t="inlineStr">
        <is>
          <t>New Single-Family Housing Construction (Except For-Sale Builders)</t>
        </is>
      </c>
      <c r="J225" s="5" t="inlineStr">
        <is>
          <t>15</t>
        </is>
      </c>
      <c r="K225" s="5" t="n">
        <v>1520</v>
      </c>
      <c r="L225" s="5" t="inlineStr">
        <is>
          <t>AZ</t>
        </is>
      </c>
      <c r="M225" s="5" t="inlineStr">
        <is>
          <t>Shore Funding USA</t>
        </is>
      </c>
      <c r="N225" s="5" t="inlineStr">
        <is>
          <t>New Deal</t>
        </is>
      </c>
      <c r="O225" s="19" t="n">
        <v>1.49</v>
      </c>
      <c r="P225" s="20" t="n">
        <v>15000</v>
      </c>
      <c r="Q225" s="20" t="n">
        <v>2100</v>
      </c>
      <c r="R225" s="20" t="n">
        <v>22350</v>
      </c>
      <c r="S225" s="20" t="n">
        <v>8085.18</v>
      </c>
      <c r="T225" s="20" t="n">
        <v>14264.82</v>
      </c>
      <c r="U225" s="21" t="n">
        <v>0.361753020134228</v>
      </c>
      <c r="V225" s="22" t="n">
        <v>22</v>
      </c>
      <c r="W225" s="17" t="n">
        <v>19</v>
      </c>
      <c r="X225" s="17" t="n">
        <v>15</v>
      </c>
      <c r="Y225" s="20" t="n">
        <v>33457.75</v>
      </c>
      <c r="Z225" s="21" t="n">
        <v>0.1215</v>
      </c>
      <c r="AA225" s="16" t="n">
        <v>45156</v>
      </c>
      <c r="AB225" s="5">
        <f>IF(V225="","",IF(V225&lt;12,"Months","Weeks"))</f>
        <v/>
      </c>
      <c r="AC225" s="5">
        <f>IF(AB225="","",IF(AB225="Months","Daily","Weekly"))</f>
        <v/>
      </c>
      <c r="AD225" s="17">
        <f>IF(V225="","",IF(AC225="Daily",V225*Controls!$B$13,V225))</f>
        <v/>
      </c>
      <c r="AE225" s="17">
        <f>IF(V225="","",IF(AC225="Daily",V225*Controls!$B$13,V225*Controls!$B$12))</f>
        <v/>
      </c>
      <c r="AF225" s="17">
        <f>IF(OR(E225="",F225=""),"",F225-E225)</f>
        <v/>
      </c>
      <c r="AG225" s="17">
        <f>IF(OR(E225="",F225=""),"",NETWORKDAYS(E225,F225,Ref!$F$4:$F$47))</f>
        <v/>
      </c>
      <c r="AH225" s="39">
        <f>IF(IFERROR(VLOOKUP(D225,Controls!$A$25:$D$35,2,FALSE()),"No")="Yes",1,0)</f>
        <v/>
      </c>
      <c r="AI225" s="39">
        <f>IF(IFERROR(VLOOKUP(D225,Controls!$A$25:$D$35,3,FALSE()),"No")="Yes",1,0)</f>
        <v/>
      </c>
      <c r="AJ225" s="39">
        <f>IF(IFERROR(VLOOKUP(D225,Controls!$A$25:$D$35,4,FALSE()),"No")="Yes",1,0)</f>
        <v/>
      </c>
      <c r="AK225" s="96">
        <f>IF(AND($E225&gt;=Controls!$B$5,$E225&lt;=Controls!$B$6,OR(Controls!$E$9&lt;&gt;"Y",$BE225=1)),1,0)</f>
        <v/>
      </c>
      <c r="AL225" s="39">
        <f>1</f>
        <v/>
      </c>
      <c r="AM225" s="20">
        <f>S225-P225</f>
        <v/>
      </c>
      <c r="AN225" s="20">
        <f>IF(AH225=1,MAX(0,P225-S225),0)</f>
        <v/>
      </c>
      <c r="AO225" s="21">
        <f>IFERROR(S225/P225,"")</f>
        <v/>
      </c>
      <c r="AP225" s="22">
        <f>IF(Y225="","",P225/Y225)</f>
        <v/>
      </c>
      <c r="AQ225" s="39">
        <f>IF(Y225="",0,1)</f>
        <v/>
      </c>
      <c r="AR225" s="39">
        <f>IF(S225&lt;=0,1,0)</f>
        <v/>
      </c>
      <c r="AS225" s="17">
        <f>IF(AH225=1,AG225,"")</f>
        <v/>
      </c>
      <c r="AT225" s="17">
        <f>IF(AND(AH225=0,AJ225=1),AG225,"")</f>
        <v/>
      </c>
      <c r="AU225" s="5">
        <f>IF(P225&lt;10000,"Under $10K",IF(P225&lt;20000,"$10-20K",IF(P225&lt;30000,"$20-30K",IF(P225&lt;50000,"$30-50K",IF(P225&lt;100000,"$50-100K","$100K+")))))</f>
        <v/>
      </c>
      <c r="AV225" s="5">
        <f>IF(O225&lt;=1.35,"1.35 and under",IF(O225&lt;=1.42,"1.36-1.42",IF(O225&lt;=1.45,"1.43-1.45",IF(O225&lt;1.49,"1.46-1.48",IF(O225&lt;=1.49,"1.49","Above 1.49")))))</f>
        <v/>
      </c>
      <c r="AW225" s="5">
        <f>IF(AE225="","",IF(AE225&lt;60,"Under 60",IF(AE225&lt;90,"60-89",IF(AE225&lt;120,"90-119",IF(AE225&lt;150,"120-149","150+")))))</f>
        <v/>
      </c>
      <c r="AX225" s="5">
        <f>IF(AP225="","No revenue data",IF(AP225&lt;0.15,"Under 0.15x",IF(AP225&lt;0.3,"0.15-0.30x",IF(AP225&lt;0.5,"0.30-0.50x",IF(AP225&lt;1,"0.50-1.00x","1.00x+")))))</f>
        <v/>
      </c>
      <c r="AY225" s="5">
        <f>IF(J225="","No SIC",IFERROR(VLOOKUP(J225,Ref!$A$4:$C$67,2,FALSE()),"Unclassified"))</f>
        <v/>
      </c>
      <c r="AZ225" s="5">
        <f>IF(E225="","",TEXT(E225,"YYYY")&amp;"-Q"&amp;ROUNDUP(MONTH(E225)/3,0))</f>
        <v/>
      </c>
      <c r="BA225" s="5">
        <f>IF(E225="","",TEXT(E225,"YYYY-MM"))</f>
        <v/>
      </c>
      <c r="BB225" s="5">
        <f>IF(E225="","",TEXT(E225,"YYYY"))</f>
        <v/>
      </c>
      <c r="BC225" s="92">
        <f>IF($E225="","",NETWORKDAYS($E225,Controls!$B$9,Ref!$F$4:$F$47))</f>
        <v/>
      </c>
      <c r="BD225" s="92">
        <f>IF(OR($AH225=1,$AJ225=1),1,0)</f>
        <v/>
      </c>
      <c r="BE225" s="95">
        <f>IF(OR($BD225=1,AND($AE225&lt;&gt;"",$BC225&gt;=Controls!$B$10*$AE225)),1,0)</f>
        <v/>
      </c>
    </row>
    <row r="226" ht="15.75" customHeight="1" s="79">
      <c r="A226" s="5" t="inlineStr">
        <is>
          <t>5674165155</t>
        </is>
      </c>
      <c r="B226" s="5" t="inlineStr">
        <is>
          <t>MANASSES HENRY FURNITURE</t>
        </is>
      </c>
      <c r="C226" s="5" t="inlineStr">
        <is>
          <t>MANASSES HENRY FURNITURE</t>
        </is>
      </c>
      <c r="D226" s="5" t="inlineStr">
        <is>
          <t>Closed</t>
        </is>
      </c>
      <c r="E226" s="16" t="n">
        <v>45898</v>
      </c>
      <c r="F226" s="16" t="n">
        <v>45981</v>
      </c>
      <c r="G226" s="17" t="n">
        <v>3</v>
      </c>
      <c r="H226" s="5" t="inlineStr">
        <is>
          <t>5999</t>
        </is>
      </c>
      <c r="I226" s="5" t="inlineStr">
        <is>
          <t>All Other Misc. Store Retailers (Except Tobacco Stores)</t>
        </is>
      </c>
      <c r="J226" s="5" t="inlineStr">
        <is>
          <t>59</t>
        </is>
      </c>
      <c r="K226" s="5" t="n">
        <v>5999</v>
      </c>
      <c r="L226" s="5" t="inlineStr">
        <is>
          <t>IN</t>
        </is>
      </c>
      <c r="M226" s="5" t="inlineStr">
        <is>
          <t>Shield Funding</t>
        </is>
      </c>
      <c r="N226" s="5" t="inlineStr">
        <is>
          <t>New Deal</t>
        </is>
      </c>
      <c r="O226" s="19" t="n">
        <v>1.49</v>
      </c>
      <c r="P226" s="20" t="n">
        <v>17000</v>
      </c>
      <c r="Q226" s="20" t="n">
        <v>2380</v>
      </c>
      <c r="R226" s="20" t="n">
        <v>25330</v>
      </c>
      <c r="S226" s="20" t="n">
        <v>25330</v>
      </c>
      <c r="T226" s="20" t="n">
        <v>0</v>
      </c>
      <c r="U226" s="21" t="n">
        <v>1</v>
      </c>
      <c r="V226" s="22" t="n">
        <v>17</v>
      </c>
      <c r="W226" s="17" t="n">
        <v>272</v>
      </c>
      <c r="X226" s="17" t="n">
        <v>1</v>
      </c>
      <c r="Y226" s="20" t="n">
        <v>56713.1</v>
      </c>
      <c r="Z226" s="21" t="n">
        <v>0.1051</v>
      </c>
      <c r="AA226" s="16" t="n">
        <v>42308</v>
      </c>
      <c r="AB226" s="5">
        <f>IF(V226="","",IF(V226&lt;12,"Months","Weeks"))</f>
        <v/>
      </c>
      <c r="AC226" s="5">
        <f>IF(AB226="","",IF(AB226="Months","Daily","Weekly"))</f>
        <v/>
      </c>
      <c r="AD226" s="17">
        <f>IF(V226="","",IF(AC226="Daily",V226*Controls!$B$13,V226))</f>
        <v/>
      </c>
      <c r="AE226" s="17">
        <f>IF(V226="","",IF(AC226="Daily",V226*Controls!$B$13,V226*Controls!$B$12))</f>
        <v/>
      </c>
      <c r="AF226" s="17">
        <f>IF(OR(E226="",F226=""),"",F226-E226)</f>
        <v/>
      </c>
      <c r="AG226" s="17">
        <f>IF(OR(E226="",F226=""),"",NETWORKDAYS(E226,F226,Ref!$F$4:$F$47))</f>
        <v/>
      </c>
      <c r="AH226" s="39">
        <f>IF(IFERROR(VLOOKUP(D226,Controls!$A$25:$D$35,2,FALSE()),"No")="Yes",1,0)</f>
        <v/>
      </c>
      <c r="AI226" s="39">
        <f>IF(IFERROR(VLOOKUP(D226,Controls!$A$25:$D$35,3,FALSE()),"No")="Yes",1,0)</f>
        <v/>
      </c>
      <c r="AJ226" s="39">
        <f>IF(IFERROR(VLOOKUP(D226,Controls!$A$25:$D$35,4,FALSE()),"No")="Yes",1,0)</f>
        <v/>
      </c>
      <c r="AK226" s="96">
        <f>IF(AND($E226&gt;=Controls!$B$5,$E226&lt;=Controls!$B$6,OR(Controls!$E$9&lt;&gt;"Y",$BE226=1)),1,0)</f>
        <v/>
      </c>
      <c r="AL226" s="39">
        <f>1</f>
        <v/>
      </c>
      <c r="AM226" s="20">
        <f>S226-P226</f>
        <v/>
      </c>
      <c r="AN226" s="20">
        <f>IF(AH226=1,MAX(0,P226-S226),0)</f>
        <v/>
      </c>
      <c r="AO226" s="21">
        <f>IFERROR(S226/P226,"")</f>
        <v/>
      </c>
      <c r="AP226" s="22">
        <f>IF(Y226="","",P226/Y226)</f>
        <v/>
      </c>
      <c r="AQ226" s="39">
        <f>IF(Y226="",0,1)</f>
        <v/>
      </c>
      <c r="AR226" s="39">
        <f>IF(S226&lt;=0,1,0)</f>
        <v/>
      </c>
      <c r="AS226" s="17">
        <f>IF(AH226=1,AG226,"")</f>
        <v/>
      </c>
      <c r="AT226" s="17">
        <f>IF(AND(AH226=0,AJ226=1),AG226,"")</f>
        <v/>
      </c>
      <c r="AU226" s="5">
        <f>IF(P226&lt;10000,"Under $10K",IF(P226&lt;20000,"$10-20K",IF(P226&lt;30000,"$20-30K",IF(P226&lt;50000,"$30-50K",IF(P226&lt;100000,"$50-100K","$100K+")))))</f>
        <v/>
      </c>
      <c r="AV226" s="5">
        <f>IF(O226&lt;=1.35,"1.35 and under",IF(O226&lt;=1.42,"1.36-1.42",IF(O226&lt;=1.45,"1.43-1.45",IF(O226&lt;1.49,"1.46-1.48",IF(O226&lt;=1.49,"1.49","Above 1.49")))))</f>
        <v/>
      </c>
      <c r="AW226" s="5">
        <f>IF(AE226="","",IF(AE226&lt;60,"Under 60",IF(AE226&lt;90,"60-89",IF(AE226&lt;120,"90-119",IF(AE226&lt;150,"120-149","150+")))))</f>
        <v/>
      </c>
      <c r="AX226" s="5">
        <f>IF(AP226="","No revenue data",IF(AP226&lt;0.15,"Under 0.15x",IF(AP226&lt;0.3,"0.15-0.30x",IF(AP226&lt;0.5,"0.30-0.50x",IF(AP226&lt;1,"0.50-1.00x","1.00x+")))))</f>
        <v/>
      </c>
      <c r="AY226" s="5">
        <f>IF(J226="","No SIC",IFERROR(VLOOKUP(J226,Ref!$A$4:$C$67,2,FALSE()),"Unclassified"))</f>
        <v/>
      </c>
      <c r="AZ226" s="5">
        <f>IF(E226="","",TEXT(E226,"YYYY")&amp;"-Q"&amp;ROUNDUP(MONTH(E226)/3,0))</f>
        <v/>
      </c>
      <c r="BA226" s="5">
        <f>IF(E226="","",TEXT(E226,"YYYY-MM"))</f>
        <v/>
      </c>
      <c r="BB226" s="5">
        <f>IF(E226="","",TEXT(E226,"YYYY"))</f>
        <v/>
      </c>
      <c r="BC226" s="92">
        <f>IF($E226="","",NETWORKDAYS($E226,Controls!$B$9,Ref!$F$4:$F$47))</f>
        <v/>
      </c>
      <c r="BD226" s="92">
        <f>IF(OR($AH226=1,$AJ226=1),1,0)</f>
        <v/>
      </c>
      <c r="BE226" s="95">
        <f>IF(OR($BD226=1,AND($AE226&lt;&gt;"",$BC226&gt;=Controls!$B$10*$AE226)),1,0)</f>
        <v/>
      </c>
    </row>
    <row r="227" ht="15.75" customHeight="1" s="79">
      <c r="A227" s="5" t="inlineStr">
        <is>
          <t>5674165163</t>
        </is>
      </c>
      <c r="B227" s="5" t="inlineStr">
        <is>
          <t>JUST-IN-TIME LANDSCAPING LLC</t>
        </is>
      </c>
      <c r="C227" s="5" t="inlineStr">
        <is>
          <t>JUST-IN-TIME LANDSCAPING LLC</t>
        </is>
      </c>
      <c r="D227" s="5" t="inlineStr">
        <is>
          <t>In House Collection</t>
        </is>
      </c>
      <c r="E227" s="16" t="n">
        <v>45898</v>
      </c>
      <c r="F227" s="16" t="n">
        <v>46224</v>
      </c>
      <c r="G227" s="17" t="n">
        <v>3</v>
      </c>
      <c r="H227" s="5" t="inlineStr">
        <is>
          <t>0781</t>
        </is>
      </c>
      <c r="I227" s="5" t="inlineStr">
        <is>
          <t>Landscape Architectural Services</t>
        </is>
      </c>
      <c r="J227" s="5" t="inlineStr">
        <is>
          <t>07</t>
        </is>
      </c>
      <c r="K227" s="5" t="n">
        <v>1520</v>
      </c>
      <c r="L227" s="5" t="inlineStr">
        <is>
          <t>AZ</t>
        </is>
      </c>
      <c r="M227" s="5" t="inlineStr">
        <is>
          <t>United Secured Capital 8</t>
        </is>
      </c>
      <c r="N227" s="5" t="inlineStr">
        <is>
          <t>New Deal</t>
        </is>
      </c>
      <c r="O227" s="19" t="n">
        <v>1.5</v>
      </c>
      <c r="P227" s="20" t="n">
        <v>10000</v>
      </c>
      <c r="Q227" s="20" t="n">
        <v>1400</v>
      </c>
      <c r="R227" s="20" t="n">
        <v>15000</v>
      </c>
      <c r="S227" s="20" t="n">
        <v>14421.4</v>
      </c>
      <c r="T227" s="20" t="n">
        <v>578.6</v>
      </c>
      <c r="U227" s="21" t="n">
        <v>0.961426666666667</v>
      </c>
      <c r="V227" s="22" t="n">
        <v>16</v>
      </c>
      <c r="W227" s="17" t="n">
        <v>29</v>
      </c>
      <c r="X227" s="17" t="n">
        <v>10</v>
      </c>
      <c r="Y227" s="5" t="n"/>
      <c r="Z227" s="21" t="n">
        <v>0.08309999999999999</v>
      </c>
      <c r="AA227" s="16" t="n">
        <v>43835</v>
      </c>
      <c r="AB227" s="5">
        <f>IF(V227="","",IF(V227&lt;12,"Months","Weeks"))</f>
        <v/>
      </c>
      <c r="AC227" s="5">
        <f>IF(AB227="","",IF(AB227="Months","Daily","Weekly"))</f>
        <v/>
      </c>
      <c r="AD227" s="17">
        <f>IF(V227="","",IF(AC227="Daily",V227*Controls!$B$13,V227))</f>
        <v/>
      </c>
      <c r="AE227" s="17">
        <f>IF(V227="","",IF(AC227="Daily",V227*Controls!$B$13,V227*Controls!$B$12))</f>
        <v/>
      </c>
      <c r="AF227" s="17">
        <f>IF(OR(E227="",F227=""),"",F227-E227)</f>
        <v/>
      </c>
      <c r="AG227" s="17">
        <f>IF(OR(E227="",F227=""),"",NETWORKDAYS(E227,F227,Ref!$F$4:$F$47))</f>
        <v/>
      </c>
      <c r="AH227" s="39">
        <f>IF(IFERROR(VLOOKUP(D227,Controls!$A$25:$D$35,2,FALSE()),"No")="Yes",1,0)</f>
        <v/>
      </c>
      <c r="AI227" s="39">
        <f>IF(IFERROR(VLOOKUP(D227,Controls!$A$25:$D$35,3,FALSE()),"No")="Yes",1,0)</f>
        <v/>
      </c>
      <c r="AJ227" s="39">
        <f>IF(IFERROR(VLOOKUP(D227,Controls!$A$25:$D$35,4,FALSE()),"No")="Yes",1,0)</f>
        <v/>
      </c>
      <c r="AK227" s="96">
        <f>IF(AND($E227&gt;=Controls!$B$5,$E227&lt;=Controls!$B$6,OR(Controls!$E$9&lt;&gt;"Y",$BE227=1)),1,0)</f>
        <v/>
      </c>
      <c r="AL227" s="39">
        <f>1</f>
        <v/>
      </c>
      <c r="AM227" s="20">
        <f>S227-P227</f>
        <v/>
      </c>
      <c r="AN227" s="20">
        <f>IF(AH227=1,MAX(0,P227-S227),0)</f>
        <v/>
      </c>
      <c r="AO227" s="21">
        <f>IFERROR(S227/P227,"")</f>
        <v/>
      </c>
      <c r="AP227" s="22">
        <f>IF(Y227="","",P227/Y227)</f>
        <v/>
      </c>
      <c r="AQ227" s="39">
        <f>IF(Y227="",0,1)</f>
        <v/>
      </c>
      <c r="AR227" s="39">
        <f>IF(S227&lt;=0,1,0)</f>
        <v/>
      </c>
      <c r="AS227" s="17">
        <f>IF(AH227=1,AG227,"")</f>
        <v/>
      </c>
      <c r="AT227" s="17">
        <f>IF(AND(AH227=0,AJ227=1),AG227,"")</f>
        <v/>
      </c>
      <c r="AU227" s="5">
        <f>IF(P227&lt;10000,"Under $10K",IF(P227&lt;20000,"$10-20K",IF(P227&lt;30000,"$20-30K",IF(P227&lt;50000,"$30-50K",IF(P227&lt;100000,"$50-100K","$100K+")))))</f>
        <v/>
      </c>
      <c r="AV227" s="5">
        <f>IF(O227&lt;=1.35,"1.35 and under",IF(O227&lt;=1.42,"1.36-1.42",IF(O227&lt;=1.45,"1.43-1.45",IF(O227&lt;1.49,"1.46-1.48",IF(O227&lt;=1.49,"1.49","Above 1.49")))))</f>
        <v/>
      </c>
      <c r="AW227" s="5">
        <f>IF(AE227="","",IF(AE227&lt;60,"Under 60",IF(AE227&lt;90,"60-89",IF(AE227&lt;120,"90-119",IF(AE227&lt;150,"120-149","150+")))))</f>
        <v/>
      </c>
      <c r="AX227" s="5">
        <f>IF(AP227="","No revenue data",IF(AP227&lt;0.15,"Under 0.15x",IF(AP227&lt;0.3,"0.15-0.30x",IF(AP227&lt;0.5,"0.30-0.50x",IF(AP227&lt;1,"0.50-1.00x","1.00x+")))))</f>
        <v/>
      </c>
      <c r="AY227" s="5">
        <f>IF(J227="","No SIC",IFERROR(VLOOKUP(J227,Ref!$A$4:$C$67,2,FALSE()),"Unclassified"))</f>
        <v/>
      </c>
      <c r="AZ227" s="5">
        <f>IF(E227="","",TEXT(E227,"YYYY")&amp;"-Q"&amp;ROUNDUP(MONTH(E227)/3,0))</f>
        <v/>
      </c>
      <c r="BA227" s="5">
        <f>IF(E227="","",TEXT(E227,"YYYY-MM"))</f>
        <v/>
      </c>
      <c r="BB227" s="5">
        <f>IF(E227="","",TEXT(E227,"YYYY"))</f>
        <v/>
      </c>
      <c r="BC227" s="92">
        <f>IF($E227="","",NETWORKDAYS($E227,Controls!$B$9,Ref!$F$4:$F$47))</f>
        <v/>
      </c>
      <c r="BD227" s="92">
        <f>IF(OR($AH227=1,$AJ227=1),1,0)</f>
        <v/>
      </c>
      <c r="BE227" s="95">
        <f>IF(OR($BD227=1,AND($AE227&lt;&gt;"",$BC227&gt;=Controls!$B$10*$AE227)),1,0)</f>
        <v/>
      </c>
    </row>
    <row r="228" ht="15.75" customHeight="1" s="79">
      <c r="A228" s="5" t="inlineStr">
        <is>
          <t>5674165354</t>
        </is>
      </c>
      <c r="B228" s="5" t="inlineStr">
        <is>
          <t>EASY PARKING</t>
        </is>
      </c>
      <c r="C228" s="5" t="inlineStr">
        <is>
          <t>Easy Parking LLC</t>
        </is>
      </c>
      <c r="D228" s="5" t="inlineStr">
        <is>
          <t>Legal</t>
        </is>
      </c>
      <c r="E228" s="16" t="n">
        <v>45903</v>
      </c>
      <c r="F228" s="16" t="n">
        <v>45959</v>
      </c>
      <c r="G228" s="17" t="n">
        <v>4</v>
      </c>
      <c r="H228" s="5" t="inlineStr">
        <is>
          <t>7521</t>
        </is>
      </c>
      <c r="I228" s="5" t="inlineStr">
        <is>
          <t>Parking Lots and Garages</t>
        </is>
      </c>
      <c r="J228" s="5" t="inlineStr">
        <is>
          <t>75</t>
        </is>
      </c>
      <c r="K228" s="5" t="n">
        <v>7523</v>
      </c>
      <c r="L228" s="5" t="inlineStr">
        <is>
          <t>GA</t>
        </is>
      </c>
      <c r="M228" s="5" t="inlineStr">
        <is>
          <t>American Funding Association 1</t>
        </is>
      </c>
      <c r="N228" s="5" t="inlineStr">
        <is>
          <t>New Deal</t>
        </is>
      </c>
      <c r="O228" s="19" t="n">
        <v>1.38</v>
      </c>
      <c r="P228" s="20" t="n">
        <v>30000</v>
      </c>
      <c r="Q228" s="20" t="n">
        <v>0</v>
      </c>
      <c r="R228" s="20" t="n">
        <v>41400</v>
      </c>
      <c r="S228" s="20" t="n">
        <v>3764.5</v>
      </c>
      <c r="T228" s="20" t="n">
        <v>37635.5</v>
      </c>
      <c r="U228" s="21" t="n">
        <v>0.0909299516908213</v>
      </c>
      <c r="V228" s="22" t="n">
        <v>22</v>
      </c>
      <c r="W228" s="17" t="n">
        <v>330</v>
      </c>
      <c r="X228" s="17" t="n">
        <v>13</v>
      </c>
      <c r="Y228" s="20" t="n">
        <v>91929.23</v>
      </c>
      <c r="Z228" s="21" t="n">
        <v>0.0819</v>
      </c>
      <c r="AA228" s="16" t="n">
        <v>41506</v>
      </c>
      <c r="AB228" s="5">
        <f>IF(V228="","",IF(V228&lt;12,"Months","Weeks"))</f>
        <v/>
      </c>
      <c r="AC228" s="5">
        <f>IF(AB228="","",IF(AB228="Months","Daily","Weekly"))</f>
        <v/>
      </c>
      <c r="AD228" s="17">
        <f>IF(V228="","",IF(AC228="Daily",V228*Controls!$B$13,V228))</f>
        <v/>
      </c>
      <c r="AE228" s="17">
        <f>IF(V228="","",IF(AC228="Daily",V228*Controls!$B$13,V228*Controls!$B$12))</f>
        <v/>
      </c>
      <c r="AF228" s="17">
        <f>IF(OR(E228="",F228=""),"",F228-E228)</f>
        <v/>
      </c>
      <c r="AG228" s="17">
        <f>IF(OR(E228="",F228=""),"",NETWORKDAYS(E228,F228,Ref!$F$4:$F$47))</f>
        <v/>
      </c>
      <c r="AH228" s="39">
        <f>IF(IFERROR(VLOOKUP(D228,Controls!$A$25:$D$35,2,FALSE()),"No")="Yes",1,0)</f>
        <v/>
      </c>
      <c r="AI228" s="39">
        <f>IF(IFERROR(VLOOKUP(D228,Controls!$A$25:$D$35,3,FALSE()),"No")="Yes",1,0)</f>
        <v/>
      </c>
      <c r="AJ228" s="39">
        <f>IF(IFERROR(VLOOKUP(D228,Controls!$A$25:$D$35,4,FALSE()),"No")="Yes",1,0)</f>
        <v/>
      </c>
      <c r="AK228" s="96">
        <f>IF(AND($E228&gt;=Controls!$B$5,$E228&lt;=Controls!$B$6,OR(Controls!$E$9&lt;&gt;"Y",$BE228=1)),1,0)</f>
        <v/>
      </c>
      <c r="AL228" s="39">
        <f>1</f>
        <v/>
      </c>
      <c r="AM228" s="20">
        <f>S228-P228</f>
        <v/>
      </c>
      <c r="AN228" s="20">
        <f>IF(AH228=1,MAX(0,P228-S228),0)</f>
        <v/>
      </c>
      <c r="AO228" s="21">
        <f>IFERROR(S228/P228,"")</f>
        <v/>
      </c>
      <c r="AP228" s="22">
        <f>IF(Y228="","",P228/Y228)</f>
        <v/>
      </c>
      <c r="AQ228" s="39">
        <f>IF(Y228="",0,1)</f>
        <v/>
      </c>
      <c r="AR228" s="39">
        <f>IF(S228&lt;=0,1,0)</f>
        <v/>
      </c>
      <c r="AS228" s="17">
        <f>IF(AH228=1,AG228,"")</f>
        <v/>
      </c>
      <c r="AT228" s="17">
        <f>IF(AND(AH228=0,AJ228=1),AG228,"")</f>
        <v/>
      </c>
      <c r="AU228" s="5">
        <f>IF(P228&lt;10000,"Under $10K",IF(P228&lt;20000,"$10-20K",IF(P228&lt;30000,"$20-30K",IF(P228&lt;50000,"$30-50K",IF(P228&lt;100000,"$50-100K","$100K+")))))</f>
        <v/>
      </c>
      <c r="AV228" s="5">
        <f>IF(O228&lt;=1.35,"1.35 and under",IF(O228&lt;=1.42,"1.36-1.42",IF(O228&lt;=1.45,"1.43-1.45",IF(O228&lt;1.49,"1.46-1.48",IF(O228&lt;=1.49,"1.49","Above 1.49")))))</f>
        <v/>
      </c>
      <c r="AW228" s="5">
        <f>IF(AE228="","",IF(AE228&lt;60,"Under 60",IF(AE228&lt;90,"60-89",IF(AE228&lt;120,"90-119",IF(AE228&lt;150,"120-149","150+")))))</f>
        <v/>
      </c>
      <c r="AX228" s="5">
        <f>IF(AP228="","No revenue data",IF(AP228&lt;0.15,"Under 0.15x",IF(AP228&lt;0.3,"0.15-0.30x",IF(AP228&lt;0.5,"0.30-0.50x",IF(AP228&lt;1,"0.50-1.00x","1.00x+")))))</f>
        <v/>
      </c>
      <c r="AY228" s="5">
        <f>IF(J228="","No SIC",IFERROR(VLOOKUP(J228,Ref!$A$4:$C$67,2,FALSE()),"Unclassified"))</f>
        <v/>
      </c>
      <c r="AZ228" s="5">
        <f>IF(E228="","",TEXT(E228,"YYYY")&amp;"-Q"&amp;ROUNDUP(MONTH(E228)/3,0))</f>
        <v/>
      </c>
      <c r="BA228" s="5">
        <f>IF(E228="","",TEXT(E228,"YYYY-MM"))</f>
        <v/>
      </c>
      <c r="BB228" s="5">
        <f>IF(E228="","",TEXT(E228,"YYYY"))</f>
        <v/>
      </c>
      <c r="BC228" s="92">
        <f>IF($E228="","",NETWORKDAYS($E228,Controls!$B$9,Ref!$F$4:$F$47))</f>
        <v/>
      </c>
      <c r="BD228" s="92">
        <f>IF(OR($AH228=1,$AJ228=1),1,0)</f>
        <v/>
      </c>
      <c r="BE228" s="95">
        <f>IF(OR($BD228=1,AND($AE228&lt;&gt;"",$BC228&gt;=Controls!$B$10*$AE228)),1,0)</f>
        <v/>
      </c>
    </row>
    <row r="229" ht="15.75" customHeight="1" s="79">
      <c r="A229" s="5" t="inlineStr">
        <is>
          <t>5674165467</t>
        </is>
      </c>
      <c r="B229" s="5" t="inlineStr">
        <is>
          <t>Bass Unique Services</t>
        </is>
      </c>
      <c r="C229" s="5" t="inlineStr">
        <is>
          <t>Bass Unique Services</t>
        </is>
      </c>
      <c r="D229" s="5" t="inlineStr">
        <is>
          <t>Closed</t>
        </is>
      </c>
      <c r="E229" s="16" t="n">
        <v>45903</v>
      </c>
      <c r="F229" s="16" t="n">
        <v>45986</v>
      </c>
      <c r="G229" s="17" t="n">
        <v>3</v>
      </c>
      <c r="H229" s="5" t="inlineStr">
        <is>
          <t>1521</t>
        </is>
      </c>
      <c r="I229" s="5" t="inlineStr">
        <is>
          <t>New Single-Family Housing Construction (Except For-Sale Builders)</t>
        </is>
      </c>
      <c r="J229" s="5" t="inlineStr">
        <is>
          <t>15</t>
        </is>
      </c>
      <c r="K229" s="5" t="n">
        <v>1520</v>
      </c>
      <c r="L229" s="5" t="inlineStr">
        <is>
          <t>FL</t>
        </is>
      </c>
      <c r="M229" s="5" t="inlineStr">
        <is>
          <t>WOTR Enterprise LLC</t>
        </is>
      </c>
      <c r="N229" s="5" t="inlineStr">
        <is>
          <t>Renewal</t>
        </is>
      </c>
      <c r="O229" s="19" t="n">
        <v>1.49</v>
      </c>
      <c r="P229" s="20" t="n">
        <v>18000</v>
      </c>
      <c r="Q229" s="20" t="n">
        <v>2520</v>
      </c>
      <c r="R229" s="20" t="n">
        <v>26820</v>
      </c>
      <c r="S229" s="20" t="n">
        <v>26820</v>
      </c>
      <c r="T229" s="20" t="n">
        <v>0</v>
      </c>
      <c r="U229" s="21" t="n">
        <v>1</v>
      </c>
      <c r="V229" s="22" t="n">
        <v>3.279</v>
      </c>
      <c r="W229" s="17" t="n">
        <v>267</v>
      </c>
      <c r="X229" s="17" t="n">
        <v>0</v>
      </c>
      <c r="Y229" s="20" t="n">
        <v>50449.57</v>
      </c>
      <c r="Z229" s="21" t="n">
        <v>0.0998</v>
      </c>
      <c r="AA229" s="16" t="n">
        <v>43647</v>
      </c>
      <c r="AB229" s="5">
        <f>IF(V229="","",IF(V229&lt;12,"Months","Weeks"))</f>
        <v/>
      </c>
      <c r="AC229" s="5">
        <f>IF(AB229="","",IF(AB229="Months","Daily","Weekly"))</f>
        <v/>
      </c>
      <c r="AD229" s="17">
        <f>IF(V229="","",IF(AC229="Daily",V229*Controls!$B$13,V229))</f>
        <v/>
      </c>
      <c r="AE229" s="17">
        <f>IF(V229="","",IF(AC229="Daily",V229*Controls!$B$13,V229*Controls!$B$12))</f>
        <v/>
      </c>
      <c r="AF229" s="17">
        <f>IF(OR(E229="",F229=""),"",F229-E229)</f>
        <v/>
      </c>
      <c r="AG229" s="17">
        <f>IF(OR(E229="",F229=""),"",NETWORKDAYS(E229,F229,Ref!$F$4:$F$47))</f>
        <v/>
      </c>
      <c r="AH229" s="39">
        <f>IF(IFERROR(VLOOKUP(D229,Controls!$A$25:$D$35,2,FALSE()),"No")="Yes",1,0)</f>
        <v/>
      </c>
      <c r="AI229" s="39">
        <f>IF(IFERROR(VLOOKUP(D229,Controls!$A$25:$D$35,3,FALSE()),"No")="Yes",1,0)</f>
        <v/>
      </c>
      <c r="AJ229" s="39">
        <f>IF(IFERROR(VLOOKUP(D229,Controls!$A$25:$D$35,4,FALSE()),"No")="Yes",1,0)</f>
        <v/>
      </c>
      <c r="AK229" s="96">
        <f>IF(AND($E229&gt;=Controls!$B$5,$E229&lt;=Controls!$B$6,OR(Controls!$E$9&lt;&gt;"Y",$BE229=1)),1,0)</f>
        <v/>
      </c>
      <c r="AL229" s="39">
        <f>1</f>
        <v/>
      </c>
      <c r="AM229" s="20">
        <f>S229-P229</f>
        <v/>
      </c>
      <c r="AN229" s="20">
        <f>IF(AH229=1,MAX(0,P229-S229),0)</f>
        <v/>
      </c>
      <c r="AO229" s="21">
        <f>IFERROR(S229/P229,"")</f>
        <v/>
      </c>
      <c r="AP229" s="22">
        <f>IF(Y229="","",P229/Y229)</f>
        <v/>
      </c>
      <c r="AQ229" s="39">
        <f>IF(Y229="",0,1)</f>
        <v/>
      </c>
      <c r="AR229" s="39">
        <f>IF(S229&lt;=0,1,0)</f>
        <v/>
      </c>
      <c r="AS229" s="17">
        <f>IF(AH229=1,AG229,"")</f>
        <v/>
      </c>
      <c r="AT229" s="17">
        <f>IF(AND(AH229=0,AJ229=1),AG229,"")</f>
        <v/>
      </c>
      <c r="AU229" s="5">
        <f>IF(P229&lt;10000,"Under $10K",IF(P229&lt;20000,"$10-20K",IF(P229&lt;30000,"$20-30K",IF(P229&lt;50000,"$30-50K",IF(P229&lt;100000,"$50-100K","$100K+")))))</f>
        <v/>
      </c>
      <c r="AV229" s="5">
        <f>IF(O229&lt;=1.35,"1.35 and under",IF(O229&lt;=1.42,"1.36-1.42",IF(O229&lt;=1.45,"1.43-1.45",IF(O229&lt;1.49,"1.46-1.48",IF(O229&lt;=1.49,"1.49","Above 1.49")))))</f>
        <v/>
      </c>
      <c r="AW229" s="5">
        <f>IF(AE229="","",IF(AE229&lt;60,"Under 60",IF(AE229&lt;90,"60-89",IF(AE229&lt;120,"90-119",IF(AE229&lt;150,"120-149","150+")))))</f>
        <v/>
      </c>
      <c r="AX229" s="5">
        <f>IF(AP229="","No revenue data",IF(AP229&lt;0.15,"Under 0.15x",IF(AP229&lt;0.3,"0.15-0.30x",IF(AP229&lt;0.5,"0.30-0.50x",IF(AP229&lt;1,"0.50-1.00x","1.00x+")))))</f>
        <v/>
      </c>
      <c r="AY229" s="5">
        <f>IF(J229="","No SIC",IFERROR(VLOOKUP(J229,Ref!$A$4:$C$67,2,FALSE()),"Unclassified"))</f>
        <v/>
      </c>
      <c r="AZ229" s="5">
        <f>IF(E229="","",TEXT(E229,"YYYY")&amp;"-Q"&amp;ROUNDUP(MONTH(E229)/3,0))</f>
        <v/>
      </c>
      <c r="BA229" s="5">
        <f>IF(E229="","",TEXT(E229,"YYYY-MM"))</f>
        <v/>
      </c>
      <c r="BB229" s="5">
        <f>IF(E229="","",TEXT(E229,"YYYY"))</f>
        <v/>
      </c>
      <c r="BC229" s="92">
        <f>IF($E229="","",NETWORKDAYS($E229,Controls!$B$9,Ref!$F$4:$F$47))</f>
        <v/>
      </c>
      <c r="BD229" s="92">
        <f>IF(OR($AH229=1,$AJ229=1),1,0)</f>
        <v/>
      </c>
      <c r="BE229" s="95">
        <f>IF(OR($BD229=1,AND($AE229&lt;&gt;"",$BC229&gt;=Controls!$B$10*$AE229)),1,0)</f>
        <v/>
      </c>
    </row>
    <row r="230" ht="15.75" customHeight="1" s="79">
      <c r="A230" s="5" t="inlineStr">
        <is>
          <t>5674165546</t>
        </is>
      </c>
      <c r="B230" s="5" t="inlineStr">
        <is>
          <t>The Dent Mann</t>
        </is>
      </c>
      <c r="C230" s="5" t="inlineStr">
        <is>
          <t>The Dent Mann</t>
        </is>
      </c>
      <c r="D230" s="5" t="inlineStr">
        <is>
          <t>Closed</t>
        </is>
      </c>
      <c r="E230" s="16" t="n">
        <v>45904</v>
      </c>
      <c r="F230" s="16" t="n">
        <v>46055</v>
      </c>
      <c r="G230" s="17" t="n">
        <v>2</v>
      </c>
      <c r="H230" s="5" t="inlineStr">
        <is>
          <t>7538</t>
        </is>
      </c>
      <c r="I230" s="5" t="inlineStr">
        <is>
          <t>General Automotive Repair</t>
        </is>
      </c>
      <c r="J230" s="5" t="inlineStr">
        <is>
          <t>75</t>
        </is>
      </c>
      <c r="K230" s="5" t="n">
        <v>7538</v>
      </c>
      <c r="L230" s="5" t="inlineStr">
        <is>
          <t>OK</t>
        </is>
      </c>
      <c r="M230" s="5" t="inlineStr">
        <is>
          <t>AVON ADVANCE</t>
        </is>
      </c>
      <c r="N230" s="5" t="inlineStr">
        <is>
          <t>New Deal</t>
        </is>
      </c>
      <c r="O230" s="19" t="n">
        <v>1.499</v>
      </c>
      <c r="P230" s="20" t="n">
        <v>10000</v>
      </c>
      <c r="Q230" s="20" t="n">
        <v>1400</v>
      </c>
      <c r="R230" s="20" t="n">
        <v>14990</v>
      </c>
      <c r="S230" s="20" t="n">
        <v>14990</v>
      </c>
      <c r="T230" s="20" t="n">
        <v>1.81898940354586e-12</v>
      </c>
      <c r="U230" s="21" t="n">
        <v>1</v>
      </c>
      <c r="V230" s="22" t="n">
        <v>2.951</v>
      </c>
      <c r="W230" s="17" t="n">
        <v>198</v>
      </c>
      <c r="X230" s="17" t="n">
        <v>11</v>
      </c>
      <c r="Y230" s="20" t="n">
        <v>32903.61</v>
      </c>
      <c r="Z230" s="21" t="n">
        <v>0.1057</v>
      </c>
      <c r="AA230" s="5" t="n"/>
      <c r="AB230" s="5">
        <f>IF(V230="","",IF(V230&lt;12,"Months","Weeks"))</f>
        <v/>
      </c>
      <c r="AC230" s="5">
        <f>IF(AB230="","",IF(AB230="Months","Daily","Weekly"))</f>
        <v/>
      </c>
      <c r="AD230" s="17">
        <f>IF(V230="","",IF(AC230="Daily",V230*Controls!$B$13,V230))</f>
        <v/>
      </c>
      <c r="AE230" s="17">
        <f>IF(V230="","",IF(AC230="Daily",V230*Controls!$B$13,V230*Controls!$B$12))</f>
        <v/>
      </c>
      <c r="AF230" s="17">
        <f>IF(OR(E230="",F230=""),"",F230-E230)</f>
        <v/>
      </c>
      <c r="AG230" s="17">
        <f>IF(OR(E230="",F230=""),"",NETWORKDAYS(E230,F230,Ref!$F$4:$F$47))</f>
        <v/>
      </c>
      <c r="AH230" s="39">
        <f>IF(IFERROR(VLOOKUP(D230,Controls!$A$25:$D$35,2,FALSE()),"No")="Yes",1,0)</f>
        <v/>
      </c>
      <c r="AI230" s="39">
        <f>IF(IFERROR(VLOOKUP(D230,Controls!$A$25:$D$35,3,FALSE()),"No")="Yes",1,0)</f>
        <v/>
      </c>
      <c r="AJ230" s="39">
        <f>IF(IFERROR(VLOOKUP(D230,Controls!$A$25:$D$35,4,FALSE()),"No")="Yes",1,0)</f>
        <v/>
      </c>
      <c r="AK230" s="96">
        <f>IF(AND($E230&gt;=Controls!$B$5,$E230&lt;=Controls!$B$6,OR(Controls!$E$9&lt;&gt;"Y",$BE230=1)),1,0)</f>
        <v/>
      </c>
      <c r="AL230" s="39">
        <f>1</f>
        <v/>
      </c>
      <c r="AM230" s="20">
        <f>S230-P230</f>
        <v/>
      </c>
      <c r="AN230" s="20">
        <f>IF(AH230=1,MAX(0,P230-S230),0)</f>
        <v/>
      </c>
      <c r="AO230" s="21">
        <f>IFERROR(S230/P230,"")</f>
        <v/>
      </c>
      <c r="AP230" s="22">
        <f>IF(Y230="","",P230/Y230)</f>
        <v/>
      </c>
      <c r="AQ230" s="39">
        <f>IF(Y230="",0,1)</f>
        <v/>
      </c>
      <c r="AR230" s="39">
        <f>IF(S230&lt;=0,1,0)</f>
        <v/>
      </c>
      <c r="AS230" s="17">
        <f>IF(AH230=1,AG230,"")</f>
        <v/>
      </c>
      <c r="AT230" s="17">
        <f>IF(AND(AH230=0,AJ230=1),AG230,"")</f>
        <v/>
      </c>
      <c r="AU230" s="5">
        <f>IF(P230&lt;10000,"Under $10K",IF(P230&lt;20000,"$10-20K",IF(P230&lt;30000,"$20-30K",IF(P230&lt;50000,"$30-50K",IF(P230&lt;100000,"$50-100K","$100K+")))))</f>
        <v/>
      </c>
      <c r="AV230" s="5">
        <f>IF(O230&lt;=1.35,"1.35 and under",IF(O230&lt;=1.42,"1.36-1.42",IF(O230&lt;=1.45,"1.43-1.45",IF(O230&lt;1.49,"1.46-1.48",IF(O230&lt;=1.49,"1.49","Above 1.49")))))</f>
        <v/>
      </c>
      <c r="AW230" s="5">
        <f>IF(AE230="","",IF(AE230&lt;60,"Under 60",IF(AE230&lt;90,"60-89",IF(AE230&lt;120,"90-119",IF(AE230&lt;150,"120-149","150+")))))</f>
        <v/>
      </c>
      <c r="AX230" s="5">
        <f>IF(AP230="","No revenue data",IF(AP230&lt;0.15,"Under 0.15x",IF(AP230&lt;0.3,"0.15-0.30x",IF(AP230&lt;0.5,"0.30-0.50x",IF(AP230&lt;1,"0.50-1.00x","1.00x+")))))</f>
        <v/>
      </c>
      <c r="AY230" s="5">
        <f>IF(J230="","No SIC",IFERROR(VLOOKUP(J230,Ref!$A$4:$C$67,2,FALSE()),"Unclassified"))</f>
        <v/>
      </c>
      <c r="AZ230" s="5">
        <f>IF(E230="","",TEXT(E230,"YYYY")&amp;"-Q"&amp;ROUNDUP(MONTH(E230)/3,0))</f>
        <v/>
      </c>
      <c r="BA230" s="5">
        <f>IF(E230="","",TEXT(E230,"YYYY-MM"))</f>
        <v/>
      </c>
      <c r="BB230" s="5">
        <f>IF(E230="","",TEXT(E230,"YYYY"))</f>
        <v/>
      </c>
      <c r="BC230" s="92">
        <f>IF($E230="","",NETWORKDAYS($E230,Controls!$B$9,Ref!$F$4:$F$47))</f>
        <v/>
      </c>
      <c r="BD230" s="92">
        <f>IF(OR($AH230=1,$AJ230=1),1,0)</f>
        <v/>
      </c>
      <c r="BE230" s="95">
        <f>IF(OR($BD230=1,AND($AE230&lt;&gt;"",$BC230&gt;=Controls!$B$10*$AE230)),1,0)</f>
        <v/>
      </c>
    </row>
    <row r="231" ht="15.75" customHeight="1" s="79">
      <c r="A231" s="5" t="inlineStr">
        <is>
          <t>5674165547</t>
        </is>
      </c>
      <c r="B231" s="5" t="inlineStr">
        <is>
          <t>southeast customs</t>
        </is>
      </c>
      <c r="C231" s="5" t="inlineStr">
        <is>
          <t>SOUTHEAST CUSTOMS LLC</t>
        </is>
      </c>
      <c r="D231" s="5" t="inlineStr">
        <is>
          <t>Legal</t>
        </is>
      </c>
      <c r="E231" s="16" t="n">
        <v>45904</v>
      </c>
      <c r="F231" s="16" t="n">
        <v>45938</v>
      </c>
      <c r="G231" s="17" t="n">
        <v>2</v>
      </c>
      <c r="H231" s="5" t="inlineStr">
        <is>
          <t>5014</t>
        </is>
      </c>
      <c r="I231" s="5" t="inlineStr">
        <is>
          <t>Tire and Tube Merchant Wholesalers</t>
        </is>
      </c>
      <c r="J231" s="5" t="inlineStr">
        <is>
          <t>50</t>
        </is>
      </c>
      <c r="K231" s="5" t="n">
        <v>5013</v>
      </c>
      <c r="L231" s="5" t="inlineStr">
        <is>
          <t>TX</t>
        </is>
      </c>
      <c r="M231" s="5" t="inlineStr">
        <is>
          <t>EZ ADVANCE LLC</t>
        </is>
      </c>
      <c r="N231" s="5" t="inlineStr">
        <is>
          <t>New Deal</t>
        </is>
      </c>
      <c r="O231" s="19" t="n">
        <v>1.49</v>
      </c>
      <c r="P231" s="20" t="n">
        <v>30000</v>
      </c>
      <c r="Q231" s="20" t="n">
        <v>4200</v>
      </c>
      <c r="R231" s="20" t="n">
        <v>44700</v>
      </c>
      <c r="S231" s="20" t="n">
        <v>6796</v>
      </c>
      <c r="T231" s="20" t="n">
        <v>37904</v>
      </c>
      <c r="U231" s="21" t="n">
        <v>0.152035794183445</v>
      </c>
      <c r="V231" s="22" t="n">
        <v>26</v>
      </c>
      <c r="W231" s="17" t="n">
        <v>322</v>
      </c>
      <c r="X231" s="17" t="n">
        <v>1</v>
      </c>
      <c r="Y231" s="20" t="n">
        <v>82340.97</v>
      </c>
      <c r="Z231" s="21" t="n">
        <v>0.0825</v>
      </c>
      <c r="AA231" s="16" t="n">
        <v>44409</v>
      </c>
      <c r="AB231" s="5">
        <f>IF(V231="","",IF(V231&lt;12,"Months","Weeks"))</f>
        <v/>
      </c>
      <c r="AC231" s="5">
        <f>IF(AB231="","",IF(AB231="Months","Daily","Weekly"))</f>
        <v/>
      </c>
      <c r="AD231" s="17">
        <f>IF(V231="","",IF(AC231="Daily",V231*Controls!$B$13,V231))</f>
        <v/>
      </c>
      <c r="AE231" s="17">
        <f>IF(V231="","",IF(AC231="Daily",V231*Controls!$B$13,V231*Controls!$B$12))</f>
        <v/>
      </c>
      <c r="AF231" s="17">
        <f>IF(OR(E231="",F231=""),"",F231-E231)</f>
        <v/>
      </c>
      <c r="AG231" s="17">
        <f>IF(OR(E231="",F231=""),"",NETWORKDAYS(E231,F231,Ref!$F$4:$F$47))</f>
        <v/>
      </c>
      <c r="AH231" s="39">
        <f>IF(IFERROR(VLOOKUP(D231,Controls!$A$25:$D$35,2,FALSE()),"No")="Yes",1,0)</f>
        <v/>
      </c>
      <c r="AI231" s="39">
        <f>IF(IFERROR(VLOOKUP(D231,Controls!$A$25:$D$35,3,FALSE()),"No")="Yes",1,0)</f>
        <v/>
      </c>
      <c r="AJ231" s="39">
        <f>IF(IFERROR(VLOOKUP(D231,Controls!$A$25:$D$35,4,FALSE()),"No")="Yes",1,0)</f>
        <v/>
      </c>
      <c r="AK231" s="96">
        <f>IF(AND($E231&gt;=Controls!$B$5,$E231&lt;=Controls!$B$6,OR(Controls!$E$9&lt;&gt;"Y",$BE231=1)),1,0)</f>
        <v/>
      </c>
      <c r="AL231" s="39">
        <f>1</f>
        <v/>
      </c>
      <c r="AM231" s="20">
        <f>S231-P231</f>
        <v/>
      </c>
      <c r="AN231" s="20">
        <f>IF(AH231=1,MAX(0,P231-S231),0)</f>
        <v/>
      </c>
      <c r="AO231" s="21">
        <f>IFERROR(S231/P231,"")</f>
        <v/>
      </c>
      <c r="AP231" s="22">
        <f>IF(Y231="","",P231/Y231)</f>
        <v/>
      </c>
      <c r="AQ231" s="39">
        <f>IF(Y231="",0,1)</f>
        <v/>
      </c>
      <c r="AR231" s="39">
        <f>IF(S231&lt;=0,1,0)</f>
        <v/>
      </c>
      <c r="AS231" s="17">
        <f>IF(AH231=1,AG231,"")</f>
        <v/>
      </c>
      <c r="AT231" s="17">
        <f>IF(AND(AH231=0,AJ231=1),AG231,"")</f>
        <v/>
      </c>
      <c r="AU231" s="5">
        <f>IF(P231&lt;10000,"Under $10K",IF(P231&lt;20000,"$10-20K",IF(P231&lt;30000,"$20-30K",IF(P231&lt;50000,"$30-50K",IF(P231&lt;100000,"$50-100K","$100K+")))))</f>
        <v/>
      </c>
      <c r="AV231" s="5">
        <f>IF(O231&lt;=1.35,"1.35 and under",IF(O231&lt;=1.42,"1.36-1.42",IF(O231&lt;=1.45,"1.43-1.45",IF(O231&lt;1.49,"1.46-1.48",IF(O231&lt;=1.49,"1.49","Above 1.49")))))</f>
        <v/>
      </c>
      <c r="AW231" s="5">
        <f>IF(AE231="","",IF(AE231&lt;60,"Under 60",IF(AE231&lt;90,"60-89",IF(AE231&lt;120,"90-119",IF(AE231&lt;150,"120-149","150+")))))</f>
        <v/>
      </c>
      <c r="AX231" s="5">
        <f>IF(AP231="","No revenue data",IF(AP231&lt;0.15,"Under 0.15x",IF(AP231&lt;0.3,"0.15-0.30x",IF(AP231&lt;0.5,"0.30-0.50x",IF(AP231&lt;1,"0.50-1.00x","1.00x+")))))</f>
        <v/>
      </c>
      <c r="AY231" s="5">
        <f>IF(J231="","No SIC",IFERROR(VLOOKUP(J231,Ref!$A$4:$C$67,2,FALSE()),"Unclassified"))</f>
        <v/>
      </c>
      <c r="AZ231" s="5">
        <f>IF(E231="","",TEXT(E231,"YYYY")&amp;"-Q"&amp;ROUNDUP(MONTH(E231)/3,0))</f>
        <v/>
      </c>
      <c r="BA231" s="5">
        <f>IF(E231="","",TEXT(E231,"YYYY-MM"))</f>
        <v/>
      </c>
      <c r="BB231" s="5">
        <f>IF(E231="","",TEXT(E231,"YYYY"))</f>
        <v/>
      </c>
      <c r="BC231" s="92">
        <f>IF($E231="","",NETWORKDAYS($E231,Controls!$B$9,Ref!$F$4:$F$47))</f>
        <v/>
      </c>
      <c r="BD231" s="92">
        <f>IF(OR($AH231=1,$AJ231=1),1,0)</f>
        <v/>
      </c>
      <c r="BE231" s="95">
        <f>IF(OR($BD231=1,AND($AE231&lt;&gt;"",$BC231&gt;=Controls!$B$10*$AE231)),1,0)</f>
        <v/>
      </c>
    </row>
    <row r="232" ht="15.75" customHeight="1" s="79">
      <c r="A232" s="5" t="inlineStr">
        <is>
          <t>5674165577</t>
        </is>
      </c>
      <c r="B232" s="5" t="inlineStr">
        <is>
          <t>PALMETTO HOME REMODELS LLC</t>
        </is>
      </c>
      <c r="C232" s="5" t="inlineStr">
        <is>
          <t>PALMETTO HOME REMODELS LLC</t>
        </is>
      </c>
      <c r="D232" s="5" t="inlineStr">
        <is>
          <t>Legal</t>
        </is>
      </c>
      <c r="E232" s="16" t="n">
        <v>45904</v>
      </c>
      <c r="F232" s="16" t="n">
        <v>46031</v>
      </c>
      <c r="G232" s="17" t="n">
        <v>3</v>
      </c>
      <c r="H232" s="5" t="inlineStr">
        <is>
          <t>1521</t>
        </is>
      </c>
      <c r="I232" s="5" t="inlineStr">
        <is>
          <t>New Single-Family Housing Construction (Except For-Sale Builders)</t>
        </is>
      </c>
      <c r="J232" s="5" t="inlineStr">
        <is>
          <t>15</t>
        </is>
      </c>
      <c r="K232" s="5" t="n">
        <v>1520</v>
      </c>
      <c r="L232" s="5" t="inlineStr">
        <is>
          <t>SC</t>
        </is>
      </c>
      <c r="M232" s="5" t="inlineStr">
        <is>
          <t>United Secured Capital 8</t>
        </is>
      </c>
      <c r="N232" s="5" t="inlineStr">
        <is>
          <t>New Deal</t>
        </is>
      </c>
      <c r="O232" s="19" t="n">
        <v>1.499</v>
      </c>
      <c r="P232" s="20" t="n">
        <v>15000</v>
      </c>
      <c r="Q232" s="20" t="n">
        <v>2100</v>
      </c>
      <c r="R232" s="20" t="n">
        <v>22485</v>
      </c>
      <c r="S232" s="20" t="n">
        <v>4965</v>
      </c>
      <c r="T232" s="20" t="n">
        <v>17520</v>
      </c>
      <c r="U232" s="21" t="n">
        <v>0.220813875917278</v>
      </c>
      <c r="V232" s="22" t="n">
        <v>18</v>
      </c>
      <c r="W232" s="17" t="n">
        <v>313</v>
      </c>
      <c r="X232" s="17" t="n">
        <v>14</v>
      </c>
      <c r="Y232" s="20" t="n">
        <v>137534.52</v>
      </c>
      <c r="Z232" s="21" t="n">
        <v>0.0361</v>
      </c>
      <c r="AA232" s="5" t="n"/>
      <c r="AB232" s="5">
        <f>IF(V232="","",IF(V232&lt;12,"Months","Weeks"))</f>
        <v/>
      </c>
      <c r="AC232" s="5">
        <f>IF(AB232="","",IF(AB232="Months","Daily","Weekly"))</f>
        <v/>
      </c>
      <c r="AD232" s="17">
        <f>IF(V232="","",IF(AC232="Daily",V232*Controls!$B$13,V232))</f>
        <v/>
      </c>
      <c r="AE232" s="17">
        <f>IF(V232="","",IF(AC232="Daily",V232*Controls!$B$13,V232*Controls!$B$12))</f>
        <v/>
      </c>
      <c r="AF232" s="17">
        <f>IF(OR(E232="",F232=""),"",F232-E232)</f>
        <v/>
      </c>
      <c r="AG232" s="17">
        <f>IF(OR(E232="",F232=""),"",NETWORKDAYS(E232,F232,Ref!$F$4:$F$47))</f>
        <v/>
      </c>
      <c r="AH232" s="39">
        <f>IF(IFERROR(VLOOKUP(D232,Controls!$A$25:$D$35,2,FALSE()),"No")="Yes",1,0)</f>
        <v/>
      </c>
      <c r="AI232" s="39">
        <f>IF(IFERROR(VLOOKUP(D232,Controls!$A$25:$D$35,3,FALSE()),"No")="Yes",1,0)</f>
        <v/>
      </c>
      <c r="AJ232" s="39">
        <f>IF(IFERROR(VLOOKUP(D232,Controls!$A$25:$D$35,4,FALSE()),"No")="Yes",1,0)</f>
        <v/>
      </c>
      <c r="AK232" s="96">
        <f>IF(AND($E232&gt;=Controls!$B$5,$E232&lt;=Controls!$B$6,OR(Controls!$E$9&lt;&gt;"Y",$BE232=1)),1,0)</f>
        <v/>
      </c>
      <c r="AL232" s="39">
        <f>1</f>
        <v/>
      </c>
      <c r="AM232" s="20">
        <f>S232-P232</f>
        <v/>
      </c>
      <c r="AN232" s="20">
        <f>IF(AH232=1,MAX(0,P232-S232),0)</f>
        <v/>
      </c>
      <c r="AO232" s="21">
        <f>IFERROR(S232/P232,"")</f>
        <v/>
      </c>
      <c r="AP232" s="22">
        <f>IF(Y232="","",P232/Y232)</f>
        <v/>
      </c>
      <c r="AQ232" s="39">
        <f>IF(Y232="",0,1)</f>
        <v/>
      </c>
      <c r="AR232" s="39">
        <f>IF(S232&lt;=0,1,0)</f>
        <v/>
      </c>
      <c r="AS232" s="17">
        <f>IF(AH232=1,AG232,"")</f>
        <v/>
      </c>
      <c r="AT232" s="17">
        <f>IF(AND(AH232=0,AJ232=1),AG232,"")</f>
        <v/>
      </c>
      <c r="AU232" s="5">
        <f>IF(P232&lt;10000,"Under $10K",IF(P232&lt;20000,"$10-20K",IF(P232&lt;30000,"$20-30K",IF(P232&lt;50000,"$30-50K",IF(P232&lt;100000,"$50-100K","$100K+")))))</f>
        <v/>
      </c>
      <c r="AV232" s="5">
        <f>IF(O232&lt;=1.35,"1.35 and under",IF(O232&lt;=1.42,"1.36-1.42",IF(O232&lt;=1.45,"1.43-1.45",IF(O232&lt;1.49,"1.46-1.48",IF(O232&lt;=1.49,"1.49","Above 1.49")))))</f>
        <v/>
      </c>
      <c r="AW232" s="5">
        <f>IF(AE232="","",IF(AE232&lt;60,"Under 60",IF(AE232&lt;90,"60-89",IF(AE232&lt;120,"90-119",IF(AE232&lt;150,"120-149","150+")))))</f>
        <v/>
      </c>
      <c r="AX232" s="5">
        <f>IF(AP232="","No revenue data",IF(AP232&lt;0.15,"Under 0.15x",IF(AP232&lt;0.3,"0.15-0.30x",IF(AP232&lt;0.5,"0.30-0.50x",IF(AP232&lt;1,"0.50-1.00x","1.00x+")))))</f>
        <v/>
      </c>
      <c r="AY232" s="5">
        <f>IF(J232="","No SIC",IFERROR(VLOOKUP(J232,Ref!$A$4:$C$67,2,FALSE()),"Unclassified"))</f>
        <v/>
      </c>
      <c r="AZ232" s="5">
        <f>IF(E232="","",TEXT(E232,"YYYY")&amp;"-Q"&amp;ROUNDUP(MONTH(E232)/3,0))</f>
        <v/>
      </c>
      <c r="BA232" s="5">
        <f>IF(E232="","",TEXT(E232,"YYYY-MM"))</f>
        <v/>
      </c>
      <c r="BB232" s="5">
        <f>IF(E232="","",TEXT(E232,"YYYY"))</f>
        <v/>
      </c>
      <c r="BC232" s="92">
        <f>IF($E232="","",NETWORKDAYS($E232,Controls!$B$9,Ref!$F$4:$F$47))</f>
        <v/>
      </c>
      <c r="BD232" s="92">
        <f>IF(OR($AH232=1,$AJ232=1),1,0)</f>
        <v/>
      </c>
      <c r="BE232" s="95">
        <f>IF(OR($BD232=1,AND($AE232&lt;&gt;"",$BC232&gt;=Controls!$B$10*$AE232)),1,0)</f>
        <v/>
      </c>
    </row>
    <row r="233" ht="15.75" customHeight="1" s="79">
      <c r="A233" s="5" t="inlineStr">
        <is>
          <t>5674165609</t>
        </is>
      </c>
      <c r="B233" s="5" t="inlineStr">
        <is>
          <t>MOOR HERBS MARKETPLACE</t>
        </is>
      </c>
      <c r="C233" s="5" t="inlineStr">
        <is>
          <t>THE MOORISH SCIENCE - TEMPLE THE DIVINE AND NATIONAL MOVEMENT OF NORTH AMERICA INC</t>
        </is>
      </c>
      <c r="D233" s="5" t="inlineStr">
        <is>
          <t>Closed</t>
        </is>
      </c>
      <c r="E233" s="16" t="n">
        <v>45904</v>
      </c>
      <c r="F233" s="16" t="n">
        <v>45973</v>
      </c>
      <c r="G233" s="17" t="n">
        <v>4</v>
      </c>
      <c r="H233" s="5" t="inlineStr">
        <is>
          <t>5999</t>
        </is>
      </c>
      <c r="I233" s="5" t="inlineStr">
        <is>
          <t>All Other Misc. Store Retailers (Except Tobacco Stores)</t>
        </is>
      </c>
      <c r="J233" s="5" t="inlineStr">
        <is>
          <t>59</t>
        </is>
      </c>
      <c r="K233" s="5" t="n">
        <v>5999</v>
      </c>
      <c r="L233" s="5" t="inlineStr">
        <is>
          <t>MI</t>
        </is>
      </c>
      <c r="M233" s="5" t="inlineStr">
        <is>
          <t>United Secured Capital 8</t>
        </is>
      </c>
      <c r="N233" s="5" t="inlineStr">
        <is>
          <t>Renewal</t>
        </is>
      </c>
      <c r="O233" s="19" t="n">
        <v>1.49</v>
      </c>
      <c r="P233" s="20" t="n">
        <v>20000</v>
      </c>
      <c r="Q233" s="20" t="n">
        <v>2800</v>
      </c>
      <c r="R233" s="20" t="n">
        <v>29800</v>
      </c>
      <c r="S233" s="20" t="n">
        <v>29800</v>
      </c>
      <c r="T233" s="20" t="n">
        <v>0</v>
      </c>
      <c r="U233" s="21" t="n">
        <v>1</v>
      </c>
      <c r="V233" s="22" t="n">
        <v>2.787</v>
      </c>
      <c r="W233" s="17" t="n">
        <v>280</v>
      </c>
      <c r="X233" s="17" t="n">
        <v>0</v>
      </c>
      <c r="Y233" s="20" t="n">
        <v>104379.99</v>
      </c>
      <c r="Z233" s="21" t="n">
        <v>0.1042</v>
      </c>
      <c r="AA233" s="16" t="n">
        <v>43221</v>
      </c>
      <c r="AB233" s="5">
        <f>IF(V233="","",IF(V233&lt;12,"Months","Weeks"))</f>
        <v/>
      </c>
      <c r="AC233" s="5">
        <f>IF(AB233="","",IF(AB233="Months","Daily","Weekly"))</f>
        <v/>
      </c>
      <c r="AD233" s="17">
        <f>IF(V233="","",IF(AC233="Daily",V233*Controls!$B$13,V233))</f>
        <v/>
      </c>
      <c r="AE233" s="17">
        <f>IF(V233="","",IF(AC233="Daily",V233*Controls!$B$13,V233*Controls!$B$12))</f>
        <v/>
      </c>
      <c r="AF233" s="17">
        <f>IF(OR(E233="",F233=""),"",F233-E233)</f>
        <v/>
      </c>
      <c r="AG233" s="17">
        <f>IF(OR(E233="",F233=""),"",NETWORKDAYS(E233,F233,Ref!$F$4:$F$47))</f>
        <v/>
      </c>
      <c r="AH233" s="39">
        <f>IF(IFERROR(VLOOKUP(D233,Controls!$A$25:$D$35,2,FALSE()),"No")="Yes",1,0)</f>
        <v/>
      </c>
      <c r="AI233" s="39">
        <f>IF(IFERROR(VLOOKUP(D233,Controls!$A$25:$D$35,3,FALSE()),"No")="Yes",1,0)</f>
        <v/>
      </c>
      <c r="AJ233" s="39">
        <f>IF(IFERROR(VLOOKUP(D233,Controls!$A$25:$D$35,4,FALSE()),"No")="Yes",1,0)</f>
        <v/>
      </c>
      <c r="AK233" s="96">
        <f>IF(AND($E233&gt;=Controls!$B$5,$E233&lt;=Controls!$B$6,OR(Controls!$E$9&lt;&gt;"Y",$BE233=1)),1,0)</f>
        <v/>
      </c>
      <c r="AL233" s="39">
        <f>1</f>
        <v/>
      </c>
      <c r="AM233" s="20">
        <f>S233-P233</f>
        <v/>
      </c>
      <c r="AN233" s="20">
        <f>IF(AH233=1,MAX(0,P233-S233),0)</f>
        <v/>
      </c>
      <c r="AO233" s="21">
        <f>IFERROR(S233/P233,"")</f>
        <v/>
      </c>
      <c r="AP233" s="22">
        <f>IF(Y233="","",P233/Y233)</f>
        <v/>
      </c>
      <c r="AQ233" s="39">
        <f>IF(Y233="",0,1)</f>
        <v/>
      </c>
      <c r="AR233" s="39">
        <f>IF(S233&lt;=0,1,0)</f>
        <v/>
      </c>
      <c r="AS233" s="17">
        <f>IF(AH233=1,AG233,"")</f>
        <v/>
      </c>
      <c r="AT233" s="17">
        <f>IF(AND(AH233=0,AJ233=1),AG233,"")</f>
        <v/>
      </c>
      <c r="AU233" s="5">
        <f>IF(P233&lt;10000,"Under $10K",IF(P233&lt;20000,"$10-20K",IF(P233&lt;30000,"$20-30K",IF(P233&lt;50000,"$30-50K",IF(P233&lt;100000,"$50-100K","$100K+")))))</f>
        <v/>
      </c>
      <c r="AV233" s="5">
        <f>IF(O233&lt;=1.35,"1.35 and under",IF(O233&lt;=1.42,"1.36-1.42",IF(O233&lt;=1.45,"1.43-1.45",IF(O233&lt;1.49,"1.46-1.48",IF(O233&lt;=1.49,"1.49","Above 1.49")))))</f>
        <v/>
      </c>
      <c r="AW233" s="5">
        <f>IF(AE233="","",IF(AE233&lt;60,"Under 60",IF(AE233&lt;90,"60-89",IF(AE233&lt;120,"90-119",IF(AE233&lt;150,"120-149","150+")))))</f>
        <v/>
      </c>
      <c r="AX233" s="5">
        <f>IF(AP233="","No revenue data",IF(AP233&lt;0.15,"Under 0.15x",IF(AP233&lt;0.3,"0.15-0.30x",IF(AP233&lt;0.5,"0.30-0.50x",IF(AP233&lt;1,"0.50-1.00x","1.00x+")))))</f>
        <v/>
      </c>
      <c r="AY233" s="5">
        <f>IF(J233="","No SIC",IFERROR(VLOOKUP(J233,Ref!$A$4:$C$67,2,FALSE()),"Unclassified"))</f>
        <v/>
      </c>
      <c r="AZ233" s="5">
        <f>IF(E233="","",TEXT(E233,"YYYY")&amp;"-Q"&amp;ROUNDUP(MONTH(E233)/3,0))</f>
        <v/>
      </c>
      <c r="BA233" s="5">
        <f>IF(E233="","",TEXT(E233,"YYYY-MM"))</f>
        <v/>
      </c>
      <c r="BB233" s="5">
        <f>IF(E233="","",TEXT(E233,"YYYY"))</f>
        <v/>
      </c>
      <c r="BC233" s="92">
        <f>IF($E233="","",NETWORKDAYS($E233,Controls!$B$9,Ref!$F$4:$F$47))</f>
        <v/>
      </c>
      <c r="BD233" s="92">
        <f>IF(OR($AH233=1,$AJ233=1),1,0)</f>
        <v/>
      </c>
      <c r="BE233" s="95">
        <f>IF(OR($BD233=1,AND($AE233&lt;&gt;"",$BC233&gt;=Controls!$B$10*$AE233)),1,0)</f>
        <v/>
      </c>
    </row>
    <row r="234" ht="15.75" customHeight="1" s="79">
      <c r="A234" s="5" t="inlineStr">
        <is>
          <t>5674165610</t>
        </is>
      </c>
      <c r="B234" s="5" t="inlineStr">
        <is>
          <t>W&amp;D AUTO SALES INC</t>
        </is>
      </c>
      <c r="C234" s="5" t="inlineStr">
        <is>
          <t>W&amp;D AUTO SALES INC</t>
        </is>
      </c>
      <c r="D234" s="5" t="inlineStr">
        <is>
          <t>Closed</t>
        </is>
      </c>
      <c r="E234" s="16" t="n">
        <v>45904</v>
      </c>
      <c r="F234" s="16" t="n">
        <v>45985</v>
      </c>
      <c r="G234" s="17" t="n">
        <v>2</v>
      </c>
      <c r="H234" s="5" t="inlineStr">
        <is>
          <t>5599</t>
        </is>
      </c>
      <c r="I234" s="5" t="inlineStr">
        <is>
          <t>Motorcycle, ATV, and All Other Motor Vehicle Dealers</t>
        </is>
      </c>
      <c r="J234" s="5" t="inlineStr">
        <is>
          <t>55</t>
        </is>
      </c>
      <c r="K234" s="5" t="n">
        <v>5599</v>
      </c>
      <c r="L234" s="5" t="inlineStr">
        <is>
          <t>NC</t>
        </is>
      </c>
      <c r="M234" s="5" t="inlineStr">
        <is>
          <t>United Secured Capital 8</t>
        </is>
      </c>
      <c r="N234" s="5" t="inlineStr">
        <is>
          <t>New Deal</t>
        </is>
      </c>
      <c r="O234" s="19" t="n">
        <v>1.499</v>
      </c>
      <c r="P234" s="20" t="n">
        <v>25000</v>
      </c>
      <c r="Q234" s="20" t="n">
        <v>3500</v>
      </c>
      <c r="R234" s="20" t="n">
        <v>37475</v>
      </c>
      <c r="S234" s="20" t="n">
        <v>37475</v>
      </c>
      <c r="T234" s="20" t="n">
        <v>0</v>
      </c>
      <c r="U234" s="21" t="n">
        <v>1</v>
      </c>
      <c r="V234" s="22" t="n">
        <v>24</v>
      </c>
      <c r="W234" s="17" t="n">
        <v>268</v>
      </c>
      <c r="X234" s="17" t="n">
        <v>0</v>
      </c>
      <c r="Y234" s="20" t="n">
        <v>78209.86</v>
      </c>
      <c r="Z234" s="21" t="n">
        <v>0.0794</v>
      </c>
      <c r="AA234" s="5" t="n"/>
      <c r="AB234" s="5">
        <f>IF(V234="","",IF(V234&lt;12,"Months","Weeks"))</f>
        <v/>
      </c>
      <c r="AC234" s="5">
        <f>IF(AB234="","",IF(AB234="Months","Daily","Weekly"))</f>
        <v/>
      </c>
      <c r="AD234" s="17">
        <f>IF(V234="","",IF(AC234="Daily",V234*Controls!$B$13,V234))</f>
        <v/>
      </c>
      <c r="AE234" s="17">
        <f>IF(V234="","",IF(AC234="Daily",V234*Controls!$B$13,V234*Controls!$B$12))</f>
        <v/>
      </c>
      <c r="AF234" s="17">
        <f>IF(OR(E234="",F234=""),"",F234-E234)</f>
        <v/>
      </c>
      <c r="AG234" s="17">
        <f>IF(OR(E234="",F234=""),"",NETWORKDAYS(E234,F234,Ref!$F$4:$F$47))</f>
        <v/>
      </c>
      <c r="AH234" s="39">
        <f>IF(IFERROR(VLOOKUP(D234,Controls!$A$25:$D$35,2,FALSE()),"No")="Yes",1,0)</f>
        <v/>
      </c>
      <c r="AI234" s="39">
        <f>IF(IFERROR(VLOOKUP(D234,Controls!$A$25:$D$35,3,FALSE()),"No")="Yes",1,0)</f>
        <v/>
      </c>
      <c r="AJ234" s="39">
        <f>IF(IFERROR(VLOOKUP(D234,Controls!$A$25:$D$35,4,FALSE()),"No")="Yes",1,0)</f>
        <v/>
      </c>
      <c r="AK234" s="96">
        <f>IF(AND($E234&gt;=Controls!$B$5,$E234&lt;=Controls!$B$6,OR(Controls!$E$9&lt;&gt;"Y",$BE234=1)),1,0)</f>
        <v/>
      </c>
      <c r="AL234" s="39">
        <f>1</f>
        <v/>
      </c>
      <c r="AM234" s="20">
        <f>S234-P234</f>
        <v/>
      </c>
      <c r="AN234" s="20">
        <f>IF(AH234=1,MAX(0,P234-S234),0)</f>
        <v/>
      </c>
      <c r="AO234" s="21">
        <f>IFERROR(S234/P234,"")</f>
        <v/>
      </c>
      <c r="AP234" s="22">
        <f>IF(Y234="","",P234/Y234)</f>
        <v/>
      </c>
      <c r="AQ234" s="39">
        <f>IF(Y234="",0,1)</f>
        <v/>
      </c>
      <c r="AR234" s="39">
        <f>IF(S234&lt;=0,1,0)</f>
        <v/>
      </c>
      <c r="AS234" s="17">
        <f>IF(AH234=1,AG234,"")</f>
        <v/>
      </c>
      <c r="AT234" s="17">
        <f>IF(AND(AH234=0,AJ234=1),AG234,"")</f>
        <v/>
      </c>
      <c r="AU234" s="5">
        <f>IF(P234&lt;10000,"Under $10K",IF(P234&lt;20000,"$10-20K",IF(P234&lt;30000,"$20-30K",IF(P234&lt;50000,"$30-50K",IF(P234&lt;100000,"$50-100K","$100K+")))))</f>
        <v/>
      </c>
      <c r="AV234" s="5">
        <f>IF(O234&lt;=1.35,"1.35 and under",IF(O234&lt;=1.42,"1.36-1.42",IF(O234&lt;=1.45,"1.43-1.45",IF(O234&lt;1.49,"1.46-1.48",IF(O234&lt;=1.49,"1.49","Above 1.49")))))</f>
        <v/>
      </c>
      <c r="AW234" s="5">
        <f>IF(AE234="","",IF(AE234&lt;60,"Under 60",IF(AE234&lt;90,"60-89",IF(AE234&lt;120,"90-119",IF(AE234&lt;150,"120-149","150+")))))</f>
        <v/>
      </c>
      <c r="AX234" s="5">
        <f>IF(AP234="","No revenue data",IF(AP234&lt;0.15,"Under 0.15x",IF(AP234&lt;0.3,"0.15-0.30x",IF(AP234&lt;0.5,"0.30-0.50x",IF(AP234&lt;1,"0.50-1.00x","1.00x+")))))</f>
        <v/>
      </c>
      <c r="AY234" s="5">
        <f>IF(J234="","No SIC",IFERROR(VLOOKUP(J234,Ref!$A$4:$C$67,2,FALSE()),"Unclassified"))</f>
        <v/>
      </c>
      <c r="AZ234" s="5">
        <f>IF(E234="","",TEXT(E234,"YYYY")&amp;"-Q"&amp;ROUNDUP(MONTH(E234)/3,0))</f>
        <v/>
      </c>
      <c r="BA234" s="5">
        <f>IF(E234="","",TEXT(E234,"YYYY-MM"))</f>
        <v/>
      </c>
      <c r="BB234" s="5">
        <f>IF(E234="","",TEXT(E234,"YYYY"))</f>
        <v/>
      </c>
      <c r="BC234" s="92">
        <f>IF($E234="","",NETWORKDAYS($E234,Controls!$B$9,Ref!$F$4:$F$47))</f>
        <v/>
      </c>
      <c r="BD234" s="92">
        <f>IF(OR($AH234=1,$AJ234=1),1,0)</f>
        <v/>
      </c>
      <c r="BE234" s="95">
        <f>IF(OR($BD234=1,AND($AE234&lt;&gt;"",$BC234&gt;=Controls!$B$10*$AE234)),1,0)</f>
        <v/>
      </c>
    </row>
    <row r="235" ht="15.75" customHeight="1" s="79">
      <c r="A235" s="5" t="inlineStr">
        <is>
          <t>5674165622</t>
        </is>
      </c>
      <c r="B235" s="5" t="inlineStr">
        <is>
          <t>JACKS PEST MGMT LLC</t>
        </is>
      </c>
      <c r="C235" s="5" t="inlineStr">
        <is>
          <t>JACKS PEST MGMT LLC</t>
        </is>
      </c>
      <c r="D235" s="5" t="inlineStr">
        <is>
          <t>Closed</t>
        </is>
      </c>
      <c r="E235" s="16" t="n">
        <v>45904</v>
      </c>
      <c r="F235" s="16" t="n">
        <v>46014</v>
      </c>
      <c r="G235" s="17" t="n">
        <v>3</v>
      </c>
      <c r="H235" s="5" t="inlineStr">
        <is>
          <t>7342</t>
        </is>
      </c>
      <c r="I235" s="5" t="inlineStr">
        <is>
          <t>Exterminating and Pest Control Services</t>
        </is>
      </c>
      <c r="J235" s="5" t="inlineStr">
        <is>
          <t>73</t>
        </is>
      </c>
      <c r="K235" s="5" t="n">
        <v>7342</v>
      </c>
      <c r="L235" s="5" t="inlineStr">
        <is>
          <t>MO</t>
        </is>
      </c>
      <c r="M235" s="5" t="inlineStr">
        <is>
          <t>Samson Funding</t>
        </is>
      </c>
      <c r="N235" s="5" t="inlineStr">
        <is>
          <t>Renewal</t>
        </is>
      </c>
      <c r="O235" s="19" t="n">
        <v>1.499</v>
      </c>
      <c r="P235" s="20" t="n">
        <v>7500</v>
      </c>
      <c r="Q235" s="20" t="n">
        <v>1050</v>
      </c>
      <c r="R235" s="20" t="n">
        <v>11242.5</v>
      </c>
      <c r="S235" s="20" t="n">
        <v>11242.5</v>
      </c>
      <c r="T235" s="20" t="n">
        <v>0</v>
      </c>
      <c r="U235" s="21" t="n">
        <v>1</v>
      </c>
      <c r="V235" s="22" t="n">
        <v>3.607</v>
      </c>
      <c r="W235" s="17" t="n">
        <v>239</v>
      </c>
      <c r="X235" s="17" t="n">
        <v>0</v>
      </c>
      <c r="Y235" s="20" t="n">
        <v>10878.25</v>
      </c>
      <c r="Z235" s="21" t="n">
        <v>0.1973</v>
      </c>
      <c r="AA235" s="16" t="n">
        <v>45280</v>
      </c>
      <c r="AB235" s="5">
        <f>IF(V235="","",IF(V235&lt;12,"Months","Weeks"))</f>
        <v/>
      </c>
      <c r="AC235" s="5">
        <f>IF(AB235="","",IF(AB235="Months","Daily","Weekly"))</f>
        <v/>
      </c>
      <c r="AD235" s="17">
        <f>IF(V235="","",IF(AC235="Daily",V235*Controls!$B$13,V235))</f>
        <v/>
      </c>
      <c r="AE235" s="17">
        <f>IF(V235="","",IF(AC235="Daily",V235*Controls!$B$13,V235*Controls!$B$12))</f>
        <v/>
      </c>
      <c r="AF235" s="17">
        <f>IF(OR(E235="",F235=""),"",F235-E235)</f>
        <v/>
      </c>
      <c r="AG235" s="17">
        <f>IF(OR(E235="",F235=""),"",NETWORKDAYS(E235,F235,Ref!$F$4:$F$47))</f>
        <v/>
      </c>
      <c r="AH235" s="39">
        <f>IF(IFERROR(VLOOKUP(D235,Controls!$A$25:$D$35,2,FALSE()),"No")="Yes",1,0)</f>
        <v/>
      </c>
      <c r="AI235" s="39">
        <f>IF(IFERROR(VLOOKUP(D235,Controls!$A$25:$D$35,3,FALSE()),"No")="Yes",1,0)</f>
        <v/>
      </c>
      <c r="AJ235" s="39">
        <f>IF(IFERROR(VLOOKUP(D235,Controls!$A$25:$D$35,4,FALSE()),"No")="Yes",1,0)</f>
        <v/>
      </c>
      <c r="AK235" s="96">
        <f>IF(AND($E235&gt;=Controls!$B$5,$E235&lt;=Controls!$B$6,OR(Controls!$E$9&lt;&gt;"Y",$BE235=1)),1,0)</f>
        <v/>
      </c>
      <c r="AL235" s="39">
        <f>1</f>
        <v/>
      </c>
      <c r="AM235" s="20">
        <f>S235-P235</f>
        <v/>
      </c>
      <c r="AN235" s="20">
        <f>IF(AH235=1,MAX(0,P235-S235),0)</f>
        <v/>
      </c>
      <c r="AO235" s="21">
        <f>IFERROR(S235/P235,"")</f>
        <v/>
      </c>
      <c r="AP235" s="22">
        <f>IF(Y235="","",P235/Y235)</f>
        <v/>
      </c>
      <c r="AQ235" s="39">
        <f>IF(Y235="",0,1)</f>
        <v/>
      </c>
      <c r="AR235" s="39">
        <f>IF(S235&lt;=0,1,0)</f>
        <v/>
      </c>
      <c r="AS235" s="17">
        <f>IF(AH235=1,AG235,"")</f>
        <v/>
      </c>
      <c r="AT235" s="17">
        <f>IF(AND(AH235=0,AJ235=1),AG235,"")</f>
        <v/>
      </c>
      <c r="AU235" s="5">
        <f>IF(P235&lt;10000,"Under $10K",IF(P235&lt;20000,"$10-20K",IF(P235&lt;30000,"$20-30K",IF(P235&lt;50000,"$30-50K",IF(P235&lt;100000,"$50-100K","$100K+")))))</f>
        <v/>
      </c>
      <c r="AV235" s="5">
        <f>IF(O235&lt;=1.35,"1.35 and under",IF(O235&lt;=1.42,"1.36-1.42",IF(O235&lt;=1.45,"1.43-1.45",IF(O235&lt;1.49,"1.46-1.48",IF(O235&lt;=1.49,"1.49","Above 1.49")))))</f>
        <v/>
      </c>
      <c r="AW235" s="5">
        <f>IF(AE235="","",IF(AE235&lt;60,"Under 60",IF(AE235&lt;90,"60-89",IF(AE235&lt;120,"90-119",IF(AE235&lt;150,"120-149","150+")))))</f>
        <v/>
      </c>
      <c r="AX235" s="5">
        <f>IF(AP235="","No revenue data",IF(AP235&lt;0.15,"Under 0.15x",IF(AP235&lt;0.3,"0.15-0.30x",IF(AP235&lt;0.5,"0.30-0.50x",IF(AP235&lt;1,"0.50-1.00x","1.00x+")))))</f>
        <v/>
      </c>
      <c r="AY235" s="5">
        <f>IF(J235="","No SIC",IFERROR(VLOOKUP(J235,Ref!$A$4:$C$67,2,FALSE()),"Unclassified"))</f>
        <v/>
      </c>
      <c r="AZ235" s="5">
        <f>IF(E235="","",TEXT(E235,"YYYY")&amp;"-Q"&amp;ROUNDUP(MONTH(E235)/3,0))</f>
        <v/>
      </c>
      <c r="BA235" s="5">
        <f>IF(E235="","",TEXT(E235,"YYYY-MM"))</f>
        <v/>
      </c>
      <c r="BB235" s="5">
        <f>IF(E235="","",TEXT(E235,"YYYY"))</f>
        <v/>
      </c>
      <c r="BC235" s="92">
        <f>IF($E235="","",NETWORKDAYS($E235,Controls!$B$9,Ref!$F$4:$F$47))</f>
        <v/>
      </c>
      <c r="BD235" s="92">
        <f>IF(OR($AH235=1,$AJ235=1),1,0)</f>
        <v/>
      </c>
      <c r="BE235" s="95">
        <f>IF(OR($BD235=1,AND($AE235&lt;&gt;"",$BC235&gt;=Controls!$B$10*$AE235)),1,0)</f>
        <v/>
      </c>
    </row>
    <row r="236" ht="15.75" customHeight="1" s="79">
      <c r="A236" s="5" t="inlineStr">
        <is>
          <t>5674165708</t>
        </is>
      </c>
      <c r="B236" s="5" t="inlineStr">
        <is>
          <t>KCGLLC</t>
        </is>
      </c>
      <c r="C236" s="5" t="inlineStr">
        <is>
          <t>KCG LLC</t>
        </is>
      </c>
      <c r="D236" s="5" t="inlineStr">
        <is>
          <t>Legal</t>
        </is>
      </c>
      <c r="E236" s="16" t="n">
        <v>45905</v>
      </c>
      <c r="F236" s="16" t="n">
        <v>45958</v>
      </c>
      <c r="G236" s="17" t="n">
        <v>3</v>
      </c>
      <c r="H236" s="5" t="inlineStr">
        <is>
          <t>1521</t>
        </is>
      </c>
      <c r="I236" s="5" t="inlineStr">
        <is>
          <t>New Single-Family Housing Construction (Except For-Sale Builders)</t>
        </is>
      </c>
      <c r="J236" s="5" t="inlineStr">
        <is>
          <t>15</t>
        </is>
      </c>
      <c r="K236" s="5" t="n">
        <v>1520</v>
      </c>
      <c r="L236" s="5" t="inlineStr">
        <is>
          <t>NC</t>
        </is>
      </c>
      <c r="M236" s="5" t="inlineStr">
        <is>
          <t>Elite Advance 5</t>
        </is>
      </c>
      <c r="N236" s="5" t="inlineStr">
        <is>
          <t>Renewal</t>
        </is>
      </c>
      <c r="O236" s="19" t="n">
        <v>1.499</v>
      </c>
      <c r="P236" s="20" t="n">
        <v>20000</v>
      </c>
      <c r="Q236" s="20" t="n">
        <v>2800</v>
      </c>
      <c r="R236" s="20" t="n">
        <v>29980</v>
      </c>
      <c r="S236" s="20" t="n">
        <v>10079.75</v>
      </c>
      <c r="T236" s="20" t="n">
        <v>19900.25</v>
      </c>
      <c r="U236" s="21" t="n">
        <v>0.33621581054036</v>
      </c>
      <c r="V236" s="22" t="n">
        <v>2.951</v>
      </c>
      <c r="W236" s="17" t="n">
        <v>301</v>
      </c>
      <c r="X236" s="17" t="n">
        <v>8</v>
      </c>
      <c r="Y236" s="20" t="n">
        <v>198137.58</v>
      </c>
      <c r="Z236" s="21" t="n">
        <v>0.0551</v>
      </c>
      <c r="AA236" s="5" t="n"/>
      <c r="AB236" s="5">
        <f>IF(V236="","",IF(V236&lt;12,"Months","Weeks"))</f>
        <v/>
      </c>
      <c r="AC236" s="5">
        <f>IF(AB236="","",IF(AB236="Months","Daily","Weekly"))</f>
        <v/>
      </c>
      <c r="AD236" s="17">
        <f>IF(V236="","",IF(AC236="Daily",V236*Controls!$B$13,V236))</f>
        <v/>
      </c>
      <c r="AE236" s="17">
        <f>IF(V236="","",IF(AC236="Daily",V236*Controls!$B$13,V236*Controls!$B$12))</f>
        <v/>
      </c>
      <c r="AF236" s="17">
        <f>IF(OR(E236="",F236=""),"",F236-E236)</f>
        <v/>
      </c>
      <c r="AG236" s="17">
        <f>IF(OR(E236="",F236=""),"",NETWORKDAYS(E236,F236,Ref!$F$4:$F$47))</f>
        <v/>
      </c>
      <c r="AH236" s="39">
        <f>IF(IFERROR(VLOOKUP(D236,Controls!$A$25:$D$35,2,FALSE()),"No")="Yes",1,0)</f>
        <v/>
      </c>
      <c r="AI236" s="39">
        <f>IF(IFERROR(VLOOKUP(D236,Controls!$A$25:$D$35,3,FALSE()),"No")="Yes",1,0)</f>
        <v/>
      </c>
      <c r="AJ236" s="39">
        <f>IF(IFERROR(VLOOKUP(D236,Controls!$A$25:$D$35,4,FALSE()),"No")="Yes",1,0)</f>
        <v/>
      </c>
      <c r="AK236" s="96">
        <f>IF(AND($E236&gt;=Controls!$B$5,$E236&lt;=Controls!$B$6,OR(Controls!$E$9&lt;&gt;"Y",$BE236=1)),1,0)</f>
        <v/>
      </c>
      <c r="AL236" s="39">
        <f>1</f>
        <v/>
      </c>
      <c r="AM236" s="20">
        <f>S236-P236</f>
        <v/>
      </c>
      <c r="AN236" s="20">
        <f>IF(AH236=1,MAX(0,P236-S236),0)</f>
        <v/>
      </c>
      <c r="AO236" s="21">
        <f>IFERROR(S236/P236,"")</f>
        <v/>
      </c>
      <c r="AP236" s="22">
        <f>IF(Y236="","",P236/Y236)</f>
        <v/>
      </c>
      <c r="AQ236" s="39">
        <f>IF(Y236="",0,1)</f>
        <v/>
      </c>
      <c r="AR236" s="39">
        <f>IF(S236&lt;=0,1,0)</f>
        <v/>
      </c>
      <c r="AS236" s="17">
        <f>IF(AH236=1,AG236,"")</f>
        <v/>
      </c>
      <c r="AT236" s="17">
        <f>IF(AND(AH236=0,AJ236=1),AG236,"")</f>
        <v/>
      </c>
      <c r="AU236" s="5">
        <f>IF(P236&lt;10000,"Under $10K",IF(P236&lt;20000,"$10-20K",IF(P236&lt;30000,"$20-30K",IF(P236&lt;50000,"$30-50K",IF(P236&lt;100000,"$50-100K","$100K+")))))</f>
        <v/>
      </c>
      <c r="AV236" s="5">
        <f>IF(O236&lt;=1.35,"1.35 and under",IF(O236&lt;=1.42,"1.36-1.42",IF(O236&lt;=1.45,"1.43-1.45",IF(O236&lt;1.49,"1.46-1.48",IF(O236&lt;=1.49,"1.49","Above 1.49")))))</f>
        <v/>
      </c>
      <c r="AW236" s="5">
        <f>IF(AE236="","",IF(AE236&lt;60,"Under 60",IF(AE236&lt;90,"60-89",IF(AE236&lt;120,"90-119",IF(AE236&lt;150,"120-149","150+")))))</f>
        <v/>
      </c>
      <c r="AX236" s="5">
        <f>IF(AP236="","No revenue data",IF(AP236&lt;0.15,"Under 0.15x",IF(AP236&lt;0.3,"0.15-0.30x",IF(AP236&lt;0.5,"0.30-0.50x",IF(AP236&lt;1,"0.50-1.00x","1.00x+")))))</f>
        <v/>
      </c>
      <c r="AY236" s="5">
        <f>IF(J236="","No SIC",IFERROR(VLOOKUP(J236,Ref!$A$4:$C$67,2,FALSE()),"Unclassified"))</f>
        <v/>
      </c>
      <c r="AZ236" s="5">
        <f>IF(E236="","",TEXT(E236,"YYYY")&amp;"-Q"&amp;ROUNDUP(MONTH(E236)/3,0))</f>
        <v/>
      </c>
      <c r="BA236" s="5">
        <f>IF(E236="","",TEXT(E236,"YYYY-MM"))</f>
        <v/>
      </c>
      <c r="BB236" s="5">
        <f>IF(E236="","",TEXT(E236,"YYYY"))</f>
        <v/>
      </c>
      <c r="BC236" s="92">
        <f>IF($E236="","",NETWORKDAYS($E236,Controls!$B$9,Ref!$F$4:$F$47))</f>
        <v/>
      </c>
      <c r="BD236" s="92">
        <f>IF(OR($AH236=1,$AJ236=1),1,0)</f>
        <v/>
      </c>
      <c r="BE236" s="95">
        <f>IF(OR($BD236=1,AND($AE236&lt;&gt;"",$BC236&gt;=Controls!$B$10*$AE236)),1,0)</f>
        <v/>
      </c>
    </row>
    <row r="237" ht="15.75" customHeight="1" s="79">
      <c r="A237" s="5" t="inlineStr">
        <is>
          <t>5674165723</t>
        </is>
      </c>
      <c r="B237" s="5" t="inlineStr">
        <is>
          <t>BENZ MANAGEMENT INC</t>
        </is>
      </c>
      <c r="C237" s="5" t="inlineStr">
        <is>
          <t>BENZ MANAGEMENT INC</t>
        </is>
      </c>
      <c r="D237" s="5" t="inlineStr">
        <is>
          <t>Legal</t>
        </is>
      </c>
      <c r="E237" s="16" t="n">
        <v>45905</v>
      </c>
      <c r="F237" s="16" t="n">
        <v>45936</v>
      </c>
      <c r="G237" s="17" t="n">
        <v>3</v>
      </c>
      <c r="H237" s="5" t="inlineStr">
        <is>
          <t>6531</t>
        </is>
      </c>
      <c r="I237" s="5" t="inlineStr">
        <is>
          <t>Residential Property Managers</t>
        </is>
      </c>
      <c r="J237" s="5" t="inlineStr">
        <is>
          <t>65</t>
        </is>
      </c>
      <c r="K237" s="5" t="n">
        <v>6513</v>
      </c>
      <c r="L237" s="5" t="inlineStr">
        <is>
          <t>No state</t>
        </is>
      </c>
      <c r="M237" s="5" t="inlineStr">
        <is>
          <t>United Secured Capital 8</t>
        </is>
      </c>
      <c r="N237" s="5" t="inlineStr">
        <is>
          <t>New Deal</t>
        </is>
      </c>
      <c r="O237" s="19" t="n">
        <v>1.49</v>
      </c>
      <c r="P237" s="20" t="n">
        <v>8000</v>
      </c>
      <c r="Q237" s="20" t="n">
        <v>1120</v>
      </c>
      <c r="R237" s="20" t="n">
        <v>11920</v>
      </c>
      <c r="S237" s="20" t="n">
        <v>2682</v>
      </c>
      <c r="T237" s="20" t="n">
        <v>9238</v>
      </c>
      <c r="U237" s="21" t="n">
        <v>0.225</v>
      </c>
      <c r="V237" s="22" t="n">
        <v>2.623</v>
      </c>
      <c r="W237" s="17" t="n">
        <v>323</v>
      </c>
      <c r="X237" s="17" t="n">
        <v>4</v>
      </c>
      <c r="Y237" s="5" t="n"/>
      <c r="Z237" s="21" t="n">
        <v>0.0149</v>
      </c>
      <c r="AA237" s="16" t="n">
        <v>45905</v>
      </c>
      <c r="AB237" s="5">
        <f>IF(V237="","",IF(V237&lt;12,"Months","Weeks"))</f>
        <v/>
      </c>
      <c r="AC237" s="5">
        <f>IF(AB237="","",IF(AB237="Months","Daily","Weekly"))</f>
        <v/>
      </c>
      <c r="AD237" s="17">
        <f>IF(V237="","",IF(AC237="Daily",V237*Controls!$B$13,V237))</f>
        <v/>
      </c>
      <c r="AE237" s="17">
        <f>IF(V237="","",IF(AC237="Daily",V237*Controls!$B$13,V237*Controls!$B$12))</f>
        <v/>
      </c>
      <c r="AF237" s="17">
        <f>IF(OR(E237="",F237=""),"",F237-E237)</f>
        <v/>
      </c>
      <c r="AG237" s="17">
        <f>IF(OR(E237="",F237=""),"",NETWORKDAYS(E237,F237,Ref!$F$4:$F$47))</f>
        <v/>
      </c>
      <c r="AH237" s="39">
        <f>IF(IFERROR(VLOOKUP(D237,Controls!$A$25:$D$35,2,FALSE()),"No")="Yes",1,0)</f>
        <v/>
      </c>
      <c r="AI237" s="39">
        <f>IF(IFERROR(VLOOKUP(D237,Controls!$A$25:$D$35,3,FALSE()),"No")="Yes",1,0)</f>
        <v/>
      </c>
      <c r="AJ237" s="39">
        <f>IF(IFERROR(VLOOKUP(D237,Controls!$A$25:$D$35,4,FALSE()),"No")="Yes",1,0)</f>
        <v/>
      </c>
      <c r="AK237" s="96">
        <f>IF(AND($E237&gt;=Controls!$B$5,$E237&lt;=Controls!$B$6,OR(Controls!$E$9&lt;&gt;"Y",$BE237=1)),1,0)</f>
        <v/>
      </c>
      <c r="AL237" s="39">
        <f>1</f>
        <v/>
      </c>
      <c r="AM237" s="20">
        <f>S237-P237</f>
        <v/>
      </c>
      <c r="AN237" s="20">
        <f>IF(AH237=1,MAX(0,P237-S237),0)</f>
        <v/>
      </c>
      <c r="AO237" s="21">
        <f>IFERROR(S237/P237,"")</f>
        <v/>
      </c>
      <c r="AP237" s="22">
        <f>IF(Y237="","",P237/Y237)</f>
        <v/>
      </c>
      <c r="AQ237" s="39">
        <f>IF(Y237="",0,1)</f>
        <v/>
      </c>
      <c r="AR237" s="39">
        <f>IF(S237&lt;=0,1,0)</f>
        <v/>
      </c>
      <c r="AS237" s="17">
        <f>IF(AH237=1,AG237,"")</f>
        <v/>
      </c>
      <c r="AT237" s="17">
        <f>IF(AND(AH237=0,AJ237=1),AG237,"")</f>
        <v/>
      </c>
      <c r="AU237" s="5">
        <f>IF(P237&lt;10000,"Under $10K",IF(P237&lt;20000,"$10-20K",IF(P237&lt;30000,"$20-30K",IF(P237&lt;50000,"$30-50K",IF(P237&lt;100000,"$50-100K","$100K+")))))</f>
        <v/>
      </c>
      <c r="AV237" s="5">
        <f>IF(O237&lt;=1.35,"1.35 and under",IF(O237&lt;=1.42,"1.36-1.42",IF(O237&lt;=1.45,"1.43-1.45",IF(O237&lt;1.49,"1.46-1.48",IF(O237&lt;=1.49,"1.49","Above 1.49")))))</f>
        <v/>
      </c>
      <c r="AW237" s="5">
        <f>IF(AE237="","",IF(AE237&lt;60,"Under 60",IF(AE237&lt;90,"60-89",IF(AE237&lt;120,"90-119",IF(AE237&lt;150,"120-149","150+")))))</f>
        <v/>
      </c>
      <c r="AX237" s="5">
        <f>IF(AP237="","No revenue data",IF(AP237&lt;0.15,"Under 0.15x",IF(AP237&lt;0.3,"0.15-0.30x",IF(AP237&lt;0.5,"0.30-0.50x",IF(AP237&lt;1,"0.50-1.00x","1.00x+")))))</f>
        <v/>
      </c>
      <c r="AY237" s="5">
        <f>IF(J237="","No SIC",IFERROR(VLOOKUP(J237,Ref!$A$4:$C$67,2,FALSE()),"Unclassified"))</f>
        <v/>
      </c>
      <c r="AZ237" s="5">
        <f>IF(E237="","",TEXT(E237,"YYYY")&amp;"-Q"&amp;ROUNDUP(MONTH(E237)/3,0))</f>
        <v/>
      </c>
      <c r="BA237" s="5">
        <f>IF(E237="","",TEXT(E237,"YYYY-MM"))</f>
        <v/>
      </c>
      <c r="BB237" s="5">
        <f>IF(E237="","",TEXT(E237,"YYYY"))</f>
        <v/>
      </c>
      <c r="BC237" s="92">
        <f>IF($E237="","",NETWORKDAYS($E237,Controls!$B$9,Ref!$F$4:$F$47))</f>
        <v/>
      </c>
      <c r="BD237" s="92">
        <f>IF(OR($AH237=1,$AJ237=1),1,0)</f>
        <v/>
      </c>
      <c r="BE237" s="95">
        <f>IF(OR($BD237=1,AND($AE237&lt;&gt;"",$BC237&gt;=Controls!$B$10*$AE237)),1,0)</f>
        <v/>
      </c>
    </row>
    <row r="238" ht="15.75" customHeight="1" s="79">
      <c r="A238" s="5" t="inlineStr">
        <is>
          <t>5674165729</t>
        </is>
      </c>
      <c r="B238" s="71" t="inlineStr">
        <is>
          <t>﻿TRIPLE D FINANCIAL INC</t>
        </is>
      </c>
      <c r="C238" s="71" t="inlineStr">
        <is>
          <t>﻿TRIPLE D FINANCIAL INC</t>
        </is>
      </c>
      <c r="D238" s="5" t="inlineStr">
        <is>
          <t>Closed</t>
        </is>
      </c>
      <c r="E238" s="16" t="n">
        <v>45905</v>
      </c>
      <c r="F238" s="16" t="n">
        <v>46007</v>
      </c>
      <c r="G238" s="17" t="n">
        <v>4</v>
      </c>
      <c r="H238" s="5" t="inlineStr">
        <is>
          <t>7291</t>
        </is>
      </c>
      <c r="I238" s="5" t="inlineStr">
        <is>
          <t>Tax Preparation Services</t>
        </is>
      </c>
      <c r="J238" s="5" t="inlineStr">
        <is>
          <t>72</t>
        </is>
      </c>
      <c r="K238" s="5" t="n">
        <v>7276</v>
      </c>
      <c r="L238" s="5" t="inlineStr">
        <is>
          <t>No state</t>
        </is>
      </c>
      <c r="M238" s="5" t="inlineStr">
        <is>
          <t>Fundwell</t>
        </is>
      </c>
      <c r="N238" s="5" t="inlineStr">
        <is>
          <t>New Deal</t>
        </is>
      </c>
      <c r="O238" s="19" t="n">
        <v>1.42</v>
      </c>
      <c r="P238" s="20" t="n">
        <v>21126</v>
      </c>
      <c r="Q238" s="20" t="n">
        <v>2957.64</v>
      </c>
      <c r="R238" s="20" t="n">
        <v>29998.92</v>
      </c>
      <c r="S238" s="20" t="n">
        <v>29998.92</v>
      </c>
      <c r="T238" s="20" t="n">
        <v>0</v>
      </c>
      <c r="U238" s="21" t="n">
        <v>1</v>
      </c>
      <c r="V238" s="22" t="n">
        <v>3.934</v>
      </c>
      <c r="W238" s="17" t="n">
        <v>246</v>
      </c>
      <c r="X238" s="17" t="n">
        <v>0</v>
      </c>
      <c r="Y238" s="5" t="n"/>
      <c r="Z238" s="5" t="n"/>
      <c r="AA238" s="16" t="n">
        <v>44490</v>
      </c>
      <c r="AB238" s="5">
        <f>IF(V238="","",IF(V238&lt;12,"Months","Weeks"))</f>
        <v/>
      </c>
      <c r="AC238" s="5">
        <f>IF(AB238="","",IF(AB238="Months","Daily","Weekly"))</f>
        <v/>
      </c>
      <c r="AD238" s="17">
        <f>IF(V238="","",IF(AC238="Daily",V238*Controls!$B$13,V238))</f>
        <v/>
      </c>
      <c r="AE238" s="17">
        <f>IF(V238="","",IF(AC238="Daily",V238*Controls!$B$13,V238*Controls!$B$12))</f>
        <v/>
      </c>
      <c r="AF238" s="17">
        <f>IF(OR(E238="",F238=""),"",F238-E238)</f>
        <v/>
      </c>
      <c r="AG238" s="17">
        <f>IF(OR(E238="",F238=""),"",NETWORKDAYS(E238,F238,Ref!$F$4:$F$47))</f>
        <v/>
      </c>
      <c r="AH238" s="39">
        <f>IF(IFERROR(VLOOKUP(D238,Controls!$A$25:$D$35,2,FALSE()),"No")="Yes",1,0)</f>
        <v/>
      </c>
      <c r="AI238" s="39">
        <f>IF(IFERROR(VLOOKUP(D238,Controls!$A$25:$D$35,3,FALSE()),"No")="Yes",1,0)</f>
        <v/>
      </c>
      <c r="AJ238" s="39">
        <f>IF(IFERROR(VLOOKUP(D238,Controls!$A$25:$D$35,4,FALSE()),"No")="Yes",1,0)</f>
        <v/>
      </c>
      <c r="AK238" s="96">
        <f>IF(AND($E238&gt;=Controls!$B$5,$E238&lt;=Controls!$B$6,OR(Controls!$E$9&lt;&gt;"Y",$BE238=1)),1,0)</f>
        <v/>
      </c>
      <c r="AL238" s="39">
        <f>1</f>
        <v/>
      </c>
      <c r="AM238" s="20">
        <f>S238-P238</f>
        <v/>
      </c>
      <c r="AN238" s="20">
        <f>IF(AH238=1,MAX(0,P238-S238),0)</f>
        <v/>
      </c>
      <c r="AO238" s="21">
        <f>IFERROR(S238/P238,"")</f>
        <v/>
      </c>
      <c r="AP238" s="22">
        <f>IF(Y238="","",P238/Y238)</f>
        <v/>
      </c>
      <c r="AQ238" s="39">
        <f>IF(Y238="",0,1)</f>
        <v/>
      </c>
      <c r="AR238" s="39">
        <f>IF(S238&lt;=0,1,0)</f>
        <v/>
      </c>
      <c r="AS238" s="17">
        <f>IF(AH238=1,AG238,"")</f>
        <v/>
      </c>
      <c r="AT238" s="17">
        <f>IF(AND(AH238=0,AJ238=1),AG238,"")</f>
        <v/>
      </c>
      <c r="AU238" s="5">
        <f>IF(P238&lt;10000,"Under $10K",IF(P238&lt;20000,"$10-20K",IF(P238&lt;30000,"$20-30K",IF(P238&lt;50000,"$30-50K",IF(P238&lt;100000,"$50-100K","$100K+")))))</f>
        <v/>
      </c>
      <c r="AV238" s="5">
        <f>IF(O238&lt;=1.35,"1.35 and under",IF(O238&lt;=1.42,"1.36-1.42",IF(O238&lt;=1.45,"1.43-1.45",IF(O238&lt;1.49,"1.46-1.48",IF(O238&lt;=1.49,"1.49","Above 1.49")))))</f>
        <v/>
      </c>
      <c r="AW238" s="5">
        <f>IF(AE238="","",IF(AE238&lt;60,"Under 60",IF(AE238&lt;90,"60-89",IF(AE238&lt;120,"90-119",IF(AE238&lt;150,"120-149","150+")))))</f>
        <v/>
      </c>
      <c r="AX238" s="5">
        <f>IF(AP238="","No revenue data",IF(AP238&lt;0.15,"Under 0.15x",IF(AP238&lt;0.3,"0.15-0.30x",IF(AP238&lt;0.5,"0.30-0.50x",IF(AP238&lt;1,"0.50-1.00x","1.00x+")))))</f>
        <v/>
      </c>
      <c r="AY238" s="5">
        <f>IF(J238="","No SIC",IFERROR(VLOOKUP(J238,Ref!$A$4:$C$67,2,FALSE()),"Unclassified"))</f>
        <v/>
      </c>
      <c r="AZ238" s="5">
        <f>IF(E238="","",TEXT(E238,"YYYY")&amp;"-Q"&amp;ROUNDUP(MONTH(E238)/3,0))</f>
        <v/>
      </c>
      <c r="BA238" s="5">
        <f>IF(E238="","",TEXT(E238,"YYYY-MM"))</f>
        <v/>
      </c>
      <c r="BB238" s="5">
        <f>IF(E238="","",TEXT(E238,"YYYY"))</f>
        <v/>
      </c>
      <c r="BC238" s="92">
        <f>IF($E238="","",NETWORKDAYS($E238,Controls!$B$9,Ref!$F$4:$F$47))</f>
        <v/>
      </c>
      <c r="BD238" s="92">
        <f>IF(OR($AH238=1,$AJ238=1),1,0)</f>
        <v/>
      </c>
      <c r="BE238" s="95">
        <f>IF(OR($BD238=1,AND($AE238&lt;&gt;"",$BC238&gt;=Controls!$B$10*$AE238)),1,0)</f>
        <v/>
      </c>
    </row>
    <row r="239" ht="15.75" customHeight="1" s="79">
      <c r="A239" s="5" t="inlineStr">
        <is>
          <t>5674165739</t>
        </is>
      </c>
      <c r="B239" s="5" t="inlineStr">
        <is>
          <t>Az deck pros</t>
        </is>
      </c>
      <c r="C239" s="5" t="inlineStr">
        <is>
          <t>AZ COOL DECK LLC</t>
        </is>
      </c>
      <c r="D239" s="5" t="inlineStr">
        <is>
          <t>Closed</t>
        </is>
      </c>
      <c r="E239" s="16" t="n">
        <v>45905</v>
      </c>
      <c r="F239" s="16" t="n">
        <v>45929</v>
      </c>
      <c r="G239" s="17" t="n">
        <v>1</v>
      </c>
      <c r="H239" s="5" t="inlineStr">
        <is>
          <t>1521</t>
        </is>
      </c>
      <c r="I239" s="5" t="inlineStr">
        <is>
          <t>New Single-Family Housing Construction (Except For-Sale Builders)</t>
        </is>
      </c>
      <c r="J239" s="5" t="inlineStr">
        <is>
          <t>15</t>
        </is>
      </c>
      <c r="K239" s="5" t="n">
        <v>1520</v>
      </c>
      <c r="L239" s="5" t="inlineStr">
        <is>
          <t>AZ</t>
        </is>
      </c>
      <c r="M239" s="5" t="inlineStr">
        <is>
          <t>Go Ai Ez LLC Dba:Gova Funding</t>
        </is>
      </c>
      <c r="N239" s="5" t="inlineStr">
        <is>
          <t>New Deal</t>
        </is>
      </c>
      <c r="O239" s="19" t="n">
        <v>1.30835</v>
      </c>
      <c r="P239" s="20" t="n">
        <v>15000</v>
      </c>
      <c r="Q239" s="20" t="n">
        <v>1200</v>
      </c>
      <c r="R239" s="20" t="n">
        <v>19625.25</v>
      </c>
      <c r="S239" s="20" t="n">
        <v>19625.25</v>
      </c>
      <c r="T239" s="20" t="n">
        <v>0</v>
      </c>
      <c r="U239" s="21" t="n">
        <v>1</v>
      </c>
      <c r="V239" s="22" t="n">
        <v>20</v>
      </c>
      <c r="W239" s="17" t="n">
        <v>324</v>
      </c>
      <c r="X239" s="17" t="n">
        <v>1</v>
      </c>
      <c r="Y239" s="20" t="n">
        <v>45000</v>
      </c>
      <c r="Z239" s="21" t="n">
        <v>0.0548</v>
      </c>
      <c r="AA239" s="16" t="n">
        <v>45505</v>
      </c>
      <c r="AB239" s="5">
        <f>IF(V239="","",IF(V239&lt;12,"Months","Weeks"))</f>
        <v/>
      </c>
      <c r="AC239" s="5">
        <f>IF(AB239="","",IF(AB239="Months","Daily","Weekly"))</f>
        <v/>
      </c>
      <c r="AD239" s="17">
        <f>IF(V239="","",IF(AC239="Daily",V239*Controls!$B$13,V239))</f>
        <v/>
      </c>
      <c r="AE239" s="17">
        <f>IF(V239="","",IF(AC239="Daily",V239*Controls!$B$13,V239*Controls!$B$12))</f>
        <v/>
      </c>
      <c r="AF239" s="17">
        <f>IF(OR(E239="",F239=""),"",F239-E239)</f>
        <v/>
      </c>
      <c r="AG239" s="17">
        <f>IF(OR(E239="",F239=""),"",NETWORKDAYS(E239,F239,Ref!$F$4:$F$47))</f>
        <v/>
      </c>
      <c r="AH239" s="39">
        <f>IF(IFERROR(VLOOKUP(D239,Controls!$A$25:$D$35,2,FALSE()),"No")="Yes",1,0)</f>
        <v/>
      </c>
      <c r="AI239" s="39">
        <f>IF(IFERROR(VLOOKUP(D239,Controls!$A$25:$D$35,3,FALSE()),"No")="Yes",1,0)</f>
        <v/>
      </c>
      <c r="AJ239" s="39">
        <f>IF(IFERROR(VLOOKUP(D239,Controls!$A$25:$D$35,4,FALSE()),"No")="Yes",1,0)</f>
        <v/>
      </c>
      <c r="AK239" s="96">
        <f>IF(AND($E239&gt;=Controls!$B$5,$E239&lt;=Controls!$B$6,OR(Controls!$E$9&lt;&gt;"Y",$BE239=1)),1,0)</f>
        <v/>
      </c>
      <c r="AL239" s="39">
        <f>1</f>
        <v/>
      </c>
      <c r="AM239" s="20">
        <f>S239-P239</f>
        <v/>
      </c>
      <c r="AN239" s="20">
        <f>IF(AH239=1,MAX(0,P239-S239),0)</f>
        <v/>
      </c>
      <c r="AO239" s="21">
        <f>IFERROR(S239/P239,"")</f>
        <v/>
      </c>
      <c r="AP239" s="22">
        <f>IF(Y239="","",P239/Y239)</f>
        <v/>
      </c>
      <c r="AQ239" s="39">
        <f>IF(Y239="",0,1)</f>
        <v/>
      </c>
      <c r="AR239" s="39">
        <f>IF(S239&lt;=0,1,0)</f>
        <v/>
      </c>
      <c r="AS239" s="17">
        <f>IF(AH239=1,AG239,"")</f>
        <v/>
      </c>
      <c r="AT239" s="17">
        <f>IF(AND(AH239=0,AJ239=1),AG239,"")</f>
        <v/>
      </c>
      <c r="AU239" s="5">
        <f>IF(P239&lt;10000,"Under $10K",IF(P239&lt;20000,"$10-20K",IF(P239&lt;30000,"$20-30K",IF(P239&lt;50000,"$30-50K",IF(P239&lt;100000,"$50-100K","$100K+")))))</f>
        <v/>
      </c>
      <c r="AV239" s="5">
        <f>IF(O239&lt;=1.35,"1.35 and under",IF(O239&lt;=1.42,"1.36-1.42",IF(O239&lt;=1.45,"1.43-1.45",IF(O239&lt;1.49,"1.46-1.48",IF(O239&lt;=1.49,"1.49","Above 1.49")))))</f>
        <v/>
      </c>
      <c r="AW239" s="5">
        <f>IF(AE239="","",IF(AE239&lt;60,"Under 60",IF(AE239&lt;90,"60-89",IF(AE239&lt;120,"90-119",IF(AE239&lt;150,"120-149","150+")))))</f>
        <v/>
      </c>
      <c r="AX239" s="5">
        <f>IF(AP239="","No revenue data",IF(AP239&lt;0.15,"Under 0.15x",IF(AP239&lt;0.3,"0.15-0.30x",IF(AP239&lt;0.5,"0.30-0.50x",IF(AP239&lt;1,"0.50-1.00x","1.00x+")))))</f>
        <v/>
      </c>
      <c r="AY239" s="5">
        <f>IF(J239="","No SIC",IFERROR(VLOOKUP(J239,Ref!$A$4:$C$67,2,FALSE()),"Unclassified"))</f>
        <v/>
      </c>
      <c r="AZ239" s="5">
        <f>IF(E239="","",TEXT(E239,"YYYY")&amp;"-Q"&amp;ROUNDUP(MONTH(E239)/3,0))</f>
        <v/>
      </c>
      <c r="BA239" s="5">
        <f>IF(E239="","",TEXT(E239,"YYYY-MM"))</f>
        <v/>
      </c>
      <c r="BB239" s="5">
        <f>IF(E239="","",TEXT(E239,"YYYY"))</f>
        <v/>
      </c>
      <c r="BC239" s="92">
        <f>IF($E239="","",NETWORKDAYS($E239,Controls!$B$9,Ref!$F$4:$F$47))</f>
        <v/>
      </c>
      <c r="BD239" s="92">
        <f>IF(OR($AH239=1,$AJ239=1),1,0)</f>
        <v/>
      </c>
      <c r="BE239" s="95">
        <f>IF(OR($BD239=1,AND($AE239&lt;&gt;"",$BC239&gt;=Controls!$B$10*$AE239)),1,0)</f>
        <v/>
      </c>
    </row>
    <row r="240" ht="15.75" customHeight="1" s="79">
      <c r="A240" s="5" t="inlineStr">
        <is>
          <t>5674165849</t>
        </is>
      </c>
      <c r="B240" s="5" t="inlineStr">
        <is>
          <t>BD Home Group Inc</t>
        </is>
      </c>
      <c r="C240" s="5" t="inlineStr">
        <is>
          <t>BD Home Group Inc</t>
        </is>
      </c>
      <c r="D240" s="5" t="inlineStr">
        <is>
          <t>Legal</t>
        </is>
      </c>
      <c r="E240" s="16" t="n">
        <v>45908</v>
      </c>
      <c r="F240" s="16" t="n">
        <v>46175</v>
      </c>
      <c r="G240" s="17" t="n">
        <v>2</v>
      </c>
      <c r="H240" s="5" t="inlineStr">
        <is>
          <t>1521</t>
        </is>
      </c>
      <c r="I240" s="5" t="inlineStr">
        <is>
          <t>New Single-Family Housing Construction (Except For-Sale Builders)</t>
        </is>
      </c>
      <c r="J240" s="5" t="inlineStr">
        <is>
          <t>15</t>
        </is>
      </c>
      <c r="K240" s="5" t="n">
        <v>1520</v>
      </c>
      <c r="L240" s="5" t="inlineStr">
        <is>
          <t>CA</t>
        </is>
      </c>
      <c r="M240" s="5" t="inlineStr">
        <is>
          <t>Tech Consulting Pro LLC D/B/A: Nationwide Advance</t>
        </is>
      </c>
      <c r="N240" s="5" t="inlineStr">
        <is>
          <t>New Deal</t>
        </is>
      </c>
      <c r="O240" s="19" t="n">
        <v>1.499</v>
      </c>
      <c r="P240" s="20" t="n">
        <v>16000</v>
      </c>
      <c r="Q240" s="20" t="n">
        <v>0</v>
      </c>
      <c r="R240" s="20" t="n">
        <v>23984</v>
      </c>
      <c r="S240" s="20" t="n">
        <v>866.4</v>
      </c>
      <c r="T240" s="20" t="n">
        <v>23117.6</v>
      </c>
      <c r="U240" s="21" t="n">
        <v>0.0361240827218145</v>
      </c>
      <c r="V240" s="22" t="n">
        <v>1.803</v>
      </c>
      <c r="W240" s="17" t="n">
        <v>344</v>
      </c>
      <c r="X240" s="17" t="n">
        <v>26</v>
      </c>
      <c r="Y240" s="20" t="n">
        <v>218160.46</v>
      </c>
      <c r="Z240" s="21" t="n">
        <v>0.0417</v>
      </c>
      <c r="AA240" s="5" t="n"/>
      <c r="AB240" s="5">
        <f>IF(V240="","",IF(V240&lt;12,"Months","Weeks"))</f>
        <v/>
      </c>
      <c r="AC240" s="5">
        <f>IF(AB240="","",IF(AB240="Months","Daily","Weekly"))</f>
        <v/>
      </c>
      <c r="AD240" s="17">
        <f>IF(V240="","",IF(AC240="Daily",V240*Controls!$B$13,V240))</f>
        <v/>
      </c>
      <c r="AE240" s="17">
        <f>IF(V240="","",IF(AC240="Daily",V240*Controls!$B$13,V240*Controls!$B$12))</f>
        <v/>
      </c>
      <c r="AF240" s="17">
        <f>IF(OR(E240="",F240=""),"",F240-E240)</f>
        <v/>
      </c>
      <c r="AG240" s="17">
        <f>IF(OR(E240="",F240=""),"",NETWORKDAYS(E240,F240,Ref!$F$4:$F$47))</f>
        <v/>
      </c>
      <c r="AH240" s="39">
        <f>IF(IFERROR(VLOOKUP(D240,Controls!$A$25:$D$35,2,FALSE()),"No")="Yes",1,0)</f>
        <v/>
      </c>
      <c r="AI240" s="39">
        <f>IF(IFERROR(VLOOKUP(D240,Controls!$A$25:$D$35,3,FALSE()),"No")="Yes",1,0)</f>
        <v/>
      </c>
      <c r="AJ240" s="39">
        <f>IF(IFERROR(VLOOKUP(D240,Controls!$A$25:$D$35,4,FALSE()),"No")="Yes",1,0)</f>
        <v/>
      </c>
      <c r="AK240" s="96">
        <f>IF(AND($E240&gt;=Controls!$B$5,$E240&lt;=Controls!$B$6,OR(Controls!$E$9&lt;&gt;"Y",$BE240=1)),1,0)</f>
        <v/>
      </c>
      <c r="AL240" s="39">
        <f>1</f>
        <v/>
      </c>
      <c r="AM240" s="20">
        <f>S240-P240</f>
        <v/>
      </c>
      <c r="AN240" s="20">
        <f>IF(AH240=1,MAX(0,P240-S240),0)</f>
        <v/>
      </c>
      <c r="AO240" s="21">
        <f>IFERROR(S240/P240,"")</f>
        <v/>
      </c>
      <c r="AP240" s="22">
        <f>IF(Y240="","",P240/Y240)</f>
        <v/>
      </c>
      <c r="AQ240" s="39">
        <f>IF(Y240="",0,1)</f>
        <v/>
      </c>
      <c r="AR240" s="39">
        <f>IF(S240&lt;=0,1,0)</f>
        <v/>
      </c>
      <c r="AS240" s="17">
        <f>IF(AH240=1,AG240,"")</f>
        <v/>
      </c>
      <c r="AT240" s="17">
        <f>IF(AND(AH240=0,AJ240=1),AG240,"")</f>
        <v/>
      </c>
      <c r="AU240" s="5">
        <f>IF(P240&lt;10000,"Under $10K",IF(P240&lt;20000,"$10-20K",IF(P240&lt;30000,"$20-30K",IF(P240&lt;50000,"$30-50K",IF(P240&lt;100000,"$50-100K","$100K+")))))</f>
        <v/>
      </c>
      <c r="AV240" s="5">
        <f>IF(O240&lt;=1.35,"1.35 and under",IF(O240&lt;=1.42,"1.36-1.42",IF(O240&lt;=1.45,"1.43-1.45",IF(O240&lt;1.49,"1.46-1.48",IF(O240&lt;=1.49,"1.49","Above 1.49")))))</f>
        <v/>
      </c>
      <c r="AW240" s="5">
        <f>IF(AE240="","",IF(AE240&lt;60,"Under 60",IF(AE240&lt;90,"60-89",IF(AE240&lt;120,"90-119",IF(AE240&lt;150,"120-149","150+")))))</f>
        <v/>
      </c>
      <c r="AX240" s="5">
        <f>IF(AP240="","No revenue data",IF(AP240&lt;0.15,"Under 0.15x",IF(AP240&lt;0.3,"0.15-0.30x",IF(AP240&lt;0.5,"0.30-0.50x",IF(AP240&lt;1,"0.50-1.00x","1.00x+")))))</f>
        <v/>
      </c>
      <c r="AY240" s="5">
        <f>IF(J240="","No SIC",IFERROR(VLOOKUP(J240,Ref!$A$4:$C$67,2,FALSE()),"Unclassified"))</f>
        <v/>
      </c>
      <c r="AZ240" s="5">
        <f>IF(E240="","",TEXT(E240,"YYYY")&amp;"-Q"&amp;ROUNDUP(MONTH(E240)/3,0))</f>
        <v/>
      </c>
      <c r="BA240" s="5">
        <f>IF(E240="","",TEXT(E240,"YYYY-MM"))</f>
        <v/>
      </c>
      <c r="BB240" s="5">
        <f>IF(E240="","",TEXT(E240,"YYYY"))</f>
        <v/>
      </c>
      <c r="BC240" s="92">
        <f>IF($E240="","",NETWORKDAYS($E240,Controls!$B$9,Ref!$F$4:$F$47))</f>
        <v/>
      </c>
      <c r="BD240" s="92">
        <f>IF(OR($AH240=1,$AJ240=1),1,0)</f>
        <v/>
      </c>
      <c r="BE240" s="95">
        <f>IF(OR($BD240=1,AND($AE240&lt;&gt;"",$BC240&gt;=Controls!$B$10*$AE240)),1,0)</f>
        <v/>
      </c>
    </row>
    <row r="241" ht="15.75" customHeight="1" s="79">
      <c r="A241" s="5" t="inlineStr">
        <is>
          <t>5674165932</t>
        </is>
      </c>
      <c r="B241" s="5" t="inlineStr">
        <is>
          <t>Jay's Technology Solutions, LLC</t>
        </is>
      </c>
      <c r="C241" s="5" t="inlineStr">
        <is>
          <t>Jay's Technology Solutions, LLC</t>
        </is>
      </c>
      <c r="D241" s="5" t="inlineStr">
        <is>
          <t>In House Collection</t>
        </is>
      </c>
      <c r="E241" s="16" t="n">
        <v>45909</v>
      </c>
      <c r="F241" s="16" t="n">
        <v>46248</v>
      </c>
      <c r="G241" s="17" t="n">
        <v>1</v>
      </c>
      <c r="H241" s="5" t="inlineStr">
        <is>
          <t>7371</t>
        </is>
      </c>
      <c r="I241" s="5" t="inlineStr">
        <is>
          <t>Custom Computer Programming Services</t>
        </is>
      </c>
      <c r="J241" s="5" t="inlineStr">
        <is>
          <t>73</t>
        </is>
      </c>
      <c r="K241" s="5" t="n">
        <v>7372</v>
      </c>
      <c r="L241" s="5" t="inlineStr">
        <is>
          <t>WA</t>
        </is>
      </c>
      <c r="M241" s="5" t="inlineStr">
        <is>
          <t>Go Ai Ez LLC Dba:Gova Funding</t>
        </is>
      </c>
      <c r="N241" s="5" t="inlineStr">
        <is>
          <t>New Deal</t>
        </is>
      </c>
      <c r="O241" s="19" t="n">
        <v>1.499</v>
      </c>
      <c r="P241" s="20" t="n">
        <v>8000</v>
      </c>
      <c r="Q241" s="20" t="n">
        <v>0</v>
      </c>
      <c r="R241" s="20" t="n">
        <v>11992</v>
      </c>
      <c r="S241" s="20" t="n">
        <v>2789.48</v>
      </c>
      <c r="T241" s="20" t="n">
        <v>9202.52</v>
      </c>
      <c r="U241" s="21" t="n">
        <v>0.232611741160774</v>
      </c>
      <c r="V241" s="22" t="n">
        <v>2.82</v>
      </c>
      <c r="W241" s="17" t="n">
        <v>5</v>
      </c>
      <c r="X241" s="17" t="n">
        <v>40</v>
      </c>
      <c r="Y241" s="20" t="n">
        <v>13137.95</v>
      </c>
      <c r="Z241" s="21" t="n">
        <v>0.2224</v>
      </c>
      <c r="AA241" s="16" t="n">
        <v>37580</v>
      </c>
      <c r="AB241" s="5">
        <f>IF(V241="","",IF(V241&lt;12,"Months","Weeks"))</f>
        <v/>
      </c>
      <c r="AC241" s="5">
        <f>IF(AB241="","",IF(AB241="Months","Daily","Weekly"))</f>
        <v/>
      </c>
      <c r="AD241" s="17">
        <f>IF(V241="","",IF(AC241="Daily",V241*Controls!$B$13,V241))</f>
        <v/>
      </c>
      <c r="AE241" s="17">
        <f>IF(V241="","",IF(AC241="Daily",V241*Controls!$B$13,V241*Controls!$B$12))</f>
        <v/>
      </c>
      <c r="AF241" s="17">
        <f>IF(OR(E241="",F241=""),"",F241-E241)</f>
        <v/>
      </c>
      <c r="AG241" s="17">
        <f>IF(OR(E241="",F241=""),"",NETWORKDAYS(E241,F241,Ref!$F$4:$F$47))</f>
        <v/>
      </c>
      <c r="AH241" s="39">
        <f>IF(IFERROR(VLOOKUP(D241,Controls!$A$25:$D$35,2,FALSE()),"No")="Yes",1,0)</f>
        <v/>
      </c>
      <c r="AI241" s="39">
        <f>IF(IFERROR(VLOOKUP(D241,Controls!$A$25:$D$35,3,FALSE()),"No")="Yes",1,0)</f>
        <v/>
      </c>
      <c r="AJ241" s="39">
        <f>IF(IFERROR(VLOOKUP(D241,Controls!$A$25:$D$35,4,FALSE()),"No")="Yes",1,0)</f>
        <v/>
      </c>
      <c r="AK241" s="96">
        <f>IF(AND($E241&gt;=Controls!$B$5,$E241&lt;=Controls!$B$6,OR(Controls!$E$9&lt;&gt;"Y",$BE241=1)),1,0)</f>
        <v/>
      </c>
      <c r="AL241" s="39">
        <f>1</f>
        <v/>
      </c>
      <c r="AM241" s="20">
        <f>S241-P241</f>
        <v/>
      </c>
      <c r="AN241" s="20">
        <f>IF(AH241=1,MAX(0,P241-S241),0)</f>
        <v/>
      </c>
      <c r="AO241" s="21">
        <f>IFERROR(S241/P241,"")</f>
        <v/>
      </c>
      <c r="AP241" s="22">
        <f>IF(Y241="","",P241/Y241)</f>
        <v/>
      </c>
      <c r="AQ241" s="39">
        <f>IF(Y241="",0,1)</f>
        <v/>
      </c>
      <c r="AR241" s="39">
        <f>IF(S241&lt;=0,1,0)</f>
        <v/>
      </c>
      <c r="AS241" s="17">
        <f>IF(AH241=1,AG241,"")</f>
        <v/>
      </c>
      <c r="AT241" s="17">
        <f>IF(AND(AH241=0,AJ241=1),AG241,"")</f>
        <v/>
      </c>
      <c r="AU241" s="5">
        <f>IF(P241&lt;10000,"Under $10K",IF(P241&lt;20000,"$10-20K",IF(P241&lt;30000,"$20-30K",IF(P241&lt;50000,"$30-50K",IF(P241&lt;100000,"$50-100K","$100K+")))))</f>
        <v/>
      </c>
      <c r="AV241" s="5">
        <f>IF(O241&lt;=1.35,"1.35 and under",IF(O241&lt;=1.42,"1.36-1.42",IF(O241&lt;=1.45,"1.43-1.45",IF(O241&lt;1.49,"1.46-1.48",IF(O241&lt;=1.49,"1.49","Above 1.49")))))</f>
        <v/>
      </c>
      <c r="AW241" s="5">
        <f>IF(AE241="","",IF(AE241&lt;60,"Under 60",IF(AE241&lt;90,"60-89",IF(AE241&lt;120,"90-119",IF(AE241&lt;150,"120-149","150+")))))</f>
        <v/>
      </c>
      <c r="AX241" s="5">
        <f>IF(AP241="","No revenue data",IF(AP241&lt;0.15,"Under 0.15x",IF(AP241&lt;0.3,"0.15-0.30x",IF(AP241&lt;0.5,"0.30-0.50x",IF(AP241&lt;1,"0.50-1.00x","1.00x+")))))</f>
        <v/>
      </c>
      <c r="AY241" s="5">
        <f>IF(J241="","No SIC",IFERROR(VLOOKUP(J241,Ref!$A$4:$C$67,2,FALSE()),"Unclassified"))</f>
        <v/>
      </c>
      <c r="AZ241" s="5">
        <f>IF(E241="","",TEXT(E241,"YYYY")&amp;"-Q"&amp;ROUNDUP(MONTH(E241)/3,0))</f>
        <v/>
      </c>
      <c r="BA241" s="5">
        <f>IF(E241="","",TEXT(E241,"YYYY-MM"))</f>
        <v/>
      </c>
      <c r="BB241" s="5">
        <f>IF(E241="","",TEXT(E241,"YYYY"))</f>
        <v/>
      </c>
      <c r="BC241" s="92">
        <f>IF($E241="","",NETWORKDAYS($E241,Controls!$B$9,Ref!$F$4:$F$47))</f>
        <v/>
      </c>
      <c r="BD241" s="92">
        <f>IF(OR($AH241=1,$AJ241=1),1,0)</f>
        <v/>
      </c>
      <c r="BE241" s="95">
        <f>IF(OR($BD241=1,AND($AE241&lt;&gt;"",$BC241&gt;=Controls!$B$10*$AE241)),1,0)</f>
        <v/>
      </c>
    </row>
    <row r="242" ht="15.75" customHeight="1" s="79">
      <c r="A242" s="5" t="inlineStr">
        <is>
          <t>5674165956</t>
        </is>
      </c>
      <c r="B242" s="5" t="inlineStr">
        <is>
          <t>Cygnus Staffing and Consulting Inc</t>
        </is>
      </c>
      <c r="C242" s="5" t="inlineStr">
        <is>
          <t>Cygnus Staffing and Consulting Inc</t>
        </is>
      </c>
      <c r="D242" s="5" t="inlineStr">
        <is>
          <t>Closed</t>
        </is>
      </c>
      <c r="E242" s="16" t="n">
        <v>45909</v>
      </c>
      <c r="F242" s="16" t="n">
        <v>46069</v>
      </c>
      <c r="G242" s="17" t="n">
        <v>2</v>
      </c>
      <c r="H242" s="5" t="inlineStr">
        <is>
          <t>7363</t>
        </is>
      </c>
      <c r="I242" s="5" t="inlineStr">
        <is>
          <t>Temporary Help Services</t>
        </is>
      </c>
      <c r="J242" s="5" t="inlineStr">
        <is>
          <t>73</t>
        </is>
      </c>
      <c r="K242" s="5" t="n">
        <v>7361</v>
      </c>
      <c r="L242" s="5" t="inlineStr">
        <is>
          <t>TX</t>
        </is>
      </c>
      <c r="M242" s="5" t="inlineStr">
        <is>
          <t>Fundwell</t>
        </is>
      </c>
      <c r="N242" s="5" t="inlineStr">
        <is>
          <t>New Deal</t>
        </is>
      </c>
      <c r="O242" s="19" t="n">
        <v>1.39</v>
      </c>
      <c r="P242" s="20" t="n">
        <v>25000</v>
      </c>
      <c r="Q242" s="20" t="n">
        <v>2750</v>
      </c>
      <c r="R242" s="20" t="n">
        <v>34750</v>
      </c>
      <c r="S242" s="20" t="n">
        <v>34750</v>
      </c>
      <c r="T242" s="20" t="n">
        <v>0</v>
      </c>
      <c r="U242" s="21" t="n">
        <v>1</v>
      </c>
      <c r="V242" s="22" t="n">
        <v>20</v>
      </c>
      <c r="W242" s="17" t="n">
        <v>184</v>
      </c>
      <c r="X242" s="17" t="n">
        <v>2</v>
      </c>
      <c r="Y242" s="20" t="n">
        <v>52212</v>
      </c>
      <c r="Z242" s="21" t="n">
        <v>0.1285</v>
      </c>
      <c r="AA242" s="16" t="n">
        <v>43843</v>
      </c>
      <c r="AB242" s="5">
        <f>IF(V242="","",IF(V242&lt;12,"Months","Weeks"))</f>
        <v/>
      </c>
      <c r="AC242" s="5">
        <f>IF(AB242="","",IF(AB242="Months","Daily","Weekly"))</f>
        <v/>
      </c>
      <c r="AD242" s="17">
        <f>IF(V242="","",IF(AC242="Daily",V242*Controls!$B$13,V242))</f>
        <v/>
      </c>
      <c r="AE242" s="17">
        <f>IF(V242="","",IF(AC242="Daily",V242*Controls!$B$13,V242*Controls!$B$12))</f>
        <v/>
      </c>
      <c r="AF242" s="17">
        <f>IF(OR(E242="",F242=""),"",F242-E242)</f>
        <v/>
      </c>
      <c r="AG242" s="17">
        <f>IF(OR(E242="",F242=""),"",NETWORKDAYS(E242,F242,Ref!$F$4:$F$47))</f>
        <v/>
      </c>
      <c r="AH242" s="39">
        <f>IF(IFERROR(VLOOKUP(D242,Controls!$A$25:$D$35,2,FALSE()),"No")="Yes",1,0)</f>
        <v/>
      </c>
      <c r="AI242" s="39">
        <f>IF(IFERROR(VLOOKUP(D242,Controls!$A$25:$D$35,3,FALSE()),"No")="Yes",1,0)</f>
        <v/>
      </c>
      <c r="AJ242" s="39">
        <f>IF(IFERROR(VLOOKUP(D242,Controls!$A$25:$D$35,4,FALSE()),"No")="Yes",1,0)</f>
        <v/>
      </c>
      <c r="AK242" s="96">
        <f>IF(AND($E242&gt;=Controls!$B$5,$E242&lt;=Controls!$B$6,OR(Controls!$E$9&lt;&gt;"Y",$BE242=1)),1,0)</f>
        <v/>
      </c>
      <c r="AL242" s="39">
        <f>1</f>
        <v/>
      </c>
      <c r="AM242" s="20">
        <f>S242-P242</f>
        <v/>
      </c>
      <c r="AN242" s="20">
        <f>IF(AH242=1,MAX(0,P242-S242),0)</f>
        <v/>
      </c>
      <c r="AO242" s="21">
        <f>IFERROR(S242/P242,"")</f>
        <v/>
      </c>
      <c r="AP242" s="22">
        <f>IF(Y242="","",P242/Y242)</f>
        <v/>
      </c>
      <c r="AQ242" s="39">
        <f>IF(Y242="",0,1)</f>
        <v/>
      </c>
      <c r="AR242" s="39">
        <f>IF(S242&lt;=0,1,0)</f>
        <v/>
      </c>
      <c r="AS242" s="17">
        <f>IF(AH242=1,AG242,"")</f>
        <v/>
      </c>
      <c r="AT242" s="17">
        <f>IF(AND(AH242=0,AJ242=1),AG242,"")</f>
        <v/>
      </c>
      <c r="AU242" s="5">
        <f>IF(P242&lt;10000,"Under $10K",IF(P242&lt;20000,"$10-20K",IF(P242&lt;30000,"$20-30K",IF(P242&lt;50000,"$30-50K",IF(P242&lt;100000,"$50-100K","$100K+")))))</f>
        <v/>
      </c>
      <c r="AV242" s="5">
        <f>IF(O242&lt;=1.35,"1.35 and under",IF(O242&lt;=1.42,"1.36-1.42",IF(O242&lt;=1.45,"1.43-1.45",IF(O242&lt;1.49,"1.46-1.48",IF(O242&lt;=1.49,"1.49","Above 1.49")))))</f>
        <v/>
      </c>
      <c r="AW242" s="5">
        <f>IF(AE242="","",IF(AE242&lt;60,"Under 60",IF(AE242&lt;90,"60-89",IF(AE242&lt;120,"90-119",IF(AE242&lt;150,"120-149","150+")))))</f>
        <v/>
      </c>
      <c r="AX242" s="5">
        <f>IF(AP242="","No revenue data",IF(AP242&lt;0.15,"Under 0.15x",IF(AP242&lt;0.3,"0.15-0.30x",IF(AP242&lt;0.5,"0.30-0.50x",IF(AP242&lt;1,"0.50-1.00x","1.00x+")))))</f>
        <v/>
      </c>
      <c r="AY242" s="5">
        <f>IF(J242="","No SIC",IFERROR(VLOOKUP(J242,Ref!$A$4:$C$67,2,FALSE()),"Unclassified"))</f>
        <v/>
      </c>
      <c r="AZ242" s="5">
        <f>IF(E242="","",TEXT(E242,"YYYY")&amp;"-Q"&amp;ROUNDUP(MONTH(E242)/3,0))</f>
        <v/>
      </c>
      <c r="BA242" s="5">
        <f>IF(E242="","",TEXT(E242,"YYYY-MM"))</f>
        <v/>
      </c>
      <c r="BB242" s="5">
        <f>IF(E242="","",TEXT(E242,"YYYY"))</f>
        <v/>
      </c>
      <c r="BC242" s="92">
        <f>IF($E242="","",NETWORKDAYS($E242,Controls!$B$9,Ref!$F$4:$F$47))</f>
        <v/>
      </c>
      <c r="BD242" s="92">
        <f>IF(OR($AH242=1,$AJ242=1),1,0)</f>
        <v/>
      </c>
      <c r="BE242" s="95">
        <f>IF(OR($BD242=1,AND($AE242&lt;&gt;"",$BC242&gt;=Controls!$B$10*$AE242)),1,0)</f>
        <v/>
      </c>
    </row>
    <row r="243" ht="15.75" customHeight="1" s="79">
      <c r="A243" s="5" t="inlineStr">
        <is>
          <t>5674165958</t>
        </is>
      </c>
      <c r="B243" s="5" t="inlineStr">
        <is>
          <t>Blast blow dry</t>
        </is>
      </c>
      <c r="C243" s="5" t="inlineStr">
        <is>
          <t>Blast blow dry</t>
        </is>
      </c>
      <c r="D243" s="5" t="inlineStr">
        <is>
          <t>Written-Off</t>
        </is>
      </c>
      <c r="E243" s="16" t="n">
        <v>45909</v>
      </c>
      <c r="F243" s="16" t="n">
        <v>46024</v>
      </c>
      <c r="G243" s="17" t="n">
        <v>2</v>
      </c>
      <c r="H243" s="5" t="inlineStr">
        <is>
          <t>7231</t>
        </is>
      </c>
      <c r="I243" s="5" t="inlineStr">
        <is>
          <t>Beauty Salons</t>
        </is>
      </c>
      <c r="J243" s="5" t="inlineStr">
        <is>
          <t>72</t>
        </is>
      </c>
      <c r="K243" s="5" t="n">
        <v>7230</v>
      </c>
      <c r="L243" s="5" t="inlineStr">
        <is>
          <t>TX</t>
        </is>
      </c>
      <c r="M243" s="5" t="inlineStr">
        <is>
          <t>Premium Capital (AMRK)</t>
        </is>
      </c>
      <c r="N243" s="5" t="inlineStr">
        <is>
          <t>New Deal</t>
        </is>
      </c>
      <c r="O243" s="19" t="n">
        <v>1.499</v>
      </c>
      <c r="P243" s="20" t="n">
        <v>8500</v>
      </c>
      <c r="Q243" s="20" t="n">
        <v>1190</v>
      </c>
      <c r="R243" s="20" t="n">
        <v>12741.5</v>
      </c>
      <c r="S243" s="20" t="n">
        <v>12673</v>
      </c>
      <c r="T243" s="20" t="n">
        <v>68.5000000000018</v>
      </c>
      <c r="U243" s="21" t="n">
        <v>0.9946238668916531</v>
      </c>
      <c r="V243" s="22" t="n">
        <v>2.459</v>
      </c>
      <c r="W243" s="17" t="n">
        <v>231</v>
      </c>
      <c r="X243" s="17" t="n">
        <v>4</v>
      </c>
      <c r="Y243" s="20" t="n">
        <v>30093.78</v>
      </c>
      <c r="Z243" s="21" t="n">
        <v>0.1179</v>
      </c>
      <c r="AA243" s="5" t="n"/>
      <c r="AB243" s="5">
        <f>IF(V243="","",IF(V243&lt;12,"Months","Weeks"))</f>
        <v/>
      </c>
      <c r="AC243" s="5">
        <f>IF(AB243="","",IF(AB243="Months","Daily","Weekly"))</f>
        <v/>
      </c>
      <c r="AD243" s="17">
        <f>IF(V243="","",IF(AC243="Daily",V243*Controls!$B$13,V243))</f>
        <v/>
      </c>
      <c r="AE243" s="17">
        <f>IF(V243="","",IF(AC243="Daily",V243*Controls!$B$13,V243*Controls!$B$12))</f>
        <v/>
      </c>
      <c r="AF243" s="17">
        <f>IF(OR(E243="",F243=""),"",F243-E243)</f>
        <v/>
      </c>
      <c r="AG243" s="17">
        <f>IF(OR(E243="",F243=""),"",NETWORKDAYS(E243,F243,Ref!$F$4:$F$47))</f>
        <v/>
      </c>
      <c r="AH243" s="39">
        <f>IF(IFERROR(VLOOKUP(D243,Controls!$A$25:$D$35,2,FALSE()),"No")="Yes",1,0)</f>
        <v/>
      </c>
      <c r="AI243" s="39">
        <f>IF(IFERROR(VLOOKUP(D243,Controls!$A$25:$D$35,3,FALSE()),"No")="Yes",1,0)</f>
        <v/>
      </c>
      <c r="AJ243" s="39">
        <f>IF(IFERROR(VLOOKUP(D243,Controls!$A$25:$D$35,4,FALSE()),"No")="Yes",1,0)</f>
        <v/>
      </c>
      <c r="AK243" s="96">
        <f>IF(AND($E243&gt;=Controls!$B$5,$E243&lt;=Controls!$B$6,OR(Controls!$E$9&lt;&gt;"Y",$BE243=1)),1,0)</f>
        <v/>
      </c>
      <c r="AL243" s="39">
        <f>1</f>
        <v/>
      </c>
      <c r="AM243" s="20">
        <f>S243-P243</f>
        <v/>
      </c>
      <c r="AN243" s="20">
        <f>IF(AH243=1,MAX(0,P243-S243),0)</f>
        <v/>
      </c>
      <c r="AO243" s="21">
        <f>IFERROR(S243/P243,"")</f>
        <v/>
      </c>
      <c r="AP243" s="22">
        <f>IF(Y243="","",P243/Y243)</f>
        <v/>
      </c>
      <c r="AQ243" s="39">
        <f>IF(Y243="",0,1)</f>
        <v/>
      </c>
      <c r="AR243" s="39">
        <f>IF(S243&lt;=0,1,0)</f>
        <v/>
      </c>
      <c r="AS243" s="17">
        <f>IF(AH243=1,AG243,"")</f>
        <v/>
      </c>
      <c r="AT243" s="17">
        <f>IF(AND(AH243=0,AJ243=1),AG243,"")</f>
        <v/>
      </c>
      <c r="AU243" s="5">
        <f>IF(P243&lt;10000,"Under $10K",IF(P243&lt;20000,"$10-20K",IF(P243&lt;30000,"$20-30K",IF(P243&lt;50000,"$30-50K",IF(P243&lt;100000,"$50-100K","$100K+")))))</f>
        <v/>
      </c>
      <c r="AV243" s="5">
        <f>IF(O243&lt;=1.35,"1.35 and under",IF(O243&lt;=1.42,"1.36-1.42",IF(O243&lt;=1.45,"1.43-1.45",IF(O243&lt;1.49,"1.46-1.48",IF(O243&lt;=1.49,"1.49","Above 1.49")))))</f>
        <v/>
      </c>
      <c r="AW243" s="5">
        <f>IF(AE243="","",IF(AE243&lt;60,"Under 60",IF(AE243&lt;90,"60-89",IF(AE243&lt;120,"90-119",IF(AE243&lt;150,"120-149","150+")))))</f>
        <v/>
      </c>
      <c r="AX243" s="5">
        <f>IF(AP243="","No revenue data",IF(AP243&lt;0.15,"Under 0.15x",IF(AP243&lt;0.3,"0.15-0.30x",IF(AP243&lt;0.5,"0.30-0.50x",IF(AP243&lt;1,"0.50-1.00x","1.00x+")))))</f>
        <v/>
      </c>
      <c r="AY243" s="5">
        <f>IF(J243="","No SIC",IFERROR(VLOOKUP(J243,Ref!$A$4:$C$67,2,FALSE()),"Unclassified"))</f>
        <v/>
      </c>
      <c r="AZ243" s="5">
        <f>IF(E243="","",TEXT(E243,"YYYY")&amp;"-Q"&amp;ROUNDUP(MONTH(E243)/3,0))</f>
        <v/>
      </c>
      <c r="BA243" s="5">
        <f>IF(E243="","",TEXT(E243,"YYYY-MM"))</f>
        <v/>
      </c>
      <c r="BB243" s="5">
        <f>IF(E243="","",TEXT(E243,"YYYY"))</f>
        <v/>
      </c>
      <c r="BC243" s="92">
        <f>IF($E243="","",NETWORKDAYS($E243,Controls!$B$9,Ref!$F$4:$F$47))</f>
        <v/>
      </c>
      <c r="BD243" s="92">
        <f>IF(OR($AH243=1,$AJ243=1),1,0)</f>
        <v/>
      </c>
      <c r="BE243" s="95">
        <f>IF(OR($BD243=1,AND($AE243&lt;&gt;"",$BC243&gt;=Controls!$B$10*$AE243)),1,0)</f>
        <v/>
      </c>
    </row>
    <row r="244" ht="15.75" customHeight="1" s="79">
      <c r="A244" s="5" t="inlineStr">
        <is>
          <t>5674165960</t>
        </is>
      </c>
      <c r="B244" s="5" t="inlineStr">
        <is>
          <t>EMDR NH LLC</t>
        </is>
      </c>
      <c r="C244" s="5" t="inlineStr">
        <is>
          <t>LIFE IN BLOOM COUNSELING, LLC</t>
        </is>
      </c>
      <c r="D244" s="5" t="inlineStr">
        <is>
          <t>Legal</t>
        </is>
      </c>
      <c r="E244" s="16" t="n">
        <v>45909</v>
      </c>
      <c r="F244" s="16" t="n">
        <v>46170</v>
      </c>
      <c r="G244" s="17" t="n">
        <v>3</v>
      </c>
      <c r="H244" s="5" t="inlineStr">
        <is>
          <t>8049</t>
        </is>
      </c>
      <c r="I244" s="5" t="inlineStr">
        <is>
          <t>Offices of All Other Misc. Health Practitioners</t>
        </is>
      </c>
      <c r="J244" s="5" t="inlineStr">
        <is>
          <t>80</t>
        </is>
      </c>
      <c r="K244" s="5" t="n">
        <v>8049</v>
      </c>
      <c r="L244" s="5" t="inlineStr">
        <is>
          <t>NH</t>
        </is>
      </c>
      <c r="M244" s="5" t="inlineStr">
        <is>
          <t>ROYAL FUNDING GROUP</t>
        </is>
      </c>
      <c r="N244" s="5" t="inlineStr">
        <is>
          <t>New Deal</t>
        </is>
      </c>
      <c r="O244" s="19" t="n">
        <v>1.499</v>
      </c>
      <c r="P244" s="20" t="n">
        <v>15000</v>
      </c>
      <c r="Q244" s="20" t="n">
        <v>0</v>
      </c>
      <c r="R244" s="20" t="n">
        <v>22485</v>
      </c>
      <c r="S244" s="20" t="n">
        <v>11404.4</v>
      </c>
      <c r="T244" s="20" t="n">
        <v>11080.6</v>
      </c>
      <c r="U244" s="21" t="n">
        <v>0.507200355792751</v>
      </c>
      <c r="V244" s="22" t="n">
        <v>15</v>
      </c>
      <c r="W244" s="17" t="n">
        <v>188</v>
      </c>
      <c r="X244" s="17" t="n">
        <v>36</v>
      </c>
      <c r="Y244" s="20" t="n">
        <v>29576.08</v>
      </c>
      <c r="Z244" s="21" t="n">
        <v>0.2015</v>
      </c>
      <c r="AA244" s="16" t="n">
        <v>43225</v>
      </c>
      <c r="AB244" s="5">
        <f>IF(V244="","",IF(V244&lt;12,"Months","Weeks"))</f>
        <v/>
      </c>
      <c r="AC244" s="5">
        <f>IF(AB244="","",IF(AB244="Months","Daily","Weekly"))</f>
        <v/>
      </c>
      <c r="AD244" s="17">
        <f>IF(V244="","",IF(AC244="Daily",V244*Controls!$B$13,V244))</f>
        <v/>
      </c>
      <c r="AE244" s="17">
        <f>IF(V244="","",IF(AC244="Daily",V244*Controls!$B$13,V244*Controls!$B$12))</f>
        <v/>
      </c>
      <c r="AF244" s="17">
        <f>IF(OR(E244="",F244=""),"",F244-E244)</f>
        <v/>
      </c>
      <c r="AG244" s="17">
        <f>IF(OR(E244="",F244=""),"",NETWORKDAYS(E244,F244,Ref!$F$4:$F$47))</f>
        <v/>
      </c>
      <c r="AH244" s="39">
        <f>IF(IFERROR(VLOOKUP(D244,Controls!$A$25:$D$35,2,FALSE()),"No")="Yes",1,0)</f>
        <v/>
      </c>
      <c r="AI244" s="39">
        <f>IF(IFERROR(VLOOKUP(D244,Controls!$A$25:$D$35,3,FALSE()),"No")="Yes",1,0)</f>
        <v/>
      </c>
      <c r="AJ244" s="39">
        <f>IF(IFERROR(VLOOKUP(D244,Controls!$A$25:$D$35,4,FALSE()),"No")="Yes",1,0)</f>
        <v/>
      </c>
      <c r="AK244" s="96">
        <f>IF(AND($E244&gt;=Controls!$B$5,$E244&lt;=Controls!$B$6,OR(Controls!$E$9&lt;&gt;"Y",$BE244=1)),1,0)</f>
        <v/>
      </c>
      <c r="AL244" s="39">
        <f>1</f>
        <v/>
      </c>
      <c r="AM244" s="20">
        <f>S244-P244</f>
        <v/>
      </c>
      <c r="AN244" s="20">
        <f>IF(AH244=1,MAX(0,P244-S244),0)</f>
        <v/>
      </c>
      <c r="AO244" s="21">
        <f>IFERROR(S244/P244,"")</f>
        <v/>
      </c>
      <c r="AP244" s="22">
        <f>IF(Y244="","",P244/Y244)</f>
        <v/>
      </c>
      <c r="AQ244" s="39">
        <f>IF(Y244="",0,1)</f>
        <v/>
      </c>
      <c r="AR244" s="39">
        <f>IF(S244&lt;=0,1,0)</f>
        <v/>
      </c>
      <c r="AS244" s="17">
        <f>IF(AH244=1,AG244,"")</f>
        <v/>
      </c>
      <c r="AT244" s="17">
        <f>IF(AND(AH244=0,AJ244=1),AG244,"")</f>
        <v/>
      </c>
      <c r="AU244" s="5">
        <f>IF(P244&lt;10000,"Under $10K",IF(P244&lt;20000,"$10-20K",IF(P244&lt;30000,"$20-30K",IF(P244&lt;50000,"$30-50K",IF(P244&lt;100000,"$50-100K","$100K+")))))</f>
        <v/>
      </c>
      <c r="AV244" s="5">
        <f>IF(O244&lt;=1.35,"1.35 and under",IF(O244&lt;=1.42,"1.36-1.42",IF(O244&lt;=1.45,"1.43-1.45",IF(O244&lt;1.49,"1.46-1.48",IF(O244&lt;=1.49,"1.49","Above 1.49")))))</f>
        <v/>
      </c>
      <c r="AW244" s="5">
        <f>IF(AE244="","",IF(AE244&lt;60,"Under 60",IF(AE244&lt;90,"60-89",IF(AE244&lt;120,"90-119",IF(AE244&lt;150,"120-149","150+")))))</f>
        <v/>
      </c>
      <c r="AX244" s="5">
        <f>IF(AP244="","No revenue data",IF(AP244&lt;0.15,"Under 0.15x",IF(AP244&lt;0.3,"0.15-0.30x",IF(AP244&lt;0.5,"0.30-0.50x",IF(AP244&lt;1,"0.50-1.00x","1.00x+")))))</f>
        <v/>
      </c>
      <c r="AY244" s="5">
        <f>IF(J244="","No SIC",IFERROR(VLOOKUP(J244,Ref!$A$4:$C$67,2,FALSE()),"Unclassified"))</f>
        <v/>
      </c>
      <c r="AZ244" s="5">
        <f>IF(E244="","",TEXT(E244,"YYYY")&amp;"-Q"&amp;ROUNDUP(MONTH(E244)/3,0))</f>
        <v/>
      </c>
      <c r="BA244" s="5">
        <f>IF(E244="","",TEXT(E244,"YYYY-MM"))</f>
        <v/>
      </c>
      <c r="BB244" s="5">
        <f>IF(E244="","",TEXT(E244,"YYYY"))</f>
        <v/>
      </c>
      <c r="BC244" s="92">
        <f>IF($E244="","",NETWORKDAYS($E244,Controls!$B$9,Ref!$F$4:$F$47))</f>
        <v/>
      </c>
      <c r="BD244" s="92">
        <f>IF(OR($AH244=1,$AJ244=1),1,0)</f>
        <v/>
      </c>
      <c r="BE244" s="95">
        <f>IF(OR($BD244=1,AND($AE244&lt;&gt;"",$BC244&gt;=Controls!$B$10*$AE244)),1,0)</f>
        <v/>
      </c>
    </row>
    <row r="245" ht="15.75" customHeight="1" s="79">
      <c r="A245" s="5" t="inlineStr">
        <is>
          <t>5674166066</t>
        </is>
      </c>
      <c r="B245" s="5" t="inlineStr">
        <is>
          <t>CC REMODELING SERVICES INC</t>
        </is>
      </c>
      <c r="C245" s="5" t="inlineStr">
        <is>
          <t>CC REMODELING SERVICES INC</t>
        </is>
      </c>
      <c r="D245" s="5" t="inlineStr">
        <is>
          <t>Closed</t>
        </is>
      </c>
      <c r="E245" s="16" t="n">
        <v>45910</v>
      </c>
      <c r="F245" s="16" t="n">
        <v>46030</v>
      </c>
      <c r="G245" s="17" t="n">
        <v>2</v>
      </c>
      <c r="H245" s="5" t="inlineStr">
        <is>
          <t>1521</t>
        </is>
      </c>
      <c r="I245" s="5" t="inlineStr">
        <is>
          <t>New Single-Family Housing Construction (Except For-Sale Builders)</t>
        </is>
      </c>
      <c r="J245" s="5" t="inlineStr">
        <is>
          <t>15</t>
        </is>
      </c>
      <c r="K245" s="5" t="n">
        <v>1520</v>
      </c>
      <c r="L245" s="5" t="inlineStr">
        <is>
          <t>TN</t>
        </is>
      </c>
      <c r="M245" s="5" t="inlineStr">
        <is>
          <t>biz advance now</t>
        </is>
      </c>
      <c r="N245" s="5" t="inlineStr">
        <is>
          <t>New Deal</t>
        </is>
      </c>
      <c r="O245" s="19" t="n">
        <v>1.499</v>
      </c>
      <c r="P245" s="20" t="n">
        <v>15000</v>
      </c>
      <c r="Q245" s="20" t="n">
        <v>2100</v>
      </c>
      <c r="R245" s="20" t="n">
        <v>22485</v>
      </c>
      <c r="S245" s="20" t="n">
        <v>22485</v>
      </c>
      <c r="T245" s="20" t="n">
        <v>0</v>
      </c>
      <c r="U245" s="21" t="n">
        <v>1</v>
      </c>
      <c r="V245" s="22" t="n">
        <v>2.623</v>
      </c>
      <c r="W245" s="17" t="n">
        <v>223</v>
      </c>
      <c r="X245" s="17" t="n">
        <v>10</v>
      </c>
      <c r="Y245" s="20" t="n">
        <v>81491.69</v>
      </c>
      <c r="Z245" s="21" t="n">
        <v>0.0716</v>
      </c>
      <c r="AA245" s="16" t="n">
        <v>45292</v>
      </c>
      <c r="AB245" s="5">
        <f>IF(V245="","",IF(V245&lt;12,"Months","Weeks"))</f>
        <v/>
      </c>
      <c r="AC245" s="5">
        <f>IF(AB245="","",IF(AB245="Months","Daily","Weekly"))</f>
        <v/>
      </c>
      <c r="AD245" s="17">
        <f>IF(V245="","",IF(AC245="Daily",V245*Controls!$B$13,V245))</f>
        <v/>
      </c>
      <c r="AE245" s="17">
        <f>IF(V245="","",IF(AC245="Daily",V245*Controls!$B$13,V245*Controls!$B$12))</f>
        <v/>
      </c>
      <c r="AF245" s="17">
        <f>IF(OR(E245="",F245=""),"",F245-E245)</f>
        <v/>
      </c>
      <c r="AG245" s="17">
        <f>IF(OR(E245="",F245=""),"",NETWORKDAYS(E245,F245,Ref!$F$4:$F$47))</f>
        <v/>
      </c>
      <c r="AH245" s="39">
        <f>IF(IFERROR(VLOOKUP(D245,Controls!$A$25:$D$35,2,FALSE()),"No")="Yes",1,0)</f>
        <v/>
      </c>
      <c r="AI245" s="39">
        <f>IF(IFERROR(VLOOKUP(D245,Controls!$A$25:$D$35,3,FALSE()),"No")="Yes",1,0)</f>
        <v/>
      </c>
      <c r="AJ245" s="39">
        <f>IF(IFERROR(VLOOKUP(D245,Controls!$A$25:$D$35,4,FALSE()),"No")="Yes",1,0)</f>
        <v/>
      </c>
      <c r="AK245" s="96">
        <f>IF(AND($E245&gt;=Controls!$B$5,$E245&lt;=Controls!$B$6,OR(Controls!$E$9&lt;&gt;"Y",$BE245=1)),1,0)</f>
        <v/>
      </c>
      <c r="AL245" s="39">
        <f>1</f>
        <v/>
      </c>
      <c r="AM245" s="20">
        <f>S245-P245</f>
        <v/>
      </c>
      <c r="AN245" s="20">
        <f>IF(AH245=1,MAX(0,P245-S245),0)</f>
        <v/>
      </c>
      <c r="AO245" s="21">
        <f>IFERROR(S245/P245,"")</f>
        <v/>
      </c>
      <c r="AP245" s="22">
        <f>IF(Y245="","",P245/Y245)</f>
        <v/>
      </c>
      <c r="AQ245" s="39">
        <f>IF(Y245="",0,1)</f>
        <v/>
      </c>
      <c r="AR245" s="39">
        <f>IF(S245&lt;=0,1,0)</f>
        <v/>
      </c>
      <c r="AS245" s="17">
        <f>IF(AH245=1,AG245,"")</f>
        <v/>
      </c>
      <c r="AT245" s="17">
        <f>IF(AND(AH245=0,AJ245=1),AG245,"")</f>
        <v/>
      </c>
      <c r="AU245" s="5">
        <f>IF(P245&lt;10000,"Under $10K",IF(P245&lt;20000,"$10-20K",IF(P245&lt;30000,"$20-30K",IF(P245&lt;50000,"$30-50K",IF(P245&lt;100000,"$50-100K","$100K+")))))</f>
        <v/>
      </c>
      <c r="AV245" s="5">
        <f>IF(O245&lt;=1.35,"1.35 and under",IF(O245&lt;=1.42,"1.36-1.42",IF(O245&lt;=1.45,"1.43-1.45",IF(O245&lt;1.49,"1.46-1.48",IF(O245&lt;=1.49,"1.49","Above 1.49")))))</f>
        <v/>
      </c>
      <c r="AW245" s="5">
        <f>IF(AE245="","",IF(AE245&lt;60,"Under 60",IF(AE245&lt;90,"60-89",IF(AE245&lt;120,"90-119",IF(AE245&lt;150,"120-149","150+")))))</f>
        <v/>
      </c>
      <c r="AX245" s="5">
        <f>IF(AP245="","No revenue data",IF(AP245&lt;0.15,"Under 0.15x",IF(AP245&lt;0.3,"0.15-0.30x",IF(AP245&lt;0.5,"0.30-0.50x",IF(AP245&lt;1,"0.50-1.00x","1.00x+")))))</f>
        <v/>
      </c>
      <c r="AY245" s="5">
        <f>IF(J245="","No SIC",IFERROR(VLOOKUP(J245,Ref!$A$4:$C$67,2,FALSE()),"Unclassified"))</f>
        <v/>
      </c>
      <c r="AZ245" s="5">
        <f>IF(E245="","",TEXT(E245,"YYYY")&amp;"-Q"&amp;ROUNDUP(MONTH(E245)/3,0))</f>
        <v/>
      </c>
      <c r="BA245" s="5">
        <f>IF(E245="","",TEXT(E245,"YYYY-MM"))</f>
        <v/>
      </c>
      <c r="BB245" s="5">
        <f>IF(E245="","",TEXT(E245,"YYYY"))</f>
        <v/>
      </c>
      <c r="BC245" s="92">
        <f>IF($E245="","",NETWORKDAYS($E245,Controls!$B$9,Ref!$F$4:$F$47))</f>
        <v/>
      </c>
      <c r="BD245" s="92">
        <f>IF(OR($AH245=1,$AJ245=1),1,0)</f>
        <v/>
      </c>
      <c r="BE245" s="95">
        <f>IF(OR($BD245=1,AND($AE245&lt;&gt;"",$BC245&gt;=Controls!$B$10*$AE245)),1,0)</f>
        <v/>
      </c>
    </row>
    <row r="246" ht="15.75" customHeight="1" s="79">
      <c r="A246" s="5" t="inlineStr">
        <is>
          <t>5674166141</t>
        </is>
      </c>
      <c r="B246" s="5" t="inlineStr">
        <is>
          <t>Champion Lanes</t>
        </is>
      </c>
      <c r="C246" s="5" t="inlineStr">
        <is>
          <t>Champions IB LLC</t>
        </is>
      </c>
      <c r="D246" s="5" t="inlineStr">
        <is>
          <t>Closed</t>
        </is>
      </c>
      <c r="E246" s="16" t="n">
        <v>45911</v>
      </c>
      <c r="F246" s="16" t="n">
        <v>46149</v>
      </c>
      <c r="G246" s="17" t="n">
        <v>3</v>
      </c>
      <c r="H246" s="5" t="inlineStr">
        <is>
          <t>7933</t>
        </is>
      </c>
      <c r="I246" s="5" t="inlineStr">
        <is>
          <t>Bowling Centers</t>
        </is>
      </c>
      <c r="J246" s="5" t="inlineStr">
        <is>
          <t>79</t>
        </is>
      </c>
      <c r="K246" s="5" t="n">
        <v>7933</v>
      </c>
      <c r="L246" s="5" t="inlineStr">
        <is>
          <t>CA</t>
        </is>
      </c>
      <c r="M246" s="5" t="inlineStr">
        <is>
          <t>Vantage Cap Group</t>
        </is>
      </c>
      <c r="N246" s="5" t="inlineStr">
        <is>
          <t>New Deal</t>
        </is>
      </c>
      <c r="O246" s="19" t="n">
        <v>1.499</v>
      </c>
      <c r="P246" s="20" t="n">
        <v>5000</v>
      </c>
      <c r="Q246" s="20" t="n">
        <v>700</v>
      </c>
      <c r="R246" s="20" t="n">
        <v>7495</v>
      </c>
      <c r="S246" s="20" t="n">
        <v>7495</v>
      </c>
      <c r="T246" s="20" t="n">
        <v>9.09494701772928e-13</v>
      </c>
      <c r="U246" s="21" t="n">
        <v>1</v>
      </c>
      <c r="V246" s="22" t="n">
        <v>2.295</v>
      </c>
      <c r="W246" s="17" t="n">
        <v>104</v>
      </c>
      <c r="X246" s="17" t="n">
        <v>22</v>
      </c>
      <c r="Y246" s="20" t="n">
        <v>88940.89</v>
      </c>
      <c r="Z246" s="21" t="n">
        <v>0.0251</v>
      </c>
      <c r="AA246" s="5" t="n"/>
      <c r="AB246" s="5">
        <f>IF(V246="","",IF(V246&lt;12,"Months","Weeks"))</f>
        <v/>
      </c>
      <c r="AC246" s="5">
        <f>IF(AB246="","",IF(AB246="Months","Daily","Weekly"))</f>
        <v/>
      </c>
      <c r="AD246" s="17">
        <f>IF(V246="","",IF(AC246="Daily",V246*Controls!$B$13,V246))</f>
        <v/>
      </c>
      <c r="AE246" s="17">
        <f>IF(V246="","",IF(AC246="Daily",V246*Controls!$B$13,V246*Controls!$B$12))</f>
        <v/>
      </c>
      <c r="AF246" s="17">
        <f>IF(OR(E246="",F246=""),"",F246-E246)</f>
        <v/>
      </c>
      <c r="AG246" s="17">
        <f>IF(OR(E246="",F246=""),"",NETWORKDAYS(E246,F246,Ref!$F$4:$F$47))</f>
        <v/>
      </c>
      <c r="AH246" s="39">
        <f>IF(IFERROR(VLOOKUP(D246,Controls!$A$25:$D$35,2,FALSE()),"No")="Yes",1,0)</f>
        <v/>
      </c>
      <c r="AI246" s="39">
        <f>IF(IFERROR(VLOOKUP(D246,Controls!$A$25:$D$35,3,FALSE()),"No")="Yes",1,0)</f>
        <v/>
      </c>
      <c r="AJ246" s="39">
        <f>IF(IFERROR(VLOOKUP(D246,Controls!$A$25:$D$35,4,FALSE()),"No")="Yes",1,0)</f>
        <v/>
      </c>
      <c r="AK246" s="96">
        <f>IF(AND($E246&gt;=Controls!$B$5,$E246&lt;=Controls!$B$6,OR(Controls!$E$9&lt;&gt;"Y",$BE246=1)),1,0)</f>
        <v/>
      </c>
      <c r="AL246" s="39">
        <f>1</f>
        <v/>
      </c>
      <c r="AM246" s="20">
        <f>S246-P246</f>
        <v/>
      </c>
      <c r="AN246" s="20">
        <f>IF(AH246=1,MAX(0,P246-S246),0)</f>
        <v/>
      </c>
      <c r="AO246" s="21">
        <f>IFERROR(S246/P246,"")</f>
        <v/>
      </c>
      <c r="AP246" s="22">
        <f>IF(Y246="","",P246/Y246)</f>
        <v/>
      </c>
      <c r="AQ246" s="39">
        <f>IF(Y246="",0,1)</f>
        <v/>
      </c>
      <c r="AR246" s="39">
        <f>IF(S246&lt;=0,1,0)</f>
        <v/>
      </c>
      <c r="AS246" s="17">
        <f>IF(AH246=1,AG246,"")</f>
        <v/>
      </c>
      <c r="AT246" s="17">
        <f>IF(AND(AH246=0,AJ246=1),AG246,"")</f>
        <v/>
      </c>
      <c r="AU246" s="5">
        <f>IF(P246&lt;10000,"Under $10K",IF(P246&lt;20000,"$10-20K",IF(P246&lt;30000,"$20-30K",IF(P246&lt;50000,"$30-50K",IF(P246&lt;100000,"$50-100K","$100K+")))))</f>
        <v/>
      </c>
      <c r="AV246" s="5">
        <f>IF(O246&lt;=1.35,"1.35 and under",IF(O246&lt;=1.42,"1.36-1.42",IF(O246&lt;=1.45,"1.43-1.45",IF(O246&lt;1.49,"1.46-1.48",IF(O246&lt;=1.49,"1.49","Above 1.49")))))</f>
        <v/>
      </c>
      <c r="AW246" s="5">
        <f>IF(AE246="","",IF(AE246&lt;60,"Under 60",IF(AE246&lt;90,"60-89",IF(AE246&lt;120,"90-119",IF(AE246&lt;150,"120-149","150+")))))</f>
        <v/>
      </c>
      <c r="AX246" s="5">
        <f>IF(AP246="","No revenue data",IF(AP246&lt;0.15,"Under 0.15x",IF(AP246&lt;0.3,"0.15-0.30x",IF(AP246&lt;0.5,"0.30-0.50x",IF(AP246&lt;1,"0.50-1.00x","1.00x+")))))</f>
        <v/>
      </c>
      <c r="AY246" s="5">
        <f>IF(J246="","No SIC",IFERROR(VLOOKUP(J246,Ref!$A$4:$C$67,2,FALSE()),"Unclassified"))</f>
        <v/>
      </c>
      <c r="AZ246" s="5">
        <f>IF(E246="","",TEXT(E246,"YYYY")&amp;"-Q"&amp;ROUNDUP(MONTH(E246)/3,0))</f>
        <v/>
      </c>
      <c r="BA246" s="5">
        <f>IF(E246="","",TEXT(E246,"YYYY-MM"))</f>
        <v/>
      </c>
      <c r="BB246" s="5">
        <f>IF(E246="","",TEXT(E246,"YYYY"))</f>
        <v/>
      </c>
      <c r="BC246" s="92">
        <f>IF($E246="","",NETWORKDAYS($E246,Controls!$B$9,Ref!$F$4:$F$47))</f>
        <v/>
      </c>
      <c r="BD246" s="92">
        <f>IF(OR($AH246=1,$AJ246=1),1,0)</f>
        <v/>
      </c>
      <c r="BE246" s="95">
        <f>IF(OR($BD246=1,AND($AE246&lt;&gt;"",$BC246&gt;=Controls!$B$10*$AE246)),1,0)</f>
        <v/>
      </c>
    </row>
    <row r="247" ht="15.75" customHeight="1" s="79">
      <c r="A247" s="5" t="inlineStr">
        <is>
          <t>5674166148</t>
        </is>
      </c>
      <c r="B247" s="5" t="inlineStr">
        <is>
          <t>SR UNBOUNDED</t>
        </is>
      </c>
      <c r="C247" s="5" t="inlineStr">
        <is>
          <t>SR UNBOUNDED</t>
        </is>
      </c>
      <c r="D247" s="5" t="inlineStr">
        <is>
          <t>Closed</t>
        </is>
      </c>
      <c r="E247" s="16" t="n">
        <v>45911</v>
      </c>
      <c r="F247" s="16" t="n">
        <v>45967</v>
      </c>
      <c r="G247" s="17" t="n">
        <v>6</v>
      </c>
      <c r="H247" s="5" t="inlineStr">
        <is>
          <t>7999</t>
        </is>
      </c>
      <c r="I247" s="5" t="inlineStr">
        <is>
          <t>Other Performing Arts Cos.</t>
        </is>
      </c>
      <c r="J247" s="5" t="inlineStr">
        <is>
          <t>79</t>
        </is>
      </c>
      <c r="K247" s="5" t="n">
        <v>7929</v>
      </c>
      <c r="L247" s="5" t="inlineStr">
        <is>
          <t>CA</t>
        </is>
      </c>
      <c r="M247" s="5" t="inlineStr">
        <is>
          <t>Shore Funding USA</t>
        </is>
      </c>
      <c r="N247" s="5" t="inlineStr">
        <is>
          <t>New Deal</t>
        </is>
      </c>
      <c r="O247" s="19" t="n">
        <v>1.499</v>
      </c>
      <c r="P247" s="20" t="n">
        <v>3500</v>
      </c>
      <c r="Q247" s="20" t="n">
        <v>490</v>
      </c>
      <c r="R247" s="20" t="n">
        <v>5246.5</v>
      </c>
      <c r="S247" s="20" t="n">
        <v>5246.5</v>
      </c>
      <c r="T247" s="20" t="n">
        <v>0</v>
      </c>
      <c r="U247" s="21" t="n">
        <v>1</v>
      </c>
      <c r="V247" s="22" t="n">
        <v>2.295</v>
      </c>
      <c r="W247" s="17" t="n">
        <v>286</v>
      </c>
      <c r="X247" s="17" t="n">
        <v>2</v>
      </c>
      <c r="Y247" s="20" t="n">
        <v>15635.79</v>
      </c>
      <c r="Z247" s="21" t="n">
        <v>0.1001</v>
      </c>
      <c r="AA247" s="16" t="n">
        <v>43863</v>
      </c>
      <c r="AB247" s="5">
        <f>IF(V247="","",IF(V247&lt;12,"Months","Weeks"))</f>
        <v/>
      </c>
      <c r="AC247" s="5">
        <f>IF(AB247="","",IF(AB247="Months","Daily","Weekly"))</f>
        <v/>
      </c>
      <c r="AD247" s="17">
        <f>IF(V247="","",IF(AC247="Daily",V247*Controls!$B$13,V247))</f>
        <v/>
      </c>
      <c r="AE247" s="17">
        <f>IF(V247="","",IF(AC247="Daily",V247*Controls!$B$13,V247*Controls!$B$12))</f>
        <v/>
      </c>
      <c r="AF247" s="17">
        <f>IF(OR(E247="",F247=""),"",F247-E247)</f>
        <v/>
      </c>
      <c r="AG247" s="17">
        <f>IF(OR(E247="",F247=""),"",NETWORKDAYS(E247,F247,Ref!$F$4:$F$47))</f>
        <v/>
      </c>
      <c r="AH247" s="39">
        <f>IF(IFERROR(VLOOKUP(D247,Controls!$A$25:$D$35,2,FALSE()),"No")="Yes",1,0)</f>
        <v/>
      </c>
      <c r="AI247" s="39">
        <f>IF(IFERROR(VLOOKUP(D247,Controls!$A$25:$D$35,3,FALSE()),"No")="Yes",1,0)</f>
        <v/>
      </c>
      <c r="AJ247" s="39">
        <f>IF(IFERROR(VLOOKUP(D247,Controls!$A$25:$D$35,4,FALSE()),"No")="Yes",1,0)</f>
        <v/>
      </c>
      <c r="AK247" s="96">
        <f>IF(AND($E247&gt;=Controls!$B$5,$E247&lt;=Controls!$B$6,OR(Controls!$E$9&lt;&gt;"Y",$BE247=1)),1,0)</f>
        <v/>
      </c>
      <c r="AL247" s="39">
        <f>1</f>
        <v/>
      </c>
      <c r="AM247" s="20">
        <f>S247-P247</f>
        <v/>
      </c>
      <c r="AN247" s="20">
        <f>IF(AH247=1,MAX(0,P247-S247),0)</f>
        <v/>
      </c>
      <c r="AO247" s="21">
        <f>IFERROR(S247/P247,"")</f>
        <v/>
      </c>
      <c r="AP247" s="22">
        <f>IF(Y247="","",P247/Y247)</f>
        <v/>
      </c>
      <c r="AQ247" s="39">
        <f>IF(Y247="",0,1)</f>
        <v/>
      </c>
      <c r="AR247" s="39">
        <f>IF(S247&lt;=0,1,0)</f>
        <v/>
      </c>
      <c r="AS247" s="17">
        <f>IF(AH247=1,AG247,"")</f>
        <v/>
      </c>
      <c r="AT247" s="17">
        <f>IF(AND(AH247=0,AJ247=1),AG247,"")</f>
        <v/>
      </c>
      <c r="AU247" s="5">
        <f>IF(P247&lt;10000,"Under $10K",IF(P247&lt;20000,"$10-20K",IF(P247&lt;30000,"$20-30K",IF(P247&lt;50000,"$30-50K",IF(P247&lt;100000,"$50-100K","$100K+")))))</f>
        <v/>
      </c>
      <c r="AV247" s="5">
        <f>IF(O247&lt;=1.35,"1.35 and under",IF(O247&lt;=1.42,"1.36-1.42",IF(O247&lt;=1.45,"1.43-1.45",IF(O247&lt;1.49,"1.46-1.48",IF(O247&lt;=1.49,"1.49","Above 1.49")))))</f>
        <v/>
      </c>
      <c r="AW247" s="5">
        <f>IF(AE247="","",IF(AE247&lt;60,"Under 60",IF(AE247&lt;90,"60-89",IF(AE247&lt;120,"90-119",IF(AE247&lt;150,"120-149","150+")))))</f>
        <v/>
      </c>
      <c r="AX247" s="5">
        <f>IF(AP247="","No revenue data",IF(AP247&lt;0.15,"Under 0.15x",IF(AP247&lt;0.3,"0.15-0.30x",IF(AP247&lt;0.5,"0.30-0.50x",IF(AP247&lt;1,"0.50-1.00x","1.00x+")))))</f>
        <v/>
      </c>
      <c r="AY247" s="5">
        <f>IF(J247="","No SIC",IFERROR(VLOOKUP(J247,Ref!$A$4:$C$67,2,FALSE()),"Unclassified"))</f>
        <v/>
      </c>
      <c r="AZ247" s="5">
        <f>IF(E247="","",TEXT(E247,"YYYY")&amp;"-Q"&amp;ROUNDUP(MONTH(E247)/3,0))</f>
        <v/>
      </c>
      <c r="BA247" s="5">
        <f>IF(E247="","",TEXT(E247,"YYYY-MM"))</f>
        <v/>
      </c>
      <c r="BB247" s="5">
        <f>IF(E247="","",TEXT(E247,"YYYY"))</f>
        <v/>
      </c>
      <c r="BC247" s="92">
        <f>IF($E247="","",NETWORKDAYS($E247,Controls!$B$9,Ref!$F$4:$F$47))</f>
        <v/>
      </c>
      <c r="BD247" s="92">
        <f>IF(OR($AH247=1,$AJ247=1),1,0)</f>
        <v/>
      </c>
      <c r="BE247" s="95">
        <f>IF(OR($BD247=1,AND($AE247&lt;&gt;"",$BC247&gt;=Controls!$B$10*$AE247)),1,0)</f>
        <v/>
      </c>
    </row>
    <row r="248" ht="15.75" customHeight="1" s="79">
      <c r="A248" s="5" t="inlineStr">
        <is>
          <t>5674166156</t>
        </is>
      </c>
      <c r="B248" s="5" t="inlineStr">
        <is>
          <t>FL AUTO TRANSPORT LLC</t>
        </is>
      </c>
      <c r="C248" s="5" t="inlineStr">
        <is>
          <t>FL AUTO TRANSPORT LLC</t>
        </is>
      </c>
      <c r="D248" s="5" t="inlineStr">
        <is>
          <t>Legal</t>
        </is>
      </c>
      <c r="E248" s="16" t="n">
        <v>45911</v>
      </c>
      <c r="F248" s="16" t="n">
        <v>45926</v>
      </c>
      <c r="G248" s="17" t="n">
        <v>1</v>
      </c>
      <c r="H248" s="5" t="inlineStr">
        <is>
          <t>3799</t>
        </is>
      </c>
      <c r="I248" s="5" t="inlineStr">
        <is>
          <t>All Other Transportation Equipment Mfg.</t>
        </is>
      </c>
      <c r="J248" s="5" t="inlineStr">
        <is>
          <t>37</t>
        </is>
      </c>
      <c r="K248" s="5" t="n">
        <v>4789</v>
      </c>
      <c r="L248" s="5" t="inlineStr">
        <is>
          <t>FL</t>
        </is>
      </c>
      <c r="M248" s="5" t="inlineStr">
        <is>
          <t>The Funding Channel</t>
        </is>
      </c>
      <c r="N248" s="5" t="inlineStr">
        <is>
          <t>New Deal</t>
        </is>
      </c>
      <c r="O248" s="19" t="n">
        <v>1.499</v>
      </c>
      <c r="P248" s="20" t="n">
        <v>5000</v>
      </c>
      <c r="Q248" s="20" t="n">
        <v>700</v>
      </c>
      <c r="R248" s="20" t="n">
        <v>7495</v>
      </c>
      <c r="S248" s="20" t="n">
        <v>492.9</v>
      </c>
      <c r="T248" s="20" t="n">
        <v>7002.1</v>
      </c>
      <c r="U248" s="21" t="n">
        <v>0.06576384256170779</v>
      </c>
      <c r="V248" s="22" t="n">
        <v>2.459</v>
      </c>
      <c r="W248" s="17" t="n">
        <v>331</v>
      </c>
      <c r="X248" s="17" t="n">
        <v>7</v>
      </c>
      <c r="Y248" s="20" t="n">
        <v>34050.09</v>
      </c>
      <c r="Z248" s="21" t="n">
        <v>0.0608</v>
      </c>
      <c r="AA248" s="16" t="n">
        <v>40948</v>
      </c>
      <c r="AB248" s="5">
        <f>IF(V248="","",IF(V248&lt;12,"Months","Weeks"))</f>
        <v/>
      </c>
      <c r="AC248" s="5">
        <f>IF(AB248="","",IF(AB248="Months","Daily","Weekly"))</f>
        <v/>
      </c>
      <c r="AD248" s="17">
        <f>IF(V248="","",IF(AC248="Daily",V248*Controls!$B$13,V248))</f>
        <v/>
      </c>
      <c r="AE248" s="17">
        <f>IF(V248="","",IF(AC248="Daily",V248*Controls!$B$13,V248*Controls!$B$12))</f>
        <v/>
      </c>
      <c r="AF248" s="17">
        <f>IF(OR(E248="",F248=""),"",F248-E248)</f>
        <v/>
      </c>
      <c r="AG248" s="17">
        <f>IF(OR(E248="",F248=""),"",NETWORKDAYS(E248,F248,Ref!$F$4:$F$47))</f>
        <v/>
      </c>
      <c r="AH248" s="39">
        <f>IF(IFERROR(VLOOKUP(D248,Controls!$A$25:$D$35,2,FALSE()),"No")="Yes",1,0)</f>
        <v/>
      </c>
      <c r="AI248" s="39">
        <f>IF(IFERROR(VLOOKUP(D248,Controls!$A$25:$D$35,3,FALSE()),"No")="Yes",1,0)</f>
        <v/>
      </c>
      <c r="AJ248" s="39">
        <f>IF(IFERROR(VLOOKUP(D248,Controls!$A$25:$D$35,4,FALSE()),"No")="Yes",1,0)</f>
        <v/>
      </c>
      <c r="AK248" s="96">
        <f>IF(AND($E248&gt;=Controls!$B$5,$E248&lt;=Controls!$B$6,OR(Controls!$E$9&lt;&gt;"Y",$BE248=1)),1,0)</f>
        <v/>
      </c>
      <c r="AL248" s="39">
        <f>1</f>
        <v/>
      </c>
      <c r="AM248" s="20">
        <f>S248-P248</f>
        <v/>
      </c>
      <c r="AN248" s="20">
        <f>IF(AH248=1,MAX(0,P248-S248),0)</f>
        <v/>
      </c>
      <c r="AO248" s="21">
        <f>IFERROR(S248/P248,"")</f>
        <v/>
      </c>
      <c r="AP248" s="22">
        <f>IF(Y248="","",P248/Y248)</f>
        <v/>
      </c>
      <c r="AQ248" s="39">
        <f>IF(Y248="",0,1)</f>
        <v/>
      </c>
      <c r="AR248" s="39">
        <f>IF(S248&lt;=0,1,0)</f>
        <v/>
      </c>
      <c r="AS248" s="17">
        <f>IF(AH248=1,AG248,"")</f>
        <v/>
      </c>
      <c r="AT248" s="17">
        <f>IF(AND(AH248=0,AJ248=1),AG248,"")</f>
        <v/>
      </c>
      <c r="AU248" s="5">
        <f>IF(P248&lt;10000,"Under $10K",IF(P248&lt;20000,"$10-20K",IF(P248&lt;30000,"$20-30K",IF(P248&lt;50000,"$30-50K",IF(P248&lt;100000,"$50-100K","$100K+")))))</f>
        <v/>
      </c>
      <c r="AV248" s="5">
        <f>IF(O248&lt;=1.35,"1.35 and under",IF(O248&lt;=1.42,"1.36-1.42",IF(O248&lt;=1.45,"1.43-1.45",IF(O248&lt;1.49,"1.46-1.48",IF(O248&lt;=1.49,"1.49","Above 1.49")))))</f>
        <v/>
      </c>
      <c r="AW248" s="5">
        <f>IF(AE248="","",IF(AE248&lt;60,"Under 60",IF(AE248&lt;90,"60-89",IF(AE248&lt;120,"90-119",IF(AE248&lt;150,"120-149","150+")))))</f>
        <v/>
      </c>
      <c r="AX248" s="5">
        <f>IF(AP248="","No revenue data",IF(AP248&lt;0.15,"Under 0.15x",IF(AP248&lt;0.3,"0.15-0.30x",IF(AP248&lt;0.5,"0.30-0.50x",IF(AP248&lt;1,"0.50-1.00x","1.00x+")))))</f>
        <v/>
      </c>
      <c r="AY248" s="5">
        <f>IF(J248="","No SIC",IFERROR(VLOOKUP(J248,Ref!$A$4:$C$67,2,FALSE()),"Unclassified"))</f>
        <v/>
      </c>
      <c r="AZ248" s="5">
        <f>IF(E248="","",TEXT(E248,"YYYY")&amp;"-Q"&amp;ROUNDUP(MONTH(E248)/3,0))</f>
        <v/>
      </c>
      <c r="BA248" s="5">
        <f>IF(E248="","",TEXT(E248,"YYYY-MM"))</f>
        <v/>
      </c>
      <c r="BB248" s="5">
        <f>IF(E248="","",TEXT(E248,"YYYY"))</f>
        <v/>
      </c>
      <c r="BC248" s="92">
        <f>IF($E248="","",NETWORKDAYS($E248,Controls!$B$9,Ref!$F$4:$F$47))</f>
        <v/>
      </c>
      <c r="BD248" s="92">
        <f>IF(OR($AH248=1,$AJ248=1),1,0)</f>
        <v/>
      </c>
      <c r="BE248" s="95">
        <f>IF(OR($BD248=1,AND($AE248&lt;&gt;"",$BC248&gt;=Controls!$B$10*$AE248)),1,0)</f>
        <v/>
      </c>
    </row>
    <row r="249" ht="15.75" customHeight="1" s="79">
      <c r="A249" s="5" t="inlineStr">
        <is>
          <t>5674166369</t>
        </is>
      </c>
      <c r="B249" s="5" t="inlineStr">
        <is>
          <t>CAPRI Transportation</t>
        </is>
      </c>
      <c r="C249" s="5" t="inlineStr">
        <is>
          <t>CAPRI TRANSPORTATION LLC</t>
        </is>
      </c>
      <c r="D249" s="5" t="inlineStr">
        <is>
          <t>Legal</t>
        </is>
      </c>
      <c r="E249" s="16" t="n">
        <v>45915</v>
      </c>
      <c r="F249" s="16" t="n">
        <v>45961</v>
      </c>
      <c r="G249" s="17" t="n">
        <v>2</v>
      </c>
      <c r="H249" s="5" t="inlineStr">
        <is>
          <t>4121</t>
        </is>
      </c>
      <c r="I249" s="5" t="inlineStr">
        <is>
          <t>Taxi Service</t>
        </is>
      </c>
      <c r="J249" s="5" t="inlineStr">
        <is>
          <t>41</t>
        </is>
      </c>
      <c r="K249" s="5" t="n">
        <v>4121</v>
      </c>
      <c r="L249" s="5" t="inlineStr">
        <is>
          <t>FL</t>
        </is>
      </c>
      <c r="M249" s="5" t="inlineStr">
        <is>
          <t>Premium Capital (AMRK)</t>
        </is>
      </c>
      <c r="N249" s="5" t="inlineStr">
        <is>
          <t>Renewal</t>
        </is>
      </c>
      <c r="O249" s="19" t="n">
        <v>1.499</v>
      </c>
      <c r="P249" s="20" t="n">
        <v>18000</v>
      </c>
      <c r="Q249" s="20" t="n">
        <v>2520</v>
      </c>
      <c r="R249" s="20" t="n">
        <v>26982</v>
      </c>
      <c r="S249" s="20" t="n">
        <v>6577.73</v>
      </c>
      <c r="T249" s="20" t="n">
        <v>20404.27</v>
      </c>
      <c r="U249" s="21" t="n">
        <v>0.243782151063672</v>
      </c>
      <c r="V249" s="22" t="n">
        <v>2.951</v>
      </c>
      <c r="W249" s="17" t="n">
        <v>292</v>
      </c>
      <c r="X249" s="17" t="n">
        <v>10</v>
      </c>
      <c r="Y249" s="20" t="n">
        <v>47015.44</v>
      </c>
      <c r="Z249" s="21" t="n">
        <v>0.1331</v>
      </c>
      <c r="AA249" s="5" t="n"/>
      <c r="AB249" s="5">
        <f>IF(V249="","",IF(V249&lt;12,"Months","Weeks"))</f>
        <v/>
      </c>
      <c r="AC249" s="5">
        <f>IF(AB249="","",IF(AB249="Months","Daily","Weekly"))</f>
        <v/>
      </c>
      <c r="AD249" s="17">
        <f>IF(V249="","",IF(AC249="Daily",V249*Controls!$B$13,V249))</f>
        <v/>
      </c>
      <c r="AE249" s="17">
        <f>IF(V249="","",IF(AC249="Daily",V249*Controls!$B$13,V249*Controls!$B$12))</f>
        <v/>
      </c>
      <c r="AF249" s="17">
        <f>IF(OR(E249="",F249=""),"",F249-E249)</f>
        <v/>
      </c>
      <c r="AG249" s="17">
        <f>IF(OR(E249="",F249=""),"",NETWORKDAYS(E249,F249,Ref!$F$4:$F$47))</f>
        <v/>
      </c>
      <c r="AH249" s="39">
        <f>IF(IFERROR(VLOOKUP(D249,Controls!$A$25:$D$35,2,FALSE()),"No")="Yes",1,0)</f>
        <v/>
      </c>
      <c r="AI249" s="39">
        <f>IF(IFERROR(VLOOKUP(D249,Controls!$A$25:$D$35,3,FALSE()),"No")="Yes",1,0)</f>
        <v/>
      </c>
      <c r="AJ249" s="39">
        <f>IF(IFERROR(VLOOKUP(D249,Controls!$A$25:$D$35,4,FALSE()),"No")="Yes",1,0)</f>
        <v/>
      </c>
      <c r="AK249" s="96">
        <f>IF(AND($E249&gt;=Controls!$B$5,$E249&lt;=Controls!$B$6,OR(Controls!$E$9&lt;&gt;"Y",$BE249=1)),1,0)</f>
        <v/>
      </c>
      <c r="AL249" s="39">
        <f>1</f>
        <v/>
      </c>
      <c r="AM249" s="20">
        <f>S249-P249</f>
        <v/>
      </c>
      <c r="AN249" s="20">
        <f>IF(AH249=1,MAX(0,P249-S249),0)</f>
        <v/>
      </c>
      <c r="AO249" s="21">
        <f>IFERROR(S249/P249,"")</f>
        <v/>
      </c>
      <c r="AP249" s="22">
        <f>IF(Y249="","",P249/Y249)</f>
        <v/>
      </c>
      <c r="AQ249" s="39">
        <f>IF(Y249="",0,1)</f>
        <v/>
      </c>
      <c r="AR249" s="39">
        <f>IF(S249&lt;=0,1,0)</f>
        <v/>
      </c>
      <c r="AS249" s="17">
        <f>IF(AH249=1,AG249,"")</f>
        <v/>
      </c>
      <c r="AT249" s="17">
        <f>IF(AND(AH249=0,AJ249=1),AG249,"")</f>
        <v/>
      </c>
      <c r="AU249" s="5">
        <f>IF(P249&lt;10000,"Under $10K",IF(P249&lt;20000,"$10-20K",IF(P249&lt;30000,"$20-30K",IF(P249&lt;50000,"$30-50K",IF(P249&lt;100000,"$50-100K","$100K+")))))</f>
        <v/>
      </c>
      <c r="AV249" s="5">
        <f>IF(O249&lt;=1.35,"1.35 and under",IF(O249&lt;=1.42,"1.36-1.42",IF(O249&lt;=1.45,"1.43-1.45",IF(O249&lt;1.49,"1.46-1.48",IF(O249&lt;=1.49,"1.49","Above 1.49")))))</f>
        <v/>
      </c>
      <c r="AW249" s="5">
        <f>IF(AE249="","",IF(AE249&lt;60,"Under 60",IF(AE249&lt;90,"60-89",IF(AE249&lt;120,"90-119",IF(AE249&lt;150,"120-149","150+")))))</f>
        <v/>
      </c>
      <c r="AX249" s="5">
        <f>IF(AP249="","No revenue data",IF(AP249&lt;0.15,"Under 0.15x",IF(AP249&lt;0.3,"0.15-0.30x",IF(AP249&lt;0.5,"0.30-0.50x",IF(AP249&lt;1,"0.50-1.00x","1.00x+")))))</f>
        <v/>
      </c>
      <c r="AY249" s="5">
        <f>IF(J249="","No SIC",IFERROR(VLOOKUP(J249,Ref!$A$4:$C$67,2,FALSE()),"Unclassified"))</f>
        <v/>
      </c>
      <c r="AZ249" s="5">
        <f>IF(E249="","",TEXT(E249,"YYYY")&amp;"-Q"&amp;ROUNDUP(MONTH(E249)/3,0))</f>
        <v/>
      </c>
      <c r="BA249" s="5">
        <f>IF(E249="","",TEXT(E249,"YYYY-MM"))</f>
        <v/>
      </c>
      <c r="BB249" s="5">
        <f>IF(E249="","",TEXT(E249,"YYYY"))</f>
        <v/>
      </c>
      <c r="BC249" s="92">
        <f>IF($E249="","",NETWORKDAYS($E249,Controls!$B$9,Ref!$F$4:$F$47))</f>
        <v/>
      </c>
      <c r="BD249" s="92">
        <f>IF(OR($AH249=1,$AJ249=1),1,0)</f>
        <v/>
      </c>
      <c r="BE249" s="95">
        <f>IF(OR($BD249=1,AND($AE249&lt;&gt;"",$BC249&gt;=Controls!$B$10*$AE249)),1,0)</f>
        <v/>
      </c>
    </row>
    <row r="250" ht="15.75" customHeight="1" s="79">
      <c r="A250" s="5" t="inlineStr">
        <is>
          <t>5674166400</t>
        </is>
      </c>
      <c r="B250" s="5" t="inlineStr">
        <is>
          <t>Pet Dynasty</t>
        </is>
      </c>
      <c r="C250" s="5" t="inlineStr">
        <is>
          <t>MOO-VA-PET</t>
        </is>
      </c>
      <c r="D250" s="5" t="inlineStr">
        <is>
          <t>In House Collection</t>
        </is>
      </c>
      <c r="E250" s="16" t="n">
        <v>45915</v>
      </c>
      <c r="F250" s="16" t="n">
        <v>46097</v>
      </c>
      <c r="G250" s="17" t="n">
        <v>2</v>
      </c>
      <c r="H250" s="5" t="inlineStr">
        <is>
          <t>0742</t>
        </is>
      </c>
      <c r="I250" s="5" t="inlineStr">
        <is>
          <t>Veterinary Services</t>
        </is>
      </c>
      <c r="J250" s="5" t="inlineStr">
        <is>
          <t>07</t>
        </is>
      </c>
      <c r="K250" s="5" t="n">
        <v>742</v>
      </c>
      <c r="L250" s="5" t="inlineStr">
        <is>
          <t>CA</t>
        </is>
      </c>
      <c r="M250" s="5" t="inlineStr">
        <is>
          <t>FC ADVANCE</t>
        </is>
      </c>
      <c r="N250" s="5" t="inlineStr">
        <is>
          <t>Renewal</t>
        </is>
      </c>
      <c r="O250" s="19" t="n">
        <v>1.49</v>
      </c>
      <c r="P250" s="20" t="n">
        <v>10000</v>
      </c>
      <c r="Q250" s="20" t="n">
        <v>1400</v>
      </c>
      <c r="R250" s="20" t="n">
        <v>14900</v>
      </c>
      <c r="S250" s="20" t="n">
        <v>10733.76</v>
      </c>
      <c r="T250" s="20" t="n">
        <v>4166.24</v>
      </c>
      <c r="U250" s="21" t="n">
        <v>0.720386577181208</v>
      </c>
      <c r="V250" s="22" t="n">
        <v>3.279</v>
      </c>
      <c r="W250" s="17" t="n">
        <v>177</v>
      </c>
      <c r="X250" s="17" t="n">
        <v>38</v>
      </c>
      <c r="Y250" s="20" t="n">
        <v>41301.41</v>
      </c>
      <c r="Z250" s="21" t="n">
        <v>0.07580000000000001</v>
      </c>
      <c r="AA250" s="16" t="n">
        <v>43472</v>
      </c>
      <c r="AB250" s="5">
        <f>IF(V250="","",IF(V250&lt;12,"Months","Weeks"))</f>
        <v/>
      </c>
      <c r="AC250" s="5">
        <f>IF(AB250="","",IF(AB250="Months","Daily","Weekly"))</f>
        <v/>
      </c>
      <c r="AD250" s="17">
        <f>IF(V250="","",IF(AC250="Daily",V250*Controls!$B$13,V250))</f>
        <v/>
      </c>
      <c r="AE250" s="17">
        <f>IF(V250="","",IF(AC250="Daily",V250*Controls!$B$13,V250*Controls!$B$12))</f>
        <v/>
      </c>
      <c r="AF250" s="17">
        <f>IF(OR(E250="",F250=""),"",F250-E250)</f>
        <v/>
      </c>
      <c r="AG250" s="17">
        <f>IF(OR(E250="",F250=""),"",NETWORKDAYS(E250,F250,Ref!$F$4:$F$47))</f>
        <v/>
      </c>
      <c r="AH250" s="39">
        <f>IF(IFERROR(VLOOKUP(D250,Controls!$A$25:$D$35,2,FALSE()),"No")="Yes",1,0)</f>
        <v/>
      </c>
      <c r="AI250" s="39">
        <f>IF(IFERROR(VLOOKUP(D250,Controls!$A$25:$D$35,3,FALSE()),"No")="Yes",1,0)</f>
        <v/>
      </c>
      <c r="AJ250" s="39">
        <f>IF(IFERROR(VLOOKUP(D250,Controls!$A$25:$D$35,4,FALSE()),"No")="Yes",1,0)</f>
        <v/>
      </c>
      <c r="AK250" s="96">
        <f>IF(AND($E250&gt;=Controls!$B$5,$E250&lt;=Controls!$B$6,OR(Controls!$E$9&lt;&gt;"Y",$BE250=1)),1,0)</f>
        <v/>
      </c>
      <c r="AL250" s="39">
        <f>1</f>
        <v/>
      </c>
      <c r="AM250" s="20">
        <f>S250-P250</f>
        <v/>
      </c>
      <c r="AN250" s="20">
        <f>IF(AH250=1,MAX(0,P250-S250),0)</f>
        <v/>
      </c>
      <c r="AO250" s="21">
        <f>IFERROR(S250/P250,"")</f>
        <v/>
      </c>
      <c r="AP250" s="22">
        <f>IF(Y250="","",P250/Y250)</f>
        <v/>
      </c>
      <c r="AQ250" s="39">
        <f>IF(Y250="",0,1)</f>
        <v/>
      </c>
      <c r="AR250" s="39">
        <f>IF(S250&lt;=0,1,0)</f>
        <v/>
      </c>
      <c r="AS250" s="17">
        <f>IF(AH250=1,AG250,"")</f>
        <v/>
      </c>
      <c r="AT250" s="17">
        <f>IF(AND(AH250=0,AJ250=1),AG250,"")</f>
        <v/>
      </c>
      <c r="AU250" s="5">
        <f>IF(P250&lt;10000,"Under $10K",IF(P250&lt;20000,"$10-20K",IF(P250&lt;30000,"$20-30K",IF(P250&lt;50000,"$30-50K",IF(P250&lt;100000,"$50-100K","$100K+")))))</f>
        <v/>
      </c>
      <c r="AV250" s="5">
        <f>IF(O250&lt;=1.35,"1.35 and under",IF(O250&lt;=1.42,"1.36-1.42",IF(O250&lt;=1.45,"1.43-1.45",IF(O250&lt;1.49,"1.46-1.48",IF(O250&lt;=1.49,"1.49","Above 1.49")))))</f>
        <v/>
      </c>
      <c r="AW250" s="5">
        <f>IF(AE250="","",IF(AE250&lt;60,"Under 60",IF(AE250&lt;90,"60-89",IF(AE250&lt;120,"90-119",IF(AE250&lt;150,"120-149","150+")))))</f>
        <v/>
      </c>
      <c r="AX250" s="5">
        <f>IF(AP250="","No revenue data",IF(AP250&lt;0.15,"Under 0.15x",IF(AP250&lt;0.3,"0.15-0.30x",IF(AP250&lt;0.5,"0.30-0.50x",IF(AP250&lt;1,"0.50-1.00x","1.00x+")))))</f>
        <v/>
      </c>
      <c r="AY250" s="5">
        <f>IF(J250="","No SIC",IFERROR(VLOOKUP(J250,Ref!$A$4:$C$67,2,FALSE()),"Unclassified"))</f>
        <v/>
      </c>
      <c r="AZ250" s="5">
        <f>IF(E250="","",TEXT(E250,"YYYY")&amp;"-Q"&amp;ROUNDUP(MONTH(E250)/3,0))</f>
        <v/>
      </c>
      <c r="BA250" s="5">
        <f>IF(E250="","",TEXT(E250,"YYYY-MM"))</f>
        <v/>
      </c>
      <c r="BB250" s="5">
        <f>IF(E250="","",TEXT(E250,"YYYY"))</f>
        <v/>
      </c>
      <c r="BC250" s="92">
        <f>IF($E250="","",NETWORKDAYS($E250,Controls!$B$9,Ref!$F$4:$F$47))</f>
        <v/>
      </c>
      <c r="BD250" s="92">
        <f>IF(OR($AH250=1,$AJ250=1),1,0)</f>
        <v/>
      </c>
      <c r="BE250" s="95">
        <f>IF(OR($BD250=1,AND($AE250&lt;&gt;"",$BC250&gt;=Controls!$B$10*$AE250)),1,0)</f>
        <v/>
      </c>
    </row>
    <row r="251" ht="15.75" customHeight="1" s="79">
      <c r="A251" s="5" t="inlineStr">
        <is>
          <t>5674166825</t>
        </is>
      </c>
      <c r="B251" s="5" t="inlineStr">
        <is>
          <t>ALPHA 3 MASONRY &amp; REMODEL</t>
        </is>
      </c>
      <c r="C251" s="5" t="inlineStr">
        <is>
          <t>ALPHA 3 MASONRY &amp; REMODEL LLC</t>
        </is>
      </c>
      <c r="D251" s="5" t="inlineStr">
        <is>
          <t>Closed</t>
        </is>
      </c>
      <c r="E251" s="16" t="n">
        <v>45917</v>
      </c>
      <c r="F251" s="16" t="n">
        <v>46079</v>
      </c>
      <c r="G251" s="17" t="n">
        <v>2</v>
      </c>
      <c r="H251" s="5" t="inlineStr">
        <is>
          <t>1521</t>
        </is>
      </c>
      <c r="I251" s="5" t="inlineStr">
        <is>
          <t>New Single-Family Housing Construction (Except For-Sale Builders)</t>
        </is>
      </c>
      <c r="J251" s="5" t="inlineStr">
        <is>
          <t>15</t>
        </is>
      </c>
      <c r="K251" s="5" t="n">
        <v>1520</v>
      </c>
      <c r="L251" s="5" t="inlineStr">
        <is>
          <t>AZ</t>
        </is>
      </c>
      <c r="M251" s="5" t="inlineStr">
        <is>
          <t>FIMACAP INC</t>
        </is>
      </c>
      <c r="N251" s="5" t="inlineStr">
        <is>
          <t>New Deal</t>
        </is>
      </c>
      <c r="O251" s="19" t="n">
        <v>1.35</v>
      </c>
      <c r="P251" s="20" t="n">
        <v>20000</v>
      </c>
      <c r="Q251" s="20" t="n">
        <v>1400</v>
      </c>
      <c r="R251" s="20" t="n">
        <v>27000</v>
      </c>
      <c r="S251" s="20" t="n">
        <v>27000</v>
      </c>
      <c r="T251" s="20" t="n">
        <v>0</v>
      </c>
      <c r="U251" s="21" t="n">
        <v>1</v>
      </c>
      <c r="V251" s="22" t="n">
        <v>22</v>
      </c>
      <c r="W251" s="17" t="n">
        <v>174</v>
      </c>
      <c r="X251" s="17" t="n">
        <v>2</v>
      </c>
      <c r="Y251" s="20" t="n">
        <v>123628.7</v>
      </c>
      <c r="Z251" s="21" t="n">
        <v>0.0397</v>
      </c>
      <c r="AA251" s="16" t="n">
        <v>44562</v>
      </c>
      <c r="AB251" s="5">
        <f>IF(V251="","",IF(V251&lt;12,"Months","Weeks"))</f>
        <v/>
      </c>
      <c r="AC251" s="5">
        <f>IF(AB251="","",IF(AB251="Months","Daily","Weekly"))</f>
        <v/>
      </c>
      <c r="AD251" s="17">
        <f>IF(V251="","",IF(AC251="Daily",V251*Controls!$B$13,V251))</f>
        <v/>
      </c>
      <c r="AE251" s="17">
        <f>IF(V251="","",IF(AC251="Daily",V251*Controls!$B$13,V251*Controls!$B$12))</f>
        <v/>
      </c>
      <c r="AF251" s="17">
        <f>IF(OR(E251="",F251=""),"",F251-E251)</f>
        <v/>
      </c>
      <c r="AG251" s="17">
        <f>IF(OR(E251="",F251=""),"",NETWORKDAYS(E251,F251,Ref!$F$4:$F$47))</f>
        <v/>
      </c>
      <c r="AH251" s="39">
        <f>IF(IFERROR(VLOOKUP(D251,Controls!$A$25:$D$35,2,FALSE()),"No")="Yes",1,0)</f>
        <v/>
      </c>
      <c r="AI251" s="39">
        <f>IF(IFERROR(VLOOKUP(D251,Controls!$A$25:$D$35,3,FALSE()),"No")="Yes",1,0)</f>
        <v/>
      </c>
      <c r="AJ251" s="39">
        <f>IF(IFERROR(VLOOKUP(D251,Controls!$A$25:$D$35,4,FALSE()),"No")="Yes",1,0)</f>
        <v/>
      </c>
      <c r="AK251" s="96">
        <f>IF(AND($E251&gt;=Controls!$B$5,$E251&lt;=Controls!$B$6,OR(Controls!$E$9&lt;&gt;"Y",$BE251=1)),1,0)</f>
        <v/>
      </c>
      <c r="AL251" s="39">
        <f>1</f>
        <v/>
      </c>
      <c r="AM251" s="20">
        <f>S251-P251</f>
        <v/>
      </c>
      <c r="AN251" s="20">
        <f>IF(AH251=1,MAX(0,P251-S251),0)</f>
        <v/>
      </c>
      <c r="AO251" s="21">
        <f>IFERROR(S251/P251,"")</f>
        <v/>
      </c>
      <c r="AP251" s="22">
        <f>IF(Y251="","",P251/Y251)</f>
        <v/>
      </c>
      <c r="AQ251" s="39">
        <f>IF(Y251="",0,1)</f>
        <v/>
      </c>
      <c r="AR251" s="39">
        <f>IF(S251&lt;=0,1,0)</f>
        <v/>
      </c>
      <c r="AS251" s="17">
        <f>IF(AH251=1,AG251,"")</f>
        <v/>
      </c>
      <c r="AT251" s="17">
        <f>IF(AND(AH251=0,AJ251=1),AG251,"")</f>
        <v/>
      </c>
      <c r="AU251" s="5">
        <f>IF(P251&lt;10000,"Under $10K",IF(P251&lt;20000,"$10-20K",IF(P251&lt;30000,"$20-30K",IF(P251&lt;50000,"$30-50K",IF(P251&lt;100000,"$50-100K","$100K+")))))</f>
        <v/>
      </c>
      <c r="AV251" s="5">
        <f>IF(O251&lt;=1.35,"1.35 and under",IF(O251&lt;=1.42,"1.36-1.42",IF(O251&lt;=1.45,"1.43-1.45",IF(O251&lt;1.49,"1.46-1.48",IF(O251&lt;=1.49,"1.49","Above 1.49")))))</f>
        <v/>
      </c>
      <c r="AW251" s="5">
        <f>IF(AE251="","",IF(AE251&lt;60,"Under 60",IF(AE251&lt;90,"60-89",IF(AE251&lt;120,"90-119",IF(AE251&lt;150,"120-149","150+")))))</f>
        <v/>
      </c>
      <c r="AX251" s="5">
        <f>IF(AP251="","No revenue data",IF(AP251&lt;0.15,"Under 0.15x",IF(AP251&lt;0.3,"0.15-0.30x",IF(AP251&lt;0.5,"0.30-0.50x",IF(AP251&lt;1,"0.50-1.00x","1.00x+")))))</f>
        <v/>
      </c>
      <c r="AY251" s="5">
        <f>IF(J251="","No SIC",IFERROR(VLOOKUP(J251,Ref!$A$4:$C$67,2,FALSE()),"Unclassified"))</f>
        <v/>
      </c>
      <c r="AZ251" s="5">
        <f>IF(E251="","",TEXT(E251,"YYYY")&amp;"-Q"&amp;ROUNDUP(MONTH(E251)/3,0))</f>
        <v/>
      </c>
      <c r="BA251" s="5">
        <f>IF(E251="","",TEXT(E251,"YYYY-MM"))</f>
        <v/>
      </c>
      <c r="BB251" s="5">
        <f>IF(E251="","",TEXT(E251,"YYYY"))</f>
        <v/>
      </c>
      <c r="BC251" s="92">
        <f>IF($E251="","",NETWORKDAYS($E251,Controls!$B$9,Ref!$F$4:$F$47))</f>
        <v/>
      </c>
      <c r="BD251" s="92">
        <f>IF(OR($AH251=1,$AJ251=1),1,0)</f>
        <v/>
      </c>
      <c r="BE251" s="95">
        <f>IF(OR($BD251=1,AND($AE251&lt;&gt;"",$BC251&gt;=Controls!$B$10*$AE251)),1,0)</f>
        <v/>
      </c>
    </row>
    <row r="252" ht="15.75" customHeight="1" s="79">
      <c r="A252" s="5" t="inlineStr">
        <is>
          <t>5674166925</t>
        </is>
      </c>
      <c r="B252" s="5" t="inlineStr">
        <is>
          <t>AD Car Detail LLC</t>
        </is>
      </c>
      <c r="C252" s="5" t="inlineStr">
        <is>
          <t>AD Car Detail LLC</t>
        </is>
      </c>
      <c r="D252" s="5" t="inlineStr">
        <is>
          <t>Legal</t>
        </is>
      </c>
      <c r="E252" s="16" t="n">
        <v>45918</v>
      </c>
      <c r="F252" s="16" t="n">
        <v>46014</v>
      </c>
      <c r="G252" s="17" t="n">
        <v>2</v>
      </c>
      <c r="H252" s="5" t="inlineStr">
        <is>
          <t>7538</t>
        </is>
      </c>
      <c r="I252" s="5" t="inlineStr">
        <is>
          <t>General Automotive Repair</t>
        </is>
      </c>
      <c r="J252" s="5" t="inlineStr">
        <is>
          <t>75</t>
        </is>
      </c>
      <c r="K252" s="5" t="n">
        <v>7542</v>
      </c>
      <c r="L252" s="5" t="inlineStr">
        <is>
          <t>MN</t>
        </is>
      </c>
      <c r="M252" s="5" t="inlineStr">
        <is>
          <t>ROK</t>
        </is>
      </c>
      <c r="N252" s="5" t="inlineStr">
        <is>
          <t>Renewal</t>
        </is>
      </c>
      <c r="O252" s="19" t="n">
        <v>1.499</v>
      </c>
      <c r="P252" s="20" t="n">
        <v>12500</v>
      </c>
      <c r="Q252" s="20" t="n">
        <v>1750</v>
      </c>
      <c r="R252" s="20" t="n">
        <v>18737.5</v>
      </c>
      <c r="S252" s="20" t="n">
        <v>11340.2</v>
      </c>
      <c r="T252" s="20" t="n">
        <v>7397.3</v>
      </c>
      <c r="U252" s="21" t="n">
        <v>0.605214142761841</v>
      </c>
      <c r="V252" s="22" t="n">
        <v>3.279</v>
      </c>
      <c r="W252" s="17" t="n">
        <v>245</v>
      </c>
      <c r="X252" s="17" t="n">
        <v>5</v>
      </c>
      <c r="Y252" s="20" t="n">
        <v>28775.85</v>
      </c>
      <c r="Z252" s="21" t="n">
        <v>0.1413</v>
      </c>
      <c r="AA252" s="16" t="n">
        <v>45020</v>
      </c>
      <c r="AB252" s="5">
        <f>IF(V252="","",IF(V252&lt;12,"Months","Weeks"))</f>
        <v/>
      </c>
      <c r="AC252" s="5">
        <f>IF(AB252="","",IF(AB252="Months","Daily","Weekly"))</f>
        <v/>
      </c>
      <c r="AD252" s="17">
        <f>IF(V252="","",IF(AC252="Daily",V252*Controls!$B$13,V252))</f>
        <v/>
      </c>
      <c r="AE252" s="17">
        <f>IF(V252="","",IF(AC252="Daily",V252*Controls!$B$13,V252*Controls!$B$12))</f>
        <v/>
      </c>
      <c r="AF252" s="17">
        <f>IF(OR(E252="",F252=""),"",F252-E252)</f>
        <v/>
      </c>
      <c r="AG252" s="17">
        <f>IF(OR(E252="",F252=""),"",NETWORKDAYS(E252,F252,Ref!$F$4:$F$47))</f>
        <v/>
      </c>
      <c r="AH252" s="39">
        <f>IF(IFERROR(VLOOKUP(D252,Controls!$A$25:$D$35,2,FALSE()),"No")="Yes",1,0)</f>
        <v/>
      </c>
      <c r="AI252" s="39">
        <f>IF(IFERROR(VLOOKUP(D252,Controls!$A$25:$D$35,3,FALSE()),"No")="Yes",1,0)</f>
        <v/>
      </c>
      <c r="AJ252" s="39">
        <f>IF(IFERROR(VLOOKUP(D252,Controls!$A$25:$D$35,4,FALSE()),"No")="Yes",1,0)</f>
        <v/>
      </c>
      <c r="AK252" s="96">
        <f>IF(AND($E252&gt;=Controls!$B$5,$E252&lt;=Controls!$B$6,OR(Controls!$E$9&lt;&gt;"Y",$BE252=1)),1,0)</f>
        <v/>
      </c>
      <c r="AL252" s="39">
        <f>1</f>
        <v/>
      </c>
      <c r="AM252" s="20">
        <f>S252-P252</f>
        <v/>
      </c>
      <c r="AN252" s="20">
        <f>IF(AH252=1,MAX(0,P252-S252),0)</f>
        <v/>
      </c>
      <c r="AO252" s="21">
        <f>IFERROR(S252/P252,"")</f>
        <v/>
      </c>
      <c r="AP252" s="22">
        <f>IF(Y252="","",P252/Y252)</f>
        <v/>
      </c>
      <c r="AQ252" s="39">
        <f>IF(Y252="",0,1)</f>
        <v/>
      </c>
      <c r="AR252" s="39">
        <f>IF(S252&lt;=0,1,0)</f>
        <v/>
      </c>
      <c r="AS252" s="17">
        <f>IF(AH252=1,AG252,"")</f>
        <v/>
      </c>
      <c r="AT252" s="17">
        <f>IF(AND(AH252=0,AJ252=1),AG252,"")</f>
        <v/>
      </c>
      <c r="AU252" s="5">
        <f>IF(P252&lt;10000,"Under $10K",IF(P252&lt;20000,"$10-20K",IF(P252&lt;30000,"$20-30K",IF(P252&lt;50000,"$30-50K",IF(P252&lt;100000,"$50-100K","$100K+")))))</f>
        <v/>
      </c>
      <c r="AV252" s="5">
        <f>IF(O252&lt;=1.35,"1.35 and under",IF(O252&lt;=1.42,"1.36-1.42",IF(O252&lt;=1.45,"1.43-1.45",IF(O252&lt;1.49,"1.46-1.48",IF(O252&lt;=1.49,"1.49","Above 1.49")))))</f>
        <v/>
      </c>
      <c r="AW252" s="5">
        <f>IF(AE252="","",IF(AE252&lt;60,"Under 60",IF(AE252&lt;90,"60-89",IF(AE252&lt;120,"90-119",IF(AE252&lt;150,"120-149","150+")))))</f>
        <v/>
      </c>
      <c r="AX252" s="5">
        <f>IF(AP252="","No revenue data",IF(AP252&lt;0.15,"Under 0.15x",IF(AP252&lt;0.3,"0.15-0.30x",IF(AP252&lt;0.5,"0.30-0.50x",IF(AP252&lt;1,"0.50-1.00x","1.00x+")))))</f>
        <v/>
      </c>
      <c r="AY252" s="5">
        <f>IF(J252="","No SIC",IFERROR(VLOOKUP(J252,Ref!$A$4:$C$67,2,FALSE()),"Unclassified"))</f>
        <v/>
      </c>
      <c r="AZ252" s="5">
        <f>IF(E252="","",TEXT(E252,"YYYY")&amp;"-Q"&amp;ROUNDUP(MONTH(E252)/3,0))</f>
        <v/>
      </c>
      <c r="BA252" s="5">
        <f>IF(E252="","",TEXT(E252,"YYYY-MM"))</f>
        <v/>
      </c>
      <c r="BB252" s="5">
        <f>IF(E252="","",TEXT(E252,"YYYY"))</f>
        <v/>
      </c>
      <c r="BC252" s="92">
        <f>IF($E252="","",NETWORKDAYS($E252,Controls!$B$9,Ref!$F$4:$F$47))</f>
        <v/>
      </c>
      <c r="BD252" s="92">
        <f>IF(OR($AH252=1,$AJ252=1),1,0)</f>
        <v/>
      </c>
      <c r="BE252" s="95">
        <f>IF(OR($BD252=1,AND($AE252&lt;&gt;"",$BC252&gt;=Controls!$B$10*$AE252)),1,0)</f>
        <v/>
      </c>
    </row>
    <row r="253" ht="15.75" customHeight="1" s="79">
      <c r="A253" s="5" t="inlineStr">
        <is>
          <t>5674166986</t>
        </is>
      </c>
      <c r="B253" s="5" t="inlineStr">
        <is>
          <t>Klenk Holdings LLC</t>
        </is>
      </c>
      <c r="C253" s="5" t="inlineStr">
        <is>
          <t>Klenk Holdings LLC</t>
        </is>
      </c>
      <c r="D253" s="5" t="inlineStr">
        <is>
          <t>Legal</t>
        </is>
      </c>
      <c r="E253" s="16" t="n">
        <v>45918</v>
      </c>
      <c r="F253" s="16" t="n">
        <v>46230</v>
      </c>
      <c r="G253" s="17" t="n">
        <v>2</v>
      </c>
      <c r="H253" s="5" t="inlineStr">
        <is>
          <t>5999</t>
        </is>
      </c>
      <c r="I253" s="5" t="inlineStr">
        <is>
          <t>All Other Misc. Store Retailers (Except Tobacco Stores)</t>
        </is>
      </c>
      <c r="J253" s="5" t="inlineStr">
        <is>
          <t>59</t>
        </is>
      </c>
      <c r="K253" s="5" t="n">
        <v>5999</v>
      </c>
      <c r="L253" s="5" t="inlineStr">
        <is>
          <t>IN</t>
        </is>
      </c>
      <c r="M253" s="5" t="inlineStr">
        <is>
          <t>United Secured Capital 8</t>
        </is>
      </c>
      <c r="N253" s="5" t="inlineStr">
        <is>
          <t>New Deal</t>
        </is>
      </c>
      <c r="O253" s="19" t="n">
        <v>1.49</v>
      </c>
      <c r="P253" s="20" t="n">
        <v>11500</v>
      </c>
      <c r="Q253" s="20" t="n">
        <v>1610</v>
      </c>
      <c r="R253" s="20" t="n">
        <v>17135</v>
      </c>
      <c r="S253" s="20" t="n">
        <v>6750</v>
      </c>
      <c r="T253" s="20" t="n">
        <v>10385</v>
      </c>
      <c r="U253" s="21" t="n">
        <v>0.393930551502772</v>
      </c>
      <c r="V253" s="22" t="n">
        <v>1.967</v>
      </c>
      <c r="W253" s="17" t="n">
        <v>26</v>
      </c>
      <c r="X253" s="17" t="n">
        <v>41</v>
      </c>
      <c r="Y253" s="20" t="n">
        <v>11443.09</v>
      </c>
      <c r="Z253" s="21" t="n">
        <v>0.5241</v>
      </c>
      <c r="AA253" s="16" t="n">
        <v>45292</v>
      </c>
      <c r="AB253" s="5">
        <f>IF(V253="","",IF(V253&lt;12,"Months","Weeks"))</f>
        <v/>
      </c>
      <c r="AC253" s="5">
        <f>IF(AB253="","",IF(AB253="Months","Daily","Weekly"))</f>
        <v/>
      </c>
      <c r="AD253" s="17">
        <f>IF(V253="","",IF(AC253="Daily",V253*Controls!$B$13,V253))</f>
        <v/>
      </c>
      <c r="AE253" s="17">
        <f>IF(V253="","",IF(AC253="Daily",V253*Controls!$B$13,V253*Controls!$B$12))</f>
        <v/>
      </c>
      <c r="AF253" s="17">
        <f>IF(OR(E253="",F253=""),"",F253-E253)</f>
        <v/>
      </c>
      <c r="AG253" s="17">
        <f>IF(OR(E253="",F253=""),"",NETWORKDAYS(E253,F253,Ref!$F$4:$F$47))</f>
        <v/>
      </c>
      <c r="AH253" s="39">
        <f>IF(IFERROR(VLOOKUP(D253,Controls!$A$25:$D$35,2,FALSE()),"No")="Yes",1,0)</f>
        <v/>
      </c>
      <c r="AI253" s="39">
        <f>IF(IFERROR(VLOOKUP(D253,Controls!$A$25:$D$35,3,FALSE()),"No")="Yes",1,0)</f>
        <v/>
      </c>
      <c r="AJ253" s="39">
        <f>IF(IFERROR(VLOOKUP(D253,Controls!$A$25:$D$35,4,FALSE()),"No")="Yes",1,0)</f>
        <v/>
      </c>
      <c r="AK253" s="96">
        <f>IF(AND($E253&gt;=Controls!$B$5,$E253&lt;=Controls!$B$6,OR(Controls!$E$9&lt;&gt;"Y",$BE253=1)),1,0)</f>
        <v/>
      </c>
      <c r="AL253" s="39">
        <f>1</f>
        <v/>
      </c>
      <c r="AM253" s="20">
        <f>S253-P253</f>
        <v/>
      </c>
      <c r="AN253" s="20">
        <f>IF(AH253=1,MAX(0,P253-S253),0)</f>
        <v/>
      </c>
      <c r="AO253" s="21">
        <f>IFERROR(S253/P253,"")</f>
        <v/>
      </c>
      <c r="AP253" s="22">
        <f>IF(Y253="","",P253/Y253)</f>
        <v/>
      </c>
      <c r="AQ253" s="39">
        <f>IF(Y253="",0,1)</f>
        <v/>
      </c>
      <c r="AR253" s="39">
        <f>IF(S253&lt;=0,1,0)</f>
        <v/>
      </c>
      <c r="AS253" s="17">
        <f>IF(AH253=1,AG253,"")</f>
        <v/>
      </c>
      <c r="AT253" s="17">
        <f>IF(AND(AH253=0,AJ253=1),AG253,"")</f>
        <v/>
      </c>
      <c r="AU253" s="5">
        <f>IF(P253&lt;10000,"Under $10K",IF(P253&lt;20000,"$10-20K",IF(P253&lt;30000,"$20-30K",IF(P253&lt;50000,"$30-50K",IF(P253&lt;100000,"$50-100K","$100K+")))))</f>
        <v/>
      </c>
      <c r="AV253" s="5">
        <f>IF(O253&lt;=1.35,"1.35 and under",IF(O253&lt;=1.42,"1.36-1.42",IF(O253&lt;=1.45,"1.43-1.45",IF(O253&lt;1.49,"1.46-1.48",IF(O253&lt;=1.49,"1.49","Above 1.49")))))</f>
        <v/>
      </c>
      <c r="AW253" s="5">
        <f>IF(AE253="","",IF(AE253&lt;60,"Under 60",IF(AE253&lt;90,"60-89",IF(AE253&lt;120,"90-119",IF(AE253&lt;150,"120-149","150+")))))</f>
        <v/>
      </c>
      <c r="AX253" s="5">
        <f>IF(AP253="","No revenue data",IF(AP253&lt;0.15,"Under 0.15x",IF(AP253&lt;0.3,"0.15-0.30x",IF(AP253&lt;0.5,"0.30-0.50x",IF(AP253&lt;1,"0.50-1.00x","1.00x+")))))</f>
        <v/>
      </c>
      <c r="AY253" s="5">
        <f>IF(J253="","No SIC",IFERROR(VLOOKUP(J253,Ref!$A$4:$C$67,2,FALSE()),"Unclassified"))</f>
        <v/>
      </c>
      <c r="AZ253" s="5">
        <f>IF(E253="","",TEXT(E253,"YYYY")&amp;"-Q"&amp;ROUNDUP(MONTH(E253)/3,0))</f>
        <v/>
      </c>
      <c r="BA253" s="5">
        <f>IF(E253="","",TEXT(E253,"YYYY-MM"))</f>
        <v/>
      </c>
      <c r="BB253" s="5">
        <f>IF(E253="","",TEXT(E253,"YYYY"))</f>
        <v/>
      </c>
      <c r="BC253" s="92">
        <f>IF($E253="","",NETWORKDAYS($E253,Controls!$B$9,Ref!$F$4:$F$47))</f>
        <v/>
      </c>
      <c r="BD253" s="92">
        <f>IF(OR($AH253=1,$AJ253=1),1,0)</f>
        <v/>
      </c>
      <c r="BE253" s="95">
        <f>IF(OR($BD253=1,AND($AE253&lt;&gt;"",$BC253&gt;=Controls!$B$10*$AE253)),1,0)</f>
        <v/>
      </c>
    </row>
    <row r="254" ht="15.75" customHeight="1" s="79">
      <c r="A254" s="5" t="inlineStr">
        <is>
          <t>5674167047</t>
        </is>
      </c>
      <c r="B254" s="5" t="inlineStr">
        <is>
          <t>Kenetix Performance and Fitness</t>
        </is>
      </c>
      <c r="C254" s="5" t="inlineStr">
        <is>
          <t>Kenetix LLC</t>
        </is>
      </c>
      <c r="D254" s="5" t="inlineStr">
        <is>
          <t>Closed</t>
        </is>
      </c>
      <c r="E254" s="16" t="n">
        <v>45919</v>
      </c>
      <c r="F254" s="16" t="n">
        <v>46087</v>
      </c>
      <c r="G254" s="17" t="n">
        <v>1</v>
      </c>
      <c r="H254" s="5" t="inlineStr">
        <is>
          <t>7991</t>
        </is>
      </c>
      <c r="I254" s="5" t="inlineStr">
        <is>
          <t>Fitness and Recreational Sports Centers</t>
        </is>
      </c>
      <c r="J254" s="5" t="inlineStr">
        <is>
          <t>79</t>
        </is>
      </c>
      <c r="K254" s="5" t="n">
        <v>7997</v>
      </c>
      <c r="L254" s="5" t="inlineStr">
        <is>
          <t>TN</t>
        </is>
      </c>
      <c r="M254" s="5" t="inlineStr">
        <is>
          <t>Fundwell</t>
        </is>
      </c>
      <c r="N254" s="5" t="inlineStr">
        <is>
          <t>New Deal</t>
        </is>
      </c>
      <c r="O254" s="19" t="n">
        <v>1.38</v>
      </c>
      <c r="P254" s="20" t="n">
        <v>10000</v>
      </c>
      <c r="Q254" s="20" t="n">
        <v>1200</v>
      </c>
      <c r="R254" s="20" t="n">
        <v>13800</v>
      </c>
      <c r="S254" s="20" t="n">
        <v>13800</v>
      </c>
      <c r="T254" s="20" t="n">
        <v>-1.81898940354586e-12</v>
      </c>
      <c r="U254" s="21" t="n">
        <v>1</v>
      </c>
      <c r="V254" s="22" t="n">
        <v>24</v>
      </c>
      <c r="W254" s="17" t="n">
        <v>166</v>
      </c>
      <c r="X254" s="17" t="n">
        <v>0</v>
      </c>
      <c r="Y254" s="20" t="n">
        <v>16327.93</v>
      </c>
      <c r="Z254" s="21" t="n">
        <v>0.1409</v>
      </c>
      <c r="AA254" s="16" t="n">
        <v>43686</v>
      </c>
      <c r="AB254" s="5">
        <f>IF(V254="","",IF(V254&lt;12,"Months","Weeks"))</f>
        <v/>
      </c>
      <c r="AC254" s="5">
        <f>IF(AB254="","",IF(AB254="Months","Daily","Weekly"))</f>
        <v/>
      </c>
      <c r="AD254" s="17">
        <f>IF(V254="","",IF(AC254="Daily",V254*Controls!$B$13,V254))</f>
        <v/>
      </c>
      <c r="AE254" s="17">
        <f>IF(V254="","",IF(AC254="Daily",V254*Controls!$B$13,V254*Controls!$B$12))</f>
        <v/>
      </c>
      <c r="AF254" s="17">
        <f>IF(OR(E254="",F254=""),"",F254-E254)</f>
        <v/>
      </c>
      <c r="AG254" s="17">
        <f>IF(OR(E254="",F254=""),"",NETWORKDAYS(E254,F254,Ref!$F$4:$F$47))</f>
        <v/>
      </c>
      <c r="AH254" s="39">
        <f>IF(IFERROR(VLOOKUP(D254,Controls!$A$25:$D$35,2,FALSE()),"No")="Yes",1,0)</f>
        <v/>
      </c>
      <c r="AI254" s="39">
        <f>IF(IFERROR(VLOOKUP(D254,Controls!$A$25:$D$35,3,FALSE()),"No")="Yes",1,0)</f>
        <v/>
      </c>
      <c r="AJ254" s="39">
        <f>IF(IFERROR(VLOOKUP(D254,Controls!$A$25:$D$35,4,FALSE()),"No")="Yes",1,0)</f>
        <v/>
      </c>
      <c r="AK254" s="96">
        <f>IF(AND($E254&gt;=Controls!$B$5,$E254&lt;=Controls!$B$6,OR(Controls!$E$9&lt;&gt;"Y",$BE254=1)),1,0)</f>
        <v/>
      </c>
      <c r="AL254" s="39">
        <f>1</f>
        <v/>
      </c>
      <c r="AM254" s="20">
        <f>S254-P254</f>
        <v/>
      </c>
      <c r="AN254" s="20">
        <f>IF(AH254=1,MAX(0,P254-S254),0)</f>
        <v/>
      </c>
      <c r="AO254" s="21">
        <f>IFERROR(S254/P254,"")</f>
        <v/>
      </c>
      <c r="AP254" s="22">
        <f>IF(Y254="","",P254/Y254)</f>
        <v/>
      </c>
      <c r="AQ254" s="39">
        <f>IF(Y254="",0,1)</f>
        <v/>
      </c>
      <c r="AR254" s="39">
        <f>IF(S254&lt;=0,1,0)</f>
        <v/>
      </c>
      <c r="AS254" s="17">
        <f>IF(AH254=1,AG254,"")</f>
        <v/>
      </c>
      <c r="AT254" s="17">
        <f>IF(AND(AH254=0,AJ254=1),AG254,"")</f>
        <v/>
      </c>
      <c r="AU254" s="5">
        <f>IF(P254&lt;10000,"Under $10K",IF(P254&lt;20000,"$10-20K",IF(P254&lt;30000,"$20-30K",IF(P254&lt;50000,"$30-50K",IF(P254&lt;100000,"$50-100K","$100K+")))))</f>
        <v/>
      </c>
      <c r="AV254" s="5">
        <f>IF(O254&lt;=1.35,"1.35 and under",IF(O254&lt;=1.42,"1.36-1.42",IF(O254&lt;=1.45,"1.43-1.45",IF(O254&lt;1.49,"1.46-1.48",IF(O254&lt;=1.49,"1.49","Above 1.49")))))</f>
        <v/>
      </c>
      <c r="AW254" s="5">
        <f>IF(AE254="","",IF(AE254&lt;60,"Under 60",IF(AE254&lt;90,"60-89",IF(AE254&lt;120,"90-119",IF(AE254&lt;150,"120-149","150+")))))</f>
        <v/>
      </c>
      <c r="AX254" s="5">
        <f>IF(AP254="","No revenue data",IF(AP254&lt;0.15,"Under 0.15x",IF(AP254&lt;0.3,"0.15-0.30x",IF(AP254&lt;0.5,"0.30-0.50x",IF(AP254&lt;1,"0.50-1.00x","1.00x+")))))</f>
        <v/>
      </c>
      <c r="AY254" s="5">
        <f>IF(J254="","No SIC",IFERROR(VLOOKUP(J254,Ref!$A$4:$C$67,2,FALSE()),"Unclassified"))</f>
        <v/>
      </c>
      <c r="AZ254" s="5">
        <f>IF(E254="","",TEXT(E254,"YYYY")&amp;"-Q"&amp;ROUNDUP(MONTH(E254)/3,0))</f>
        <v/>
      </c>
      <c r="BA254" s="5">
        <f>IF(E254="","",TEXT(E254,"YYYY-MM"))</f>
        <v/>
      </c>
      <c r="BB254" s="5">
        <f>IF(E254="","",TEXT(E254,"YYYY"))</f>
        <v/>
      </c>
      <c r="BC254" s="92">
        <f>IF($E254="","",NETWORKDAYS($E254,Controls!$B$9,Ref!$F$4:$F$47))</f>
        <v/>
      </c>
      <c r="BD254" s="92">
        <f>IF(OR($AH254=1,$AJ254=1),1,0)</f>
        <v/>
      </c>
      <c r="BE254" s="95">
        <f>IF(OR($BD254=1,AND($AE254&lt;&gt;"",$BC254&gt;=Controls!$B$10*$AE254)),1,0)</f>
        <v/>
      </c>
    </row>
    <row r="255" ht="15.75" customHeight="1" s="79">
      <c r="A255" s="5" t="inlineStr">
        <is>
          <t>5674167065</t>
        </is>
      </c>
      <c r="B255" s="5" t="inlineStr">
        <is>
          <t>THE THERAPY CORNER COUNSELING &amp; CONSULTING, PLLC</t>
        </is>
      </c>
      <c r="C255" s="5" t="inlineStr">
        <is>
          <t>THE THERAPY CORNER COUNSELING &amp; CONSULTING, PLLC</t>
        </is>
      </c>
      <c r="D255" s="5" t="inlineStr">
        <is>
          <t>Closed</t>
        </is>
      </c>
      <c r="E255" s="16" t="n">
        <v>45919</v>
      </c>
      <c r="F255" s="16" t="n">
        <v>46125</v>
      </c>
      <c r="G255" s="17" t="n">
        <v>1</v>
      </c>
      <c r="H255" s="5" t="inlineStr">
        <is>
          <t>8732</t>
        </is>
      </c>
      <c r="I255" s="5" t="inlineStr">
        <is>
          <t>Marketing Research and Public Opinion Polling</t>
        </is>
      </c>
      <c r="J255" s="5" t="inlineStr">
        <is>
          <t>87</t>
        </is>
      </c>
      <c r="K255" s="5" t="n">
        <v>8734</v>
      </c>
      <c r="L255" s="5" t="inlineStr">
        <is>
          <t>TX</t>
        </is>
      </c>
      <c r="M255" s="5" t="inlineStr">
        <is>
          <t>Fundwell</t>
        </is>
      </c>
      <c r="N255" s="5" t="inlineStr">
        <is>
          <t>New Deal</t>
        </is>
      </c>
      <c r="O255" s="19" t="n">
        <v>1.38</v>
      </c>
      <c r="P255" s="20" t="n">
        <v>12000</v>
      </c>
      <c r="Q255" s="20" t="n">
        <v>1440</v>
      </c>
      <c r="R255" s="20" t="n">
        <v>16560</v>
      </c>
      <c r="S255" s="20" t="n">
        <v>16560</v>
      </c>
      <c r="T255" s="20" t="n">
        <v>0</v>
      </c>
      <c r="U255" s="21" t="n">
        <v>1</v>
      </c>
      <c r="V255" s="22" t="n">
        <v>4.59</v>
      </c>
      <c r="W255" s="17" t="n">
        <v>128</v>
      </c>
      <c r="X255" s="17" t="n">
        <v>0</v>
      </c>
      <c r="Y255" s="20" t="n">
        <v>26806.34</v>
      </c>
      <c r="Z255" s="21" t="n">
        <v>0.0883</v>
      </c>
      <c r="AA255" s="16" t="n">
        <v>44496</v>
      </c>
      <c r="AB255" s="5">
        <f>IF(V255="","",IF(V255&lt;12,"Months","Weeks"))</f>
        <v/>
      </c>
      <c r="AC255" s="5">
        <f>IF(AB255="","",IF(AB255="Months","Daily","Weekly"))</f>
        <v/>
      </c>
      <c r="AD255" s="17">
        <f>IF(V255="","",IF(AC255="Daily",V255*Controls!$B$13,V255))</f>
        <v/>
      </c>
      <c r="AE255" s="17">
        <f>IF(V255="","",IF(AC255="Daily",V255*Controls!$B$13,V255*Controls!$B$12))</f>
        <v/>
      </c>
      <c r="AF255" s="17">
        <f>IF(OR(E255="",F255=""),"",F255-E255)</f>
        <v/>
      </c>
      <c r="AG255" s="17">
        <f>IF(OR(E255="",F255=""),"",NETWORKDAYS(E255,F255,Ref!$F$4:$F$47))</f>
        <v/>
      </c>
      <c r="AH255" s="39">
        <f>IF(IFERROR(VLOOKUP(D255,Controls!$A$25:$D$35,2,FALSE()),"No")="Yes",1,0)</f>
        <v/>
      </c>
      <c r="AI255" s="39">
        <f>IF(IFERROR(VLOOKUP(D255,Controls!$A$25:$D$35,3,FALSE()),"No")="Yes",1,0)</f>
        <v/>
      </c>
      <c r="AJ255" s="39">
        <f>IF(IFERROR(VLOOKUP(D255,Controls!$A$25:$D$35,4,FALSE()),"No")="Yes",1,0)</f>
        <v/>
      </c>
      <c r="AK255" s="96">
        <f>IF(AND($E255&gt;=Controls!$B$5,$E255&lt;=Controls!$B$6,OR(Controls!$E$9&lt;&gt;"Y",$BE255=1)),1,0)</f>
        <v/>
      </c>
      <c r="AL255" s="39">
        <f>1</f>
        <v/>
      </c>
      <c r="AM255" s="20">
        <f>S255-P255</f>
        <v/>
      </c>
      <c r="AN255" s="20">
        <f>IF(AH255=1,MAX(0,P255-S255),0)</f>
        <v/>
      </c>
      <c r="AO255" s="21">
        <f>IFERROR(S255/P255,"")</f>
        <v/>
      </c>
      <c r="AP255" s="22">
        <f>IF(Y255="","",P255/Y255)</f>
        <v/>
      </c>
      <c r="AQ255" s="39">
        <f>IF(Y255="",0,1)</f>
        <v/>
      </c>
      <c r="AR255" s="39">
        <f>IF(S255&lt;=0,1,0)</f>
        <v/>
      </c>
      <c r="AS255" s="17">
        <f>IF(AH255=1,AG255,"")</f>
        <v/>
      </c>
      <c r="AT255" s="17">
        <f>IF(AND(AH255=0,AJ255=1),AG255,"")</f>
        <v/>
      </c>
      <c r="AU255" s="5">
        <f>IF(P255&lt;10000,"Under $10K",IF(P255&lt;20000,"$10-20K",IF(P255&lt;30000,"$20-30K",IF(P255&lt;50000,"$30-50K",IF(P255&lt;100000,"$50-100K","$100K+")))))</f>
        <v/>
      </c>
      <c r="AV255" s="5">
        <f>IF(O255&lt;=1.35,"1.35 and under",IF(O255&lt;=1.42,"1.36-1.42",IF(O255&lt;=1.45,"1.43-1.45",IF(O255&lt;1.49,"1.46-1.48",IF(O255&lt;=1.49,"1.49","Above 1.49")))))</f>
        <v/>
      </c>
      <c r="AW255" s="5">
        <f>IF(AE255="","",IF(AE255&lt;60,"Under 60",IF(AE255&lt;90,"60-89",IF(AE255&lt;120,"90-119",IF(AE255&lt;150,"120-149","150+")))))</f>
        <v/>
      </c>
      <c r="AX255" s="5">
        <f>IF(AP255="","No revenue data",IF(AP255&lt;0.15,"Under 0.15x",IF(AP255&lt;0.3,"0.15-0.30x",IF(AP255&lt;0.5,"0.30-0.50x",IF(AP255&lt;1,"0.50-1.00x","1.00x+")))))</f>
        <v/>
      </c>
      <c r="AY255" s="5">
        <f>IF(J255="","No SIC",IFERROR(VLOOKUP(J255,Ref!$A$4:$C$67,2,FALSE()),"Unclassified"))</f>
        <v/>
      </c>
      <c r="AZ255" s="5">
        <f>IF(E255="","",TEXT(E255,"YYYY")&amp;"-Q"&amp;ROUNDUP(MONTH(E255)/3,0))</f>
        <v/>
      </c>
      <c r="BA255" s="5">
        <f>IF(E255="","",TEXT(E255,"YYYY-MM"))</f>
        <v/>
      </c>
      <c r="BB255" s="5">
        <f>IF(E255="","",TEXT(E255,"YYYY"))</f>
        <v/>
      </c>
      <c r="BC255" s="92">
        <f>IF($E255="","",NETWORKDAYS($E255,Controls!$B$9,Ref!$F$4:$F$47))</f>
        <v/>
      </c>
      <c r="BD255" s="92">
        <f>IF(OR($AH255=1,$AJ255=1),1,0)</f>
        <v/>
      </c>
      <c r="BE255" s="95">
        <f>IF(OR($BD255=1,AND($AE255&lt;&gt;"",$BC255&gt;=Controls!$B$10*$AE255)),1,0)</f>
        <v/>
      </c>
    </row>
    <row r="256" ht="15.75" customHeight="1" s="79">
      <c r="A256" s="5" t="inlineStr">
        <is>
          <t>5674167118</t>
        </is>
      </c>
      <c r="B256" s="5" t="inlineStr">
        <is>
          <t>Red E Electric</t>
        </is>
      </c>
      <c r="C256" s="5" t="inlineStr">
        <is>
          <t>Red E Electric</t>
        </is>
      </c>
      <c r="D256" s="5" t="inlineStr">
        <is>
          <t>Closed</t>
        </is>
      </c>
      <c r="E256" s="16" t="n">
        <v>45922</v>
      </c>
      <c r="F256" s="16" t="n">
        <v>46113</v>
      </c>
      <c r="G256" s="17" t="n">
        <v>2</v>
      </c>
      <c r="H256" s="5" t="inlineStr">
        <is>
          <t>1731</t>
        </is>
      </c>
      <c r="I256" s="5" t="inlineStr">
        <is>
          <t>Electrical Contractors and Other Wiring Installation Contractors</t>
        </is>
      </c>
      <c r="J256" s="5" t="inlineStr">
        <is>
          <t>17</t>
        </is>
      </c>
      <c r="K256" s="5" t="n">
        <v>1731</v>
      </c>
      <c r="L256" s="5" t="inlineStr">
        <is>
          <t>TX</t>
        </is>
      </c>
      <c r="M256" s="5" t="inlineStr">
        <is>
          <t>EZ ADVANCE LLC</t>
        </is>
      </c>
      <c r="N256" s="5" t="inlineStr">
        <is>
          <t>New Deal</t>
        </is>
      </c>
      <c r="O256" s="19" t="n">
        <v>1.499</v>
      </c>
      <c r="P256" s="20" t="n">
        <v>15000</v>
      </c>
      <c r="Q256" s="20" t="n">
        <v>2100</v>
      </c>
      <c r="R256" s="20" t="n">
        <v>22485</v>
      </c>
      <c r="S256" s="20" t="n">
        <v>22485</v>
      </c>
      <c r="T256" s="20" t="n">
        <v>0</v>
      </c>
      <c r="U256" s="21" t="n">
        <v>1</v>
      </c>
      <c r="V256" s="22" t="n">
        <v>2.623</v>
      </c>
      <c r="W256" s="17" t="n">
        <v>140</v>
      </c>
      <c r="X256" s="17" t="n">
        <v>0</v>
      </c>
      <c r="Y256" s="20" t="n">
        <v>55575.64</v>
      </c>
      <c r="Z256" s="21" t="n">
        <v>0.07820000000000001</v>
      </c>
      <c r="AA256" s="16" t="n">
        <v>41518</v>
      </c>
      <c r="AB256" s="5">
        <f>IF(V256="","",IF(V256&lt;12,"Months","Weeks"))</f>
        <v/>
      </c>
      <c r="AC256" s="5">
        <f>IF(AB256="","",IF(AB256="Months","Daily","Weekly"))</f>
        <v/>
      </c>
      <c r="AD256" s="17">
        <f>IF(V256="","",IF(AC256="Daily",V256*Controls!$B$13,V256))</f>
        <v/>
      </c>
      <c r="AE256" s="17">
        <f>IF(V256="","",IF(AC256="Daily",V256*Controls!$B$13,V256*Controls!$B$12))</f>
        <v/>
      </c>
      <c r="AF256" s="17">
        <f>IF(OR(E256="",F256=""),"",F256-E256)</f>
        <v/>
      </c>
      <c r="AG256" s="17">
        <f>IF(OR(E256="",F256=""),"",NETWORKDAYS(E256,F256,Ref!$F$4:$F$47))</f>
        <v/>
      </c>
      <c r="AH256" s="39">
        <f>IF(IFERROR(VLOOKUP(D256,Controls!$A$25:$D$35,2,FALSE()),"No")="Yes",1,0)</f>
        <v/>
      </c>
      <c r="AI256" s="39">
        <f>IF(IFERROR(VLOOKUP(D256,Controls!$A$25:$D$35,3,FALSE()),"No")="Yes",1,0)</f>
        <v/>
      </c>
      <c r="AJ256" s="39">
        <f>IF(IFERROR(VLOOKUP(D256,Controls!$A$25:$D$35,4,FALSE()),"No")="Yes",1,0)</f>
        <v/>
      </c>
      <c r="AK256" s="96">
        <f>IF(AND($E256&gt;=Controls!$B$5,$E256&lt;=Controls!$B$6,OR(Controls!$E$9&lt;&gt;"Y",$BE256=1)),1,0)</f>
        <v/>
      </c>
      <c r="AL256" s="39">
        <f>1</f>
        <v/>
      </c>
      <c r="AM256" s="20">
        <f>S256-P256</f>
        <v/>
      </c>
      <c r="AN256" s="20">
        <f>IF(AH256=1,MAX(0,P256-S256),0)</f>
        <v/>
      </c>
      <c r="AO256" s="21">
        <f>IFERROR(S256/P256,"")</f>
        <v/>
      </c>
      <c r="AP256" s="22">
        <f>IF(Y256="","",P256/Y256)</f>
        <v/>
      </c>
      <c r="AQ256" s="39">
        <f>IF(Y256="",0,1)</f>
        <v/>
      </c>
      <c r="AR256" s="39">
        <f>IF(S256&lt;=0,1,0)</f>
        <v/>
      </c>
      <c r="AS256" s="17">
        <f>IF(AH256=1,AG256,"")</f>
        <v/>
      </c>
      <c r="AT256" s="17">
        <f>IF(AND(AH256=0,AJ256=1),AG256,"")</f>
        <v/>
      </c>
      <c r="AU256" s="5">
        <f>IF(P256&lt;10000,"Under $10K",IF(P256&lt;20000,"$10-20K",IF(P256&lt;30000,"$20-30K",IF(P256&lt;50000,"$30-50K",IF(P256&lt;100000,"$50-100K","$100K+")))))</f>
        <v/>
      </c>
      <c r="AV256" s="5">
        <f>IF(O256&lt;=1.35,"1.35 and under",IF(O256&lt;=1.42,"1.36-1.42",IF(O256&lt;=1.45,"1.43-1.45",IF(O256&lt;1.49,"1.46-1.48",IF(O256&lt;=1.49,"1.49","Above 1.49")))))</f>
        <v/>
      </c>
      <c r="AW256" s="5">
        <f>IF(AE256="","",IF(AE256&lt;60,"Under 60",IF(AE256&lt;90,"60-89",IF(AE256&lt;120,"90-119",IF(AE256&lt;150,"120-149","150+")))))</f>
        <v/>
      </c>
      <c r="AX256" s="5">
        <f>IF(AP256="","No revenue data",IF(AP256&lt;0.15,"Under 0.15x",IF(AP256&lt;0.3,"0.15-0.30x",IF(AP256&lt;0.5,"0.30-0.50x",IF(AP256&lt;1,"0.50-1.00x","1.00x+")))))</f>
        <v/>
      </c>
      <c r="AY256" s="5">
        <f>IF(J256="","No SIC",IFERROR(VLOOKUP(J256,Ref!$A$4:$C$67,2,FALSE()),"Unclassified"))</f>
        <v/>
      </c>
      <c r="AZ256" s="5">
        <f>IF(E256="","",TEXT(E256,"YYYY")&amp;"-Q"&amp;ROUNDUP(MONTH(E256)/3,0))</f>
        <v/>
      </c>
      <c r="BA256" s="5">
        <f>IF(E256="","",TEXT(E256,"YYYY-MM"))</f>
        <v/>
      </c>
      <c r="BB256" s="5">
        <f>IF(E256="","",TEXT(E256,"YYYY"))</f>
        <v/>
      </c>
      <c r="BC256" s="92">
        <f>IF($E256="","",NETWORKDAYS($E256,Controls!$B$9,Ref!$F$4:$F$47))</f>
        <v/>
      </c>
      <c r="BD256" s="92">
        <f>IF(OR($AH256=1,$AJ256=1),1,0)</f>
        <v/>
      </c>
      <c r="BE256" s="95">
        <f>IF(OR($BD256=1,AND($AE256&lt;&gt;"",$BC256&gt;=Controls!$B$10*$AE256)),1,0)</f>
        <v/>
      </c>
    </row>
    <row r="257" ht="15.75" customHeight="1" s="79">
      <c r="A257" s="5" t="inlineStr">
        <is>
          <t>5674167134</t>
        </is>
      </c>
      <c r="B257" s="5" t="inlineStr">
        <is>
          <t>K&amp;JTowing,Inc</t>
        </is>
      </c>
      <c r="C257" s="5" t="inlineStr">
        <is>
          <t>K&amp;JTowing,Inc</t>
        </is>
      </c>
      <c r="D257" s="5" t="inlineStr">
        <is>
          <t>Closed</t>
        </is>
      </c>
      <c r="E257" s="16" t="n">
        <v>45922</v>
      </c>
      <c r="F257" s="16" t="n">
        <v>46073</v>
      </c>
      <c r="G257" s="17" t="n">
        <v>1</v>
      </c>
      <c r="H257" s="5" t="inlineStr">
        <is>
          <t>7549</t>
        </is>
      </c>
      <c r="I257" s="5" t="inlineStr">
        <is>
          <t>Motor Vehicle Towing</t>
        </is>
      </c>
      <c r="J257" s="5" t="inlineStr">
        <is>
          <t>75</t>
        </is>
      </c>
      <c r="K257" s="5" t="n">
        <v>7549</v>
      </c>
      <c r="L257" s="5" t="inlineStr">
        <is>
          <t>TX</t>
        </is>
      </c>
      <c r="M257" s="5" t="inlineStr">
        <is>
          <t>Fundwell</t>
        </is>
      </c>
      <c r="N257" s="5" t="inlineStr">
        <is>
          <t>New Deal</t>
        </is>
      </c>
      <c r="O257" s="19" t="n">
        <v>1.38</v>
      </c>
      <c r="P257" s="20" t="n">
        <v>15000</v>
      </c>
      <c r="Q257" s="20" t="n">
        <v>1800</v>
      </c>
      <c r="R257" s="20" t="n">
        <v>20700</v>
      </c>
      <c r="S257" s="20" t="n">
        <v>20700</v>
      </c>
      <c r="T257" s="20" t="n">
        <v>0</v>
      </c>
      <c r="U257" s="21" t="n">
        <v>1</v>
      </c>
      <c r="V257" s="22" t="n">
        <v>26</v>
      </c>
      <c r="W257" s="17" t="n">
        <v>180</v>
      </c>
      <c r="X257" s="17" t="n">
        <v>0</v>
      </c>
      <c r="Y257" s="20" t="n">
        <v>36871.29</v>
      </c>
      <c r="Z257" s="21" t="n">
        <v>0.0864</v>
      </c>
      <c r="AA257" s="16" t="n">
        <v>42644</v>
      </c>
      <c r="AB257" s="5">
        <f>IF(V257="","",IF(V257&lt;12,"Months","Weeks"))</f>
        <v/>
      </c>
      <c r="AC257" s="5">
        <f>IF(AB257="","",IF(AB257="Months","Daily","Weekly"))</f>
        <v/>
      </c>
      <c r="AD257" s="17">
        <f>IF(V257="","",IF(AC257="Daily",V257*Controls!$B$13,V257))</f>
        <v/>
      </c>
      <c r="AE257" s="17">
        <f>IF(V257="","",IF(AC257="Daily",V257*Controls!$B$13,V257*Controls!$B$12))</f>
        <v/>
      </c>
      <c r="AF257" s="17">
        <f>IF(OR(E257="",F257=""),"",F257-E257)</f>
        <v/>
      </c>
      <c r="AG257" s="17">
        <f>IF(OR(E257="",F257=""),"",NETWORKDAYS(E257,F257,Ref!$F$4:$F$47))</f>
        <v/>
      </c>
      <c r="AH257" s="39">
        <f>IF(IFERROR(VLOOKUP(D257,Controls!$A$25:$D$35,2,FALSE()),"No")="Yes",1,0)</f>
        <v/>
      </c>
      <c r="AI257" s="39">
        <f>IF(IFERROR(VLOOKUP(D257,Controls!$A$25:$D$35,3,FALSE()),"No")="Yes",1,0)</f>
        <v/>
      </c>
      <c r="AJ257" s="39">
        <f>IF(IFERROR(VLOOKUP(D257,Controls!$A$25:$D$35,4,FALSE()),"No")="Yes",1,0)</f>
        <v/>
      </c>
      <c r="AK257" s="96">
        <f>IF(AND($E257&gt;=Controls!$B$5,$E257&lt;=Controls!$B$6,OR(Controls!$E$9&lt;&gt;"Y",$BE257=1)),1,0)</f>
        <v/>
      </c>
      <c r="AL257" s="39">
        <f>1</f>
        <v/>
      </c>
      <c r="AM257" s="20">
        <f>S257-P257</f>
        <v/>
      </c>
      <c r="AN257" s="20">
        <f>IF(AH257=1,MAX(0,P257-S257),0)</f>
        <v/>
      </c>
      <c r="AO257" s="21">
        <f>IFERROR(S257/P257,"")</f>
        <v/>
      </c>
      <c r="AP257" s="22">
        <f>IF(Y257="","",P257/Y257)</f>
        <v/>
      </c>
      <c r="AQ257" s="39">
        <f>IF(Y257="",0,1)</f>
        <v/>
      </c>
      <c r="AR257" s="39">
        <f>IF(S257&lt;=0,1,0)</f>
        <v/>
      </c>
      <c r="AS257" s="17">
        <f>IF(AH257=1,AG257,"")</f>
        <v/>
      </c>
      <c r="AT257" s="17">
        <f>IF(AND(AH257=0,AJ257=1),AG257,"")</f>
        <v/>
      </c>
      <c r="AU257" s="5">
        <f>IF(P257&lt;10000,"Under $10K",IF(P257&lt;20000,"$10-20K",IF(P257&lt;30000,"$20-30K",IF(P257&lt;50000,"$30-50K",IF(P257&lt;100000,"$50-100K","$100K+")))))</f>
        <v/>
      </c>
      <c r="AV257" s="5">
        <f>IF(O257&lt;=1.35,"1.35 and under",IF(O257&lt;=1.42,"1.36-1.42",IF(O257&lt;=1.45,"1.43-1.45",IF(O257&lt;1.49,"1.46-1.48",IF(O257&lt;=1.49,"1.49","Above 1.49")))))</f>
        <v/>
      </c>
      <c r="AW257" s="5">
        <f>IF(AE257="","",IF(AE257&lt;60,"Under 60",IF(AE257&lt;90,"60-89",IF(AE257&lt;120,"90-119",IF(AE257&lt;150,"120-149","150+")))))</f>
        <v/>
      </c>
      <c r="AX257" s="5">
        <f>IF(AP257="","No revenue data",IF(AP257&lt;0.15,"Under 0.15x",IF(AP257&lt;0.3,"0.15-0.30x",IF(AP257&lt;0.5,"0.30-0.50x",IF(AP257&lt;1,"0.50-1.00x","1.00x+")))))</f>
        <v/>
      </c>
      <c r="AY257" s="5">
        <f>IF(J257="","No SIC",IFERROR(VLOOKUP(J257,Ref!$A$4:$C$67,2,FALSE()),"Unclassified"))</f>
        <v/>
      </c>
      <c r="AZ257" s="5">
        <f>IF(E257="","",TEXT(E257,"YYYY")&amp;"-Q"&amp;ROUNDUP(MONTH(E257)/3,0))</f>
        <v/>
      </c>
      <c r="BA257" s="5">
        <f>IF(E257="","",TEXT(E257,"YYYY-MM"))</f>
        <v/>
      </c>
      <c r="BB257" s="5">
        <f>IF(E257="","",TEXT(E257,"YYYY"))</f>
        <v/>
      </c>
      <c r="BC257" s="92">
        <f>IF($E257="","",NETWORKDAYS($E257,Controls!$B$9,Ref!$F$4:$F$47))</f>
        <v/>
      </c>
      <c r="BD257" s="92">
        <f>IF(OR($AH257=1,$AJ257=1),1,0)</f>
        <v/>
      </c>
      <c r="BE257" s="95">
        <f>IF(OR($BD257=1,AND($AE257&lt;&gt;"",$BC257&gt;=Controls!$B$10*$AE257)),1,0)</f>
        <v/>
      </c>
    </row>
    <row r="258" ht="15.75" customHeight="1" s="79">
      <c r="A258" s="5" t="inlineStr">
        <is>
          <t>5674167135</t>
        </is>
      </c>
      <c r="B258" s="5" t="inlineStr">
        <is>
          <t>La Lucha LLC</t>
        </is>
      </c>
      <c r="C258" s="5" t="inlineStr">
        <is>
          <t>La Lucha LLC</t>
        </is>
      </c>
      <c r="D258" s="5" t="inlineStr">
        <is>
          <t>Closed</t>
        </is>
      </c>
      <c r="E258" s="16" t="n">
        <v>45922</v>
      </c>
      <c r="F258" s="16" t="n">
        <v>46112</v>
      </c>
      <c r="G258" s="17" t="n">
        <v>1</v>
      </c>
      <c r="H258" s="5" t="inlineStr">
        <is>
          <t>5812</t>
        </is>
      </c>
      <c r="I258" s="5" t="inlineStr">
        <is>
          <t>Snack and Nonalcoholic Beverage Bars</t>
        </is>
      </c>
      <c r="J258" s="5" t="inlineStr">
        <is>
          <t>58</t>
        </is>
      </c>
      <c r="K258" s="5" t="n">
        <v>5812</v>
      </c>
      <c r="L258" s="5" t="inlineStr">
        <is>
          <t>PA</t>
        </is>
      </c>
      <c r="M258" s="5" t="inlineStr">
        <is>
          <t>Fundible</t>
        </is>
      </c>
      <c r="N258" s="5" t="inlineStr">
        <is>
          <t>New Deal</t>
        </is>
      </c>
      <c r="O258" s="19" t="n">
        <v>1.49</v>
      </c>
      <c r="P258" s="20" t="n">
        <v>20000</v>
      </c>
      <c r="Q258" s="20" t="n">
        <v>2800</v>
      </c>
      <c r="R258" s="20" t="n">
        <v>29800</v>
      </c>
      <c r="S258" s="20" t="n">
        <v>29800</v>
      </c>
      <c r="T258" s="20" t="n">
        <v>0</v>
      </c>
      <c r="U258" s="21" t="n">
        <v>1</v>
      </c>
      <c r="V258" s="22" t="n">
        <v>3.607</v>
      </c>
      <c r="W258" s="17" t="n">
        <v>141</v>
      </c>
      <c r="X258" s="17" t="n">
        <v>20</v>
      </c>
      <c r="Y258" s="20" t="n">
        <v>33612.7</v>
      </c>
      <c r="Z258" s="21" t="n">
        <v>0.1693</v>
      </c>
      <c r="AA258" s="16" t="n">
        <v>45922</v>
      </c>
      <c r="AB258" s="5">
        <f>IF(V258="","",IF(V258&lt;12,"Months","Weeks"))</f>
        <v/>
      </c>
      <c r="AC258" s="5">
        <f>IF(AB258="","",IF(AB258="Months","Daily","Weekly"))</f>
        <v/>
      </c>
      <c r="AD258" s="17">
        <f>IF(V258="","",IF(AC258="Daily",V258*Controls!$B$13,V258))</f>
        <v/>
      </c>
      <c r="AE258" s="17">
        <f>IF(V258="","",IF(AC258="Daily",V258*Controls!$B$13,V258*Controls!$B$12))</f>
        <v/>
      </c>
      <c r="AF258" s="17">
        <f>IF(OR(E258="",F258=""),"",F258-E258)</f>
        <v/>
      </c>
      <c r="AG258" s="17">
        <f>IF(OR(E258="",F258=""),"",NETWORKDAYS(E258,F258,Ref!$F$4:$F$47))</f>
        <v/>
      </c>
      <c r="AH258" s="39">
        <f>IF(IFERROR(VLOOKUP(D258,Controls!$A$25:$D$35,2,FALSE()),"No")="Yes",1,0)</f>
        <v/>
      </c>
      <c r="AI258" s="39">
        <f>IF(IFERROR(VLOOKUP(D258,Controls!$A$25:$D$35,3,FALSE()),"No")="Yes",1,0)</f>
        <v/>
      </c>
      <c r="AJ258" s="39">
        <f>IF(IFERROR(VLOOKUP(D258,Controls!$A$25:$D$35,4,FALSE()),"No")="Yes",1,0)</f>
        <v/>
      </c>
      <c r="AK258" s="96">
        <f>IF(AND($E258&gt;=Controls!$B$5,$E258&lt;=Controls!$B$6,OR(Controls!$E$9&lt;&gt;"Y",$BE258=1)),1,0)</f>
        <v/>
      </c>
      <c r="AL258" s="39">
        <f>1</f>
        <v/>
      </c>
      <c r="AM258" s="20">
        <f>S258-P258</f>
        <v/>
      </c>
      <c r="AN258" s="20">
        <f>IF(AH258=1,MAX(0,P258-S258),0)</f>
        <v/>
      </c>
      <c r="AO258" s="21">
        <f>IFERROR(S258/P258,"")</f>
        <v/>
      </c>
      <c r="AP258" s="22">
        <f>IF(Y258="","",P258/Y258)</f>
        <v/>
      </c>
      <c r="AQ258" s="39">
        <f>IF(Y258="",0,1)</f>
        <v/>
      </c>
      <c r="AR258" s="39">
        <f>IF(S258&lt;=0,1,0)</f>
        <v/>
      </c>
      <c r="AS258" s="17">
        <f>IF(AH258=1,AG258,"")</f>
        <v/>
      </c>
      <c r="AT258" s="17">
        <f>IF(AND(AH258=0,AJ258=1),AG258,"")</f>
        <v/>
      </c>
      <c r="AU258" s="5">
        <f>IF(P258&lt;10000,"Under $10K",IF(P258&lt;20000,"$10-20K",IF(P258&lt;30000,"$20-30K",IF(P258&lt;50000,"$30-50K",IF(P258&lt;100000,"$50-100K","$100K+")))))</f>
        <v/>
      </c>
      <c r="AV258" s="5">
        <f>IF(O258&lt;=1.35,"1.35 and under",IF(O258&lt;=1.42,"1.36-1.42",IF(O258&lt;=1.45,"1.43-1.45",IF(O258&lt;1.49,"1.46-1.48",IF(O258&lt;=1.49,"1.49","Above 1.49")))))</f>
        <v/>
      </c>
      <c r="AW258" s="5">
        <f>IF(AE258="","",IF(AE258&lt;60,"Under 60",IF(AE258&lt;90,"60-89",IF(AE258&lt;120,"90-119",IF(AE258&lt;150,"120-149","150+")))))</f>
        <v/>
      </c>
      <c r="AX258" s="5">
        <f>IF(AP258="","No revenue data",IF(AP258&lt;0.15,"Under 0.15x",IF(AP258&lt;0.3,"0.15-0.30x",IF(AP258&lt;0.5,"0.30-0.50x",IF(AP258&lt;1,"0.50-1.00x","1.00x+")))))</f>
        <v/>
      </c>
      <c r="AY258" s="5">
        <f>IF(J258="","No SIC",IFERROR(VLOOKUP(J258,Ref!$A$4:$C$67,2,FALSE()),"Unclassified"))</f>
        <v/>
      </c>
      <c r="AZ258" s="5">
        <f>IF(E258="","",TEXT(E258,"YYYY")&amp;"-Q"&amp;ROUNDUP(MONTH(E258)/3,0))</f>
        <v/>
      </c>
      <c r="BA258" s="5">
        <f>IF(E258="","",TEXT(E258,"YYYY-MM"))</f>
        <v/>
      </c>
      <c r="BB258" s="5">
        <f>IF(E258="","",TEXT(E258,"YYYY"))</f>
        <v/>
      </c>
      <c r="BC258" s="92">
        <f>IF($E258="","",NETWORKDAYS($E258,Controls!$B$9,Ref!$F$4:$F$47))</f>
        <v/>
      </c>
      <c r="BD258" s="92">
        <f>IF(OR($AH258=1,$AJ258=1),1,0)</f>
        <v/>
      </c>
      <c r="BE258" s="95">
        <f>IF(OR($BD258=1,AND($AE258&lt;&gt;"",$BC258&gt;=Controls!$B$10*$AE258)),1,0)</f>
        <v/>
      </c>
    </row>
    <row r="259" ht="15.75" customHeight="1" s="79">
      <c r="A259" s="5" t="inlineStr">
        <is>
          <t>5674167208</t>
        </is>
      </c>
      <c r="B259" s="5" t="inlineStr">
        <is>
          <t>Off Leash K9 Training Houston</t>
        </is>
      </c>
      <c r="C259" s="5" t="inlineStr">
        <is>
          <t>JUSTIN AERICK BAILEY</t>
        </is>
      </c>
      <c r="D259" s="5" t="inlineStr">
        <is>
          <t>Open</t>
        </is>
      </c>
      <c r="E259" s="16" t="n">
        <v>45924</v>
      </c>
      <c r="F259" s="16" t="n">
        <v>46244</v>
      </c>
      <c r="G259" s="17" t="n">
        <v>2</v>
      </c>
      <c r="H259" s="5" t="inlineStr">
        <is>
          <t>0752</t>
        </is>
      </c>
      <c r="I259" s="5" t="inlineStr">
        <is>
          <t>Pet Care (Except Veterinary) Services</t>
        </is>
      </c>
      <c r="J259" s="5" t="inlineStr">
        <is>
          <t>07</t>
        </is>
      </c>
      <c r="K259" s="5" t="n">
        <v>5995</v>
      </c>
      <c r="L259" s="5" t="inlineStr">
        <is>
          <t>TX</t>
        </is>
      </c>
      <c r="M259" s="5" t="inlineStr">
        <is>
          <t>Platform Funding</t>
        </is>
      </c>
      <c r="N259" s="5" t="inlineStr">
        <is>
          <t>Renewal</t>
        </is>
      </c>
      <c r="O259" s="19" t="n">
        <v>1.49</v>
      </c>
      <c r="P259" s="20" t="n">
        <v>13000</v>
      </c>
      <c r="Q259" s="20" t="n">
        <v>1820</v>
      </c>
      <c r="R259" s="20" t="n">
        <v>19370</v>
      </c>
      <c r="S259" s="20" t="n">
        <v>3749.52</v>
      </c>
      <c r="T259" s="20" t="n">
        <v>15620.48</v>
      </c>
      <c r="U259" s="21" t="n">
        <v>0.193573567372225</v>
      </c>
      <c r="V259" s="22" t="n">
        <v>3.279</v>
      </c>
      <c r="W259" s="17" t="n">
        <v>93</v>
      </c>
      <c r="X259" s="17" t="n">
        <v>31</v>
      </c>
      <c r="Y259" s="20" t="n">
        <v>27746.78</v>
      </c>
      <c r="Z259" s="21" t="n">
        <v>0.2043</v>
      </c>
      <c r="AA259" s="16" t="n">
        <v>41925</v>
      </c>
      <c r="AB259" s="5">
        <f>IF(V259="","",IF(V259&lt;12,"Months","Weeks"))</f>
        <v/>
      </c>
      <c r="AC259" s="5">
        <f>IF(AB259="","",IF(AB259="Months","Daily","Weekly"))</f>
        <v/>
      </c>
      <c r="AD259" s="17">
        <f>IF(V259="","",IF(AC259="Daily",V259*Controls!$B$13,V259))</f>
        <v/>
      </c>
      <c r="AE259" s="17">
        <f>IF(V259="","",IF(AC259="Daily",V259*Controls!$B$13,V259*Controls!$B$12))</f>
        <v/>
      </c>
      <c r="AF259" s="17">
        <f>IF(OR(E259="",F259=""),"",F259-E259)</f>
        <v/>
      </c>
      <c r="AG259" s="17">
        <f>IF(OR(E259="",F259=""),"",NETWORKDAYS(E259,F259,Ref!$F$4:$F$47))</f>
        <v/>
      </c>
      <c r="AH259" s="39">
        <f>IF(IFERROR(VLOOKUP(D259,Controls!$A$25:$D$35,2,FALSE()),"No")="Yes",1,0)</f>
        <v/>
      </c>
      <c r="AI259" s="39">
        <f>IF(IFERROR(VLOOKUP(D259,Controls!$A$25:$D$35,3,FALSE()),"No")="Yes",1,0)</f>
        <v/>
      </c>
      <c r="AJ259" s="39">
        <f>IF(IFERROR(VLOOKUP(D259,Controls!$A$25:$D$35,4,FALSE()),"No")="Yes",1,0)</f>
        <v/>
      </c>
      <c r="AK259" s="96">
        <f>IF(AND($E259&gt;=Controls!$B$5,$E259&lt;=Controls!$B$6,OR(Controls!$E$9&lt;&gt;"Y",$BE259=1)),1,0)</f>
        <v/>
      </c>
      <c r="AL259" s="39">
        <f>1</f>
        <v/>
      </c>
      <c r="AM259" s="20">
        <f>S259-P259</f>
        <v/>
      </c>
      <c r="AN259" s="20">
        <f>IF(AH259=1,MAX(0,P259-S259),0)</f>
        <v/>
      </c>
      <c r="AO259" s="21">
        <f>IFERROR(S259/P259,"")</f>
        <v/>
      </c>
      <c r="AP259" s="22">
        <f>IF(Y259="","",P259/Y259)</f>
        <v/>
      </c>
      <c r="AQ259" s="39">
        <f>IF(Y259="",0,1)</f>
        <v/>
      </c>
      <c r="AR259" s="39">
        <f>IF(S259&lt;=0,1,0)</f>
        <v/>
      </c>
      <c r="AS259" s="17">
        <f>IF(AH259=1,AG259,"")</f>
        <v/>
      </c>
      <c r="AT259" s="17">
        <f>IF(AND(AH259=0,AJ259=1),AG259,"")</f>
        <v/>
      </c>
      <c r="AU259" s="5">
        <f>IF(P259&lt;10000,"Under $10K",IF(P259&lt;20000,"$10-20K",IF(P259&lt;30000,"$20-30K",IF(P259&lt;50000,"$30-50K",IF(P259&lt;100000,"$50-100K","$100K+")))))</f>
        <v/>
      </c>
      <c r="AV259" s="5">
        <f>IF(O259&lt;=1.35,"1.35 and under",IF(O259&lt;=1.42,"1.36-1.42",IF(O259&lt;=1.45,"1.43-1.45",IF(O259&lt;1.49,"1.46-1.48",IF(O259&lt;=1.49,"1.49","Above 1.49")))))</f>
        <v/>
      </c>
      <c r="AW259" s="5">
        <f>IF(AE259="","",IF(AE259&lt;60,"Under 60",IF(AE259&lt;90,"60-89",IF(AE259&lt;120,"90-119",IF(AE259&lt;150,"120-149","150+")))))</f>
        <v/>
      </c>
      <c r="AX259" s="5">
        <f>IF(AP259="","No revenue data",IF(AP259&lt;0.15,"Under 0.15x",IF(AP259&lt;0.3,"0.15-0.30x",IF(AP259&lt;0.5,"0.30-0.50x",IF(AP259&lt;1,"0.50-1.00x","1.00x+")))))</f>
        <v/>
      </c>
      <c r="AY259" s="5">
        <f>IF(J259="","No SIC",IFERROR(VLOOKUP(J259,Ref!$A$4:$C$67,2,FALSE()),"Unclassified"))</f>
        <v/>
      </c>
      <c r="AZ259" s="5">
        <f>IF(E259="","",TEXT(E259,"YYYY")&amp;"-Q"&amp;ROUNDUP(MONTH(E259)/3,0))</f>
        <v/>
      </c>
      <c r="BA259" s="5">
        <f>IF(E259="","",TEXT(E259,"YYYY-MM"))</f>
        <v/>
      </c>
      <c r="BB259" s="5">
        <f>IF(E259="","",TEXT(E259,"YYYY"))</f>
        <v/>
      </c>
      <c r="BC259" s="92">
        <f>IF($E259="","",NETWORKDAYS($E259,Controls!$B$9,Ref!$F$4:$F$47))</f>
        <v/>
      </c>
      <c r="BD259" s="92">
        <f>IF(OR($AH259=1,$AJ259=1),1,0)</f>
        <v/>
      </c>
      <c r="BE259" s="95">
        <f>IF(OR($BD259=1,AND($AE259&lt;&gt;"",$BC259&gt;=Controls!$B$10*$AE259)),1,0)</f>
        <v/>
      </c>
    </row>
    <row r="260" ht="15.75" customHeight="1" s="79">
      <c r="A260" s="5" t="inlineStr">
        <is>
          <t>5674167261</t>
        </is>
      </c>
      <c r="B260" s="5" t="inlineStr">
        <is>
          <t>VORTEX INNOVATIONS CORPORATION</t>
        </is>
      </c>
      <c r="C260" s="5" t="inlineStr">
        <is>
          <t>VORTEX INNOVATIONS CORPORATION</t>
        </is>
      </c>
      <c r="D260" s="5" t="inlineStr">
        <is>
          <t>Legal</t>
        </is>
      </c>
      <c r="E260" s="16" t="n">
        <v>45925</v>
      </c>
      <c r="F260" s="16" t="n">
        <v>45979</v>
      </c>
      <c r="G260" s="17" t="n">
        <v>3</v>
      </c>
      <c r="H260" s="5" t="inlineStr">
        <is>
          <t>5999</t>
        </is>
      </c>
      <c r="I260" s="5" t="inlineStr">
        <is>
          <t>All Other Misc. Store Retailers (Except Tobacco Stores)</t>
        </is>
      </c>
      <c r="J260" s="5" t="inlineStr">
        <is>
          <t>59</t>
        </is>
      </c>
      <c r="K260" s="5" t="n">
        <v>5999</v>
      </c>
      <c r="L260" s="5" t="inlineStr">
        <is>
          <t>PA</t>
        </is>
      </c>
      <c r="M260" s="5" t="inlineStr">
        <is>
          <t>United Secured Capital 8</t>
        </is>
      </c>
      <c r="N260" s="5" t="inlineStr">
        <is>
          <t>New Deal</t>
        </is>
      </c>
      <c r="O260" s="19" t="n">
        <v>1.499</v>
      </c>
      <c r="P260" s="20" t="n">
        <v>10000</v>
      </c>
      <c r="Q260" s="20" t="n">
        <v>1400</v>
      </c>
      <c r="R260" s="20" t="n">
        <v>14990</v>
      </c>
      <c r="S260" s="20" t="n">
        <v>5553.9</v>
      </c>
      <c r="T260" s="20" t="n">
        <v>9436.1</v>
      </c>
      <c r="U260" s="21" t="n">
        <v>0.37050700466978</v>
      </c>
      <c r="V260" s="22" t="n">
        <v>2.623</v>
      </c>
      <c r="W260" s="17" t="n">
        <v>286</v>
      </c>
      <c r="X260" s="17" t="n">
        <v>7</v>
      </c>
      <c r="Y260" s="20" t="n">
        <v>38722.54</v>
      </c>
      <c r="Z260" s="21" t="n">
        <v>0.1004</v>
      </c>
      <c r="AA260" s="5" t="n"/>
      <c r="AB260" s="5">
        <f>IF(V260="","",IF(V260&lt;12,"Months","Weeks"))</f>
        <v/>
      </c>
      <c r="AC260" s="5">
        <f>IF(AB260="","",IF(AB260="Months","Daily","Weekly"))</f>
        <v/>
      </c>
      <c r="AD260" s="17">
        <f>IF(V260="","",IF(AC260="Daily",V260*Controls!$B$13,V260))</f>
        <v/>
      </c>
      <c r="AE260" s="17">
        <f>IF(V260="","",IF(AC260="Daily",V260*Controls!$B$13,V260*Controls!$B$12))</f>
        <v/>
      </c>
      <c r="AF260" s="17">
        <f>IF(OR(E260="",F260=""),"",F260-E260)</f>
        <v/>
      </c>
      <c r="AG260" s="17">
        <f>IF(OR(E260="",F260=""),"",NETWORKDAYS(E260,F260,Ref!$F$4:$F$47))</f>
        <v/>
      </c>
      <c r="AH260" s="39">
        <f>IF(IFERROR(VLOOKUP(D260,Controls!$A$25:$D$35,2,FALSE()),"No")="Yes",1,0)</f>
        <v/>
      </c>
      <c r="AI260" s="39">
        <f>IF(IFERROR(VLOOKUP(D260,Controls!$A$25:$D$35,3,FALSE()),"No")="Yes",1,0)</f>
        <v/>
      </c>
      <c r="AJ260" s="39">
        <f>IF(IFERROR(VLOOKUP(D260,Controls!$A$25:$D$35,4,FALSE()),"No")="Yes",1,0)</f>
        <v/>
      </c>
      <c r="AK260" s="96">
        <f>IF(AND($E260&gt;=Controls!$B$5,$E260&lt;=Controls!$B$6,OR(Controls!$E$9&lt;&gt;"Y",$BE260=1)),1,0)</f>
        <v/>
      </c>
      <c r="AL260" s="39">
        <f>1</f>
        <v/>
      </c>
      <c r="AM260" s="20">
        <f>S260-P260</f>
        <v/>
      </c>
      <c r="AN260" s="20">
        <f>IF(AH260=1,MAX(0,P260-S260),0)</f>
        <v/>
      </c>
      <c r="AO260" s="21">
        <f>IFERROR(S260/P260,"")</f>
        <v/>
      </c>
      <c r="AP260" s="22">
        <f>IF(Y260="","",P260/Y260)</f>
        <v/>
      </c>
      <c r="AQ260" s="39">
        <f>IF(Y260="",0,1)</f>
        <v/>
      </c>
      <c r="AR260" s="39">
        <f>IF(S260&lt;=0,1,0)</f>
        <v/>
      </c>
      <c r="AS260" s="17">
        <f>IF(AH260=1,AG260,"")</f>
        <v/>
      </c>
      <c r="AT260" s="17">
        <f>IF(AND(AH260=0,AJ260=1),AG260,"")</f>
        <v/>
      </c>
      <c r="AU260" s="5">
        <f>IF(P260&lt;10000,"Under $10K",IF(P260&lt;20000,"$10-20K",IF(P260&lt;30000,"$20-30K",IF(P260&lt;50000,"$30-50K",IF(P260&lt;100000,"$50-100K","$100K+")))))</f>
        <v/>
      </c>
      <c r="AV260" s="5">
        <f>IF(O260&lt;=1.35,"1.35 and under",IF(O260&lt;=1.42,"1.36-1.42",IF(O260&lt;=1.45,"1.43-1.45",IF(O260&lt;1.49,"1.46-1.48",IF(O260&lt;=1.49,"1.49","Above 1.49")))))</f>
        <v/>
      </c>
      <c r="AW260" s="5">
        <f>IF(AE260="","",IF(AE260&lt;60,"Under 60",IF(AE260&lt;90,"60-89",IF(AE260&lt;120,"90-119",IF(AE260&lt;150,"120-149","150+")))))</f>
        <v/>
      </c>
      <c r="AX260" s="5">
        <f>IF(AP260="","No revenue data",IF(AP260&lt;0.15,"Under 0.15x",IF(AP260&lt;0.3,"0.15-0.30x",IF(AP260&lt;0.5,"0.30-0.50x",IF(AP260&lt;1,"0.50-1.00x","1.00x+")))))</f>
        <v/>
      </c>
      <c r="AY260" s="5">
        <f>IF(J260="","No SIC",IFERROR(VLOOKUP(J260,Ref!$A$4:$C$67,2,FALSE()),"Unclassified"))</f>
        <v/>
      </c>
      <c r="AZ260" s="5">
        <f>IF(E260="","",TEXT(E260,"YYYY")&amp;"-Q"&amp;ROUNDUP(MONTH(E260)/3,0))</f>
        <v/>
      </c>
      <c r="BA260" s="5">
        <f>IF(E260="","",TEXT(E260,"YYYY-MM"))</f>
        <v/>
      </c>
      <c r="BB260" s="5">
        <f>IF(E260="","",TEXT(E260,"YYYY"))</f>
        <v/>
      </c>
      <c r="BC260" s="92">
        <f>IF($E260="","",NETWORKDAYS($E260,Controls!$B$9,Ref!$F$4:$F$47))</f>
        <v/>
      </c>
      <c r="BD260" s="92">
        <f>IF(OR($AH260=1,$AJ260=1),1,0)</f>
        <v/>
      </c>
      <c r="BE260" s="95">
        <f>IF(OR($BD260=1,AND($AE260&lt;&gt;"",$BC260&gt;=Controls!$B$10*$AE260)),1,0)</f>
        <v/>
      </c>
    </row>
    <row r="261" ht="15.75" customHeight="1" s="79">
      <c r="A261" s="5" t="inlineStr">
        <is>
          <t>5674167314</t>
        </is>
      </c>
      <c r="B261" s="5" t="inlineStr">
        <is>
          <t>Terry Mann Floors</t>
        </is>
      </c>
      <c r="C261" s="5" t="inlineStr">
        <is>
          <t>Terry Mann LLC</t>
        </is>
      </c>
      <c r="D261" s="5" t="inlineStr">
        <is>
          <t>Closed</t>
        </is>
      </c>
      <c r="E261" s="16" t="n">
        <v>45925</v>
      </c>
      <c r="F261" s="16" t="n">
        <v>46048</v>
      </c>
      <c r="G261" s="17" t="n">
        <v>4</v>
      </c>
      <c r="H261" s="5" t="inlineStr">
        <is>
          <t>2426</t>
        </is>
      </c>
      <c r="I261" s="5" t="inlineStr">
        <is>
          <t>All Other Misc. Wood Product Mfg.</t>
        </is>
      </c>
      <c r="J261" s="5" t="inlineStr">
        <is>
          <t>24</t>
        </is>
      </c>
      <c r="K261" s="5" t="n">
        <v>5713</v>
      </c>
      <c r="L261" s="5" t="inlineStr">
        <is>
          <t>TX</t>
        </is>
      </c>
      <c r="M261" s="5" t="inlineStr">
        <is>
          <t>Merchant ReFi</t>
        </is>
      </c>
      <c r="N261" s="5" t="inlineStr">
        <is>
          <t>New Deal</t>
        </is>
      </c>
      <c r="O261" s="19" t="n">
        <v>1.499</v>
      </c>
      <c r="P261" s="20" t="n">
        <v>15000</v>
      </c>
      <c r="Q261" s="20" t="n">
        <v>2100</v>
      </c>
      <c r="R261" s="20" t="n">
        <v>22485</v>
      </c>
      <c r="S261" s="20" t="n">
        <v>22485</v>
      </c>
      <c r="T261" s="20" t="n">
        <v>0</v>
      </c>
      <c r="U261" s="21" t="n">
        <v>1</v>
      </c>
      <c r="V261" s="22" t="n">
        <v>18</v>
      </c>
      <c r="W261" s="17" t="n">
        <v>205</v>
      </c>
      <c r="X261" s="17" t="n">
        <v>0</v>
      </c>
      <c r="Y261" s="5" t="n"/>
      <c r="Z261" s="21" t="n">
        <v>0.0501</v>
      </c>
      <c r="AA261" s="5" t="n"/>
      <c r="AB261" s="5">
        <f>IF(V261="","",IF(V261&lt;12,"Months","Weeks"))</f>
        <v/>
      </c>
      <c r="AC261" s="5">
        <f>IF(AB261="","",IF(AB261="Months","Daily","Weekly"))</f>
        <v/>
      </c>
      <c r="AD261" s="17">
        <f>IF(V261="","",IF(AC261="Daily",V261*Controls!$B$13,V261))</f>
        <v/>
      </c>
      <c r="AE261" s="17">
        <f>IF(V261="","",IF(AC261="Daily",V261*Controls!$B$13,V261*Controls!$B$12))</f>
        <v/>
      </c>
      <c r="AF261" s="17">
        <f>IF(OR(E261="",F261=""),"",F261-E261)</f>
        <v/>
      </c>
      <c r="AG261" s="17">
        <f>IF(OR(E261="",F261=""),"",NETWORKDAYS(E261,F261,Ref!$F$4:$F$47))</f>
        <v/>
      </c>
      <c r="AH261" s="39">
        <f>IF(IFERROR(VLOOKUP(D261,Controls!$A$25:$D$35,2,FALSE()),"No")="Yes",1,0)</f>
        <v/>
      </c>
      <c r="AI261" s="39">
        <f>IF(IFERROR(VLOOKUP(D261,Controls!$A$25:$D$35,3,FALSE()),"No")="Yes",1,0)</f>
        <v/>
      </c>
      <c r="AJ261" s="39">
        <f>IF(IFERROR(VLOOKUP(D261,Controls!$A$25:$D$35,4,FALSE()),"No")="Yes",1,0)</f>
        <v/>
      </c>
      <c r="AK261" s="96">
        <f>IF(AND($E261&gt;=Controls!$B$5,$E261&lt;=Controls!$B$6,OR(Controls!$E$9&lt;&gt;"Y",$BE261=1)),1,0)</f>
        <v/>
      </c>
      <c r="AL261" s="39">
        <f>1</f>
        <v/>
      </c>
      <c r="AM261" s="20">
        <f>S261-P261</f>
        <v/>
      </c>
      <c r="AN261" s="20">
        <f>IF(AH261=1,MAX(0,P261-S261),0)</f>
        <v/>
      </c>
      <c r="AO261" s="21">
        <f>IFERROR(S261/P261,"")</f>
        <v/>
      </c>
      <c r="AP261" s="22">
        <f>IF(Y261="","",P261/Y261)</f>
        <v/>
      </c>
      <c r="AQ261" s="39">
        <f>IF(Y261="",0,1)</f>
        <v/>
      </c>
      <c r="AR261" s="39">
        <f>IF(S261&lt;=0,1,0)</f>
        <v/>
      </c>
      <c r="AS261" s="17">
        <f>IF(AH261=1,AG261,"")</f>
        <v/>
      </c>
      <c r="AT261" s="17">
        <f>IF(AND(AH261=0,AJ261=1),AG261,"")</f>
        <v/>
      </c>
      <c r="AU261" s="5">
        <f>IF(P261&lt;10000,"Under $10K",IF(P261&lt;20000,"$10-20K",IF(P261&lt;30000,"$20-30K",IF(P261&lt;50000,"$30-50K",IF(P261&lt;100000,"$50-100K","$100K+")))))</f>
        <v/>
      </c>
      <c r="AV261" s="5">
        <f>IF(O261&lt;=1.35,"1.35 and under",IF(O261&lt;=1.42,"1.36-1.42",IF(O261&lt;=1.45,"1.43-1.45",IF(O261&lt;1.49,"1.46-1.48",IF(O261&lt;=1.49,"1.49","Above 1.49")))))</f>
        <v/>
      </c>
      <c r="AW261" s="5">
        <f>IF(AE261="","",IF(AE261&lt;60,"Under 60",IF(AE261&lt;90,"60-89",IF(AE261&lt;120,"90-119",IF(AE261&lt;150,"120-149","150+")))))</f>
        <v/>
      </c>
      <c r="AX261" s="5">
        <f>IF(AP261="","No revenue data",IF(AP261&lt;0.15,"Under 0.15x",IF(AP261&lt;0.3,"0.15-0.30x",IF(AP261&lt;0.5,"0.30-0.50x",IF(AP261&lt;1,"0.50-1.00x","1.00x+")))))</f>
        <v/>
      </c>
      <c r="AY261" s="5">
        <f>IF(J261="","No SIC",IFERROR(VLOOKUP(J261,Ref!$A$4:$C$67,2,FALSE()),"Unclassified"))</f>
        <v/>
      </c>
      <c r="AZ261" s="5">
        <f>IF(E261="","",TEXT(E261,"YYYY")&amp;"-Q"&amp;ROUNDUP(MONTH(E261)/3,0))</f>
        <v/>
      </c>
      <c r="BA261" s="5">
        <f>IF(E261="","",TEXT(E261,"YYYY-MM"))</f>
        <v/>
      </c>
      <c r="BB261" s="5">
        <f>IF(E261="","",TEXT(E261,"YYYY"))</f>
        <v/>
      </c>
      <c r="BC261" s="92">
        <f>IF($E261="","",NETWORKDAYS($E261,Controls!$B$9,Ref!$F$4:$F$47))</f>
        <v/>
      </c>
      <c r="BD261" s="92">
        <f>IF(OR($AH261=1,$AJ261=1),1,0)</f>
        <v/>
      </c>
      <c r="BE261" s="95">
        <f>IF(OR($BD261=1,AND($AE261&lt;&gt;"",$BC261&gt;=Controls!$B$10*$AE261)),1,0)</f>
        <v/>
      </c>
    </row>
    <row r="262" ht="15.75" customHeight="1" s="79">
      <c r="A262" s="5" t="inlineStr">
        <is>
          <t>5674167324</t>
        </is>
      </c>
      <c r="B262" s="5" t="inlineStr">
        <is>
          <t>Gordos tacos 9015 e via linda</t>
        </is>
      </c>
      <c r="C262" s="5" t="inlineStr">
        <is>
          <t>Twins creative Mexican food llc</t>
        </is>
      </c>
      <c r="D262" s="5" t="inlineStr">
        <is>
          <t>Closed</t>
        </is>
      </c>
      <c r="E262" s="16" t="n">
        <v>45925</v>
      </c>
      <c r="F262" s="16" t="n">
        <v>46213</v>
      </c>
      <c r="G262" s="17" t="n">
        <v>3</v>
      </c>
      <c r="H262" s="5" t="inlineStr">
        <is>
          <t>5812</t>
        </is>
      </c>
      <c r="I262" s="5" t="inlineStr">
        <is>
          <t>Snack and Nonalcoholic Beverage Bars</t>
        </is>
      </c>
      <c r="J262" s="5" t="inlineStr">
        <is>
          <t>58</t>
        </is>
      </c>
      <c r="K262" s="5" t="n">
        <v>5812</v>
      </c>
      <c r="L262" s="5" t="inlineStr">
        <is>
          <t>AZ</t>
        </is>
      </c>
      <c r="M262" s="5" t="inlineStr">
        <is>
          <t>PMF</t>
        </is>
      </c>
      <c r="N262" s="5" t="inlineStr">
        <is>
          <t>Renewal</t>
        </is>
      </c>
      <c r="O262" s="19" t="n">
        <v>1.49</v>
      </c>
      <c r="P262" s="20" t="n">
        <v>40000</v>
      </c>
      <c r="Q262" s="20" t="n">
        <v>5600</v>
      </c>
      <c r="R262" s="20" t="n">
        <v>59600</v>
      </c>
      <c r="S262" s="20" t="n">
        <v>59600</v>
      </c>
      <c r="T262" s="20" t="n">
        <v>0</v>
      </c>
      <c r="U262" s="21" t="n">
        <v>1</v>
      </c>
      <c r="V262" s="22" t="n">
        <v>3.279</v>
      </c>
      <c r="W262" s="17" t="n">
        <v>40</v>
      </c>
      <c r="X262" s="17" t="n">
        <v>94</v>
      </c>
      <c r="Y262" s="20" t="n">
        <v>92936.78999999999</v>
      </c>
      <c r="Z262" s="21" t="n">
        <v>0.1347</v>
      </c>
      <c r="AA262" s="16" t="n">
        <v>44567</v>
      </c>
      <c r="AB262" s="5">
        <f>IF(V262="","",IF(V262&lt;12,"Months","Weeks"))</f>
        <v/>
      </c>
      <c r="AC262" s="5">
        <f>IF(AB262="","",IF(AB262="Months","Daily","Weekly"))</f>
        <v/>
      </c>
      <c r="AD262" s="17">
        <f>IF(V262="","",IF(AC262="Daily",V262*Controls!$B$13,V262))</f>
        <v/>
      </c>
      <c r="AE262" s="17">
        <f>IF(V262="","",IF(AC262="Daily",V262*Controls!$B$13,V262*Controls!$B$12))</f>
        <v/>
      </c>
      <c r="AF262" s="17">
        <f>IF(OR(E262="",F262=""),"",F262-E262)</f>
        <v/>
      </c>
      <c r="AG262" s="17">
        <f>IF(OR(E262="",F262=""),"",NETWORKDAYS(E262,F262,Ref!$F$4:$F$47))</f>
        <v/>
      </c>
      <c r="AH262" s="39">
        <f>IF(IFERROR(VLOOKUP(D262,Controls!$A$25:$D$35,2,FALSE()),"No")="Yes",1,0)</f>
        <v/>
      </c>
      <c r="AI262" s="39">
        <f>IF(IFERROR(VLOOKUP(D262,Controls!$A$25:$D$35,3,FALSE()),"No")="Yes",1,0)</f>
        <v/>
      </c>
      <c r="AJ262" s="39">
        <f>IF(IFERROR(VLOOKUP(D262,Controls!$A$25:$D$35,4,FALSE()),"No")="Yes",1,0)</f>
        <v/>
      </c>
      <c r="AK262" s="96">
        <f>IF(AND($E262&gt;=Controls!$B$5,$E262&lt;=Controls!$B$6,OR(Controls!$E$9&lt;&gt;"Y",$BE262=1)),1,0)</f>
        <v/>
      </c>
      <c r="AL262" s="39">
        <f>1</f>
        <v/>
      </c>
      <c r="AM262" s="20">
        <f>S262-P262</f>
        <v/>
      </c>
      <c r="AN262" s="20">
        <f>IF(AH262=1,MAX(0,P262-S262),0)</f>
        <v/>
      </c>
      <c r="AO262" s="21">
        <f>IFERROR(S262/P262,"")</f>
        <v/>
      </c>
      <c r="AP262" s="22">
        <f>IF(Y262="","",P262/Y262)</f>
        <v/>
      </c>
      <c r="AQ262" s="39">
        <f>IF(Y262="",0,1)</f>
        <v/>
      </c>
      <c r="AR262" s="39">
        <f>IF(S262&lt;=0,1,0)</f>
        <v/>
      </c>
      <c r="AS262" s="17">
        <f>IF(AH262=1,AG262,"")</f>
        <v/>
      </c>
      <c r="AT262" s="17">
        <f>IF(AND(AH262=0,AJ262=1),AG262,"")</f>
        <v/>
      </c>
      <c r="AU262" s="5">
        <f>IF(P262&lt;10000,"Under $10K",IF(P262&lt;20000,"$10-20K",IF(P262&lt;30000,"$20-30K",IF(P262&lt;50000,"$30-50K",IF(P262&lt;100000,"$50-100K","$100K+")))))</f>
        <v/>
      </c>
      <c r="AV262" s="5">
        <f>IF(O262&lt;=1.35,"1.35 and under",IF(O262&lt;=1.42,"1.36-1.42",IF(O262&lt;=1.45,"1.43-1.45",IF(O262&lt;1.49,"1.46-1.48",IF(O262&lt;=1.49,"1.49","Above 1.49")))))</f>
        <v/>
      </c>
      <c r="AW262" s="5">
        <f>IF(AE262="","",IF(AE262&lt;60,"Under 60",IF(AE262&lt;90,"60-89",IF(AE262&lt;120,"90-119",IF(AE262&lt;150,"120-149","150+")))))</f>
        <v/>
      </c>
      <c r="AX262" s="5">
        <f>IF(AP262="","No revenue data",IF(AP262&lt;0.15,"Under 0.15x",IF(AP262&lt;0.3,"0.15-0.30x",IF(AP262&lt;0.5,"0.30-0.50x",IF(AP262&lt;1,"0.50-1.00x","1.00x+")))))</f>
        <v/>
      </c>
      <c r="AY262" s="5">
        <f>IF(J262="","No SIC",IFERROR(VLOOKUP(J262,Ref!$A$4:$C$67,2,FALSE()),"Unclassified"))</f>
        <v/>
      </c>
      <c r="AZ262" s="5">
        <f>IF(E262="","",TEXT(E262,"YYYY")&amp;"-Q"&amp;ROUNDUP(MONTH(E262)/3,0))</f>
        <v/>
      </c>
      <c r="BA262" s="5">
        <f>IF(E262="","",TEXT(E262,"YYYY-MM"))</f>
        <v/>
      </c>
      <c r="BB262" s="5">
        <f>IF(E262="","",TEXT(E262,"YYYY"))</f>
        <v/>
      </c>
      <c r="BC262" s="92">
        <f>IF($E262="","",NETWORKDAYS($E262,Controls!$B$9,Ref!$F$4:$F$47))</f>
        <v/>
      </c>
      <c r="BD262" s="92">
        <f>IF(OR($AH262=1,$AJ262=1),1,0)</f>
        <v/>
      </c>
      <c r="BE262" s="95">
        <f>IF(OR($BD262=1,AND($AE262&lt;&gt;"",$BC262&gt;=Controls!$B$10*$AE262)),1,0)</f>
        <v/>
      </c>
    </row>
    <row r="263" ht="15.75" customHeight="1" s="79">
      <c r="A263" s="5" t="inlineStr">
        <is>
          <t>5674167360</t>
        </is>
      </c>
      <c r="B263" s="5" t="inlineStr">
        <is>
          <t>Precisely Pandas LLC</t>
        </is>
      </c>
      <c r="C263" s="5" t="inlineStr">
        <is>
          <t>Precisely Pandas LLC</t>
        </is>
      </c>
      <c r="D263" s="5" t="inlineStr">
        <is>
          <t>Closed</t>
        </is>
      </c>
      <c r="E263" s="16" t="n">
        <v>45926</v>
      </c>
      <c r="F263" s="16" t="n">
        <v>46014</v>
      </c>
      <c r="G263" s="17" t="n">
        <v>1</v>
      </c>
      <c r="H263" s="5" t="inlineStr">
        <is>
          <t>8351</t>
        </is>
      </c>
      <c r="I263" s="5" t="inlineStr">
        <is>
          <t>Child Day Care Services</t>
        </is>
      </c>
      <c r="J263" s="5" t="inlineStr">
        <is>
          <t>83</t>
        </is>
      </c>
      <c r="K263" s="5" t="n">
        <v>8351</v>
      </c>
      <c r="L263" s="5" t="inlineStr">
        <is>
          <t>CT</t>
        </is>
      </c>
      <c r="M263" s="5" t="inlineStr">
        <is>
          <t>National Business Capital</t>
        </is>
      </c>
      <c r="N263" s="5" t="inlineStr">
        <is>
          <t>New Deal</t>
        </is>
      </c>
      <c r="O263" s="19" t="n">
        <v>1.39</v>
      </c>
      <c r="P263" s="20" t="n">
        <v>25000</v>
      </c>
      <c r="Q263" s="20" t="n">
        <v>2250</v>
      </c>
      <c r="R263" s="20" t="n">
        <v>34750</v>
      </c>
      <c r="S263" s="20" t="n">
        <v>34750</v>
      </c>
      <c r="T263" s="20" t="n">
        <v>0</v>
      </c>
      <c r="U263" s="21" t="n">
        <v>1</v>
      </c>
      <c r="V263" s="22" t="n">
        <v>22</v>
      </c>
      <c r="W263" s="17" t="n">
        <v>239</v>
      </c>
      <c r="X263" s="17" t="n">
        <v>0</v>
      </c>
      <c r="Y263" s="20" t="n">
        <v>89837.3</v>
      </c>
      <c r="Z263" s="21" t="n">
        <v>0.0703</v>
      </c>
      <c r="AA263" s="5" t="n"/>
      <c r="AB263" s="5">
        <f>IF(V263="","",IF(V263&lt;12,"Months","Weeks"))</f>
        <v/>
      </c>
      <c r="AC263" s="5">
        <f>IF(AB263="","",IF(AB263="Months","Daily","Weekly"))</f>
        <v/>
      </c>
      <c r="AD263" s="17">
        <f>IF(V263="","",IF(AC263="Daily",V263*Controls!$B$13,V263))</f>
        <v/>
      </c>
      <c r="AE263" s="17">
        <f>IF(V263="","",IF(AC263="Daily",V263*Controls!$B$13,V263*Controls!$B$12))</f>
        <v/>
      </c>
      <c r="AF263" s="17">
        <f>IF(OR(E263="",F263=""),"",F263-E263)</f>
        <v/>
      </c>
      <c r="AG263" s="17">
        <f>IF(OR(E263="",F263=""),"",NETWORKDAYS(E263,F263,Ref!$F$4:$F$47))</f>
        <v/>
      </c>
      <c r="AH263" s="39">
        <f>IF(IFERROR(VLOOKUP(D263,Controls!$A$25:$D$35,2,FALSE()),"No")="Yes",1,0)</f>
        <v/>
      </c>
      <c r="AI263" s="39">
        <f>IF(IFERROR(VLOOKUP(D263,Controls!$A$25:$D$35,3,FALSE()),"No")="Yes",1,0)</f>
        <v/>
      </c>
      <c r="AJ263" s="39">
        <f>IF(IFERROR(VLOOKUP(D263,Controls!$A$25:$D$35,4,FALSE()),"No")="Yes",1,0)</f>
        <v/>
      </c>
      <c r="AK263" s="96">
        <f>IF(AND($E263&gt;=Controls!$B$5,$E263&lt;=Controls!$B$6,OR(Controls!$E$9&lt;&gt;"Y",$BE263=1)),1,0)</f>
        <v/>
      </c>
      <c r="AL263" s="39">
        <f>1</f>
        <v/>
      </c>
      <c r="AM263" s="20">
        <f>S263-P263</f>
        <v/>
      </c>
      <c r="AN263" s="20">
        <f>IF(AH263=1,MAX(0,P263-S263),0)</f>
        <v/>
      </c>
      <c r="AO263" s="21">
        <f>IFERROR(S263/P263,"")</f>
        <v/>
      </c>
      <c r="AP263" s="22">
        <f>IF(Y263="","",P263/Y263)</f>
        <v/>
      </c>
      <c r="AQ263" s="39">
        <f>IF(Y263="",0,1)</f>
        <v/>
      </c>
      <c r="AR263" s="39">
        <f>IF(S263&lt;=0,1,0)</f>
        <v/>
      </c>
      <c r="AS263" s="17">
        <f>IF(AH263=1,AG263,"")</f>
        <v/>
      </c>
      <c r="AT263" s="17">
        <f>IF(AND(AH263=0,AJ263=1),AG263,"")</f>
        <v/>
      </c>
      <c r="AU263" s="5">
        <f>IF(P263&lt;10000,"Under $10K",IF(P263&lt;20000,"$10-20K",IF(P263&lt;30000,"$20-30K",IF(P263&lt;50000,"$30-50K",IF(P263&lt;100000,"$50-100K","$100K+")))))</f>
        <v/>
      </c>
      <c r="AV263" s="5">
        <f>IF(O263&lt;=1.35,"1.35 and under",IF(O263&lt;=1.42,"1.36-1.42",IF(O263&lt;=1.45,"1.43-1.45",IF(O263&lt;1.49,"1.46-1.48",IF(O263&lt;=1.49,"1.49","Above 1.49")))))</f>
        <v/>
      </c>
      <c r="AW263" s="5">
        <f>IF(AE263="","",IF(AE263&lt;60,"Under 60",IF(AE263&lt;90,"60-89",IF(AE263&lt;120,"90-119",IF(AE263&lt;150,"120-149","150+")))))</f>
        <v/>
      </c>
      <c r="AX263" s="5">
        <f>IF(AP263="","No revenue data",IF(AP263&lt;0.15,"Under 0.15x",IF(AP263&lt;0.3,"0.15-0.30x",IF(AP263&lt;0.5,"0.30-0.50x",IF(AP263&lt;1,"0.50-1.00x","1.00x+")))))</f>
        <v/>
      </c>
      <c r="AY263" s="5">
        <f>IF(J263="","No SIC",IFERROR(VLOOKUP(J263,Ref!$A$4:$C$67,2,FALSE()),"Unclassified"))</f>
        <v/>
      </c>
      <c r="AZ263" s="5">
        <f>IF(E263="","",TEXT(E263,"YYYY")&amp;"-Q"&amp;ROUNDUP(MONTH(E263)/3,0))</f>
        <v/>
      </c>
      <c r="BA263" s="5">
        <f>IF(E263="","",TEXT(E263,"YYYY-MM"))</f>
        <v/>
      </c>
      <c r="BB263" s="5">
        <f>IF(E263="","",TEXT(E263,"YYYY"))</f>
        <v/>
      </c>
      <c r="BC263" s="92">
        <f>IF($E263="","",NETWORKDAYS($E263,Controls!$B$9,Ref!$F$4:$F$47))</f>
        <v/>
      </c>
      <c r="BD263" s="92">
        <f>IF(OR($AH263=1,$AJ263=1),1,0)</f>
        <v/>
      </c>
      <c r="BE263" s="95">
        <f>IF(OR($BD263=1,AND($AE263&lt;&gt;"",$BC263&gt;=Controls!$B$10*$AE263)),1,0)</f>
        <v/>
      </c>
    </row>
    <row r="264" ht="15.75" customHeight="1" s="79">
      <c r="A264" s="5" t="inlineStr">
        <is>
          <t>5674167409</t>
        </is>
      </c>
      <c r="B264" s="5" t="inlineStr">
        <is>
          <t>Cincinnati Home Remodelation LLC</t>
        </is>
      </c>
      <c r="C264" s="5" t="inlineStr">
        <is>
          <t>Cincinnati Home Remodelation LLC</t>
        </is>
      </c>
      <c r="D264" s="5" t="inlineStr">
        <is>
          <t>Legal</t>
        </is>
      </c>
      <c r="E264" s="16" t="n">
        <v>45926</v>
      </c>
      <c r="F264" s="16" t="n">
        <v>46006</v>
      </c>
      <c r="G264" s="17" t="n">
        <v>2</v>
      </c>
      <c r="H264" s="5" t="inlineStr">
        <is>
          <t>1521</t>
        </is>
      </c>
      <c r="I264" s="5" t="inlineStr">
        <is>
          <t>New Single-Family Housing Construction (Except For-Sale Builders)</t>
        </is>
      </c>
      <c r="J264" s="5" t="inlineStr">
        <is>
          <t>15</t>
        </is>
      </c>
      <c r="K264" s="5" t="n">
        <v>1520</v>
      </c>
      <c r="L264" s="5" t="inlineStr">
        <is>
          <t>OH</t>
        </is>
      </c>
      <c r="M264" s="5" t="inlineStr">
        <is>
          <t>United Secured Capital 8</t>
        </is>
      </c>
      <c r="N264" s="5" t="inlineStr">
        <is>
          <t>New Deal</t>
        </is>
      </c>
      <c r="O264" s="19" t="n">
        <v>1.499</v>
      </c>
      <c r="P264" s="20" t="n">
        <v>7000</v>
      </c>
      <c r="Q264" s="20" t="n">
        <v>980</v>
      </c>
      <c r="R264" s="20" t="n">
        <v>10493</v>
      </c>
      <c r="S264" s="20" t="n">
        <v>3913.5</v>
      </c>
      <c r="T264" s="20" t="n">
        <v>6579.5</v>
      </c>
      <c r="U264" s="21" t="n">
        <v>0.372962927666063</v>
      </c>
      <c r="V264" s="22" t="n">
        <v>2.623</v>
      </c>
      <c r="W264" s="17" t="n">
        <v>274</v>
      </c>
      <c r="X264" s="17" t="n">
        <v>14</v>
      </c>
      <c r="Y264" s="20" t="n">
        <v>31854.13</v>
      </c>
      <c r="Z264" s="21" t="n">
        <v>0.08599999999999999</v>
      </c>
      <c r="AA264" s="16" t="n">
        <v>44197</v>
      </c>
      <c r="AB264" s="5">
        <f>IF(V264="","",IF(V264&lt;12,"Months","Weeks"))</f>
        <v/>
      </c>
      <c r="AC264" s="5">
        <f>IF(AB264="","",IF(AB264="Months","Daily","Weekly"))</f>
        <v/>
      </c>
      <c r="AD264" s="17">
        <f>IF(V264="","",IF(AC264="Daily",V264*Controls!$B$13,V264))</f>
        <v/>
      </c>
      <c r="AE264" s="17">
        <f>IF(V264="","",IF(AC264="Daily",V264*Controls!$B$13,V264*Controls!$B$12))</f>
        <v/>
      </c>
      <c r="AF264" s="17">
        <f>IF(OR(E264="",F264=""),"",F264-E264)</f>
        <v/>
      </c>
      <c r="AG264" s="17">
        <f>IF(OR(E264="",F264=""),"",NETWORKDAYS(E264,F264,Ref!$F$4:$F$47))</f>
        <v/>
      </c>
      <c r="AH264" s="39">
        <f>IF(IFERROR(VLOOKUP(D264,Controls!$A$25:$D$35,2,FALSE()),"No")="Yes",1,0)</f>
        <v/>
      </c>
      <c r="AI264" s="39">
        <f>IF(IFERROR(VLOOKUP(D264,Controls!$A$25:$D$35,3,FALSE()),"No")="Yes",1,0)</f>
        <v/>
      </c>
      <c r="AJ264" s="39">
        <f>IF(IFERROR(VLOOKUP(D264,Controls!$A$25:$D$35,4,FALSE()),"No")="Yes",1,0)</f>
        <v/>
      </c>
      <c r="AK264" s="96">
        <f>IF(AND($E264&gt;=Controls!$B$5,$E264&lt;=Controls!$B$6,OR(Controls!$E$9&lt;&gt;"Y",$BE264=1)),1,0)</f>
        <v/>
      </c>
      <c r="AL264" s="39">
        <f>1</f>
        <v/>
      </c>
      <c r="AM264" s="20">
        <f>S264-P264</f>
        <v/>
      </c>
      <c r="AN264" s="20">
        <f>IF(AH264=1,MAX(0,P264-S264),0)</f>
        <v/>
      </c>
      <c r="AO264" s="21">
        <f>IFERROR(S264/P264,"")</f>
        <v/>
      </c>
      <c r="AP264" s="22">
        <f>IF(Y264="","",P264/Y264)</f>
        <v/>
      </c>
      <c r="AQ264" s="39">
        <f>IF(Y264="",0,1)</f>
        <v/>
      </c>
      <c r="AR264" s="39">
        <f>IF(S264&lt;=0,1,0)</f>
        <v/>
      </c>
      <c r="AS264" s="17">
        <f>IF(AH264=1,AG264,"")</f>
        <v/>
      </c>
      <c r="AT264" s="17">
        <f>IF(AND(AH264=0,AJ264=1),AG264,"")</f>
        <v/>
      </c>
      <c r="AU264" s="5">
        <f>IF(P264&lt;10000,"Under $10K",IF(P264&lt;20000,"$10-20K",IF(P264&lt;30000,"$20-30K",IF(P264&lt;50000,"$30-50K",IF(P264&lt;100000,"$50-100K","$100K+")))))</f>
        <v/>
      </c>
      <c r="AV264" s="5">
        <f>IF(O264&lt;=1.35,"1.35 and under",IF(O264&lt;=1.42,"1.36-1.42",IF(O264&lt;=1.45,"1.43-1.45",IF(O264&lt;1.49,"1.46-1.48",IF(O264&lt;=1.49,"1.49","Above 1.49")))))</f>
        <v/>
      </c>
      <c r="AW264" s="5">
        <f>IF(AE264="","",IF(AE264&lt;60,"Under 60",IF(AE264&lt;90,"60-89",IF(AE264&lt;120,"90-119",IF(AE264&lt;150,"120-149","150+")))))</f>
        <v/>
      </c>
      <c r="AX264" s="5">
        <f>IF(AP264="","No revenue data",IF(AP264&lt;0.15,"Under 0.15x",IF(AP264&lt;0.3,"0.15-0.30x",IF(AP264&lt;0.5,"0.30-0.50x",IF(AP264&lt;1,"0.50-1.00x","1.00x+")))))</f>
        <v/>
      </c>
      <c r="AY264" s="5">
        <f>IF(J264="","No SIC",IFERROR(VLOOKUP(J264,Ref!$A$4:$C$67,2,FALSE()),"Unclassified"))</f>
        <v/>
      </c>
      <c r="AZ264" s="5">
        <f>IF(E264="","",TEXT(E264,"YYYY")&amp;"-Q"&amp;ROUNDUP(MONTH(E264)/3,0))</f>
        <v/>
      </c>
      <c r="BA264" s="5">
        <f>IF(E264="","",TEXT(E264,"YYYY-MM"))</f>
        <v/>
      </c>
      <c r="BB264" s="5">
        <f>IF(E264="","",TEXT(E264,"YYYY"))</f>
        <v/>
      </c>
      <c r="BC264" s="92">
        <f>IF($E264="","",NETWORKDAYS($E264,Controls!$B$9,Ref!$F$4:$F$47))</f>
        <v/>
      </c>
      <c r="BD264" s="92">
        <f>IF(OR($AH264=1,$AJ264=1),1,0)</f>
        <v/>
      </c>
      <c r="BE264" s="95">
        <f>IF(OR($BD264=1,AND($AE264&lt;&gt;"",$BC264&gt;=Controls!$B$10*$AE264)),1,0)</f>
        <v/>
      </c>
    </row>
    <row r="265" ht="15.75" customHeight="1" s="79">
      <c r="A265" s="5" t="inlineStr">
        <is>
          <t>5674167410</t>
        </is>
      </c>
      <c r="B265" s="5" t="inlineStr">
        <is>
          <t>Innovate Insurance Agency, Inc.</t>
        </is>
      </c>
      <c r="C265" s="5" t="inlineStr">
        <is>
          <t>Innovate Insurance Agency, Inc.</t>
        </is>
      </c>
      <c r="D265" s="5" t="inlineStr">
        <is>
          <t>Closed</t>
        </is>
      </c>
      <c r="E265" s="16" t="n">
        <v>45926</v>
      </c>
      <c r="F265" s="16" t="n">
        <v>45987</v>
      </c>
      <c r="G265" s="17" t="n">
        <v>2</v>
      </c>
      <c r="H265" s="5" t="inlineStr">
        <is>
          <t>6411</t>
        </is>
      </c>
      <c r="I265" s="5" t="inlineStr">
        <is>
          <t>All Other Insurance Related Activities</t>
        </is>
      </c>
      <c r="J265" s="5" t="inlineStr">
        <is>
          <t>64</t>
        </is>
      </c>
      <c r="K265" s="5" t="n">
        <v>6300</v>
      </c>
      <c r="L265" s="5" t="inlineStr">
        <is>
          <t>NJ</t>
        </is>
      </c>
      <c r="M265" s="5" t="inlineStr">
        <is>
          <t>Westwood</t>
        </is>
      </c>
      <c r="N265" s="5" t="inlineStr">
        <is>
          <t>New Deal</t>
        </is>
      </c>
      <c r="O265" s="19" t="n">
        <v>1.499</v>
      </c>
      <c r="P265" s="20" t="n">
        <v>15000</v>
      </c>
      <c r="Q265" s="20" t="n">
        <v>2100</v>
      </c>
      <c r="R265" s="20" t="n">
        <v>22485</v>
      </c>
      <c r="S265" s="20" t="n">
        <v>22485</v>
      </c>
      <c r="T265" s="20" t="n">
        <v>0</v>
      </c>
      <c r="U265" s="21" t="n">
        <v>1</v>
      </c>
      <c r="V265" s="22" t="n">
        <v>2.623</v>
      </c>
      <c r="W265" s="17" t="n">
        <v>266</v>
      </c>
      <c r="X265" s="17" t="n">
        <v>5</v>
      </c>
      <c r="Y265" s="20" t="n">
        <v>47795.52</v>
      </c>
      <c r="Z265" s="21" t="n">
        <v>0.1221</v>
      </c>
      <c r="AA265" s="16" t="n">
        <v>43574</v>
      </c>
      <c r="AB265" s="5">
        <f>IF(V265="","",IF(V265&lt;12,"Months","Weeks"))</f>
        <v/>
      </c>
      <c r="AC265" s="5">
        <f>IF(AB265="","",IF(AB265="Months","Daily","Weekly"))</f>
        <v/>
      </c>
      <c r="AD265" s="17">
        <f>IF(V265="","",IF(AC265="Daily",V265*Controls!$B$13,V265))</f>
        <v/>
      </c>
      <c r="AE265" s="17">
        <f>IF(V265="","",IF(AC265="Daily",V265*Controls!$B$13,V265*Controls!$B$12))</f>
        <v/>
      </c>
      <c r="AF265" s="17">
        <f>IF(OR(E265="",F265=""),"",F265-E265)</f>
        <v/>
      </c>
      <c r="AG265" s="17">
        <f>IF(OR(E265="",F265=""),"",NETWORKDAYS(E265,F265,Ref!$F$4:$F$47))</f>
        <v/>
      </c>
      <c r="AH265" s="39">
        <f>IF(IFERROR(VLOOKUP(D265,Controls!$A$25:$D$35,2,FALSE()),"No")="Yes",1,0)</f>
        <v/>
      </c>
      <c r="AI265" s="39">
        <f>IF(IFERROR(VLOOKUP(D265,Controls!$A$25:$D$35,3,FALSE()),"No")="Yes",1,0)</f>
        <v/>
      </c>
      <c r="AJ265" s="39">
        <f>IF(IFERROR(VLOOKUP(D265,Controls!$A$25:$D$35,4,FALSE()),"No")="Yes",1,0)</f>
        <v/>
      </c>
      <c r="AK265" s="96">
        <f>IF(AND($E265&gt;=Controls!$B$5,$E265&lt;=Controls!$B$6,OR(Controls!$E$9&lt;&gt;"Y",$BE265=1)),1,0)</f>
        <v/>
      </c>
      <c r="AL265" s="39">
        <f>1</f>
        <v/>
      </c>
      <c r="AM265" s="20">
        <f>S265-P265</f>
        <v/>
      </c>
      <c r="AN265" s="20">
        <f>IF(AH265=1,MAX(0,P265-S265),0)</f>
        <v/>
      </c>
      <c r="AO265" s="21">
        <f>IFERROR(S265/P265,"")</f>
        <v/>
      </c>
      <c r="AP265" s="22">
        <f>IF(Y265="","",P265/Y265)</f>
        <v/>
      </c>
      <c r="AQ265" s="39">
        <f>IF(Y265="",0,1)</f>
        <v/>
      </c>
      <c r="AR265" s="39">
        <f>IF(S265&lt;=0,1,0)</f>
        <v/>
      </c>
      <c r="AS265" s="17">
        <f>IF(AH265=1,AG265,"")</f>
        <v/>
      </c>
      <c r="AT265" s="17">
        <f>IF(AND(AH265=0,AJ265=1),AG265,"")</f>
        <v/>
      </c>
      <c r="AU265" s="5">
        <f>IF(P265&lt;10000,"Under $10K",IF(P265&lt;20000,"$10-20K",IF(P265&lt;30000,"$20-30K",IF(P265&lt;50000,"$30-50K",IF(P265&lt;100000,"$50-100K","$100K+")))))</f>
        <v/>
      </c>
      <c r="AV265" s="5">
        <f>IF(O265&lt;=1.35,"1.35 and under",IF(O265&lt;=1.42,"1.36-1.42",IF(O265&lt;=1.45,"1.43-1.45",IF(O265&lt;1.49,"1.46-1.48",IF(O265&lt;=1.49,"1.49","Above 1.49")))))</f>
        <v/>
      </c>
      <c r="AW265" s="5">
        <f>IF(AE265="","",IF(AE265&lt;60,"Under 60",IF(AE265&lt;90,"60-89",IF(AE265&lt;120,"90-119",IF(AE265&lt;150,"120-149","150+")))))</f>
        <v/>
      </c>
      <c r="AX265" s="5">
        <f>IF(AP265="","No revenue data",IF(AP265&lt;0.15,"Under 0.15x",IF(AP265&lt;0.3,"0.15-0.30x",IF(AP265&lt;0.5,"0.30-0.50x",IF(AP265&lt;1,"0.50-1.00x","1.00x+")))))</f>
        <v/>
      </c>
      <c r="AY265" s="5">
        <f>IF(J265="","No SIC",IFERROR(VLOOKUP(J265,Ref!$A$4:$C$67,2,FALSE()),"Unclassified"))</f>
        <v/>
      </c>
      <c r="AZ265" s="5">
        <f>IF(E265="","",TEXT(E265,"YYYY")&amp;"-Q"&amp;ROUNDUP(MONTH(E265)/3,0))</f>
        <v/>
      </c>
      <c r="BA265" s="5">
        <f>IF(E265="","",TEXT(E265,"YYYY-MM"))</f>
        <v/>
      </c>
      <c r="BB265" s="5">
        <f>IF(E265="","",TEXT(E265,"YYYY"))</f>
        <v/>
      </c>
      <c r="BC265" s="92">
        <f>IF($E265="","",NETWORKDAYS($E265,Controls!$B$9,Ref!$F$4:$F$47))</f>
        <v/>
      </c>
      <c r="BD265" s="92">
        <f>IF(OR($AH265=1,$AJ265=1),1,0)</f>
        <v/>
      </c>
      <c r="BE265" s="95">
        <f>IF(OR($BD265=1,AND($AE265&lt;&gt;"",$BC265&gt;=Controls!$B$10*$AE265)),1,0)</f>
        <v/>
      </c>
    </row>
    <row r="266" ht="15.75" customHeight="1" s="79">
      <c r="A266" s="5" t="inlineStr">
        <is>
          <t>5674167497</t>
        </is>
      </c>
      <c r="B266" s="5" t="inlineStr">
        <is>
          <t>IPDR HAIL &amp; DENT REPAIR</t>
        </is>
      </c>
      <c r="C266" s="5" t="inlineStr">
        <is>
          <t>IPDR HAIL &amp; DENT REPAIR LLC</t>
        </is>
      </c>
      <c r="D266" s="5" t="inlineStr">
        <is>
          <t>Closed</t>
        </is>
      </c>
      <c r="E266" s="16" t="n">
        <v>45929</v>
      </c>
      <c r="F266" s="16" t="n">
        <v>46118</v>
      </c>
      <c r="G266" s="17" t="n">
        <v>4</v>
      </c>
      <c r="H266" s="5" t="inlineStr">
        <is>
          <t>1711</t>
        </is>
      </c>
      <c r="I266" s="5" t="inlineStr">
        <is>
          <t>Plumbing, Heating, and Air Conditioning Contractors</t>
        </is>
      </c>
      <c r="J266" s="5" t="inlineStr">
        <is>
          <t>17</t>
        </is>
      </c>
      <c r="K266" s="5" t="n">
        <v>1711</v>
      </c>
      <c r="L266" s="5" t="inlineStr">
        <is>
          <t>TX</t>
        </is>
      </c>
      <c r="M266" s="5" t="inlineStr">
        <is>
          <t>Shore Funding USA</t>
        </is>
      </c>
      <c r="N266" s="5" t="inlineStr">
        <is>
          <t>New Deal</t>
        </is>
      </c>
      <c r="O266" s="19" t="n">
        <v>1.49</v>
      </c>
      <c r="P266" s="20" t="n">
        <v>15000</v>
      </c>
      <c r="Q266" s="20" t="n">
        <v>2100</v>
      </c>
      <c r="R266" s="20" t="n">
        <v>22350</v>
      </c>
      <c r="S266" s="20" t="n">
        <v>22350</v>
      </c>
      <c r="T266" s="20" t="n">
        <v>0</v>
      </c>
      <c r="U266" s="21" t="n">
        <v>1</v>
      </c>
      <c r="V266" s="22" t="n">
        <v>3.934</v>
      </c>
      <c r="W266" s="17" t="n">
        <v>135</v>
      </c>
      <c r="X266" s="17" t="n">
        <v>10</v>
      </c>
      <c r="Y266" s="20" t="n">
        <v>72200.84</v>
      </c>
      <c r="Z266" s="21" t="n">
        <v>0.0542</v>
      </c>
      <c r="AA266" s="16" t="n">
        <v>44562</v>
      </c>
      <c r="AB266" s="5">
        <f>IF(V266="","",IF(V266&lt;12,"Months","Weeks"))</f>
        <v/>
      </c>
      <c r="AC266" s="5">
        <f>IF(AB266="","",IF(AB266="Months","Daily","Weekly"))</f>
        <v/>
      </c>
      <c r="AD266" s="17">
        <f>IF(V266="","",IF(AC266="Daily",V266*Controls!$B$13,V266))</f>
        <v/>
      </c>
      <c r="AE266" s="17">
        <f>IF(V266="","",IF(AC266="Daily",V266*Controls!$B$13,V266*Controls!$B$12))</f>
        <v/>
      </c>
      <c r="AF266" s="17">
        <f>IF(OR(E266="",F266=""),"",F266-E266)</f>
        <v/>
      </c>
      <c r="AG266" s="17">
        <f>IF(OR(E266="",F266=""),"",NETWORKDAYS(E266,F266,Ref!$F$4:$F$47))</f>
        <v/>
      </c>
      <c r="AH266" s="39">
        <f>IF(IFERROR(VLOOKUP(D266,Controls!$A$25:$D$35,2,FALSE()),"No")="Yes",1,0)</f>
        <v/>
      </c>
      <c r="AI266" s="39">
        <f>IF(IFERROR(VLOOKUP(D266,Controls!$A$25:$D$35,3,FALSE()),"No")="Yes",1,0)</f>
        <v/>
      </c>
      <c r="AJ266" s="39">
        <f>IF(IFERROR(VLOOKUP(D266,Controls!$A$25:$D$35,4,FALSE()),"No")="Yes",1,0)</f>
        <v/>
      </c>
      <c r="AK266" s="96">
        <f>IF(AND($E266&gt;=Controls!$B$5,$E266&lt;=Controls!$B$6,OR(Controls!$E$9&lt;&gt;"Y",$BE266=1)),1,0)</f>
        <v/>
      </c>
      <c r="AL266" s="39">
        <f>1</f>
        <v/>
      </c>
      <c r="AM266" s="20">
        <f>S266-P266</f>
        <v/>
      </c>
      <c r="AN266" s="20">
        <f>IF(AH266=1,MAX(0,P266-S266),0)</f>
        <v/>
      </c>
      <c r="AO266" s="21">
        <f>IFERROR(S266/P266,"")</f>
        <v/>
      </c>
      <c r="AP266" s="22">
        <f>IF(Y266="","",P266/Y266)</f>
        <v/>
      </c>
      <c r="AQ266" s="39">
        <f>IF(Y266="",0,1)</f>
        <v/>
      </c>
      <c r="AR266" s="39">
        <f>IF(S266&lt;=0,1,0)</f>
        <v/>
      </c>
      <c r="AS266" s="17">
        <f>IF(AH266=1,AG266,"")</f>
        <v/>
      </c>
      <c r="AT266" s="17">
        <f>IF(AND(AH266=0,AJ266=1),AG266,"")</f>
        <v/>
      </c>
      <c r="AU266" s="5">
        <f>IF(P266&lt;10000,"Under $10K",IF(P266&lt;20000,"$10-20K",IF(P266&lt;30000,"$20-30K",IF(P266&lt;50000,"$30-50K",IF(P266&lt;100000,"$50-100K","$100K+")))))</f>
        <v/>
      </c>
      <c r="AV266" s="5">
        <f>IF(O266&lt;=1.35,"1.35 and under",IF(O266&lt;=1.42,"1.36-1.42",IF(O266&lt;=1.45,"1.43-1.45",IF(O266&lt;1.49,"1.46-1.48",IF(O266&lt;=1.49,"1.49","Above 1.49")))))</f>
        <v/>
      </c>
      <c r="AW266" s="5">
        <f>IF(AE266="","",IF(AE266&lt;60,"Under 60",IF(AE266&lt;90,"60-89",IF(AE266&lt;120,"90-119",IF(AE266&lt;150,"120-149","150+")))))</f>
        <v/>
      </c>
      <c r="AX266" s="5">
        <f>IF(AP266="","No revenue data",IF(AP266&lt;0.15,"Under 0.15x",IF(AP266&lt;0.3,"0.15-0.30x",IF(AP266&lt;0.5,"0.30-0.50x",IF(AP266&lt;1,"0.50-1.00x","1.00x+")))))</f>
        <v/>
      </c>
      <c r="AY266" s="5">
        <f>IF(J266="","No SIC",IFERROR(VLOOKUP(J266,Ref!$A$4:$C$67,2,FALSE()),"Unclassified"))</f>
        <v/>
      </c>
      <c r="AZ266" s="5">
        <f>IF(E266="","",TEXT(E266,"YYYY")&amp;"-Q"&amp;ROUNDUP(MONTH(E266)/3,0))</f>
        <v/>
      </c>
      <c r="BA266" s="5">
        <f>IF(E266="","",TEXT(E266,"YYYY-MM"))</f>
        <v/>
      </c>
      <c r="BB266" s="5">
        <f>IF(E266="","",TEXT(E266,"YYYY"))</f>
        <v/>
      </c>
      <c r="BC266" s="92">
        <f>IF($E266="","",NETWORKDAYS($E266,Controls!$B$9,Ref!$F$4:$F$47))</f>
        <v/>
      </c>
      <c r="BD266" s="92">
        <f>IF(OR($AH266=1,$AJ266=1),1,0)</f>
        <v/>
      </c>
      <c r="BE266" s="95">
        <f>IF(OR($BD266=1,AND($AE266&lt;&gt;"",$BC266&gt;=Controls!$B$10*$AE266)),1,0)</f>
        <v/>
      </c>
    </row>
    <row r="267" ht="15.75" customHeight="1" s="79">
      <c r="A267" s="5" t="inlineStr">
        <is>
          <t>5674167502</t>
        </is>
      </c>
      <c r="B267" s="5" t="inlineStr">
        <is>
          <t>Southern Panc Eat Good LLC DBA Southern Pancake House</t>
        </is>
      </c>
      <c r="C267" s="5" t="inlineStr">
        <is>
          <t>Let'em Eat Good LLC</t>
        </is>
      </c>
      <c r="D267" s="5" t="inlineStr">
        <is>
          <t>Closed</t>
        </is>
      </c>
      <c r="E267" s="16" t="n">
        <v>45929</v>
      </c>
      <c r="F267" s="16" t="n">
        <v>46036</v>
      </c>
      <c r="G267" s="17" t="n">
        <v>1</v>
      </c>
      <c r="H267" s="5" t="inlineStr">
        <is>
          <t>5812</t>
        </is>
      </c>
      <c r="I267" s="5" t="inlineStr">
        <is>
          <t>Snack and Nonalcoholic Beverage Bars</t>
        </is>
      </c>
      <c r="J267" s="5" t="inlineStr">
        <is>
          <t>58</t>
        </is>
      </c>
      <c r="K267" s="5" t="n">
        <v>5812</v>
      </c>
      <c r="L267" s="5" t="inlineStr">
        <is>
          <t>VA</t>
        </is>
      </c>
      <c r="M267" s="5" t="inlineStr">
        <is>
          <t>Premium Capital (AMRK)</t>
        </is>
      </c>
      <c r="N267" s="5" t="inlineStr">
        <is>
          <t>Renewal</t>
        </is>
      </c>
      <c r="O267" s="19" t="n">
        <v>1.49</v>
      </c>
      <c r="P267" s="20" t="n">
        <v>40000</v>
      </c>
      <c r="Q267" s="20" t="n">
        <v>5600</v>
      </c>
      <c r="R267" s="20" t="n">
        <v>59600</v>
      </c>
      <c r="S267" s="20" t="n">
        <v>59600</v>
      </c>
      <c r="T267" s="20" t="n">
        <v>0</v>
      </c>
      <c r="U267" s="21" t="n">
        <v>1</v>
      </c>
      <c r="V267" s="22" t="n">
        <v>4.59</v>
      </c>
      <c r="W267" s="17" t="n">
        <v>217</v>
      </c>
      <c r="X267" s="17" t="n">
        <v>2</v>
      </c>
      <c r="Y267" s="20" t="n">
        <v>73218.44</v>
      </c>
      <c r="Z267" s="21" t="n">
        <v>0.1221</v>
      </c>
      <c r="AA267" s="5" t="n"/>
      <c r="AB267" s="5">
        <f>IF(V267="","",IF(V267&lt;12,"Months","Weeks"))</f>
        <v/>
      </c>
      <c r="AC267" s="5">
        <f>IF(AB267="","",IF(AB267="Months","Daily","Weekly"))</f>
        <v/>
      </c>
      <c r="AD267" s="17">
        <f>IF(V267="","",IF(AC267="Daily",V267*Controls!$B$13,V267))</f>
        <v/>
      </c>
      <c r="AE267" s="17">
        <f>IF(V267="","",IF(AC267="Daily",V267*Controls!$B$13,V267*Controls!$B$12))</f>
        <v/>
      </c>
      <c r="AF267" s="17">
        <f>IF(OR(E267="",F267=""),"",F267-E267)</f>
        <v/>
      </c>
      <c r="AG267" s="17">
        <f>IF(OR(E267="",F267=""),"",NETWORKDAYS(E267,F267,Ref!$F$4:$F$47))</f>
        <v/>
      </c>
      <c r="AH267" s="39">
        <f>IF(IFERROR(VLOOKUP(D267,Controls!$A$25:$D$35,2,FALSE()),"No")="Yes",1,0)</f>
        <v/>
      </c>
      <c r="AI267" s="39">
        <f>IF(IFERROR(VLOOKUP(D267,Controls!$A$25:$D$35,3,FALSE()),"No")="Yes",1,0)</f>
        <v/>
      </c>
      <c r="AJ267" s="39">
        <f>IF(IFERROR(VLOOKUP(D267,Controls!$A$25:$D$35,4,FALSE()),"No")="Yes",1,0)</f>
        <v/>
      </c>
      <c r="AK267" s="96">
        <f>IF(AND($E267&gt;=Controls!$B$5,$E267&lt;=Controls!$B$6,OR(Controls!$E$9&lt;&gt;"Y",$BE267=1)),1,0)</f>
        <v/>
      </c>
      <c r="AL267" s="39">
        <f>1</f>
        <v/>
      </c>
      <c r="AM267" s="20">
        <f>S267-P267</f>
        <v/>
      </c>
      <c r="AN267" s="20">
        <f>IF(AH267=1,MAX(0,P267-S267),0)</f>
        <v/>
      </c>
      <c r="AO267" s="21">
        <f>IFERROR(S267/P267,"")</f>
        <v/>
      </c>
      <c r="AP267" s="22">
        <f>IF(Y267="","",P267/Y267)</f>
        <v/>
      </c>
      <c r="AQ267" s="39">
        <f>IF(Y267="",0,1)</f>
        <v/>
      </c>
      <c r="AR267" s="39">
        <f>IF(S267&lt;=0,1,0)</f>
        <v/>
      </c>
      <c r="AS267" s="17">
        <f>IF(AH267=1,AG267,"")</f>
        <v/>
      </c>
      <c r="AT267" s="17">
        <f>IF(AND(AH267=0,AJ267=1),AG267,"")</f>
        <v/>
      </c>
      <c r="AU267" s="5">
        <f>IF(P267&lt;10000,"Under $10K",IF(P267&lt;20000,"$10-20K",IF(P267&lt;30000,"$20-30K",IF(P267&lt;50000,"$30-50K",IF(P267&lt;100000,"$50-100K","$100K+")))))</f>
        <v/>
      </c>
      <c r="AV267" s="5">
        <f>IF(O267&lt;=1.35,"1.35 and under",IF(O267&lt;=1.42,"1.36-1.42",IF(O267&lt;=1.45,"1.43-1.45",IF(O267&lt;1.49,"1.46-1.48",IF(O267&lt;=1.49,"1.49","Above 1.49")))))</f>
        <v/>
      </c>
      <c r="AW267" s="5">
        <f>IF(AE267="","",IF(AE267&lt;60,"Under 60",IF(AE267&lt;90,"60-89",IF(AE267&lt;120,"90-119",IF(AE267&lt;150,"120-149","150+")))))</f>
        <v/>
      </c>
      <c r="AX267" s="5">
        <f>IF(AP267="","No revenue data",IF(AP267&lt;0.15,"Under 0.15x",IF(AP267&lt;0.3,"0.15-0.30x",IF(AP267&lt;0.5,"0.30-0.50x",IF(AP267&lt;1,"0.50-1.00x","1.00x+")))))</f>
        <v/>
      </c>
      <c r="AY267" s="5">
        <f>IF(J267="","No SIC",IFERROR(VLOOKUP(J267,Ref!$A$4:$C$67,2,FALSE()),"Unclassified"))</f>
        <v/>
      </c>
      <c r="AZ267" s="5">
        <f>IF(E267="","",TEXT(E267,"YYYY")&amp;"-Q"&amp;ROUNDUP(MONTH(E267)/3,0))</f>
        <v/>
      </c>
      <c r="BA267" s="5">
        <f>IF(E267="","",TEXT(E267,"YYYY-MM"))</f>
        <v/>
      </c>
      <c r="BB267" s="5">
        <f>IF(E267="","",TEXT(E267,"YYYY"))</f>
        <v/>
      </c>
      <c r="BC267" s="92">
        <f>IF($E267="","",NETWORKDAYS($E267,Controls!$B$9,Ref!$F$4:$F$47))</f>
        <v/>
      </c>
      <c r="BD267" s="92">
        <f>IF(OR($AH267=1,$AJ267=1),1,0)</f>
        <v/>
      </c>
      <c r="BE267" s="95">
        <f>IF(OR($BD267=1,AND($AE267&lt;&gt;"",$BC267&gt;=Controls!$B$10*$AE267)),1,0)</f>
        <v/>
      </c>
    </row>
    <row r="268" ht="15.75" customHeight="1" s="79">
      <c r="A268" s="5" t="inlineStr">
        <is>
          <t>5674167574</t>
        </is>
      </c>
      <c r="B268" s="5" t="inlineStr">
        <is>
          <t>Rg cabinets</t>
        </is>
      </c>
      <c r="C268" s="5" t="inlineStr">
        <is>
          <t>RG Cabinets</t>
        </is>
      </c>
      <c r="D268" s="5" t="inlineStr">
        <is>
          <t>Closed</t>
        </is>
      </c>
      <c r="E268" s="16" t="n">
        <v>45930</v>
      </c>
      <c r="F268" s="16" t="n">
        <v>46143</v>
      </c>
      <c r="G268" s="17" t="n">
        <v>1</v>
      </c>
      <c r="H268" s="5" t="inlineStr">
        <is>
          <t>2434</t>
        </is>
      </c>
      <c r="I268" s="5" t="inlineStr">
        <is>
          <t>Wood Kitchen Cabinet and Countertop Mfg.</t>
        </is>
      </c>
      <c r="J268" s="5" t="inlineStr">
        <is>
          <t>24</t>
        </is>
      </c>
      <c r="K268" s="5" t="n">
        <v>5712</v>
      </c>
      <c r="L268" s="5" t="inlineStr">
        <is>
          <t>PA</t>
        </is>
      </c>
      <c r="M268" s="5" t="inlineStr">
        <is>
          <t>Fundwell</t>
        </is>
      </c>
      <c r="N268" s="5" t="inlineStr">
        <is>
          <t>New Deal</t>
        </is>
      </c>
      <c r="O268" s="19" t="n">
        <v>1.38</v>
      </c>
      <c r="P268" s="20" t="n">
        <v>20000</v>
      </c>
      <c r="Q268" s="20" t="n">
        <v>2400</v>
      </c>
      <c r="R268" s="20" t="n">
        <v>27600</v>
      </c>
      <c r="S268" s="20" t="n">
        <v>27600</v>
      </c>
      <c r="T268" s="20" t="n">
        <v>-3.63797880709171e-12</v>
      </c>
      <c r="U268" s="21" t="n">
        <v>1</v>
      </c>
      <c r="V268" s="22" t="n">
        <v>28</v>
      </c>
      <c r="W268" s="17" t="n">
        <v>110</v>
      </c>
      <c r="X268" s="17" t="n">
        <v>2</v>
      </c>
      <c r="Y268" s="20" t="n">
        <v>115953.51</v>
      </c>
      <c r="Z268" s="21" t="n">
        <v>0.034</v>
      </c>
      <c r="AA268" s="16" t="n">
        <v>45713</v>
      </c>
      <c r="AB268" s="5">
        <f>IF(V268="","",IF(V268&lt;12,"Months","Weeks"))</f>
        <v/>
      </c>
      <c r="AC268" s="5">
        <f>IF(AB268="","",IF(AB268="Months","Daily","Weekly"))</f>
        <v/>
      </c>
      <c r="AD268" s="17">
        <f>IF(V268="","",IF(AC268="Daily",V268*Controls!$B$13,V268))</f>
        <v/>
      </c>
      <c r="AE268" s="17">
        <f>IF(V268="","",IF(AC268="Daily",V268*Controls!$B$13,V268*Controls!$B$12))</f>
        <v/>
      </c>
      <c r="AF268" s="17">
        <f>IF(OR(E268="",F268=""),"",F268-E268)</f>
        <v/>
      </c>
      <c r="AG268" s="17">
        <f>IF(OR(E268="",F268=""),"",NETWORKDAYS(E268,F268,Ref!$F$4:$F$47))</f>
        <v/>
      </c>
      <c r="AH268" s="39">
        <f>IF(IFERROR(VLOOKUP(D268,Controls!$A$25:$D$35,2,FALSE()),"No")="Yes",1,0)</f>
        <v/>
      </c>
      <c r="AI268" s="39">
        <f>IF(IFERROR(VLOOKUP(D268,Controls!$A$25:$D$35,3,FALSE()),"No")="Yes",1,0)</f>
        <v/>
      </c>
      <c r="AJ268" s="39">
        <f>IF(IFERROR(VLOOKUP(D268,Controls!$A$25:$D$35,4,FALSE()),"No")="Yes",1,0)</f>
        <v/>
      </c>
      <c r="AK268" s="96">
        <f>IF(AND($E268&gt;=Controls!$B$5,$E268&lt;=Controls!$B$6,OR(Controls!$E$9&lt;&gt;"Y",$BE268=1)),1,0)</f>
        <v/>
      </c>
      <c r="AL268" s="39">
        <f>1</f>
        <v/>
      </c>
      <c r="AM268" s="20">
        <f>S268-P268</f>
        <v/>
      </c>
      <c r="AN268" s="20">
        <f>IF(AH268=1,MAX(0,P268-S268),0)</f>
        <v/>
      </c>
      <c r="AO268" s="21">
        <f>IFERROR(S268/P268,"")</f>
        <v/>
      </c>
      <c r="AP268" s="22">
        <f>IF(Y268="","",P268/Y268)</f>
        <v/>
      </c>
      <c r="AQ268" s="39">
        <f>IF(Y268="",0,1)</f>
        <v/>
      </c>
      <c r="AR268" s="39">
        <f>IF(S268&lt;=0,1,0)</f>
        <v/>
      </c>
      <c r="AS268" s="17">
        <f>IF(AH268=1,AG268,"")</f>
        <v/>
      </c>
      <c r="AT268" s="17">
        <f>IF(AND(AH268=0,AJ268=1),AG268,"")</f>
        <v/>
      </c>
      <c r="AU268" s="5">
        <f>IF(P268&lt;10000,"Under $10K",IF(P268&lt;20000,"$10-20K",IF(P268&lt;30000,"$20-30K",IF(P268&lt;50000,"$30-50K",IF(P268&lt;100000,"$50-100K","$100K+")))))</f>
        <v/>
      </c>
      <c r="AV268" s="5">
        <f>IF(O268&lt;=1.35,"1.35 and under",IF(O268&lt;=1.42,"1.36-1.42",IF(O268&lt;=1.45,"1.43-1.45",IF(O268&lt;1.49,"1.46-1.48",IF(O268&lt;=1.49,"1.49","Above 1.49")))))</f>
        <v/>
      </c>
      <c r="AW268" s="5">
        <f>IF(AE268="","",IF(AE268&lt;60,"Under 60",IF(AE268&lt;90,"60-89",IF(AE268&lt;120,"90-119",IF(AE268&lt;150,"120-149","150+")))))</f>
        <v/>
      </c>
      <c r="AX268" s="5">
        <f>IF(AP268="","No revenue data",IF(AP268&lt;0.15,"Under 0.15x",IF(AP268&lt;0.3,"0.15-0.30x",IF(AP268&lt;0.5,"0.30-0.50x",IF(AP268&lt;1,"0.50-1.00x","1.00x+")))))</f>
        <v/>
      </c>
      <c r="AY268" s="5">
        <f>IF(J268="","No SIC",IFERROR(VLOOKUP(J268,Ref!$A$4:$C$67,2,FALSE()),"Unclassified"))</f>
        <v/>
      </c>
      <c r="AZ268" s="5">
        <f>IF(E268="","",TEXT(E268,"YYYY")&amp;"-Q"&amp;ROUNDUP(MONTH(E268)/3,0))</f>
        <v/>
      </c>
      <c r="BA268" s="5">
        <f>IF(E268="","",TEXT(E268,"YYYY-MM"))</f>
        <v/>
      </c>
      <c r="BB268" s="5">
        <f>IF(E268="","",TEXT(E268,"YYYY"))</f>
        <v/>
      </c>
      <c r="BC268" s="92">
        <f>IF($E268="","",NETWORKDAYS($E268,Controls!$B$9,Ref!$F$4:$F$47))</f>
        <v/>
      </c>
      <c r="BD268" s="92">
        <f>IF(OR($AH268=1,$AJ268=1),1,0)</f>
        <v/>
      </c>
      <c r="BE268" s="95">
        <f>IF(OR($BD268=1,AND($AE268&lt;&gt;"",$BC268&gt;=Controls!$B$10*$AE268)),1,0)</f>
        <v/>
      </c>
    </row>
    <row r="269" ht="15.75" customHeight="1" s="79">
      <c r="A269" s="5" t="inlineStr">
        <is>
          <t>5674167595</t>
        </is>
      </c>
      <c r="B269" s="5" t="inlineStr">
        <is>
          <t>JTD PICASSO</t>
        </is>
      </c>
      <c r="C269" s="5" t="inlineStr">
        <is>
          <t>Jtd Picasso llc</t>
        </is>
      </c>
      <c r="D269" s="5" t="inlineStr">
        <is>
          <t>Legal</t>
        </is>
      </c>
      <c r="E269" s="16" t="n">
        <v>45930</v>
      </c>
      <c r="F269" s="16" t="n">
        <v>46157</v>
      </c>
      <c r="G269" s="17" t="n">
        <v>3</v>
      </c>
      <c r="H269" s="5" t="inlineStr">
        <is>
          <t>5812</t>
        </is>
      </c>
      <c r="I269" s="5" t="inlineStr">
        <is>
          <t>Snack and Nonalcoholic Beverage Bars</t>
        </is>
      </c>
      <c r="J269" s="5" t="inlineStr">
        <is>
          <t>58</t>
        </is>
      </c>
      <c r="K269" s="5" t="n">
        <v>5812</v>
      </c>
      <c r="L269" s="5" t="inlineStr">
        <is>
          <t>PA</t>
        </is>
      </c>
      <c r="M269" s="5" t="inlineStr">
        <is>
          <t>National Business Capital</t>
        </is>
      </c>
      <c r="N269" s="5" t="inlineStr">
        <is>
          <t>New Deal</t>
        </is>
      </c>
      <c r="O269" s="19" t="n">
        <v>1.499</v>
      </c>
      <c r="P269" s="20" t="n">
        <v>12500</v>
      </c>
      <c r="Q269" s="20" t="n">
        <v>1750</v>
      </c>
      <c r="R269" s="20" t="n">
        <v>18737.5</v>
      </c>
      <c r="S269" s="20" t="n">
        <v>2638.91</v>
      </c>
      <c r="T269" s="20" t="n">
        <v>16098.59</v>
      </c>
      <c r="U269" s="21" t="n">
        <v>0.140835757171448</v>
      </c>
      <c r="V269" s="22" t="n">
        <v>3.934</v>
      </c>
      <c r="W269" s="17" t="n">
        <v>300</v>
      </c>
      <c r="X269" s="17" t="n">
        <v>20</v>
      </c>
      <c r="Y269" s="20" t="n">
        <v>65723.95</v>
      </c>
      <c r="Z269" s="21" t="n">
        <v>0.0496</v>
      </c>
      <c r="AA269" s="5" t="n"/>
      <c r="AB269" s="5">
        <f>IF(V269="","",IF(V269&lt;12,"Months","Weeks"))</f>
        <v/>
      </c>
      <c r="AC269" s="5">
        <f>IF(AB269="","",IF(AB269="Months","Daily","Weekly"))</f>
        <v/>
      </c>
      <c r="AD269" s="17">
        <f>IF(V269="","",IF(AC269="Daily",V269*Controls!$B$13,V269))</f>
        <v/>
      </c>
      <c r="AE269" s="17">
        <f>IF(V269="","",IF(AC269="Daily",V269*Controls!$B$13,V269*Controls!$B$12))</f>
        <v/>
      </c>
      <c r="AF269" s="17">
        <f>IF(OR(E269="",F269=""),"",F269-E269)</f>
        <v/>
      </c>
      <c r="AG269" s="17">
        <f>IF(OR(E269="",F269=""),"",NETWORKDAYS(E269,F269,Ref!$F$4:$F$47))</f>
        <v/>
      </c>
      <c r="AH269" s="39">
        <f>IF(IFERROR(VLOOKUP(D269,Controls!$A$25:$D$35,2,FALSE()),"No")="Yes",1,0)</f>
        <v/>
      </c>
      <c r="AI269" s="39">
        <f>IF(IFERROR(VLOOKUP(D269,Controls!$A$25:$D$35,3,FALSE()),"No")="Yes",1,0)</f>
        <v/>
      </c>
      <c r="AJ269" s="39">
        <f>IF(IFERROR(VLOOKUP(D269,Controls!$A$25:$D$35,4,FALSE()),"No")="Yes",1,0)</f>
        <v/>
      </c>
      <c r="AK269" s="96">
        <f>IF(AND($E269&gt;=Controls!$B$5,$E269&lt;=Controls!$B$6,OR(Controls!$E$9&lt;&gt;"Y",$BE269=1)),1,0)</f>
        <v/>
      </c>
      <c r="AL269" s="39">
        <f>1</f>
        <v/>
      </c>
      <c r="AM269" s="20">
        <f>S269-P269</f>
        <v/>
      </c>
      <c r="AN269" s="20">
        <f>IF(AH269=1,MAX(0,P269-S269),0)</f>
        <v/>
      </c>
      <c r="AO269" s="21">
        <f>IFERROR(S269/P269,"")</f>
        <v/>
      </c>
      <c r="AP269" s="22">
        <f>IF(Y269="","",P269/Y269)</f>
        <v/>
      </c>
      <c r="AQ269" s="39">
        <f>IF(Y269="",0,1)</f>
        <v/>
      </c>
      <c r="AR269" s="39">
        <f>IF(S269&lt;=0,1,0)</f>
        <v/>
      </c>
      <c r="AS269" s="17">
        <f>IF(AH269=1,AG269,"")</f>
        <v/>
      </c>
      <c r="AT269" s="17">
        <f>IF(AND(AH269=0,AJ269=1),AG269,"")</f>
        <v/>
      </c>
      <c r="AU269" s="5">
        <f>IF(P269&lt;10000,"Under $10K",IF(P269&lt;20000,"$10-20K",IF(P269&lt;30000,"$20-30K",IF(P269&lt;50000,"$30-50K",IF(P269&lt;100000,"$50-100K","$100K+")))))</f>
        <v/>
      </c>
      <c r="AV269" s="5">
        <f>IF(O269&lt;=1.35,"1.35 and under",IF(O269&lt;=1.42,"1.36-1.42",IF(O269&lt;=1.45,"1.43-1.45",IF(O269&lt;1.49,"1.46-1.48",IF(O269&lt;=1.49,"1.49","Above 1.49")))))</f>
        <v/>
      </c>
      <c r="AW269" s="5">
        <f>IF(AE269="","",IF(AE269&lt;60,"Under 60",IF(AE269&lt;90,"60-89",IF(AE269&lt;120,"90-119",IF(AE269&lt;150,"120-149","150+")))))</f>
        <v/>
      </c>
      <c r="AX269" s="5">
        <f>IF(AP269="","No revenue data",IF(AP269&lt;0.15,"Under 0.15x",IF(AP269&lt;0.3,"0.15-0.30x",IF(AP269&lt;0.5,"0.30-0.50x",IF(AP269&lt;1,"0.50-1.00x","1.00x+")))))</f>
        <v/>
      </c>
      <c r="AY269" s="5">
        <f>IF(J269="","No SIC",IFERROR(VLOOKUP(J269,Ref!$A$4:$C$67,2,FALSE()),"Unclassified"))</f>
        <v/>
      </c>
      <c r="AZ269" s="5">
        <f>IF(E269="","",TEXT(E269,"YYYY")&amp;"-Q"&amp;ROUNDUP(MONTH(E269)/3,0))</f>
        <v/>
      </c>
      <c r="BA269" s="5">
        <f>IF(E269="","",TEXT(E269,"YYYY-MM"))</f>
        <v/>
      </c>
      <c r="BB269" s="5">
        <f>IF(E269="","",TEXT(E269,"YYYY"))</f>
        <v/>
      </c>
      <c r="BC269" s="92">
        <f>IF($E269="","",NETWORKDAYS($E269,Controls!$B$9,Ref!$F$4:$F$47))</f>
        <v/>
      </c>
      <c r="BD269" s="92">
        <f>IF(OR($AH269=1,$AJ269=1),1,0)</f>
        <v/>
      </c>
      <c r="BE269" s="95">
        <f>IF(OR($BD269=1,AND($AE269&lt;&gt;"",$BC269&gt;=Controls!$B$10*$AE269)),1,0)</f>
        <v/>
      </c>
    </row>
    <row r="270" ht="15.75" customHeight="1" s="79">
      <c r="A270" s="5" t="inlineStr">
        <is>
          <t>5674167660</t>
        </is>
      </c>
      <c r="B270" s="5" t="inlineStr">
        <is>
          <t>The Brass Tap</t>
        </is>
      </c>
      <c r="C270" s="5" t="inlineStr">
        <is>
          <t>Tall Boy LLC</t>
        </is>
      </c>
      <c r="D270" s="5" t="inlineStr">
        <is>
          <t>Legal</t>
        </is>
      </c>
      <c r="E270" s="16" t="n">
        <v>45930</v>
      </c>
      <c r="F270" s="16" t="n">
        <v>46133</v>
      </c>
      <c r="G270" s="17" t="n">
        <v>1</v>
      </c>
      <c r="H270" s="5" t="inlineStr">
        <is>
          <t>5812</t>
        </is>
      </c>
      <c r="I270" s="5" t="inlineStr">
        <is>
          <t>Snack and Nonalcoholic Beverage Bars</t>
        </is>
      </c>
      <c r="J270" s="5" t="inlineStr">
        <is>
          <t>58</t>
        </is>
      </c>
      <c r="K270" s="5" t="n">
        <v>5812</v>
      </c>
      <c r="L270" s="5" t="inlineStr">
        <is>
          <t>TX</t>
        </is>
      </c>
      <c r="M270" s="5" t="inlineStr">
        <is>
          <t>Fundwell</t>
        </is>
      </c>
      <c r="N270" s="5" t="inlineStr">
        <is>
          <t>New Deal</t>
        </is>
      </c>
      <c r="O270" s="19" t="n">
        <v>1.35</v>
      </c>
      <c r="P270" s="20" t="n">
        <v>25000</v>
      </c>
      <c r="Q270" s="20" t="n">
        <v>1750</v>
      </c>
      <c r="R270" s="20" t="n">
        <v>33750</v>
      </c>
      <c r="S270" s="20" t="n">
        <v>20232.72</v>
      </c>
      <c r="T270" s="20" t="n">
        <v>13517.28</v>
      </c>
      <c r="U270" s="21" t="n">
        <v>0.599488</v>
      </c>
      <c r="V270" s="22" t="n">
        <v>5.902</v>
      </c>
      <c r="W270" s="17" t="n">
        <v>163</v>
      </c>
      <c r="X270" s="17" t="n">
        <v>28</v>
      </c>
      <c r="Y270" s="20" t="n">
        <v>108675.02</v>
      </c>
      <c r="Z270" s="21" t="n">
        <v>0.0362</v>
      </c>
      <c r="AA270" s="16" t="n">
        <v>45474</v>
      </c>
      <c r="AB270" s="5">
        <f>IF(V270="","",IF(V270&lt;12,"Months","Weeks"))</f>
        <v/>
      </c>
      <c r="AC270" s="5">
        <f>IF(AB270="","",IF(AB270="Months","Daily","Weekly"))</f>
        <v/>
      </c>
      <c r="AD270" s="17">
        <f>IF(V270="","",IF(AC270="Daily",V270*Controls!$B$13,V270))</f>
        <v/>
      </c>
      <c r="AE270" s="17">
        <f>IF(V270="","",IF(AC270="Daily",V270*Controls!$B$13,V270*Controls!$B$12))</f>
        <v/>
      </c>
      <c r="AF270" s="17">
        <f>IF(OR(E270="",F270=""),"",F270-E270)</f>
        <v/>
      </c>
      <c r="AG270" s="17">
        <f>IF(OR(E270="",F270=""),"",NETWORKDAYS(E270,F270,Ref!$F$4:$F$47))</f>
        <v/>
      </c>
      <c r="AH270" s="39">
        <f>IF(IFERROR(VLOOKUP(D270,Controls!$A$25:$D$35,2,FALSE()),"No")="Yes",1,0)</f>
        <v/>
      </c>
      <c r="AI270" s="39">
        <f>IF(IFERROR(VLOOKUP(D270,Controls!$A$25:$D$35,3,FALSE()),"No")="Yes",1,0)</f>
        <v/>
      </c>
      <c r="AJ270" s="39">
        <f>IF(IFERROR(VLOOKUP(D270,Controls!$A$25:$D$35,4,FALSE()),"No")="Yes",1,0)</f>
        <v/>
      </c>
      <c r="AK270" s="96">
        <f>IF(AND($E270&gt;=Controls!$B$5,$E270&lt;=Controls!$B$6,OR(Controls!$E$9&lt;&gt;"Y",$BE270=1)),1,0)</f>
        <v/>
      </c>
      <c r="AL270" s="39">
        <f>1</f>
        <v/>
      </c>
      <c r="AM270" s="20">
        <f>S270-P270</f>
        <v/>
      </c>
      <c r="AN270" s="20">
        <f>IF(AH270=1,MAX(0,P270-S270),0)</f>
        <v/>
      </c>
      <c r="AO270" s="21">
        <f>IFERROR(S270/P270,"")</f>
        <v/>
      </c>
      <c r="AP270" s="22">
        <f>IF(Y270="","",P270/Y270)</f>
        <v/>
      </c>
      <c r="AQ270" s="39">
        <f>IF(Y270="",0,1)</f>
        <v/>
      </c>
      <c r="AR270" s="39">
        <f>IF(S270&lt;=0,1,0)</f>
        <v/>
      </c>
      <c r="AS270" s="17">
        <f>IF(AH270=1,AG270,"")</f>
        <v/>
      </c>
      <c r="AT270" s="17">
        <f>IF(AND(AH270=0,AJ270=1),AG270,"")</f>
        <v/>
      </c>
      <c r="AU270" s="5">
        <f>IF(P270&lt;10000,"Under $10K",IF(P270&lt;20000,"$10-20K",IF(P270&lt;30000,"$20-30K",IF(P270&lt;50000,"$30-50K",IF(P270&lt;100000,"$50-100K","$100K+")))))</f>
        <v/>
      </c>
      <c r="AV270" s="5">
        <f>IF(O270&lt;=1.35,"1.35 and under",IF(O270&lt;=1.42,"1.36-1.42",IF(O270&lt;=1.45,"1.43-1.45",IF(O270&lt;1.49,"1.46-1.48",IF(O270&lt;=1.49,"1.49","Above 1.49")))))</f>
        <v/>
      </c>
      <c r="AW270" s="5">
        <f>IF(AE270="","",IF(AE270&lt;60,"Under 60",IF(AE270&lt;90,"60-89",IF(AE270&lt;120,"90-119",IF(AE270&lt;150,"120-149","150+")))))</f>
        <v/>
      </c>
      <c r="AX270" s="5">
        <f>IF(AP270="","No revenue data",IF(AP270&lt;0.15,"Under 0.15x",IF(AP270&lt;0.3,"0.15-0.30x",IF(AP270&lt;0.5,"0.30-0.50x",IF(AP270&lt;1,"0.50-1.00x","1.00x+")))))</f>
        <v/>
      </c>
      <c r="AY270" s="5">
        <f>IF(J270="","No SIC",IFERROR(VLOOKUP(J270,Ref!$A$4:$C$67,2,FALSE()),"Unclassified"))</f>
        <v/>
      </c>
      <c r="AZ270" s="5">
        <f>IF(E270="","",TEXT(E270,"YYYY")&amp;"-Q"&amp;ROUNDUP(MONTH(E270)/3,0))</f>
        <v/>
      </c>
      <c r="BA270" s="5">
        <f>IF(E270="","",TEXT(E270,"YYYY-MM"))</f>
        <v/>
      </c>
      <c r="BB270" s="5">
        <f>IF(E270="","",TEXT(E270,"YYYY"))</f>
        <v/>
      </c>
      <c r="BC270" s="92">
        <f>IF($E270="","",NETWORKDAYS($E270,Controls!$B$9,Ref!$F$4:$F$47))</f>
        <v/>
      </c>
      <c r="BD270" s="92">
        <f>IF(OR($AH270=1,$AJ270=1),1,0)</f>
        <v/>
      </c>
      <c r="BE270" s="95">
        <f>IF(OR($BD270=1,AND($AE270&lt;&gt;"",$BC270&gt;=Controls!$B$10*$AE270)),1,0)</f>
        <v/>
      </c>
    </row>
    <row r="271" ht="15.75" customHeight="1" s="79">
      <c r="A271" s="5" t="inlineStr">
        <is>
          <t>5674167684</t>
        </is>
      </c>
      <c r="B271" s="5" t="inlineStr">
        <is>
          <t>Chasing More Vacations</t>
        </is>
      </c>
      <c r="C271" s="5" t="inlineStr">
        <is>
          <t>LORETTA DARNELL</t>
        </is>
      </c>
      <c r="D271" s="5" t="inlineStr">
        <is>
          <t>Closed</t>
        </is>
      </c>
      <c r="E271" s="16" t="n">
        <v>45931</v>
      </c>
      <c r="F271" s="16" t="n">
        <v>46022</v>
      </c>
      <c r="G271" s="17" t="n">
        <v>3</v>
      </c>
      <c r="H271" s="5" t="inlineStr">
        <is>
          <t>4724</t>
        </is>
      </c>
      <c r="I271" s="5" t="inlineStr">
        <is>
          <t>Travel Agencies</t>
        </is>
      </c>
      <c r="J271" s="5" t="inlineStr">
        <is>
          <t>47</t>
        </is>
      </c>
      <c r="K271" s="5" t="n">
        <v>4722</v>
      </c>
      <c r="L271" s="5" t="inlineStr">
        <is>
          <t>TX</t>
        </is>
      </c>
      <c r="M271" s="5" t="inlineStr">
        <is>
          <t>Fundwell</t>
        </is>
      </c>
      <c r="N271" s="5" t="inlineStr">
        <is>
          <t>Renewal</t>
        </is>
      </c>
      <c r="O271" s="19" t="n">
        <v>1.42</v>
      </c>
      <c r="P271" s="20" t="n">
        <v>8500</v>
      </c>
      <c r="Q271" s="20" t="n">
        <v>1190</v>
      </c>
      <c r="R271" s="20" t="n">
        <v>12070</v>
      </c>
      <c r="S271" s="20" t="n">
        <v>12070</v>
      </c>
      <c r="T271" s="20" t="n">
        <v>0</v>
      </c>
      <c r="U271" s="21" t="n">
        <v>1</v>
      </c>
      <c r="V271" s="22" t="n">
        <v>3.934</v>
      </c>
      <c r="W271" s="17" t="n">
        <v>231</v>
      </c>
      <c r="X271" s="17" t="n">
        <v>0</v>
      </c>
      <c r="Y271" s="20" t="n">
        <v>7307.91</v>
      </c>
      <c r="Z271" s="21" t="n">
        <v>0.2083</v>
      </c>
      <c r="AA271" s="16" t="n">
        <v>43299</v>
      </c>
      <c r="AB271" s="5">
        <f>IF(V271="","",IF(V271&lt;12,"Months","Weeks"))</f>
        <v/>
      </c>
      <c r="AC271" s="5">
        <f>IF(AB271="","",IF(AB271="Months","Daily","Weekly"))</f>
        <v/>
      </c>
      <c r="AD271" s="17">
        <f>IF(V271="","",IF(AC271="Daily",V271*Controls!$B$13,V271))</f>
        <v/>
      </c>
      <c r="AE271" s="17">
        <f>IF(V271="","",IF(AC271="Daily",V271*Controls!$B$13,V271*Controls!$B$12))</f>
        <v/>
      </c>
      <c r="AF271" s="17">
        <f>IF(OR(E271="",F271=""),"",F271-E271)</f>
        <v/>
      </c>
      <c r="AG271" s="17">
        <f>IF(OR(E271="",F271=""),"",NETWORKDAYS(E271,F271,Ref!$F$4:$F$47))</f>
        <v/>
      </c>
      <c r="AH271" s="39">
        <f>IF(IFERROR(VLOOKUP(D271,Controls!$A$25:$D$35,2,FALSE()),"No")="Yes",1,0)</f>
        <v/>
      </c>
      <c r="AI271" s="39">
        <f>IF(IFERROR(VLOOKUP(D271,Controls!$A$25:$D$35,3,FALSE()),"No")="Yes",1,0)</f>
        <v/>
      </c>
      <c r="AJ271" s="39">
        <f>IF(IFERROR(VLOOKUP(D271,Controls!$A$25:$D$35,4,FALSE()),"No")="Yes",1,0)</f>
        <v/>
      </c>
      <c r="AK271" s="96">
        <f>IF(AND($E271&gt;=Controls!$B$5,$E271&lt;=Controls!$B$6,OR(Controls!$E$9&lt;&gt;"Y",$BE271=1)),1,0)</f>
        <v/>
      </c>
      <c r="AL271" s="39">
        <f>1</f>
        <v/>
      </c>
      <c r="AM271" s="20">
        <f>S271-P271</f>
        <v/>
      </c>
      <c r="AN271" s="20">
        <f>IF(AH271=1,MAX(0,P271-S271),0)</f>
        <v/>
      </c>
      <c r="AO271" s="21">
        <f>IFERROR(S271/P271,"")</f>
        <v/>
      </c>
      <c r="AP271" s="22">
        <f>IF(Y271="","",P271/Y271)</f>
        <v/>
      </c>
      <c r="AQ271" s="39">
        <f>IF(Y271="",0,1)</f>
        <v/>
      </c>
      <c r="AR271" s="39">
        <f>IF(S271&lt;=0,1,0)</f>
        <v/>
      </c>
      <c r="AS271" s="17">
        <f>IF(AH271=1,AG271,"")</f>
        <v/>
      </c>
      <c r="AT271" s="17">
        <f>IF(AND(AH271=0,AJ271=1),AG271,"")</f>
        <v/>
      </c>
      <c r="AU271" s="5">
        <f>IF(P271&lt;10000,"Under $10K",IF(P271&lt;20000,"$10-20K",IF(P271&lt;30000,"$20-30K",IF(P271&lt;50000,"$30-50K",IF(P271&lt;100000,"$50-100K","$100K+")))))</f>
        <v/>
      </c>
      <c r="AV271" s="5">
        <f>IF(O271&lt;=1.35,"1.35 and under",IF(O271&lt;=1.42,"1.36-1.42",IF(O271&lt;=1.45,"1.43-1.45",IF(O271&lt;1.49,"1.46-1.48",IF(O271&lt;=1.49,"1.49","Above 1.49")))))</f>
        <v/>
      </c>
      <c r="AW271" s="5">
        <f>IF(AE271="","",IF(AE271&lt;60,"Under 60",IF(AE271&lt;90,"60-89",IF(AE271&lt;120,"90-119",IF(AE271&lt;150,"120-149","150+")))))</f>
        <v/>
      </c>
      <c r="AX271" s="5">
        <f>IF(AP271="","No revenue data",IF(AP271&lt;0.15,"Under 0.15x",IF(AP271&lt;0.3,"0.15-0.30x",IF(AP271&lt;0.5,"0.30-0.50x",IF(AP271&lt;1,"0.50-1.00x","1.00x+")))))</f>
        <v/>
      </c>
      <c r="AY271" s="5">
        <f>IF(J271="","No SIC",IFERROR(VLOOKUP(J271,Ref!$A$4:$C$67,2,FALSE()),"Unclassified"))</f>
        <v/>
      </c>
      <c r="AZ271" s="5">
        <f>IF(E271="","",TEXT(E271,"YYYY")&amp;"-Q"&amp;ROUNDUP(MONTH(E271)/3,0))</f>
        <v/>
      </c>
      <c r="BA271" s="5">
        <f>IF(E271="","",TEXT(E271,"YYYY-MM"))</f>
        <v/>
      </c>
      <c r="BB271" s="5">
        <f>IF(E271="","",TEXT(E271,"YYYY"))</f>
        <v/>
      </c>
      <c r="BC271" s="92">
        <f>IF($E271="","",NETWORKDAYS($E271,Controls!$B$9,Ref!$F$4:$F$47))</f>
        <v/>
      </c>
      <c r="BD271" s="92">
        <f>IF(OR($AH271=1,$AJ271=1),1,0)</f>
        <v/>
      </c>
      <c r="BE271" s="95">
        <f>IF(OR($BD271=1,AND($AE271&lt;&gt;"",$BC271&gt;=Controls!$B$10*$AE271)),1,0)</f>
        <v/>
      </c>
    </row>
    <row r="272" ht="15.75" customHeight="1" s="79">
      <c r="A272" s="5" t="inlineStr">
        <is>
          <t>5674167693</t>
        </is>
      </c>
      <c r="B272" s="5" t="inlineStr">
        <is>
          <t>GOOD SAMARITAN INVESTMENT LLC</t>
        </is>
      </c>
      <c r="C272" s="5" t="inlineStr">
        <is>
          <t>GOOD SAMARITAN INVESTMENT LLC</t>
        </is>
      </c>
      <c r="D272" s="5" t="inlineStr">
        <is>
          <t>Legal</t>
        </is>
      </c>
      <c r="E272" s="16" t="n">
        <v>45931</v>
      </c>
      <c r="F272" s="16" t="n">
        <v>46133</v>
      </c>
      <c r="G272" s="17" t="n">
        <v>3</v>
      </c>
      <c r="H272" s="5" t="inlineStr">
        <is>
          <t>1521</t>
        </is>
      </c>
      <c r="I272" s="5" t="inlineStr">
        <is>
          <t>New Single-Family Housing Construction (Except For-Sale Builders)</t>
        </is>
      </c>
      <c r="J272" s="5" t="inlineStr">
        <is>
          <t>15</t>
        </is>
      </c>
      <c r="K272" s="5" t="n">
        <v>1520</v>
      </c>
      <c r="L272" s="5" t="inlineStr">
        <is>
          <t>TN</t>
        </is>
      </c>
      <c r="M272" s="5" t="inlineStr">
        <is>
          <t>United Secured Capital 8</t>
        </is>
      </c>
      <c r="N272" s="5" t="inlineStr">
        <is>
          <t>New Deal</t>
        </is>
      </c>
      <c r="O272" s="19" t="n">
        <v>1.49</v>
      </c>
      <c r="P272" s="20" t="n">
        <v>20000</v>
      </c>
      <c r="Q272" s="20" t="n">
        <v>2800</v>
      </c>
      <c r="R272" s="20" t="n">
        <v>29800</v>
      </c>
      <c r="S272" s="20" t="n">
        <v>21955.28</v>
      </c>
      <c r="T272" s="20" t="n">
        <v>7844.72</v>
      </c>
      <c r="U272" s="21" t="n">
        <v>0.736754362416107</v>
      </c>
      <c r="V272" s="22" t="n">
        <v>3.279</v>
      </c>
      <c r="W272" s="17" t="n">
        <v>140</v>
      </c>
      <c r="X272" s="17" t="n">
        <v>56</v>
      </c>
      <c r="Y272" s="20" t="n">
        <v>83997.5</v>
      </c>
      <c r="Z272" s="21" t="n">
        <v>0.0745</v>
      </c>
      <c r="AA272" s="5" t="n"/>
      <c r="AB272" s="5">
        <f>IF(V272="","",IF(V272&lt;12,"Months","Weeks"))</f>
        <v/>
      </c>
      <c r="AC272" s="5">
        <f>IF(AB272="","",IF(AB272="Months","Daily","Weekly"))</f>
        <v/>
      </c>
      <c r="AD272" s="17">
        <f>IF(V272="","",IF(AC272="Daily",V272*Controls!$B$13,V272))</f>
        <v/>
      </c>
      <c r="AE272" s="17">
        <f>IF(V272="","",IF(AC272="Daily",V272*Controls!$B$13,V272*Controls!$B$12))</f>
        <v/>
      </c>
      <c r="AF272" s="17">
        <f>IF(OR(E272="",F272=""),"",F272-E272)</f>
        <v/>
      </c>
      <c r="AG272" s="17">
        <f>IF(OR(E272="",F272=""),"",NETWORKDAYS(E272,F272,Ref!$F$4:$F$47))</f>
        <v/>
      </c>
      <c r="AH272" s="39">
        <f>IF(IFERROR(VLOOKUP(D272,Controls!$A$25:$D$35,2,FALSE()),"No")="Yes",1,0)</f>
        <v/>
      </c>
      <c r="AI272" s="39">
        <f>IF(IFERROR(VLOOKUP(D272,Controls!$A$25:$D$35,3,FALSE()),"No")="Yes",1,0)</f>
        <v/>
      </c>
      <c r="AJ272" s="39">
        <f>IF(IFERROR(VLOOKUP(D272,Controls!$A$25:$D$35,4,FALSE()),"No")="Yes",1,0)</f>
        <v/>
      </c>
      <c r="AK272" s="96">
        <f>IF(AND($E272&gt;=Controls!$B$5,$E272&lt;=Controls!$B$6,OR(Controls!$E$9&lt;&gt;"Y",$BE272=1)),1,0)</f>
        <v/>
      </c>
      <c r="AL272" s="39">
        <f>1</f>
        <v/>
      </c>
      <c r="AM272" s="20">
        <f>S272-P272</f>
        <v/>
      </c>
      <c r="AN272" s="20">
        <f>IF(AH272=1,MAX(0,P272-S272),0)</f>
        <v/>
      </c>
      <c r="AO272" s="21">
        <f>IFERROR(S272/P272,"")</f>
        <v/>
      </c>
      <c r="AP272" s="22">
        <f>IF(Y272="","",P272/Y272)</f>
        <v/>
      </c>
      <c r="AQ272" s="39">
        <f>IF(Y272="",0,1)</f>
        <v/>
      </c>
      <c r="AR272" s="39">
        <f>IF(S272&lt;=0,1,0)</f>
        <v/>
      </c>
      <c r="AS272" s="17">
        <f>IF(AH272=1,AG272,"")</f>
        <v/>
      </c>
      <c r="AT272" s="17">
        <f>IF(AND(AH272=0,AJ272=1),AG272,"")</f>
        <v/>
      </c>
      <c r="AU272" s="5">
        <f>IF(P272&lt;10000,"Under $10K",IF(P272&lt;20000,"$10-20K",IF(P272&lt;30000,"$20-30K",IF(P272&lt;50000,"$30-50K",IF(P272&lt;100000,"$50-100K","$100K+")))))</f>
        <v/>
      </c>
      <c r="AV272" s="5">
        <f>IF(O272&lt;=1.35,"1.35 and under",IF(O272&lt;=1.42,"1.36-1.42",IF(O272&lt;=1.45,"1.43-1.45",IF(O272&lt;1.49,"1.46-1.48",IF(O272&lt;=1.49,"1.49","Above 1.49")))))</f>
        <v/>
      </c>
      <c r="AW272" s="5">
        <f>IF(AE272="","",IF(AE272&lt;60,"Under 60",IF(AE272&lt;90,"60-89",IF(AE272&lt;120,"90-119",IF(AE272&lt;150,"120-149","150+")))))</f>
        <v/>
      </c>
      <c r="AX272" s="5">
        <f>IF(AP272="","No revenue data",IF(AP272&lt;0.15,"Under 0.15x",IF(AP272&lt;0.3,"0.15-0.30x",IF(AP272&lt;0.5,"0.30-0.50x",IF(AP272&lt;1,"0.50-1.00x","1.00x+")))))</f>
        <v/>
      </c>
      <c r="AY272" s="5">
        <f>IF(J272="","No SIC",IFERROR(VLOOKUP(J272,Ref!$A$4:$C$67,2,FALSE()),"Unclassified"))</f>
        <v/>
      </c>
      <c r="AZ272" s="5">
        <f>IF(E272="","",TEXT(E272,"YYYY")&amp;"-Q"&amp;ROUNDUP(MONTH(E272)/3,0))</f>
        <v/>
      </c>
      <c r="BA272" s="5">
        <f>IF(E272="","",TEXT(E272,"YYYY-MM"))</f>
        <v/>
      </c>
      <c r="BB272" s="5">
        <f>IF(E272="","",TEXT(E272,"YYYY"))</f>
        <v/>
      </c>
      <c r="BC272" s="92">
        <f>IF($E272="","",NETWORKDAYS($E272,Controls!$B$9,Ref!$F$4:$F$47))</f>
        <v/>
      </c>
      <c r="BD272" s="92">
        <f>IF(OR($AH272=1,$AJ272=1),1,0)</f>
        <v/>
      </c>
      <c r="BE272" s="95">
        <f>IF(OR($BD272=1,AND($AE272&lt;&gt;"",$BC272&gt;=Controls!$B$10*$AE272)),1,0)</f>
        <v/>
      </c>
    </row>
    <row r="273" ht="15.75" customHeight="1" s="79">
      <c r="A273" s="5" t="inlineStr">
        <is>
          <t>5674167720</t>
        </is>
      </c>
      <c r="B273" s="5" t="inlineStr">
        <is>
          <t>Arrow Rental</t>
        </is>
      </c>
      <c r="C273" s="5" t="inlineStr">
        <is>
          <t>The Rental Guys L.L.C.</t>
        </is>
      </c>
      <c r="D273" s="5" t="inlineStr">
        <is>
          <t>Closed</t>
        </is>
      </c>
      <c r="E273" s="16" t="n">
        <v>45931</v>
      </c>
      <c r="F273" s="16" t="n">
        <v>45996</v>
      </c>
      <c r="G273" s="17" t="n">
        <v>1</v>
      </c>
      <c r="H273" s="5" t="inlineStr">
        <is>
          <t>4789</t>
        </is>
      </c>
      <c r="I273" s="5" t="inlineStr">
        <is>
          <t>Support Activities for Rail Transportation</t>
        </is>
      </c>
      <c r="J273" s="5" t="inlineStr">
        <is>
          <t>47</t>
        </is>
      </c>
      <c r="K273" s="5" t="n">
        <v>4789</v>
      </c>
      <c r="L273" s="5" t="inlineStr">
        <is>
          <t>TX</t>
        </is>
      </c>
      <c r="M273" s="5" t="inlineStr">
        <is>
          <t>Fundwell</t>
        </is>
      </c>
      <c r="N273" s="5" t="inlineStr">
        <is>
          <t>New Deal</t>
        </is>
      </c>
      <c r="O273" s="19" t="n">
        <v>1.4</v>
      </c>
      <c r="P273" s="20" t="n">
        <v>15000</v>
      </c>
      <c r="Q273" s="20" t="n">
        <v>1950</v>
      </c>
      <c r="R273" s="20" t="n">
        <v>21000</v>
      </c>
      <c r="S273" s="20" t="n">
        <v>21000</v>
      </c>
      <c r="T273" s="20" t="n">
        <v>0</v>
      </c>
      <c r="U273" s="21" t="n">
        <v>1</v>
      </c>
      <c r="V273" s="22" t="n">
        <v>28</v>
      </c>
      <c r="W273" s="17" t="n">
        <v>257</v>
      </c>
      <c r="X273" s="17" t="n">
        <v>0</v>
      </c>
      <c r="Y273" s="5" t="n"/>
      <c r="Z273" s="21" t="n">
        <v>0.0347</v>
      </c>
      <c r="AA273" s="16" t="n">
        <v>45931</v>
      </c>
      <c r="AB273" s="5">
        <f>IF(V273="","",IF(V273&lt;12,"Months","Weeks"))</f>
        <v/>
      </c>
      <c r="AC273" s="5">
        <f>IF(AB273="","",IF(AB273="Months","Daily","Weekly"))</f>
        <v/>
      </c>
      <c r="AD273" s="17">
        <f>IF(V273="","",IF(AC273="Daily",V273*Controls!$B$13,V273))</f>
        <v/>
      </c>
      <c r="AE273" s="17">
        <f>IF(V273="","",IF(AC273="Daily",V273*Controls!$B$13,V273*Controls!$B$12))</f>
        <v/>
      </c>
      <c r="AF273" s="17">
        <f>IF(OR(E273="",F273=""),"",F273-E273)</f>
        <v/>
      </c>
      <c r="AG273" s="17">
        <f>IF(OR(E273="",F273=""),"",NETWORKDAYS(E273,F273,Ref!$F$4:$F$47))</f>
        <v/>
      </c>
      <c r="AH273" s="39">
        <f>IF(IFERROR(VLOOKUP(D273,Controls!$A$25:$D$35,2,FALSE()),"No")="Yes",1,0)</f>
        <v/>
      </c>
      <c r="AI273" s="39">
        <f>IF(IFERROR(VLOOKUP(D273,Controls!$A$25:$D$35,3,FALSE()),"No")="Yes",1,0)</f>
        <v/>
      </c>
      <c r="AJ273" s="39">
        <f>IF(IFERROR(VLOOKUP(D273,Controls!$A$25:$D$35,4,FALSE()),"No")="Yes",1,0)</f>
        <v/>
      </c>
      <c r="AK273" s="96">
        <f>IF(AND($E273&gt;=Controls!$B$5,$E273&lt;=Controls!$B$6,OR(Controls!$E$9&lt;&gt;"Y",$BE273=1)),1,0)</f>
        <v/>
      </c>
      <c r="AL273" s="39">
        <f>1</f>
        <v/>
      </c>
      <c r="AM273" s="20">
        <f>S273-P273</f>
        <v/>
      </c>
      <c r="AN273" s="20">
        <f>IF(AH273=1,MAX(0,P273-S273),0)</f>
        <v/>
      </c>
      <c r="AO273" s="21">
        <f>IFERROR(S273/P273,"")</f>
        <v/>
      </c>
      <c r="AP273" s="22">
        <f>IF(Y273="","",P273/Y273)</f>
        <v/>
      </c>
      <c r="AQ273" s="39">
        <f>IF(Y273="",0,1)</f>
        <v/>
      </c>
      <c r="AR273" s="39">
        <f>IF(S273&lt;=0,1,0)</f>
        <v/>
      </c>
      <c r="AS273" s="17">
        <f>IF(AH273=1,AG273,"")</f>
        <v/>
      </c>
      <c r="AT273" s="17">
        <f>IF(AND(AH273=0,AJ273=1),AG273,"")</f>
        <v/>
      </c>
      <c r="AU273" s="5">
        <f>IF(P273&lt;10000,"Under $10K",IF(P273&lt;20000,"$10-20K",IF(P273&lt;30000,"$20-30K",IF(P273&lt;50000,"$30-50K",IF(P273&lt;100000,"$50-100K","$100K+")))))</f>
        <v/>
      </c>
      <c r="AV273" s="5">
        <f>IF(O273&lt;=1.35,"1.35 and under",IF(O273&lt;=1.42,"1.36-1.42",IF(O273&lt;=1.45,"1.43-1.45",IF(O273&lt;1.49,"1.46-1.48",IF(O273&lt;=1.49,"1.49","Above 1.49")))))</f>
        <v/>
      </c>
      <c r="AW273" s="5">
        <f>IF(AE273="","",IF(AE273&lt;60,"Under 60",IF(AE273&lt;90,"60-89",IF(AE273&lt;120,"90-119",IF(AE273&lt;150,"120-149","150+")))))</f>
        <v/>
      </c>
      <c r="AX273" s="5">
        <f>IF(AP273="","No revenue data",IF(AP273&lt;0.15,"Under 0.15x",IF(AP273&lt;0.3,"0.15-0.30x",IF(AP273&lt;0.5,"0.30-0.50x",IF(AP273&lt;1,"0.50-1.00x","1.00x+")))))</f>
        <v/>
      </c>
      <c r="AY273" s="5">
        <f>IF(J273="","No SIC",IFERROR(VLOOKUP(J273,Ref!$A$4:$C$67,2,FALSE()),"Unclassified"))</f>
        <v/>
      </c>
      <c r="AZ273" s="5">
        <f>IF(E273="","",TEXT(E273,"YYYY")&amp;"-Q"&amp;ROUNDUP(MONTH(E273)/3,0))</f>
        <v/>
      </c>
      <c r="BA273" s="5">
        <f>IF(E273="","",TEXT(E273,"YYYY-MM"))</f>
        <v/>
      </c>
      <c r="BB273" s="5">
        <f>IF(E273="","",TEXT(E273,"YYYY"))</f>
        <v/>
      </c>
      <c r="BC273" s="92">
        <f>IF($E273="","",NETWORKDAYS($E273,Controls!$B$9,Ref!$F$4:$F$47))</f>
        <v/>
      </c>
      <c r="BD273" s="92">
        <f>IF(OR($AH273=1,$AJ273=1),1,0)</f>
        <v/>
      </c>
      <c r="BE273" s="95">
        <f>IF(OR($BD273=1,AND($AE273&lt;&gt;"",$BC273&gt;=Controls!$B$10*$AE273)),1,0)</f>
        <v/>
      </c>
    </row>
    <row r="274" ht="15.75" customHeight="1" s="79">
      <c r="A274" s="5" t="inlineStr">
        <is>
          <t>5674167736</t>
        </is>
      </c>
      <c r="B274" s="5" t="inlineStr">
        <is>
          <t>Little Magic Bar</t>
        </is>
      </c>
      <c r="C274" s="5" t="inlineStr">
        <is>
          <t>VOODOO MAGIC LLC</t>
        </is>
      </c>
      <c r="D274" s="5" t="inlineStr">
        <is>
          <t>Closed</t>
        </is>
      </c>
      <c r="E274" s="16" t="n">
        <v>45931</v>
      </c>
      <c r="F274" s="16" t="n">
        <v>46051</v>
      </c>
      <c r="G274" s="17" t="n">
        <v>2</v>
      </c>
      <c r="H274" s="5" t="inlineStr">
        <is>
          <t>5812</t>
        </is>
      </c>
      <c r="I274" s="5" t="inlineStr">
        <is>
          <t>Snack and Nonalcoholic Beverage Bars</t>
        </is>
      </c>
      <c r="J274" s="5" t="inlineStr">
        <is>
          <t>58</t>
        </is>
      </c>
      <c r="K274" s="5" t="n">
        <v>5812</v>
      </c>
      <c r="L274" s="5" t="inlineStr">
        <is>
          <t>TN</t>
        </is>
      </c>
      <c r="M274" s="5" t="inlineStr">
        <is>
          <t>Fundible</t>
        </is>
      </c>
      <c r="N274" s="5" t="inlineStr">
        <is>
          <t>New Deal</t>
        </is>
      </c>
      <c r="O274" s="19" t="n">
        <v>1.49</v>
      </c>
      <c r="P274" s="20" t="n">
        <v>35000</v>
      </c>
      <c r="Q274" s="20" t="n">
        <v>4900</v>
      </c>
      <c r="R274" s="20" t="n">
        <v>52150</v>
      </c>
      <c r="S274" s="20" t="n">
        <v>52150</v>
      </c>
      <c r="T274" s="20" t="n">
        <v>0</v>
      </c>
      <c r="U274" s="21" t="n">
        <v>1</v>
      </c>
      <c r="V274" s="22" t="n">
        <v>26</v>
      </c>
      <c r="W274" s="17" t="n">
        <v>202</v>
      </c>
      <c r="X274" s="17" t="n">
        <v>0</v>
      </c>
      <c r="Y274" s="20" t="n">
        <v>131755.44</v>
      </c>
      <c r="Z274" s="21" t="n">
        <v>0.0609</v>
      </c>
      <c r="AA274" s="16" t="n">
        <v>45320</v>
      </c>
      <c r="AB274" s="5">
        <f>IF(V274="","",IF(V274&lt;12,"Months","Weeks"))</f>
        <v/>
      </c>
      <c r="AC274" s="5">
        <f>IF(AB274="","",IF(AB274="Months","Daily","Weekly"))</f>
        <v/>
      </c>
      <c r="AD274" s="17">
        <f>IF(V274="","",IF(AC274="Daily",V274*Controls!$B$13,V274))</f>
        <v/>
      </c>
      <c r="AE274" s="17">
        <f>IF(V274="","",IF(AC274="Daily",V274*Controls!$B$13,V274*Controls!$B$12))</f>
        <v/>
      </c>
      <c r="AF274" s="17">
        <f>IF(OR(E274="",F274=""),"",F274-E274)</f>
        <v/>
      </c>
      <c r="AG274" s="17">
        <f>IF(OR(E274="",F274=""),"",NETWORKDAYS(E274,F274,Ref!$F$4:$F$47))</f>
        <v/>
      </c>
      <c r="AH274" s="39">
        <f>IF(IFERROR(VLOOKUP(D274,Controls!$A$25:$D$35,2,FALSE()),"No")="Yes",1,0)</f>
        <v/>
      </c>
      <c r="AI274" s="39">
        <f>IF(IFERROR(VLOOKUP(D274,Controls!$A$25:$D$35,3,FALSE()),"No")="Yes",1,0)</f>
        <v/>
      </c>
      <c r="AJ274" s="39">
        <f>IF(IFERROR(VLOOKUP(D274,Controls!$A$25:$D$35,4,FALSE()),"No")="Yes",1,0)</f>
        <v/>
      </c>
      <c r="AK274" s="96">
        <f>IF(AND($E274&gt;=Controls!$B$5,$E274&lt;=Controls!$B$6,OR(Controls!$E$9&lt;&gt;"Y",$BE274=1)),1,0)</f>
        <v/>
      </c>
      <c r="AL274" s="39">
        <f>1</f>
        <v/>
      </c>
      <c r="AM274" s="20">
        <f>S274-P274</f>
        <v/>
      </c>
      <c r="AN274" s="20">
        <f>IF(AH274=1,MAX(0,P274-S274),0)</f>
        <v/>
      </c>
      <c r="AO274" s="21">
        <f>IFERROR(S274/P274,"")</f>
        <v/>
      </c>
      <c r="AP274" s="22">
        <f>IF(Y274="","",P274/Y274)</f>
        <v/>
      </c>
      <c r="AQ274" s="39">
        <f>IF(Y274="",0,1)</f>
        <v/>
      </c>
      <c r="AR274" s="39">
        <f>IF(S274&lt;=0,1,0)</f>
        <v/>
      </c>
      <c r="AS274" s="17">
        <f>IF(AH274=1,AG274,"")</f>
        <v/>
      </c>
      <c r="AT274" s="17">
        <f>IF(AND(AH274=0,AJ274=1),AG274,"")</f>
        <v/>
      </c>
      <c r="AU274" s="5">
        <f>IF(P274&lt;10000,"Under $10K",IF(P274&lt;20000,"$10-20K",IF(P274&lt;30000,"$20-30K",IF(P274&lt;50000,"$30-50K",IF(P274&lt;100000,"$50-100K","$100K+")))))</f>
        <v/>
      </c>
      <c r="AV274" s="5">
        <f>IF(O274&lt;=1.35,"1.35 and under",IF(O274&lt;=1.42,"1.36-1.42",IF(O274&lt;=1.45,"1.43-1.45",IF(O274&lt;1.49,"1.46-1.48",IF(O274&lt;=1.49,"1.49","Above 1.49")))))</f>
        <v/>
      </c>
      <c r="AW274" s="5">
        <f>IF(AE274="","",IF(AE274&lt;60,"Under 60",IF(AE274&lt;90,"60-89",IF(AE274&lt;120,"90-119",IF(AE274&lt;150,"120-149","150+")))))</f>
        <v/>
      </c>
      <c r="AX274" s="5">
        <f>IF(AP274="","No revenue data",IF(AP274&lt;0.15,"Under 0.15x",IF(AP274&lt;0.3,"0.15-0.30x",IF(AP274&lt;0.5,"0.30-0.50x",IF(AP274&lt;1,"0.50-1.00x","1.00x+")))))</f>
        <v/>
      </c>
      <c r="AY274" s="5">
        <f>IF(J274="","No SIC",IFERROR(VLOOKUP(J274,Ref!$A$4:$C$67,2,FALSE()),"Unclassified"))</f>
        <v/>
      </c>
      <c r="AZ274" s="5">
        <f>IF(E274="","",TEXT(E274,"YYYY")&amp;"-Q"&amp;ROUNDUP(MONTH(E274)/3,0))</f>
        <v/>
      </c>
      <c r="BA274" s="5">
        <f>IF(E274="","",TEXT(E274,"YYYY-MM"))</f>
        <v/>
      </c>
      <c r="BB274" s="5">
        <f>IF(E274="","",TEXT(E274,"YYYY"))</f>
        <v/>
      </c>
      <c r="BC274" s="92">
        <f>IF($E274="","",NETWORKDAYS($E274,Controls!$B$9,Ref!$F$4:$F$47))</f>
        <v/>
      </c>
      <c r="BD274" s="92">
        <f>IF(OR($AH274=1,$AJ274=1),1,0)</f>
        <v/>
      </c>
      <c r="BE274" s="95">
        <f>IF(OR($BD274=1,AND($AE274&lt;&gt;"",$BC274&gt;=Controls!$B$10*$AE274)),1,0)</f>
        <v/>
      </c>
    </row>
    <row r="275" ht="15.75" customHeight="1" s="79">
      <c r="A275" s="5" t="inlineStr">
        <is>
          <t>5674167778</t>
        </is>
      </c>
      <c r="B275" s="5" t="inlineStr">
        <is>
          <t>AIR LAND &amp; SEA PHYSICALS &amp; CONSULTATION</t>
        </is>
      </c>
      <c r="C275" s="5" t="inlineStr">
        <is>
          <t>AIR LAND &amp; SEA PHYSICALS &amp; CONSULTATION, LLC</t>
        </is>
      </c>
      <c r="D275" s="5" t="inlineStr">
        <is>
          <t>Closed</t>
        </is>
      </c>
      <c r="E275" s="16" t="n">
        <v>45932</v>
      </c>
      <c r="F275" s="16" t="n">
        <v>46073</v>
      </c>
      <c r="G275" s="17" t="n">
        <v>1</v>
      </c>
      <c r="H275" s="5" t="inlineStr">
        <is>
          <t>8748</t>
        </is>
      </c>
      <c r="I275" s="5" t="inlineStr">
        <is>
          <t>Other Management Consulting Services</t>
        </is>
      </c>
      <c r="J275" s="5" t="inlineStr">
        <is>
          <t>87</t>
        </is>
      </c>
      <c r="K275" s="5" t="n">
        <v>7392</v>
      </c>
      <c r="L275" s="5" t="inlineStr">
        <is>
          <t>FL</t>
        </is>
      </c>
      <c r="M275" s="5" t="inlineStr">
        <is>
          <t>Fundwell</t>
        </is>
      </c>
      <c r="N275" s="5" t="inlineStr">
        <is>
          <t>New Deal</t>
        </is>
      </c>
      <c r="O275" s="19" t="n">
        <v>1.44</v>
      </c>
      <c r="P275" s="20" t="n">
        <v>30000</v>
      </c>
      <c r="Q275" s="20" t="n">
        <v>4350</v>
      </c>
      <c r="R275" s="20" t="n">
        <v>43200</v>
      </c>
      <c r="S275" s="20" t="n">
        <v>43200</v>
      </c>
      <c r="T275" s="20" t="n">
        <v>0</v>
      </c>
      <c r="U275" s="21" t="n">
        <v>1</v>
      </c>
      <c r="V275" s="22" t="n">
        <v>30</v>
      </c>
      <c r="W275" s="17" t="n">
        <v>180</v>
      </c>
      <c r="X275" s="17" t="n">
        <v>0</v>
      </c>
      <c r="Y275" s="20" t="n">
        <v>43565.36</v>
      </c>
      <c r="Z275" s="21" t="n">
        <v>0.1322</v>
      </c>
      <c r="AA275" s="16" t="n">
        <v>38596</v>
      </c>
      <c r="AB275" s="5">
        <f>IF(V275="","",IF(V275&lt;12,"Months","Weeks"))</f>
        <v/>
      </c>
      <c r="AC275" s="5">
        <f>IF(AB275="","",IF(AB275="Months","Daily","Weekly"))</f>
        <v/>
      </c>
      <c r="AD275" s="17">
        <f>IF(V275="","",IF(AC275="Daily",V275*Controls!$B$13,V275))</f>
        <v/>
      </c>
      <c r="AE275" s="17">
        <f>IF(V275="","",IF(AC275="Daily",V275*Controls!$B$13,V275*Controls!$B$12))</f>
        <v/>
      </c>
      <c r="AF275" s="17">
        <f>IF(OR(E275="",F275=""),"",F275-E275)</f>
        <v/>
      </c>
      <c r="AG275" s="17">
        <f>IF(OR(E275="",F275=""),"",NETWORKDAYS(E275,F275,Ref!$F$4:$F$47))</f>
        <v/>
      </c>
      <c r="AH275" s="39">
        <f>IF(IFERROR(VLOOKUP(D275,Controls!$A$25:$D$35,2,FALSE()),"No")="Yes",1,0)</f>
        <v/>
      </c>
      <c r="AI275" s="39">
        <f>IF(IFERROR(VLOOKUP(D275,Controls!$A$25:$D$35,3,FALSE()),"No")="Yes",1,0)</f>
        <v/>
      </c>
      <c r="AJ275" s="39">
        <f>IF(IFERROR(VLOOKUP(D275,Controls!$A$25:$D$35,4,FALSE()),"No")="Yes",1,0)</f>
        <v/>
      </c>
      <c r="AK275" s="96">
        <f>IF(AND($E275&gt;=Controls!$B$5,$E275&lt;=Controls!$B$6,OR(Controls!$E$9&lt;&gt;"Y",$BE275=1)),1,0)</f>
        <v/>
      </c>
      <c r="AL275" s="39">
        <f>1</f>
        <v/>
      </c>
      <c r="AM275" s="20">
        <f>S275-P275</f>
        <v/>
      </c>
      <c r="AN275" s="20">
        <f>IF(AH275=1,MAX(0,P275-S275),0)</f>
        <v/>
      </c>
      <c r="AO275" s="21">
        <f>IFERROR(S275/P275,"")</f>
        <v/>
      </c>
      <c r="AP275" s="22">
        <f>IF(Y275="","",P275/Y275)</f>
        <v/>
      </c>
      <c r="AQ275" s="39">
        <f>IF(Y275="",0,1)</f>
        <v/>
      </c>
      <c r="AR275" s="39">
        <f>IF(S275&lt;=0,1,0)</f>
        <v/>
      </c>
      <c r="AS275" s="17">
        <f>IF(AH275=1,AG275,"")</f>
        <v/>
      </c>
      <c r="AT275" s="17">
        <f>IF(AND(AH275=0,AJ275=1),AG275,"")</f>
        <v/>
      </c>
      <c r="AU275" s="5">
        <f>IF(P275&lt;10000,"Under $10K",IF(P275&lt;20000,"$10-20K",IF(P275&lt;30000,"$20-30K",IF(P275&lt;50000,"$30-50K",IF(P275&lt;100000,"$50-100K","$100K+")))))</f>
        <v/>
      </c>
      <c r="AV275" s="5">
        <f>IF(O275&lt;=1.35,"1.35 and under",IF(O275&lt;=1.42,"1.36-1.42",IF(O275&lt;=1.45,"1.43-1.45",IF(O275&lt;1.49,"1.46-1.48",IF(O275&lt;=1.49,"1.49","Above 1.49")))))</f>
        <v/>
      </c>
      <c r="AW275" s="5">
        <f>IF(AE275="","",IF(AE275&lt;60,"Under 60",IF(AE275&lt;90,"60-89",IF(AE275&lt;120,"90-119",IF(AE275&lt;150,"120-149","150+")))))</f>
        <v/>
      </c>
      <c r="AX275" s="5">
        <f>IF(AP275="","No revenue data",IF(AP275&lt;0.15,"Under 0.15x",IF(AP275&lt;0.3,"0.15-0.30x",IF(AP275&lt;0.5,"0.30-0.50x",IF(AP275&lt;1,"0.50-1.00x","1.00x+")))))</f>
        <v/>
      </c>
      <c r="AY275" s="5">
        <f>IF(J275="","No SIC",IFERROR(VLOOKUP(J275,Ref!$A$4:$C$67,2,FALSE()),"Unclassified"))</f>
        <v/>
      </c>
      <c r="AZ275" s="5">
        <f>IF(E275="","",TEXT(E275,"YYYY")&amp;"-Q"&amp;ROUNDUP(MONTH(E275)/3,0))</f>
        <v/>
      </c>
      <c r="BA275" s="5">
        <f>IF(E275="","",TEXT(E275,"YYYY-MM"))</f>
        <v/>
      </c>
      <c r="BB275" s="5">
        <f>IF(E275="","",TEXT(E275,"YYYY"))</f>
        <v/>
      </c>
      <c r="BC275" s="92">
        <f>IF($E275="","",NETWORKDAYS($E275,Controls!$B$9,Ref!$F$4:$F$47))</f>
        <v/>
      </c>
      <c r="BD275" s="92">
        <f>IF(OR($AH275=1,$AJ275=1),1,0)</f>
        <v/>
      </c>
      <c r="BE275" s="95">
        <f>IF(OR($BD275=1,AND($AE275&lt;&gt;"",$BC275&gt;=Controls!$B$10*$AE275)),1,0)</f>
        <v/>
      </c>
    </row>
    <row r="276" ht="15.75" customHeight="1" s="79">
      <c r="A276" s="5" t="inlineStr">
        <is>
          <t>5674167807</t>
        </is>
      </c>
      <c r="B276" s="5" t="inlineStr">
        <is>
          <t>RON KING LLC</t>
        </is>
      </c>
      <c r="C276" s="5" t="inlineStr">
        <is>
          <t>RON KING LLC</t>
        </is>
      </c>
      <c r="D276" s="5" t="inlineStr">
        <is>
          <t>Closed</t>
        </is>
      </c>
      <c r="E276" s="16" t="n">
        <v>45933</v>
      </c>
      <c r="F276" s="16" t="n">
        <v>46000</v>
      </c>
      <c r="G276" s="17" t="n">
        <v>5</v>
      </c>
      <c r="H276" s="5" t="inlineStr">
        <is>
          <t>7231</t>
        </is>
      </c>
      <c r="I276" s="5" t="inlineStr">
        <is>
          <t>Beauty Salons</t>
        </is>
      </c>
      <c r="J276" s="5" t="inlineStr">
        <is>
          <t>72</t>
        </is>
      </c>
      <c r="K276" s="5" t="n">
        <v>7230</v>
      </c>
      <c r="L276" s="5" t="inlineStr">
        <is>
          <t>TX</t>
        </is>
      </c>
      <c r="M276" s="5" t="inlineStr">
        <is>
          <t>Westwood</t>
        </is>
      </c>
      <c r="N276" s="5" t="inlineStr">
        <is>
          <t>New Deal</t>
        </is>
      </c>
      <c r="O276" s="19" t="n">
        <v>1.499</v>
      </c>
      <c r="P276" s="20" t="n">
        <v>20000</v>
      </c>
      <c r="Q276" s="20" t="n">
        <v>2800</v>
      </c>
      <c r="R276" s="20" t="n">
        <v>29980</v>
      </c>
      <c r="S276" s="20" t="n">
        <v>29980</v>
      </c>
      <c r="T276" s="20" t="n">
        <v>3.63797880709171e-12</v>
      </c>
      <c r="U276" s="21" t="n">
        <v>1</v>
      </c>
      <c r="V276" s="22" t="n">
        <v>2.623</v>
      </c>
      <c r="W276" s="17" t="n">
        <v>253</v>
      </c>
      <c r="X276" s="17" t="n">
        <v>0</v>
      </c>
      <c r="Y276" s="20" t="n">
        <v>54257.4</v>
      </c>
      <c r="Z276" s="21" t="n">
        <v>0.1432</v>
      </c>
      <c r="AA276" s="16" t="n">
        <v>43910</v>
      </c>
      <c r="AB276" s="5">
        <f>IF(V276="","",IF(V276&lt;12,"Months","Weeks"))</f>
        <v/>
      </c>
      <c r="AC276" s="5">
        <f>IF(AB276="","",IF(AB276="Months","Daily","Weekly"))</f>
        <v/>
      </c>
      <c r="AD276" s="17">
        <f>IF(V276="","",IF(AC276="Daily",V276*Controls!$B$13,V276))</f>
        <v/>
      </c>
      <c r="AE276" s="17">
        <f>IF(V276="","",IF(AC276="Daily",V276*Controls!$B$13,V276*Controls!$B$12))</f>
        <v/>
      </c>
      <c r="AF276" s="17">
        <f>IF(OR(E276="",F276=""),"",F276-E276)</f>
        <v/>
      </c>
      <c r="AG276" s="17">
        <f>IF(OR(E276="",F276=""),"",NETWORKDAYS(E276,F276,Ref!$F$4:$F$47))</f>
        <v/>
      </c>
      <c r="AH276" s="39">
        <f>IF(IFERROR(VLOOKUP(D276,Controls!$A$25:$D$35,2,FALSE()),"No")="Yes",1,0)</f>
        <v/>
      </c>
      <c r="AI276" s="39">
        <f>IF(IFERROR(VLOOKUP(D276,Controls!$A$25:$D$35,3,FALSE()),"No")="Yes",1,0)</f>
        <v/>
      </c>
      <c r="AJ276" s="39">
        <f>IF(IFERROR(VLOOKUP(D276,Controls!$A$25:$D$35,4,FALSE()),"No")="Yes",1,0)</f>
        <v/>
      </c>
      <c r="AK276" s="96">
        <f>IF(AND($E276&gt;=Controls!$B$5,$E276&lt;=Controls!$B$6,OR(Controls!$E$9&lt;&gt;"Y",$BE276=1)),1,0)</f>
        <v/>
      </c>
      <c r="AL276" s="39">
        <f>1</f>
        <v/>
      </c>
      <c r="AM276" s="20">
        <f>S276-P276</f>
        <v/>
      </c>
      <c r="AN276" s="20">
        <f>IF(AH276=1,MAX(0,P276-S276),0)</f>
        <v/>
      </c>
      <c r="AO276" s="21">
        <f>IFERROR(S276/P276,"")</f>
        <v/>
      </c>
      <c r="AP276" s="22">
        <f>IF(Y276="","",P276/Y276)</f>
        <v/>
      </c>
      <c r="AQ276" s="39">
        <f>IF(Y276="",0,1)</f>
        <v/>
      </c>
      <c r="AR276" s="39">
        <f>IF(S276&lt;=0,1,0)</f>
        <v/>
      </c>
      <c r="AS276" s="17">
        <f>IF(AH276=1,AG276,"")</f>
        <v/>
      </c>
      <c r="AT276" s="17">
        <f>IF(AND(AH276=0,AJ276=1),AG276,"")</f>
        <v/>
      </c>
      <c r="AU276" s="5">
        <f>IF(P276&lt;10000,"Under $10K",IF(P276&lt;20000,"$10-20K",IF(P276&lt;30000,"$20-30K",IF(P276&lt;50000,"$30-50K",IF(P276&lt;100000,"$50-100K","$100K+")))))</f>
        <v/>
      </c>
      <c r="AV276" s="5">
        <f>IF(O276&lt;=1.35,"1.35 and under",IF(O276&lt;=1.42,"1.36-1.42",IF(O276&lt;=1.45,"1.43-1.45",IF(O276&lt;1.49,"1.46-1.48",IF(O276&lt;=1.49,"1.49","Above 1.49")))))</f>
        <v/>
      </c>
      <c r="AW276" s="5">
        <f>IF(AE276="","",IF(AE276&lt;60,"Under 60",IF(AE276&lt;90,"60-89",IF(AE276&lt;120,"90-119",IF(AE276&lt;150,"120-149","150+")))))</f>
        <v/>
      </c>
      <c r="AX276" s="5">
        <f>IF(AP276="","No revenue data",IF(AP276&lt;0.15,"Under 0.15x",IF(AP276&lt;0.3,"0.15-0.30x",IF(AP276&lt;0.5,"0.30-0.50x",IF(AP276&lt;1,"0.50-1.00x","1.00x+")))))</f>
        <v/>
      </c>
      <c r="AY276" s="5">
        <f>IF(J276="","No SIC",IFERROR(VLOOKUP(J276,Ref!$A$4:$C$67,2,FALSE()),"Unclassified"))</f>
        <v/>
      </c>
      <c r="AZ276" s="5">
        <f>IF(E276="","",TEXT(E276,"YYYY")&amp;"-Q"&amp;ROUNDUP(MONTH(E276)/3,0))</f>
        <v/>
      </c>
      <c r="BA276" s="5">
        <f>IF(E276="","",TEXT(E276,"YYYY-MM"))</f>
        <v/>
      </c>
      <c r="BB276" s="5">
        <f>IF(E276="","",TEXT(E276,"YYYY"))</f>
        <v/>
      </c>
      <c r="BC276" s="92">
        <f>IF($E276="","",NETWORKDAYS($E276,Controls!$B$9,Ref!$F$4:$F$47))</f>
        <v/>
      </c>
      <c r="BD276" s="92">
        <f>IF(OR($AH276=1,$AJ276=1),1,0)</f>
        <v/>
      </c>
      <c r="BE276" s="95">
        <f>IF(OR($BD276=1,AND($AE276&lt;&gt;"",$BC276&gt;=Controls!$B$10*$AE276)),1,0)</f>
        <v/>
      </c>
    </row>
    <row r="277" ht="15.75" customHeight="1" s="79">
      <c r="A277" s="5" t="inlineStr">
        <is>
          <t>5674167817</t>
        </is>
      </c>
      <c r="B277" s="5" t="inlineStr">
        <is>
          <t>AFC Urgent Care Coppell</t>
        </is>
      </c>
      <c r="C277" s="5" t="inlineStr">
        <is>
          <t>FTA Holdings LLC</t>
        </is>
      </c>
      <c r="D277" s="5" t="inlineStr">
        <is>
          <t>Legal</t>
        </is>
      </c>
      <c r="E277" s="16" t="n">
        <v>45933</v>
      </c>
      <c r="F277" s="16" t="n">
        <v>45968</v>
      </c>
      <c r="G277" s="17" t="n">
        <v>1</v>
      </c>
      <c r="H277" s="5" t="inlineStr">
        <is>
          <t>8071</t>
        </is>
      </c>
      <c r="I277" s="5" t="inlineStr">
        <is>
          <t>Medical Laboratories</t>
        </is>
      </c>
      <c r="J277" s="5" t="inlineStr">
        <is>
          <t>80</t>
        </is>
      </c>
      <c r="K277" s="5" t="n">
        <v>8071</v>
      </c>
      <c r="L277" s="5" t="inlineStr">
        <is>
          <t>TX</t>
        </is>
      </c>
      <c r="M277" s="5" t="inlineStr">
        <is>
          <t>Shore Funding USA</t>
        </is>
      </c>
      <c r="N277" s="5" t="inlineStr">
        <is>
          <t>New Deal</t>
        </is>
      </c>
      <c r="O277" s="19" t="n">
        <v>1.34</v>
      </c>
      <c r="P277" s="20" t="n">
        <v>25000</v>
      </c>
      <c r="Q277" s="20" t="n">
        <v>1500</v>
      </c>
      <c r="R277" s="20" t="n">
        <v>33500</v>
      </c>
      <c r="S277" s="20" t="n">
        <v>2393.62</v>
      </c>
      <c r="T277" s="20" t="n">
        <v>31106.38</v>
      </c>
      <c r="U277" s="21" t="n">
        <v>0.0714513432835821</v>
      </c>
      <c r="V277" s="22" t="n">
        <v>28</v>
      </c>
      <c r="W277" s="17" t="n">
        <v>306</v>
      </c>
      <c r="X277" s="17" t="n">
        <v>3</v>
      </c>
      <c r="Y277" s="20" t="n">
        <v>35619.4</v>
      </c>
      <c r="Z277" s="21" t="n">
        <v>0.1344</v>
      </c>
      <c r="AA277" s="16" t="n">
        <v>44393</v>
      </c>
      <c r="AB277" s="5">
        <f>IF(V277="","",IF(V277&lt;12,"Months","Weeks"))</f>
        <v/>
      </c>
      <c r="AC277" s="5">
        <f>IF(AB277="","",IF(AB277="Months","Daily","Weekly"))</f>
        <v/>
      </c>
      <c r="AD277" s="17">
        <f>IF(V277="","",IF(AC277="Daily",V277*Controls!$B$13,V277))</f>
        <v/>
      </c>
      <c r="AE277" s="17">
        <f>IF(V277="","",IF(AC277="Daily",V277*Controls!$B$13,V277*Controls!$B$12))</f>
        <v/>
      </c>
      <c r="AF277" s="17">
        <f>IF(OR(E277="",F277=""),"",F277-E277)</f>
        <v/>
      </c>
      <c r="AG277" s="17">
        <f>IF(OR(E277="",F277=""),"",NETWORKDAYS(E277,F277,Ref!$F$4:$F$47))</f>
        <v/>
      </c>
      <c r="AH277" s="39">
        <f>IF(IFERROR(VLOOKUP(D277,Controls!$A$25:$D$35,2,FALSE()),"No")="Yes",1,0)</f>
        <v/>
      </c>
      <c r="AI277" s="39">
        <f>IF(IFERROR(VLOOKUP(D277,Controls!$A$25:$D$35,3,FALSE()),"No")="Yes",1,0)</f>
        <v/>
      </c>
      <c r="AJ277" s="39">
        <f>IF(IFERROR(VLOOKUP(D277,Controls!$A$25:$D$35,4,FALSE()),"No")="Yes",1,0)</f>
        <v/>
      </c>
      <c r="AK277" s="96">
        <f>IF(AND($E277&gt;=Controls!$B$5,$E277&lt;=Controls!$B$6,OR(Controls!$E$9&lt;&gt;"Y",$BE277=1)),1,0)</f>
        <v/>
      </c>
      <c r="AL277" s="39">
        <f>1</f>
        <v/>
      </c>
      <c r="AM277" s="20">
        <f>S277-P277</f>
        <v/>
      </c>
      <c r="AN277" s="20">
        <f>IF(AH277=1,MAX(0,P277-S277),0)</f>
        <v/>
      </c>
      <c r="AO277" s="21">
        <f>IFERROR(S277/P277,"")</f>
        <v/>
      </c>
      <c r="AP277" s="22">
        <f>IF(Y277="","",P277/Y277)</f>
        <v/>
      </c>
      <c r="AQ277" s="39">
        <f>IF(Y277="",0,1)</f>
        <v/>
      </c>
      <c r="AR277" s="39">
        <f>IF(S277&lt;=0,1,0)</f>
        <v/>
      </c>
      <c r="AS277" s="17">
        <f>IF(AH277=1,AG277,"")</f>
        <v/>
      </c>
      <c r="AT277" s="17">
        <f>IF(AND(AH277=0,AJ277=1),AG277,"")</f>
        <v/>
      </c>
      <c r="AU277" s="5">
        <f>IF(P277&lt;10000,"Under $10K",IF(P277&lt;20000,"$10-20K",IF(P277&lt;30000,"$20-30K",IF(P277&lt;50000,"$30-50K",IF(P277&lt;100000,"$50-100K","$100K+")))))</f>
        <v/>
      </c>
      <c r="AV277" s="5">
        <f>IF(O277&lt;=1.35,"1.35 and under",IF(O277&lt;=1.42,"1.36-1.42",IF(O277&lt;=1.45,"1.43-1.45",IF(O277&lt;1.49,"1.46-1.48",IF(O277&lt;=1.49,"1.49","Above 1.49")))))</f>
        <v/>
      </c>
      <c r="AW277" s="5">
        <f>IF(AE277="","",IF(AE277&lt;60,"Under 60",IF(AE277&lt;90,"60-89",IF(AE277&lt;120,"90-119",IF(AE277&lt;150,"120-149","150+")))))</f>
        <v/>
      </c>
      <c r="AX277" s="5">
        <f>IF(AP277="","No revenue data",IF(AP277&lt;0.15,"Under 0.15x",IF(AP277&lt;0.3,"0.15-0.30x",IF(AP277&lt;0.5,"0.30-0.50x",IF(AP277&lt;1,"0.50-1.00x","1.00x+")))))</f>
        <v/>
      </c>
      <c r="AY277" s="5">
        <f>IF(J277="","No SIC",IFERROR(VLOOKUP(J277,Ref!$A$4:$C$67,2,FALSE()),"Unclassified"))</f>
        <v/>
      </c>
      <c r="AZ277" s="5">
        <f>IF(E277="","",TEXT(E277,"YYYY")&amp;"-Q"&amp;ROUNDUP(MONTH(E277)/3,0))</f>
        <v/>
      </c>
      <c r="BA277" s="5">
        <f>IF(E277="","",TEXT(E277,"YYYY-MM"))</f>
        <v/>
      </c>
      <c r="BB277" s="5">
        <f>IF(E277="","",TEXT(E277,"YYYY"))</f>
        <v/>
      </c>
      <c r="BC277" s="92">
        <f>IF($E277="","",NETWORKDAYS($E277,Controls!$B$9,Ref!$F$4:$F$47))</f>
        <v/>
      </c>
      <c r="BD277" s="92">
        <f>IF(OR($AH277=1,$AJ277=1),1,0)</f>
        <v/>
      </c>
      <c r="BE277" s="95">
        <f>IF(OR($BD277=1,AND($AE277&lt;&gt;"",$BC277&gt;=Controls!$B$10*$AE277)),1,0)</f>
        <v/>
      </c>
    </row>
    <row r="278" ht="15.75" customHeight="1" s="79">
      <c r="A278" s="5" t="inlineStr">
        <is>
          <t>5674167862</t>
        </is>
      </c>
      <c r="B278" s="5" t="inlineStr">
        <is>
          <t>Lulabelle's CLT LLC</t>
        </is>
      </c>
      <c r="C278" s="5" t="inlineStr">
        <is>
          <t>Lulabelle's CLT LLC</t>
        </is>
      </c>
      <c r="D278" s="5" t="inlineStr">
        <is>
          <t>Closed</t>
        </is>
      </c>
      <c r="E278" s="16" t="n">
        <v>45933</v>
      </c>
      <c r="F278" s="16" t="n">
        <v>46139</v>
      </c>
      <c r="G278" s="17" t="n">
        <v>4</v>
      </c>
      <c r="H278" s="5" t="inlineStr">
        <is>
          <t>5812</t>
        </is>
      </c>
      <c r="I278" s="5" t="inlineStr">
        <is>
          <t>Snack and Nonalcoholic Beverage Bars</t>
        </is>
      </c>
      <c r="J278" s="5" t="inlineStr">
        <is>
          <t>58</t>
        </is>
      </c>
      <c r="K278" s="5" t="n">
        <v>5812</v>
      </c>
      <c r="L278" s="5" t="inlineStr">
        <is>
          <t>NC</t>
        </is>
      </c>
      <c r="M278" s="5" t="inlineStr">
        <is>
          <t>Upright Advance Corp</t>
        </is>
      </c>
      <c r="N278" s="5" t="inlineStr">
        <is>
          <t>New Deal</t>
        </is>
      </c>
      <c r="O278" s="19" t="n">
        <v>1.49</v>
      </c>
      <c r="P278" s="20" t="n">
        <v>15000</v>
      </c>
      <c r="Q278" s="20" t="n">
        <v>2100</v>
      </c>
      <c r="R278" s="20" t="n">
        <v>22350</v>
      </c>
      <c r="S278" s="20" t="n">
        <v>22350</v>
      </c>
      <c r="T278" s="20" t="n">
        <v>0</v>
      </c>
      <c r="U278" s="21" t="n">
        <v>1</v>
      </c>
      <c r="V278" s="22" t="n">
        <v>2.787</v>
      </c>
      <c r="W278" s="17" t="n">
        <v>114</v>
      </c>
      <c r="X278" s="17" t="n">
        <v>54</v>
      </c>
      <c r="Y278" s="20" t="n">
        <v>207972</v>
      </c>
      <c r="Z278" s="5" t="n"/>
      <c r="AA278" s="16" t="n">
        <v>44597</v>
      </c>
      <c r="AB278" s="5">
        <f>IF(V278="","",IF(V278&lt;12,"Months","Weeks"))</f>
        <v/>
      </c>
      <c r="AC278" s="5">
        <f>IF(AB278="","",IF(AB278="Months","Daily","Weekly"))</f>
        <v/>
      </c>
      <c r="AD278" s="17">
        <f>IF(V278="","",IF(AC278="Daily",V278*Controls!$B$13,V278))</f>
        <v/>
      </c>
      <c r="AE278" s="17">
        <f>IF(V278="","",IF(AC278="Daily",V278*Controls!$B$13,V278*Controls!$B$12))</f>
        <v/>
      </c>
      <c r="AF278" s="17">
        <f>IF(OR(E278="",F278=""),"",F278-E278)</f>
        <v/>
      </c>
      <c r="AG278" s="17">
        <f>IF(OR(E278="",F278=""),"",NETWORKDAYS(E278,F278,Ref!$F$4:$F$47))</f>
        <v/>
      </c>
      <c r="AH278" s="39">
        <f>IF(IFERROR(VLOOKUP(D278,Controls!$A$25:$D$35,2,FALSE()),"No")="Yes",1,0)</f>
        <v/>
      </c>
      <c r="AI278" s="39">
        <f>IF(IFERROR(VLOOKUP(D278,Controls!$A$25:$D$35,3,FALSE()),"No")="Yes",1,0)</f>
        <v/>
      </c>
      <c r="AJ278" s="39">
        <f>IF(IFERROR(VLOOKUP(D278,Controls!$A$25:$D$35,4,FALSE()),"No")="Yes",1,0)</f>
        <v/>
      </c>
      <c r="AK278" s="96">
        <f>IF(AND($E278&gt;=Controls!$B$5,$E278&lt;=Controls!$B$6,OR(Controls!$E$9&lt;&gt;"Y",$BE278=1)),1,0)</f>
        <v/>
      </c>
      <c r="AL278" s="39">
        <f>1</f>
        <v/>
      </c>
      <c r="AM278" s="20">
        <f>S278-P278</f>
        <v/>
      </c>
      <c r="AN278" s="20">
        <f>IF(AH278=1,MAX(0,P278-S278),0)</f>
        <v/>
      </c>
      <c r="AO278" s="21">
        <f>IFERROR(S278/P278,"")</f>
        <v/>
      </c>
      <c r="AP278" s="22">
        <f>IF(Y278="","",P278/Y278)</f>
        <v/>
      </c>
      <c r="AQ278" s="39">
        <f>IF(Y278="",0,1)</f>
        <v/>
      </c>
      <c r="AR278" s="39">
        <f>IF(S278&lt;=0,1,0)</f>
        <v/>
      </c>
      <c r="AS278" s="17">
        <f>IF(AH278=1,AG278,"")</f>
        <v/>
      </c>
      <c r="AT278" s="17">
        <f>IF(AND(AH278=0,AJ278=1),AG278,"")</f>
        <v/>
      </c>
      <c r="AU278" s="5">
        <f>IF(P278&lt;10000,"Under $10K",IF(P278&lt;20000,"$10-20K",IF(P278&lt;30000,"$20-30K",IF(P278&lt;50000,"$30-50K",IF(P278&lt;100000,"$50-100K","$100K+")))))</f>
        <v/>
      </c>
      <c r="AV278" s="5">
        <f>IF(O278&lt;=1.35,"1.35 and under",IF(O278&lt;=1.42,"1.36-1.42",IF(O278&lt;=1.45,"1.43-1.45",IF(O278&lt;1.49,"1.46-1.48",IF(O278&lt;=1.49,"1.49","Above 1.49")))))</f>
        <v/>
      </c>
      <c r="AW278" s="5">
        <f>IF(AE278="","",IF(AE278&lt;60,"Under 60",IF(AE278&lt;90,"60-89",IF(AE278&lt;120,"90-119",IF(AE278&lt;150,"120-149","150+")))))</f>
        <v/>
      </c>
      <c r="AX278" s="5">
        <f>IF(AP278="","No revenue data",IF(AP278&lt;0.15,"Under 0.15x",IF(AP278&lt;0.3,"0.15-0.30x",IF(AP278&lt;0.5,"0.30-0.50x",IF(AP278&lt;1,"0.50-1.00x","1.00x+")))))</f>
        <v/>
      </c>
      <c r="AY278" s="5">
        <f>IF(J278="","No SIC",IFERROR(VLOOKUP(J278,Ref!$A$4:$C$67,2,FALSE()),"Unclassified"))</f>
        <v/>
      </c>
      <c r="AZ278" s="5">
        <f>IF(E278="","",TEXT(E278,"YYYY")&amp;"-Q"&amp;ROUNDUP(MONTH(E278)/3,0))</f>
        <v/>
      </c>
      <c r="BA278" s="5">
        <f>IF(E278="","",TEXT(E278,"YYYY-MM"))</f>
        <v/>
      </c>
      <c r="BB278" s="5">
        <f>IF(E278="","",TEXT(E278,"YYYY"))</f>
        <v/>
      </c>
      <c r="BC278" s="92">
        <f>IF($E278="","",NETWORKDAYS($E278,Controls!$B$9,Ref!$F$4:$F$47))</f>
        <v/>
      </c>
      <c r="BD278" s="92">
        <f>IF(OR($AH278=1,$AJ278=1),1,0)</f>
        <v/>
      </c>
      <c r="BE278" s="95">
        <f>IF(OR($BD278=1,AND($AE278&lt;&gt;"",$BC278&gt;=Controls!$B$10*$AE278)),1,0)</f>
        <v/>
      </c>
    </row>
    <row r="279" ht="15.75" customHeight="1" s="79">
      <c r="A279" s="5" t="inlineStr">
        <is>
          <t>5674167932</t>
        </is>
      </c>
      <c r="B279" s="5" t="inlineStr">
        <is>
          <t>Perfect Minds LLC</t>
        </is>
      </c>
      <c r="C279" s="5" t="inlineStr">
        <is>
          <t>Perfect Minds LLC</t>
        </is>
      </c>
      <c r="D279" s="5" t="inlineStr">
        <is>
          <t>Legal</t>
        </is>
      </c>
      <c r="E279" s="16" t="n">
        <v>45936</v>
      </c>
      <c r="F279" s="16" t="n">
        <v>46127</v>
      </c>
      <c r="G279" s="17" t="n">
        <v>3</v>
      </c>
      <c r="H279" s="5" t="inlineStr">
        <is>
          <t>7363</t>
        </is>
      </c>
      <c r="I279" s="5" t="inlineStr">
        <is>
          <t>Temporary Help Services</t>
        </is>
      </c>
      <c r="J279" s="5" t="inlineStr">
        <is>
          <t>73</t>
        </is>
      </c>
      <c r="K279" s="5" t="n">
        <v>7361</v>
      </c>
      <c r="L279" s="5" t="inlineStr">
        <is>
          <t>CA</t>
        </is>
      </c>
      <c r="M279" s="5" t="inlineStr">
        <is>
          <t>Shore Funding USA</t>
        </is>
      </c>
      <c r="N279" s="5" t="inlineStr">
        <is>
          <t>New Deal</t>
        </is>
      </c>
      <c r="O279" s="19" t="n">
        <v>1.44</v>
      </c>
      <c r="P279" s="20" t="n">
        <v>6000</v>
      </c>
      <c r="Q279" s="20" t="n">
        <v>690</v>
      </c>
      <c r="R279" s="20" t="n">
        <v>8640</v>
      </c>
      <c r="S279" s="20" t="n">
        <v>4226.63</v>
      </c>
      <c r="T279" s="20" t="n">
        <v>4413.37</v>
      </c>
      <c r="U279" s="21" t="n">
        <v>0.489193287037037</v>
      </c>
      <c r="V279" s="22" t="n">
        <v>2.951</v>
      </c>
      <c r="W279" s="17" t="n">
        <v>126</v>
      </c>
      <c r="X279" s="17" t="n">
        <v>21</v>
      </c>
      <c r="Y279" s="20" t="n">
        <v>28231.97</v>
      </c>
      <c r="Z279" s="21" t="n">
        <v>0.07140000000000001</v>
      </c>
      <c r="AA279" s="16" t="n">
        <v>44193</v>
      </c>
      <c r="AB279" s="5">
        <f>IF(V279="","",IF(V279&lt;12,"Months","Weeks"))</f>
        <v/>
      </c>
      <c r="AC279" s="5">
        <f>IF(AB279="","",IF(AB279="Months","Daily","Weekly"))</f>
        <v/>
      </c>
      <c r="AD279" s="17">
        <f>IF(V279="","",IF(AC279="Daily",V279*Controls!$B$13,V279))</f>
        <v/>
      </c>
      <c r="AE279" s="17">
        <f>IF(V279="","",IF(AC279="Daily",V279*Controls!$B$13,V279*Controls!$B$12))</f>
        <v/>
      </c>
      <c r="AF279" s="17">
        <f>IF(OR(E279="",F279=""),"",F279-E279)</f>
        <v/>
      </c>
      <c r="AG279" s="17">
        <f>IF(OR(E279="",F279=""),"",NETWORKDAYS(E279,F279,Ref!$F$4:$F$47))</f>
        <v/>
      </c>
      <c r="AH279" s="39">
        <f>IF(IFERROR(VLOOKUP(D279,Controls!$A$25:$D$35,2,FALSE()),"No")="Yes",1,0)</f>
        <v/>
      </c>
      <c r="AI279" s="39">
        <f>IF(IFERROR(VLOOKUP(D279,Controls!$A$25:$D$35,3,FALSE()),"No")="Yes",1,0)</f>
        <v/>
      </c>
      <c r="AJ279" s="39">
        <f>IF(IFERROR(VLOOKUP(D279,Controls!$A$25:$D$35,4,FALSE()),"No")="Yes",1,0)</f>
        <v/>
      </c>
      <c r="AK279" s="96">
        <f>IF(AND($E279&gt;=Controls!$B$5,$E279&lt;=Controls!$B$6,OR(Controls!$E$9&lt;&gt;"Y",$BE279=1)),1,0)</f>
        <v/>
      </c>
      <c r="AL279" s="39">
        <f>1</f>
        <v/>
      </c>
      <c r="AM279" s="20">
        <f>S279-P279</f>
        <v/>
      </c>
      <c r="AN279" s="20">
        <f>IF(AH279=1,MAX(0,P279-S279),0)</f>
        <v/>
      </c>
      <c r="AO279" s="21">
        <f>IFERROR(S279/P279,"")</f>
        <v/>
      </c>
      <c r="AP279" s="22">
        <f>IF(Y279="","",P279/Y279)</f>
        <v/>
      </c>
      <c r="AQ279" s="39">
        <f>IF(Y279="",0,1)</f>
        <v/>
      </c>
      <c r="AR279" s="39">
        <f>IF(S279&lt;=0,1,0)</f>
        <v/>
      </c>
      <c r="AS279" s="17">
        <f>IF(AH279=1,AG279,"")</f>
        <v/>
      </c>
      <c r="AT279" s="17">
        <f>IF(AND(AH279=0,AJ279=1),AG279,"")</f>
        <v/>
      </c>
      <c r="AU279" s="5">
        <f>IF(P279&lt;10000,"Under $10K",IF(P279&lt;20000,"$10-20K",IF(P279&lt;30000,"$20-30K",IF(P279&lt;50000,"$30-50K",IF(P279&lt;100000,"$50-100K","$100K+")))))</f>
        <v/>
      </c>
      <c r="AV279" s="5">
        <f>IF(O279&lt;=1.35,"1.35 and under",IF(O279&lt;=1.42,"1.36-1.42",IF(O279&lt;=1.45,"1.43-1.45",IF(O279&lt;1.49,"1.46-1.48",IF(O279&lt;=1.49,"1.49","Above 1.49")))))</f>
        <v/>
      </c>
      <c r="AW279" s="5">
        <f>IF(AE279="","",IF(AE279&lt;60,"Under 60",IF(AE279&lt;90,"60-89",IF(AE279&lt;120,"90-119",IF(AE279&lt;150,"120-149","150+")))))</f>
        <v/>
      </c>
      <c r="AX279" s="5">
        <f>IF(AP279="","No revenue data",IF(AP279&lt;0.15,"Under 0.15x",IF(AP279&lt;0.3,"0.15-0.30x",IF(AP279&lt;0.5,"0.30-0.50x",IF(AP279&lt;1,"0.50-1.00x","1.00x+")))))</f>
        <v/>
      </c>
      <c r="AY279" s="5">
        <f>IF(J279="","No SIC",IFERROR(VLOOKUP(J279,Ref!$A$4:$C$67,2,FALSE()),"Unclassified"))</f>
        <v/>
      </c>
      <c r="AZ279" s="5">
        <f>IF(E279="","",TEXT(E279,"YYYY")&amp;"-Q"&amp;ROUNDUP(MONTH(E279)/3,0))</f>
        <v/>
      </c>
      <c r="BA279" s="5">
        <f>IF(E279="","",TEXT(E279,"YYYY-MM"))</f>
        <v/>
      </c>
      <c r="BB279" s="5">
        <f>IF(E279="","",TEXT(E279,"YYYY"))</f>
        <v/>
      </c>
      <c r="BC279" s="92">
        <f>IF($E279="","",NETWORKDAYS($E279,Controls!$B$9,Ref!$F$4:$F$47))</f>
        <v/>
      </c>
      <c r="BD279" s="92">
        <f>IF(OR($AH279=1,$AJ279=1),1,0)</f>
        <v/>
      </c>
      <c r="BE279" s="95">
        <f>IF(OR($BD279=1,AND($AE279&lt;&gt;"",$BC279&gt;=Controls!$B$10*$AE279)),1,0)</f>
        <v/>
      </c>
    </row>
    <row r="280" ht="15.75" customHeight="1" s="79">
      <c r="A280" s="5" t="inlineStr">
        <is>
          <t>5674167952</t>
        </is>
      </c>
      <c r="B280" s="5" t="inlineStr">
        <is>
          <t>Born Again Cleaning Services LLC</t>
        </is>
      </c>
      <c r="C280" s="5" t="inlineStr">
        <is>
          <t>Born Again Cleaning Services LLC</t>
        </is>
      </c>
      <c r="D280" s="5" t="inlineStr">
        <is>
          <t>Closed</t>
        </is>
      </c>
      <c r="E280" s="16" t="n">
        <v>45936</v>
      </c>
      <c r="F280" s="16" t="n">
        <v>46080</v>
      </c>
      <c r="G280" s="17" t="n">
        <v>1</v>
      </c>
      <c r="H280" s="5" t="inlineStr">
        <is>
          <t>7349</t>
        </is>
      </c>
      <c r="I280" s="5" t="inlineStr">
        <is>
          <t>Janitorial Services</t>
        </is>
      </c>
      <c r="J280" s="5" t="inlineStr">
        <is>
          <t>73</t>
        </is>
      </c>
      <c r="K280" s="5" t="n">
        <v>7349</v>
      </c>
      <c r="L280" s="5" t="inlineStr">
        <is>
          <t>KY</t>
        </is>
      </c>
      <c r="M280" s="5" t="inlineStr">
        <is>
          <t>Fundwell</t>
        </is>
      </c>
      <c r="N280" s="5" t="inlineStr">
        <is>
          <t>New Deal</t>
        </is>
      </c>
      <c r="O280" s="19" t="n">
        <v>1.46</v>
      </c>
      <c r="P280" s="20" t="n">
        <v>5500</v>
      </c>
      <c r="Q280" s="20" t="n">
        <v>825</v>
      </c>
      <c r="R280" s="20" t="n">
        <v>8030</v>
      </c>
      <c r="S280" s="20" t="n">
        <v>8030</v>
      </c>
      <c r="T280" s="20" t="n">
        <v>0</v>
      </c>
      <c r="U280" s="21" t="n">
        <v>1</v>
      </c>
      <c r="V280" s="22" t="n">
        <v>20</v>
      </c>
      <c r="W280" s="17" t="n">
        <v>173</v>
      </c>
      <c r="X280" s="17" t="n">
        <v>0</v>
      </c>
      <c r="Y280" s="20" t="n">
        <v>17862.12</v>
      </c>
      <c r="Z280" s="21" t="n">
        <v>0.08989999999999999</v>
      </c>
      <c r="AA280" s="16" t="n">
        <v>35674</v>
      </c>
      <c r="AB280" s="5">
        <f>IF(V280="","",IF(V280&lt;12,"Months","Weeks"))</f>
        <v/>
      </c>
      <c r="AC280" s="5">
        <f>IF(AB280="","",IF(AB280="Months","Daily","Weekly"))</f>
        <v/>
      </c>
      <c r="AD280" s="17">
        <f>IF(V280="","",IF(AC280="Daily",V280*Controls!$B$13,V280))</f>
        <v/>
      </c>
      <c r="AE280" s="17">
        <f>IF(V280="","",IF(AC280="Daily",V280*Controls!$B$13,V280*Controls!$B$12))</f>
        <v/>
      </c>
      <c r="AF280" s="17">
        <f>IF(OR(E280="",F280=""),"",F280-E280)</f>
        <v/>
      </c>
      <c r="AG280" s="17">
        <f>IF(OR(E280="",F280=""),"",NETWORKDAYS(E280,F280,Ref!$F$4:$F$47))</f>
        <v/>
      </c>
      <c r="AH280" s="39">
        <f>IF(IFERROR(VLOOKUP(D280,Controls!$A$25:$D$35,2,FALSE()),"No")="Yes",1,0)</f>
        <v/>
      </c>
      <c r="AI280" s="39">
        <f>IF(IFERROR(VLOOKUP(D280,Controls!$A$25:$D$35,3,FALSE()),"No")="Yes",1,0)</f>
        <v/>
      </c>
      <c r="AJ280" s="39">
        <f>IF(IFERROR(VLOOKUP(D280,Controls!$A$25:$D$35,4,FALSE()),"No")="Yes",1,0)</f>
        <v/>
      </c>
      <c r="AK280" s="96">
        <f>IF(AND($E280&gt;=Controls!$B$5,$E280&lt;=Controls!$B$6,OR(Controls!$E$9&lt;&gt;"Y",$BE280=1)),1,0)</f>
        <v/>
      </c>
      <c r="AL280" s="39">
        <f>1</f>
        <v/>
      </c>
      <c r="AM280" s="20">
        <f>S280-P280</f>
        <v/>
      </c>
      <c r="AN280" s="20">
        <f>IF(AH280=1,MAX(0,P280-S280),0)</f>
        <v/>
      </c>
      <c r="AO280" s="21">
        <f>IFERROR(S280/P280,"")</f>
        <v/>
      </c>
      <c r="AP280" s="22">
        <f>IF(Y280="","",P280/Y280)</f>
        <v/>
      </c>
      <c r="AQ280" s="39">
        <f>IF(Y280="",0,1)</f>
        <v/>
      </c>
      <c r="AR280" s="39">
        <f>IF(S280&lt;=0,1,0)</f>
        <v/>
      </c>
      <c r="AS280" s="17">
        <f>IF(AH280=1,AG280,"")</f>
        <v/>
      </c>
      <c r="AT280" s="17">
        <f>IF(AND(AH280=0,AJ280=1),AG280,"")</f>
        <v/>
      </c>
      <c r="AU280" s="5">
        <f>IF(P280&lt;10000,"Under $10K",IF(P280&lt;20000,"$10-20K",IF(P280&lt;30000,"$20-30K",IF(P280&lt;50000,"$30-50K",IF(P280&lt;100000,"$50-100K","$100K+")))))</f>
        <v/>
      </c>
      <c r="AV280" s="5">
        <f>IF(O280&lt;=1.35,"1.35 and under",IF(O280&lt;=1.42,"1.36-1.42",IF(O280&lt;=1.45,"1.43-1.45",IF(O280&lt;1.49,"1.46-1.48",IF(O280&lt;=1.49,"1.49","Above 1.49")))))</f>
        <v/>
      </c>
      <c r="AW280" s="5">
        <f>IF(AE280="","",IF(AE280&lt;60,"Under 60",IF(AE280&lt;90,"60-89",IF(AE280&lt;120,"90-119",IF(AE280&lt;150,"120-149","150+")))))</f>
        <v/>
      </c>
      <c r="AX280" s="5">
        <f>IF(AP280="","No revenue data",IF(AP280&lt;0.15,"Under 0.15x",IF(AP280&lt;0.3,"0.15-0.30x",IF(AP280&lt;0.5,"0.30-0.50x",IF(AP280&lt;1,"0.50-1.00x","1.00x+")))))</f>
        <v/>
      </c>
      <c r="AY280" s="5">
        <f>IF(J280="","No SIC",IFERROR(VLOOKUP(J280,Ref!$A$4:$C$67,2,FALSE()),"Unclassified"))</f>
        <v/>
      </c>
      <c r="AZ280" s="5">
        <f>IF(E280="","",TEXT(E280,"YYYY")&amp;"-Q"&amp;ROUNDUP(MONTH(E280)/3,0))</f>
        <v/>
      </c>
      <c r="BA280" s="5">
        <f>IF(E280="","",TEXT(E280,"YYYY-MM"))</f>
        <v/>
      </c>
      <c r="BB280" s="5">
        <f>IF(E280="","",TEXT(E280,"YYYY"))</f>
        <v/>
      </c>
      <c r="BC280" s="92">
        <f>IF($E280="","",NETWORKDAYS($E280,Controls!$B$9,Ref!$F$4:$F$47))</f>
        <v/>
      </c>
      <c r="BD280" s="92">
        <f>IF(OR($AH280=1,$AJ280=1),1,0)</f>
        <v/>
      </c>
      <c r="BE280" s="95">
        <f>IF(OR($BD280=1,AND($AE280&lt;&gt;"",$BC280&gt;=Controls!$B$10*$AE280)),1,0)</f>
        <v/>
      </c>
    </row>
    <row r="281" ht="15.75" customHeight="1" s="79">
      <c r="A281" s="5" t="inlineStr">
        <is>
          <t>5674167960</t>
        </is>
      </c>
      <c r="B281" s="5" t="inlineStr">
        <is>
          <t>ALL IN LAND &amp; PROPERTY DEVELOPMENT INC</t>
        </is>
      </c>
      <c r="C281" s="5" t="inlineStr">
        <is>
          <t>ALL IN LAND &amp; PROPERTY DEVELOPMENT INC</t>
        </is>
      </c>
      <c r="D281" s="5" t="inlineStr">
        <is>
          <t>Legal</t>
        </is>
      </c>
      <c r="E281" s="16" t="n">
        <v>45937</v>
      </c>
      <c r="F281" s="16" t="n">
        <v>45939</v>
      </c>
      <c r="G281" s="17" t="n">
        <v>1</v>
      </c>
      <c r="H281" s="5" t="inlineStr">
        <is>
          <t>1521</t>
        </is>
      </c>
      <c r="I281" s="5" t="inlineStr">
        <is>
          <t>New Single-Family Housing Construction (Except For-Sale Builders)</t>
        </is>
      </c>
      <c r="J281" s="5" t="inlineStr">
        <is>
          <t>15</t>
        </is>
      </c>
      <c r="K281" s="5" t="n">
        <v>1520</v>
      </c>
      <c r="L281" s="5" t="inlineStr">
        <is>
          <t>KS</t>
        </is>
      </c>
      <c r="M281" s="5" t="inlineStr">
        <is>
          <t>Fundward</t>
        </is>
      </c>
      <c r="N281" s="5" t="inlineStr">
        <is>
          <t>New Deal</t>
        </is>
      </c>
      <c r="O281" s="19" t="n">
        <v>1.49</v>
      </c>
      <c r="P281" s="20" t="n">
        <v>20000</v>
      </c>
      <c r="Q281" s="20" t="n">
        <v>0</v>
      </c>
      <c r="R281" s="20" t="n">
        <v>29800</v>
      </c>
      <c r="S281" s="20" t="n">
        <v>0</v>
      </c>
      <c r="T281" s="20" t="n">
        <v>29800</v>
      </c>
      <c r="U281" s="21" t="n">
        <v>0</v>
      </c>
      <c r="V281" s="22" t="n">
        <v>0.984</v>
      </c>
      <c r="W281" s="17" t="n">
        <v>316</v>
      </c>
      <c r="X281" s="17" t="n">
        <v>2</v>
      </c>
      <c r="Y281" s="20" t="n">
        <v>186933.2</v>
      </c>
      <c r="Z281" s="21" t="n">
        <v>0.1116</v>
      </c>
      <c r="AA281" s="16" t="n">
        <v>45518</v>
      </c>
      <c r="AB281" s="5">
        <f>IF(V281="","",IF(V281&lt;12,"Months","Weeks"))</f>
        <v/>
      </c>
      <c r="AC281" s="5">
        <f>IF(AB281="","",IF(AB281="Months","Daily","Weekly"))</f>
        <v/>
      </c>
      <c r="AD281" s="17">
        <f>IF(V281="","",IF(AC281="Daily",V281*Controls!$B$13,V281))</f>
        <v/>
      </c>
      <c r="AE281" s="17">
        <f>IF(V281="","",IF(AC281="Daily",V281*Controls!$B$13,V281*Controls!$B$12))</f>
        <v/>
      </c>
      <c r="AF281" s="17">
        <f>IF(OR(E281="",F281=""),"",F281-E281)</f>
        <v/>
      </c>
      <c r="AG281" s="17">
        <f>IF(OR(E281="",F281=""),"",NETWORKDAYS(E281,F281,Ref!$F$4:$F$47))</f>
        <v/>
      </c>
      <c r="AH281" s="39">
        <f>IF(IFERROR(VLOOKUP(D281,Controls!$A$25:$D$35,2,FALSE()),"No")="Yes",1,0)</f>
        <v/>
      </c>
      <c r="AI281" s="39">
        <f>IF(IFERROR(VLOOKUP(D281,Controls!$A$25:$D$35,3,FALSE()),"No")="Yes",1,0)</f>
        <v/>
      </c>
      <c r="AJ281" s="39">
        <f>IF(IFERROR(VLOOKUP(D281,Controls!$A$25:$D$35,4,FALSE()),"No")="Yes",1,0)</f>
        <v/>
      </c>
      <c r="AK281" s="96">
        <f>IF(AND($E281&gt;=Controls!$B$5,$E281&lt;=Controls!$B$6,OR(Controls!$E$9&lt;&gt;"Y",$BE281=1)),1,0)</f>
        <v/>
      </c>
      <c r="AL281" s="39">
        <f>1</f>
        <v/>
      </c>
      <c r="AM281" s="20">
        <f>S281-P281</f>
        <v/>
      </c>
      <c r="AN281" s="20">
        <f>IF(AH281=1,MAX(0,P281-S281),0)</f>
        <v/>
      </c>
      <c r="AO281" s="21">
        <f>IFERROR(S281/P281,"")</f>
        <v/>
      </c>
      <c r="AP281" s="22">
        <f>IF(Y281="","",P281/Y281)</f>
        <v/>
      </c>
      <c r="AQ281" s="39">
        <f>IF(Y281="",0,1)</f>
        <v/>
      </c>
      <c r="AR281" s="39">
        <f>IF(S281&lt;=0,1,0)</f>
        <v/>
      </c>
      <c r="AS281" s="17">
        <f>IF(AH281=1,AG281,"")</f>
        <v/>
      </c>
      <c r="AT281" s="17">
        <f>IF(AND(AH281=0,AJ281=1),AG281,"")</f>
        <v/>
      </c>
      <c r="AU281" s="5">
        <f>IF(P281&lt;10000,"Under $10K",IF(P281&lt;20000,"$10-20K",IF(P281&lt;30000,"$20-30K",IF(P281&lt;50000,"$30-50K",IF(P281&lt;100000,"$50-100K","$100K+")))))</f>
        <v/>
      </c>
      <c r="AV281" s="5">
        <f>IF(O281&lt;=1.35,"1.35 and under",IF(O281&lt;=1.42,"1.36-1.42",IF(O281&lt;=1.45,"1.43-1.45",IF(O281&lt;1.49,"1.46-1.48",IF(O281&lt;=1.49,"1.49","Above 1.49")))))</f>
        <v/>
      </c>
      <c r="AW281" s="5">
        <f>IF(AE281="","",IF(AE281&lt;60,"Under 60",IF(AE281&lt;90,"60-89",IF(AE281&lt;120,"90-119",IF(AE281&lt;150,"120-149","150+")))))</f>
        <v/>
      </c>
      <c r="AX281" s="5">
        <f>IF(AP281="","No revenue data",IF(AP281&lt;0.15,"Under 0.15x",IF(AP281&lt;0.3,"0.15-0.30x",IF(AP281&lt;0.5,"0.30-0.50x",IF(AP281&lt;1,"0.50-1.00x","1.00x+")))))</f>
        <v/>
      </c>
      <c r="AY281" s="5">
        <f>IF(J281="","No SIC",IFERROR(VLOOKUP(J281,Ref!$A$4:$C$67,2,FALSE()),"Unclassified"))</f>
        <v/>
      </c>
      <c r="AZ281" s="5">
        <f>IF(E281="","",TEXT(E281,"YYYY")&amp;"-Q"&amp;ROUNDUP(MONTH(E281)/3,0))</f>
        <v/>
      </c>
      <c r="BA281" s="5">
        <f>IF(E281="","",TEXT(E281,"YYYY-MM"))</f>
        <v/>
      </c>
      <c r="BB281" s="5">
        <f>IF(E281="","",TEXT(E281,"YYYY"))</f>
        <v/>
      </c>
      <c r="BC281" s="92">
        <f>IF($E281="","",NETWORKDAYS($E281,Controls!$B$9,Ref!$F$4:$F$47))</f>
        <v/>
      </c>
      <c r="BD281" s="92">
        <f>IF(OR($AH281=1,$AJ281=1),1,0)</f>
        <v/>
      </c>
      <c r="BE281" s="95">
        <f>IF(OR($BD281=1,AND($AE281&lt;&gt;"",$BC281&gt;=Controls!$B$10*$AE281)),1,0)</f>
        <v/>
      </c>
    </row>
    <row r="282" ht="15.75" customHeight="1" s="79">
      <c r="A282" s="5" t="inlineStr">
        <is>
          <t>5674167974</t>
        </is>
      </c>
      <c r="B282" s="5" t="inlineStr">
        <is>
          <t>6BLU</t>
        </is>
      </c>
      <c r="C282" s="5" t="inlineStr">
        <is>
          <t>6Blu Inc</t>
        </is>
      </c>
      <c r="D282" s="5" t="inlineStr">
        <is>
          <t>Legal</t>
        </is>
      </c>
      <c r="E282" s="16" t="n">
        <v>45937</v>
      </c>
      <c r="F282" s="16" t="n">
        <v>46253</v>
      </c>
      <c r="G282" s="17" t="n">
        <v>3</v>
      </c>
      <c r="H282" s="5" t="inlineStr">
        <is>
          <t>5999</t>
        </is>
      </c>
      <c r="I282" s="5" t="inlineStr">
        <is>
          <t>All Other Misc. Store Retailers (Except Tobacco Stores)</t>
        </is>
      </c>
      <c r="J282" s="5" t="inlineStr">
        <is>
          <t>59</t>
        </is>
      </c>
      <c r="K282" s="5" t="n">
        <v>5999</v>
      </c>
      <c r="L282" s="5" t="inlineStr">
        <is>
          <t>CA</t>
        </is>
      </c>
      <c r="M282" s="5" t="inlineStr">
        <is>
          <t>Fundwell</t>
        </is>
      </c>
      <c r="N282" s="5" t="inlineStr">
        <is>
          <t>New Deal</t>
        </is>
      </c>
      <c r="O282" s="19" t="n">
        <v>1.39</v>
      </c>
      <c r="P282" s="20" t="n">
        <v>30000</v>
      </c>
      <c r="Q282" s="20" t="n">
        <v>3600</v>
      </c>
      <c r="R282" s="20" t="n">
        <v>41700</v>
      </c>
      <c r="S282" s="20" t="n">
        <v>23174.5</v>
      </c>
      <c r="T282" s="20" t="n">
        <v>18525.5</v>
      </c>
      <c r="U282" s="21" t="n">
        <v>0.555743405275779</v>
      </c>
      <c r="V282" s="22" t="n">
        <v>26</v>
      </c>
      <c r="W282" s="17" t="n">
        <v>0</v>
      </c>
      <c r="X282" s="17" t="n">
        <v>20</v>
      </c>
      <c r="Y282" s="20" t="n">
        <v>222750.05</v>
      </c>
      <c r="Z282" s="21" t="n">
        <v>0.0288</v>
      </c>
      <c r="AA282" s="16" t="n">
        <v>42128</v>
      </c>
      <c r="AB282" s="5">
        <f>IF(V282="","",IF(V282&lt;12,"Months","Weeks"))</f>
        <v/>
      </c>
      <c r="AC282" s="5">
        <f>IF(AB282="","",IF(AB282="Months","Daily","Weekly"))</f>
        <v/>
      </c>
      <c r="AD282" s="17">
        <f>IF(V282="","",IF(AC282="Daily",V282*Controls!$B$13,V282))</f>
        <v/>
      </c>
      <c r="AE282" s="17">
        <f>IF(V282="","",IF(AC282="Daily",V282*Controls!$B$13,V282*Controls!$B$12))</f>
        <v/>
      </c>
      <c r="AF282" s="17">
        <f>IF(OR(E282="",F282=""),"",F282-E282)</f>
        <v/>
      </c>
      <c r="AG282" s="17">
        <f>IF(OR(E282="",F282=""),"",NETWORKDAYS(E282,F282,Ref!$F$4:$F$47))</f>
        <v/>
      </c>
      <c r="AH282" s="39">
        <f>IF(IFERROR(VLOOKUP(D282,Controls!$A$25:$D$35,2,FALSE()),"No")="Yes",1,0)</f>
        <v/>
      </c>
      <c r="AI282" s="39">
        <f>IF(IFERROR(VLOOKUP(D282,Controls!$A$25:$D$35,3,FALSE()),"No")="Yes",1,0)</f>
        <v/>
      </c>
      <c r="AJ282" s="39">
        <f>IF(IFERROR(VLOOKUP(D282,Controls!$A$25:$D$35,4,FALSE()),"No")="Yes",1,0)</f>
        <v/>
      </c>
      <c r="AK282" s="96">
        <f>IF(AND($E282&gt;=Controls!$B$5,$E282&lt;=Controls!$B$6,OR(Controls!$E$9&lt;&gt;"Y",$BE282=1)),1,0)</f>
        <v/>
      </c>
      <c r="AL282" s="39">
        <f>1</f>
        <v/>
      </c>
      <c r="AM282" s="20">
        <f>S282-P282</f>
        <v/>
      </c>
      <c r="AN282" s="20">
        <f>IF(AH282=1,MAX(0,P282-S282),0)</f>
        <v/>
      </c>
      <c r="AO282" s="21">
        <f>IFERROR(S282/P282,"")</f>
        <v/>
      </c>
      <c r="AP282" s="22">
        <f>IF(Y282="","",P282/Y282)</f>
        <v/>
      </c>
      <c r="AQ282" s="39">
        <f>IF(Y282="",0,1)</f>
        <v/>
      </c>
      <c r="AR282" s="39">
        <f>IF(S282&lt;=0,1,0)</f>
        <v/>
      </c>
      <c r="AS282" s="17">
        <f>IF(AH282=1,AG282,"")</f>
        <v/>
      </c>
      <c r="AT282" s="17">
        <f>IF(AND(AH282=0,AJ282=1),AG282,"")</f>
        <v/>
      </c>
      <c r="AU282" s="5">
        <f>IF(P282&lt;10000,"Under $10K",IF(P282&lt;20000,"$10-20K",IF(P282&lt;30000,"$20-30K",IF(P282&lt;50000,"$30-50K",IF(P282&lt;100000,"$50-100K","$100K+")))))</f>
        <v/>
      </c>
      <c r="AV282" s="5">
        <f>IF(O282&lt;=1.35,"1.35 and under",IF(O282&lt;=1.42,"1.36-1.42",IF(O282&lt;=1.45,"1.43-1.45",IF(O282&lt;1.49,"1.46-1.48",IF(O282&lt;=1.49,"1.49","Above 1.49")))))</f>
        <v/>
      </c>
      <c r="AW282" s="5">
        <f>IF(AE282="","",IF(AE282&lt;60,"Under 60",IF(AE282&lt;90,"60-89",IF(AE282&lt;120,"90-119",IF(AE282&lt;150,"120-149","150+")))))</f>
        <v/>
      </c>
      <c r="AX282" s="5">
        <f>IF(AP282="","No revenue data",IF(AP282&lt;0.15,"Under 0.15x",IF(AP282&lt;0.3,"0.15-0.30x",IF(AP282&lt;0.5,"0.30-0.50x",IF(AP282&lt;1,"0.50-1.00x","1.00x+")))))</f>
        <v/>
      </c>
      <c r="AY282" s="5">
        <f>IF(J282="","No SIC",IFERROR(VLOOKUP(J282,Ref!$A$4:$C$67,2,FALSE()),"Unclassified"))</f>
        <v/>
      </c>
      <c r="AZ282" s="5">
        <f>IF(E282="","",TEXT(E282,"YYYY")&amp;"-Q"&amp;ROUNDUP(MONTH(E282)/3,0))</f>
        <v/>
      </c>
      <c r="BA282" s="5">
        <f>IF(E282="","",TEXT(E282,"YYYY-MM"))</f>
        <v/>
      </c>
      <c r="BB282" s="5">
        <f>IF(E282="","",TEXT(E282,"YYYY"))</f>
        <v/>
      </c>
      <c r="BC282" s="92">
        <f>IF($E282="","",NETWORKDAYS($E282,Controls!$B$9,Ref!$F$4:$F$47))</f>
        <v/>
      </c>
      <c r="BD282" s="92">
        <f>IF(OR($AH282=1,$AJ282=1),1,0)</f>
        <v/>
      </c>
      <c r="BE282" s="95">
        <f>IF(OR($BD282=1,AND($AE282&lt;&gt;"",$BC282&gt;=Controls!$B$10*$AE282)),1,0)</f>
        <v/>
      </c>
    </row>
    <row r="283" ht="15.75" customHeight="1" s="79">
      <c r="A283" s="5" t="inlineStr">
        <is>
          <t>5674167996</t>
        </is>
      </c>
      <c r="B283" s="5" t="inlineStr">
        <is>
          <t>CNG CLEANING SOLUTIONS</t>
        </is>
      </c>
      <c r="C283" s="5" t="inlineStr">
        <is>
          <t>CNG CLEANING SOLUTIONS LLC</t>
        </is>
      </c>
      <c r="D283" s="5" t="inlineStr">
        <is>
          <t>Lowered Payments</t>
        </is>
      </c>
      <c r="E283" s="16" t="n">
        <v>45937</v>
      </c>
      <c r="F283" s="16" t="n">
        <v>46248</v>
      </c>
      <c r="G283" s="17" t="n">
        <v>3</v>
      </c>
      <c r="H283" s="5" t="inlineStr">
        <is>
          <t>7349</t>
        </is>
      </c>
      <c r="I283" s="5" t="inlineStr">
        <is>
          <t>Janitorial Services</t>
        </is>
      </c>
      <c r="J283" s="5" t="inlineStr">
        <is>
          <t>73</t>
        </is>
      </c>
      <c r="K283" s="5" t="n">
        <v>7349</v>
      </c>
      <c r="L283" s="5" t="inlineStr">
        <is>
          <t>FL</t>
        </is>
      </c>
      <c r="M283" s="5" t="inlineStr">
        <is>
          <t>Fundwell</t>
        </is>
      </c>
      <c r="N283" s="5" t="inlineStr">
        <is>
          <t>New Deal</t>
        </is>
      </c>
      <c r="O283" s="19" t="n">
        <v>1.36</v>
      </c>
      <c r="P283" s="20" t="n">
        <v>60000</v>
      </c>
      <c r="Q283" s="20" t="n">
        <v>5400</v>
      </c>
      <c r="R283" s="20" t="n">
        <v>81600</v>
      </c>
      <c r="S283" s="20" t="n">
        <v>47977.95</v>
      </c>
      <c r="T283" s="20" t="n">
        <v>33622.05</v>
      </c>
      <c r="U283" s="21" t="n">
        <v>0.587965073529412</v>
      </c>
      <c r="V283" s="22" t="n">
        <v>40</v>
      </c>
      <c r="W283" s="17" t="n">
        <v>5</v>
      </c>
      <c r="X283" s="17" t="n">
        <v>29</v>
      </c>
      <c r="Y283" s="20" t="n">
        <v>145091.44</v>
      </c>
      <c r="Z283" s="21" t="n">
        <v>0.0562</v>
      </c>
      <c r="AA283" s="16" t="n">
        <v>43242</v>
      </c>
      <c r="AB283" s="5">
        <f>IF(V283="","",IF(V283&lt;12,"Months","Weeks"))</f>
        <v/>
      </c>
      <c r="AC283" s="5">
        <f>IF(AB283="","",IF(AB283="Months","Daily","Weekly"))</f>
        <v/>
      </c>
      <c r="AD283" s="17">
        <f>IF(V283="","",IF(AC283="Daily",V283*Controls!$B$13,V283))</f>
        <v/>
      </c>
      <c r="AE283" s="17">
        <f>IF(V283="","",IF(AC283="Daily",V283*Controls!$B$13,V283*Controls!$B$12))</f>
        <v/>
      </c>
      <c r="AF283" s="17">
        <f>IF(OR(E283="",F283=""),"",F283-E283)</f>
        <v/>
      </c>
      <c r="AG283" s="17">
        <f>IF(OR(E283="",F283=""),"",NETWORKDAYS(E283,F283,Ref!$F$4:$F$47))</f>
        <v/>
      </c>
      <c r="AH283" s="39">
        <f>IF(IFERROR(VLOOKUP(D283,Controls!$A$25:$D$35,2,FALSE()),"No")="Yes",1,0)</f>
        <v/>
      </c>
      <c r="AI283" s="39">
        <f>IF(IFERROR(VLOOKUP(D283,Controls!$A$25:$D$35,3,FALSE()),"No")="Yes",1,0)</f>
        <v/>
      </c>
      <c r="AJ283" s="39">
        <f>IF(IFERROR(VLOOKUP(D283,Controls!$A$25:$D$35,4,FALSE()),"No")="Yes",1,0)</f>
        <v/>
      </c>
      <c r="AK283" s="96">
        <f>IF(AND($E283&gt;=Controls!$B$5,$E283&lt;=Controls!$B$6,OR(Controls!$E$9&lt;&gt;"Y",$BE283=1)),1,0)</f>
        <v/>
      </c>
      <c r="AL283" s="39">
        <f>1</f>
        <v/>
      </c>
      <c r="AM283" s="20">
        <f>S283-P283</f>
        <v/>
      </c>
      <c r="AN283" s="20">
        <f>IF(AH283=1,MAX(0,P283-S283),0)</f>
        <v/>
      </c>
      <c r="AO283" s="21">
        <f>IFERROR(S283/P283,"")</f>
        <v/>
      </c>
      <c r="AP283" s="22">
        <f>IF(Y283="","",P283/Y283)</f>
        <v/>
      </c>
      <c r="AQ283" s="39">
        <f>IF(Y283="",0,1)</f>
        <v/>
      </c>
      <c r="AR283" s="39">
        <f>IF(S283&lt;=0,1,0)</f>
        <v/>
      </c>
      <c r="AS283" s="17">
        <f>IF(AH283=1,AG283,"")</f>
        <v/>
      </c>
      <c r="AT283" s="17">
        <f>IF(AND(AH283=0,AJ283=1),AG283,"")</f>
        <v/>
      </c>
      <c r="AU283" s="5">
        <f>IF(P283&lt;10000,"Under $10K",IF(P283&lt;20000,"$10-20K",IF(P283&lt;30000,"$20-30K",IF(P283&lt;50000,"$30-50K",IF(P283&lt;100000,"$50-100K","$100K+")))))</f>
        <v/>
      </c>
      <c r="AV283" s="5">
        <f>IF(O283&lt;=1.35,"1.35 and under",IF(O283&lt;=1.42,"1.36-1.42",IF(O283&lt;=1.45,"1.43-1.45",IF(O283&lt;1.49,"1.46-1.48",IF(O283&lt;=1.49,"1.49","Above 1.49")))))</f>
        <v/>
      </c>
      <c r="AW283" s="5">
        <f>IF(AE283="","",IF(AE283&lt;60,"Under 60",IF(AE283&lt;90,"60-89",IF(AE283&lt;120,"90-119",IF(AE283&lt;150,"120-149","150+")))))</f>
        <v/>
      </c>
      <c r="AX283" s="5">
        <f>IF(AP283="","No revenue data",IF(AP283&lt;0.15,"Under 0.15x",IF(AP283&lt;0.3,"0.15-0.30x",IF(AP283&lt;0.5,"0.30-0.50x",IF(AP283&lt;1,"0.50-1.00x","1.00x+")))))</f>
        <v/>
      </c>
      <c r="AY283" s="5">
        <f>IF(J283="","No SIC",IFERROR(VLOOKUP(J283,Ref!$A$4:$C$67,2,FALSE()),"Unclassified"))</f>
        <v/>
      </c>
      <c r="AZ283" s="5">
        <f>IF(E283="","",TEXT(E283,"YYYY")&amp;"-Q"&amp;ROUNDUP(MONTH(E283)/3,0))</f>
        <v/>
      </c>
      <c r="BA283" s="5">
        <f>IF(E283="","",TEXT(E283,"YYYY-MM"))</f>
        <v/>
      </c>
      <c r="BB283" s="5">
        <f>IF(E283="","",TEXT(E283,"YYYY"))</f>
        <v/>
      </c>
      <c r="BC283" s="92">
        <f>IF($E283="","",NETWORKDAYS($E283,Controls!$B$9,Ref!$F$4:$F$47))</f>
        <v/>
      </c>
      <c r="BD283" s="92">
        <f>IF(OR($AH283=1,$AJ283=1),1,0)</f>
        <v/>
      </c>
      <c r="BE283" s="95">
        <f>IF(OR($BD283=1,AND($AE283&lt;&gt;"",$BC283&gt;=Controls!$B$10*$AE283)),1,0)</f>
        <v/>
      </c>
    </row>
    <row r="284" ht="15.75" customHeight="1" s="79">
      <c r="A284" s="5" t="inlineStr">
        <is>
          <t>5674168062</t>
        </is>
      </c>
      <c r="B284" s="5" t="inlineStr">
        <is>
          <t>REDLINE FORESTRY MULCHING LLC</t>
        </is>
      </c>
      <c r="C284" s="5" t="inlineStr">
        <is>
          <t>REDLINE FORESTRY MULCHING LLC</t>
        </is>
      </c>
      <c r="D284" s="5" t="inlineStr">
        <is>
          <t>Open</t>
        </is>
      </c>
      <c r="E284" s="16" t="n">
        <v>45939</v>
      </c>
      <c r="F284" s="16" t="n">
        <v>46251</v>
      </c>
      <c r="G284" s="17" t="n">
        <v>3</v>
      </c>
      <c r="H284" s="5" t="inlineStr">
        <is>
          <t>0781</t>
        </is>
      </c>
      <c r="I284" s="5" t="inlineStr">
        <is>
          <t>Landscape Architectural Services</t>
        </is>
      </c>
      <c r="J284" s="5" t="inlineStr">
        <is>
          <t>07</t>
        </is>
      </c>
      <c r="K284" s="5" t="n">
        <v>5039</v>
      </c>
      <c r="L284" s="5" t="inlineStr">
        <is>
          <t>NC</t>
        </is>
      </c>
      <c r="M284" s="5" t="inlineStr">
        <is>
          <t>United Secured Capital 8</t>
        </is>
      </c>
      <c r="N284" s="5" t="inlineStr">
        <is>
          <t>Renewal</t>
        </is>
      </c>
      <c r="O284" s="19" t="n">
        <v>1.49</v>
      </c>
      <c r="P284" s="20" t="n">
        <v>20000</v>
      </c>
      <c r="Q284" s="20" t="n">
        <v>2800</v>
      </c>
      <c r="R284" s="20" t="n">
        <v>29800</v>
      </c>
      <c r="S284" s="20" t="n">
        <v>10262.55</v>
      </c>
      <c r="T284" s="20" t="n">
        <v>19537.45</v>
      </c>
      <c r="U284" s="21" t="n">
        <v>0.344380872483222</v>
      </c>
      <c r="V284" s="22" t="n">
        <v>2.951</v>
      </c>
      <c r="W284" s="17" t="n">
        <v>2</v>
      </c>
      <c r="X284" s="17" t="n">
        <v>16</v>
      </c>
      <c r="Y284" s="20" t="n">
        <v>27587.37</v>
      </c>
      <c r="Z284" s="21" t="n">
        <v>0.252</v>
      </c>
      <c r="AA284" s="5" t="n"/>
      <c r="AB284" s="5">
        <f>IF(V284="","",IF(V284&lt;12,"Months","Weeks"))</f>
        <v/>
      </c>
      <c r="AC284" s="5">
        <f>IF(AB284="","",IF(AB284="Months","Daily","Weekly"))</f>
        <v/>
      </c>
      <c r="AD284" s="17">
        <f>IF(V284="","",IF(AC284="Daily",V284*Controls!$B$13,V284))</f>
        <v/>
      </c>
      <c r="AE284" s="17">
        <f>IF(V284="","",IF(AC284="Daily",V284*Controls!$B$13,V284*Controls!$B$12))</f>
        <v/>
      </c>
      <c r="AF284" s="17">
        <f>IF(OR(E284="",F284=""),"",F284-E284)</f>
        <v/>
      </c>
      <c r="AG284" s="17">
        <f>IF(OR(E284="",F284=""),"",NETWORKDAYS(E284,F284,Ref!$F$4:$F$47))</f>
        <v/>
      </c>
      <c r="AH284" s="39">
        <f>IF(IFERROR(VLOOKUP(D284,Controls!$A$25:$D$35,2,FALSE()),"No")="Yes",1,0)</f>
        <v/>
      </c>
      <c r="AI284" s="39">
        <f>IF(IFERROR(VLOOKUP(D284,Controls!$A$25:$D$35,3,FALSE()),"No")="Yes",1,0)</f>
        <v/>
      </c>
      <c r="AJ284" s="39">
        <f>IF(IFERROR(VLOOKUP(D284,Controls!$A$25:$D$35,4,FALSE()),"No")="Yes",1,0)</f>
        <v/>
      </c>
      <c r="AK284" s="96">
        <f>IF(AND($E284&gt;=Controls!$B$5,$E284&lt;=Controls!$B$6,OR(Controls!$E$9&lt;&gt;"Y",$BE284=1)),1,0)</f>
        <v/>
      </c>
      <c r="AL284" s="39">
        <f>1</f>
        <v/>
      </c>
      <c r="AM284" s="20">
        <f>S284-P284</f>
        <v/>
      </c>
      <c r="AN284" s="20">
        <f>IF(AH284=1,MAX(0,P284-S284),0)</f>
        <v/>
      </c>
      <c r="AO284" s="21">
        <f>IFERROR(S284/P284,"")</f>
        <v/>
      </c>
      <c r="AP284" s="22">
        <f>IF(Y284="","",P284/Y284)</f>
        <v/>
      </c>
      <c r="AQ284" s="39">
        <f>IF(Y284="",0,1)</f>
        <v/>
      </c>
      <c r="AR284" s="39">
        <f>IF(S284&lt;=0,1,0)</f>
        <v/>
      </c>
      <c r="AS284" s="17">
        <f>IF(AH284=1,AG284,"")</f>
        <v/>
      </c>
      <c r="AT284" s="17">
        <f>IF(AND(AH284=0,AJ284=1),AG284,"")</f>
        <v/>
      </c>
      <c r="AU284" s="5">
        <f>IF(P284&lt;10000,"Under $10K",IF(P284&lt;20000,"$10-20K",IF(P284&lt;30000,"$20-30K",IF(P284&lt;50000,"$30-50K",IF(P284&lt;100000,"$50-100K","$100K+")))))</f>
        <v/>
      </c>
      <c r="AV284" s="5">
        <f>IF(O284&lt;=1.35,"1.35 and under",IF(O284&lt;=1.42,"1.36-1.42",IF(O284&lt;=1.45,"1.43-1.45",IF(O284&lt;1.49,"1.46-1.48",IF(O284&lt;=1.49,"1.49","Above 1.49")))))</f>
        <v/>
      </c>
      <c r="AW284" s="5">
        <f>IF(AE284="","",IF(AE284&lt;60,"Under 60",IF(AE284&lt;90,"60-89",IF(AE284&lt;120,"90-119",IF(AE284&lt;150,"120-149","150+")))))</f>
        <v/>
      </c>
      <c r="AX284" s="5">
        <f>IF(AP284="","No revenue data",IF(AP284&lt;0.15,"Under 0.15x",IF(AP284&lt;0.3,"0.15-0.30x",IF(AP284&lt;0.5,"0.30-0.50x",IF(AP284&lt;1,"0.50-1.00x","1.00x+")))))</f>
        <v/>
      </c>
      <c r="AY284" s="5">
        <f>IF(J284="","No SIC",IFERROR(VLOOKUP(J284,Ref!$A$4:$C$67,2,FALSE()),"Unclassified"))</f>
        <v/>
      </c>
      <c r="AZ284" s="5">
        <f>IF(E284="","",TEXT(E284,"YYYY")&amp;"-Q"&amp;ROUNDUP(MONTH(E284)/3,0))</f>
        <v/>
      </c>
      <c r="BA284" s="5">
        <f>IF(E284="","",TEXT(E284,"YYYY-MM"))</f>
        <v/>
      </c>
      <c r="BB284" s="5">
        <f>IF(E284="","",TEXT(E284,"YYYY"))</f>
        <v/>
      </c>
      <c r="BC284" s="92">
        <f>IF($E284="","",NETWORKDAYS($E284,Controls!$B$9,Ref!$F$4:$F$47))</f>
        <v/>
      </c>
      <c r="BD284" s="92">
        <f>IF(OR($AH284=1,$AJ284=1),1,0)</f>
        <v/>
      </c>
      <c r="BE284" s="95">
        <f>IF(OR($BD284=1,AND($AE284&lt;&gt;"",$BC284&gt;=Controls!$B$10*$AE284)),1,0)</f>
        <v/>
      </c>
    </row>
    <row r="285" ht="15.75" customHeight="1" s="79">
      <c r="A285" s="5" t="inlineStr">
        <is>
          <t>5674168076</t>
        </is>
      </c>
      <c r="B285" s="5" t="inlineStr">
        <is>
          <t>Luminous Dental Studio</t>
        </is>
      </c>
      <c r="C285" s="5" t="inlineStr">
        <is>
          <t>Luminous Dental Associates PLLC</t>
        </is>
      </c>
      <c r="D285" s="5" t="inlineStr">
        <is>
          <t>Closed</t>
        </is>
      </c>
      <c r="E285" s="16" t="n">
        <v>45939</v>
      </c>
      <c r="F285" s="16" t="n">
        <v>46157</v>
      </c>
      <c r="G285" s="17" t="n">
        <v>3</v>
      </c>
      <c r="H285" s="5" t="inlineStr">
        <is>
          <t>8072</t>
        </is>
      </c>
      <c r="I285" s="5" t="inlineStr">
        <is>
          <t>Dental Laboratories</t>
        </is>
      </c>
      <c r="J285" s="5" t="inlineStr">
        <is>
          <t>80</t>
        </is>
      </c>
      <c r="K285" s="5" t="n">
        <v>8021</v>
      </c>
      <c r="L285" s="5" t="inlineStr">
        <is>
          <t>TX</t>
        </is>
      </c>
      <c r="M285" s="5" t="inlineStr">
        <is>
          <t>Fundwell</t>
        </is>
      </c>
      <c r="N285" s="5" t="inlineStr">
        <is>
          <t>New Deal</t>
        </is>
      </c>
      <c r="O285" s="19" t="n">
        <v>1.38</v>
      </c>
      <c r="P285" s="20" t="n">
        <v>15000</v>
      </c>
      <c r="Q285" s="20" t="n">
        <v>1800</v>
      </c>
      <c r="R285" s="20" t="n">
        <v>20700</v>
      </c>
      <c r="S285" s="20" t="n">
        <v>20700</v>
      </c>
      <c r="T285" s="20" t="n">
        <v>0</v>
      </c>
      <c r="U285" s="21" t="n">
        <v>1</v>
      </c>
      <c r="V285" s="22" t="n">
        <v>32</v>
      </c>
      <c r="W285" s="17" t="n">
        <v>96</v>
      </c>
      <c r="X285" s="17" t="n">
        <v>0</v>
      </c>
      <c r="Y285" s="20" t="n">
        <v>46940.92</v>
      </c>
      <c r="Z285" s="21" t="n">
        <v>0.0551</v>
      </c>
      <c r="AA285" s="16" t="n">
        <v>42227</v>
      </c>
      <c r="AB285" s="5">
        <f>IF(V285="","",IF(V285&lt;12,"Months","Weeks"))</f>
        <v/>
      </c>
      <c r="AC285" s="5">
        <f>IF(AB285="","",IF(AB285="Months","Daily","Weekly"))</f>
        <v/>
      </c>
      <c r="AD285" s="17">
        <f>IF(V285="","",IF(AC285="Daily",V285*Controls!$B$13,V285))</f>
        <v/>
      </c>
      <c r="AE285" s="17">
        <f>IF(V285="","",IF(AC285="Daily",V285*Controls!$B$13,V285*Controls!$B$12))</f>
        <v/>
      </c>
      <c r="AF285" s="17">
        <f>IF(OR(E285="",F285=""),"",F285-E285)</f>
        <v/>
      </c>
      <c r="AG285" s="17">
        <f>IF(OR(E285="",F285=""),"",NETWORKDAYS(E285,F285,Ref!$F$4:$F$47))</f>
        <v/>
      </c>
      <c r="AH285" s="39">
        <f>IF(IFERROR(VLOOKUP(D285,Controls!$A$25:$D$35,2,FALSE()),"No")="Yes",1,0)</f>
        <v/>
      </c>
      <c r="AI285" s="39">
        <f>IF(IFERROR(VLOOKUP(D285,Controls!$A$25:$D$35,3,FALSE()),"No")="Yes",1,0)</f>
        <v/>
      </c>
      <c r="AJ285" s="39">
        <f>IF(IFERROR(VLOOKUP(D285,Controls!$A$25:$D$35,4,FALSE()),"No")="Yes",1,0)</f>
        <v/>
      </c>
      <c r="AK285" s="96">
        <f>IF(AND($E285&gt;=Controls!$B$5,$E285&lt;=Controls!$B$6,OR(Controls!$E$9&lt;&gt;"Y",$BE285=1)),1,0)</f>
        <v/>
      </c>
      <c r="AL285" s="39">
        <f>1</f>
        <v/>
      </c>
      <c r="AM285" s="20">
        <f>S285-P285</f>
        <v/>
      </c>
      <c r="AN285" s="20">
        <f>IF(AH285=1,MAX(0,P285-S285),0)</f>
        <v/>
      </c>
      <c r="AO285" s="21">
        <f>IFERROR(S285/P285,"")</f>
        <v/>
      </c>
      <c r="AP285" s="22">
        <f>IF(Y285="","",P285/Y285)</f>
        <v/>
      </c>
      <c r="AQ285" s="39">
        <f>IF(Y285="",0,1)</f>
        <v/>
      </c>
      <c r="AR285" s="39">
        <f>IF(S285&lt;=0,1,0)</f>
        <v/>
      </c>
      <c r="AS285" s="17">
        <f>IF(AH285=1,AG285,"")</f>
        <v/>
      </c>
      <c r="AT285" s="17">
        <f>IF(AND(AH285=0,AJ285=1),AG285,"")</f>
        <v/>
      </c>
      <c r="AU285" s="5">
        <f>IF(P285&lt;10000,"Under $10K",IF(P285&lt;20000,"$10-20K",IF(P285&lt;30000,"$20-30K",IF(P285&lt;50000,"$30-50K",IF(P285&lt;100000,"$50-100K","$100K+")))))</f>
        <v/>
      </c>
      <c r="AV285" s="5">
        <f>IF(O285&lt;=1.35,"1.35 and under",IF(O285&lt;=1.42,"1.36-1.42",IF(O285&lt;=1.45,"1.43-1.45",IF(O285&lt;1.49,"1.46-1.48",IF(O285&lt;=1.49,"1.49","Above 1.49")))))</f>
        <v/>
      </c>
      <c r="AW285" s="5">
        <f>IF(AE285="","",IF(AE285&lt;60,"Under 60",IF(AE285&lt;90,"60-89",IF(AE285&lt;120,"90-119",IF(AE285&lt;150,"120-149","150+")))))</f>
        <v/>
      </c>
      <c r="AX285" s="5">
        <f>IF(AP285="","No revenue data",IF(AP285&lt;0.15,"Under 0.15x",IF(AP285&lt;0.3,"0.15-0.30x",IF(AP285&lt;0.5,"0.30-0.50x",IF(AP285&lt;1,"0.50-1.00x","1.00x+")))))</f>
        <v/>
      </c>
      <c r="AY285" s="5">
        <f>IF(J285="","No SIC",IFERROR(VLOOKUP(J285,Ref!$A$4:$C$67,2,FALSE()),"Unclassified"))</f>
        <v/>
      </c>
      <c r="AZ285" s="5">
        <f>IF(E285="","",TEXT(E285,"YYYY")&amp;"-Q"&amp;ROUNDUP(MONTH(E285)/3,0))</f>
        <v/>
      </c>
      <c r="BA285" s="5">
        <f>IF(E285="","",TEXT(E285,"YYYY-MM"))</f>
        <v/>
      </c>
      <c r="BB285" s="5">
        <f>IF(E285="","",TEXT(E285,"YYYY"))</f>
        <v/>
      </c>
      <c r="BC285" s="92">
        <f>IF($E285="","",NETWORKDAYS($E285,Controls!$B$9,Ref!$F$4:$F$47))</f>
        <v/>
      </c>
      <c r="BD285" s="92">
        <f>IF(OR($AH285=1,$AJ285=1),1,0)</f>
        <v/>
      </c>
      <c r="BE285" s="95">
        <f>IF(OR($BD285=1,AND($AE285&lt;&gt;"",$BC285&gt;=Controls!$B$10*$AE285)),1,0)</f>
        <v/>
      </c>
    </row>
    <row r="286" ht="15.75" customHeight="1" s="79">
      <c r="A286" s="5" t="inlineStr">
        <is>
          <t>5674168109</t>
        </is>
      </c>
      <c r="B286" s="5" t="inlineStr">
        <is>
          <t>Hive HomeGoods</t>
        </is>
      </c>
      <c r="C286" s="5" t="inlineStr">
        <is>
          <t>HIVE HOMEGOODS LLC</t>
        </is>
      </c>
      <c r="D286" s="5" t="inlineStr">
        <is>
          <t>Closed/NSF Unpaid</t>
        </is>
      </c>
      <c r="E286" s="16" t="n">
        <v>45939</v>
      </c>
      <c r="F286" s="16" t="n">
        <v>46093</v>
      </c>
      <c r="G286" s="17" t="n">
        <v>1</v>
      </c>
      <c r="H286" s="5" t="inlineStr">
        <is>
          <t>5023</t>
        </is>
      </c>
      <c r="I286" s="5" t="inlineStr">
        <is>
          <t>Home Furnishing Merchant Wholesalers</t>
        </is>
      </c>
      <c r="J286" s="5" t="inlineStr">
        <is>
          <t>50</t>
        </is>
      </c>
      <c r="K286" s="5" t="n">
        <v>5021</v>
      </c>
      <c r="L286" s="5" t="inlineStr">
        <is>
          <t>WA</t>
        </is>
      </c>
      <c r="M286" s="5" t="inlineStr">
        <is>
          <t>Shore Funding USA</t>
        </is>
      </c>
      <c r="N286" s="5" t="inlineStr">
        <is>
          <t>New Deal</t>
        </is>
      </c>
      <c r="O286" s="19" t="n">
        <v>1.49</v>
      </c>
      <c r="P286" s="20" t="n">
        <v>5000</v>
      </c>
      <c r="Q286" s="20" t="n">
        <v>700</v>
      </c>
      <c r="R286" s="20" t="n">
        <v>7450</v>
      </c>
      <c r="S286" s="20" t="n">
        <v>7450</v>
      </c>
      <c r="T286" s="20" t="n">
        <v>0</v>
      </c>
      <c r="U286" s="21" t="n">
        <v>1</v>
      </c>
      <c r="V286" s="22" t="n">
        <v>2.951</v>
      </c>
      <c r="W286" s="17" t="n">
        <v>160</v>
      </c>
      <c r="X286" s="17" t="n">
        <v>12</v>
      </c>
      <c r="Y286" s="20" t="n">
        <v>12111.32</v>
      </c>
      <c r="Z286" s="21" t="n">
        <v>0.1435</v>
      </c>
      <c r="AA286" s="16" t="n">
        <v>45488</v>
      </c>
      <c r="AB286" s="5">
        <f>IF(V286="","",IF(V286&lt;12,"Months","Weeks"))</f>
        <v/>
      </c>
      <c r="AC286" s="5">
        <f>IF(AB286="","",IF(AB286="Months","Daily","Weekly"))</f>
        <v/>
      </c>
      <c r="AD286" s="17">
        <f>IF(V286="","",IF(AC286="Daily",V286*Controls!$B$13,V286))</f>
        <v/>
      </c>
      <c r="AE286" s="17">
        <f>IF(V286="","",IF(AC286="Daily",V286*Controls!$B$13,V286*Controls!$B$12))</f>
        <v/>
      </c>
      <c r="AF286" s="17">
        <f>IF(OR(E286="",F286=""),"",F286-E286)</f>
        <v/>
      </c>
      <c r="AG286" s="17">
        <f>IF(OR(E286="",F286=""),"",NETWORKDAYS(E286,F286,Ref!$F$4:$F$47))</f>
        <v/>
      </c>
      <c r="AH286" s="39">
        <f>IF(IFERROR(VLOOKUP(D286,Controls!$A$25:$D$35,2,FALSE()),"No")="Yes",1,0)</f>
        <v/>
      </c>
      <c r="AI286" s="39">
        <f>IF(IFERROR(VLOOKUP(D286,Controls!$A$25:$D$35,3,FALSE()),"No")="Yes",1,0)</f>
        <v/>
      </c>
      <c r="AJ286" s="39">
        <f>IF(IFERROR(VLOOKUP(D286,Controls!$A$25:$D$35,4,FALSE()),"No")="Yes",1,0)</f>
        <v/>
      </c>
      <c r="AK286" s="96">
        <f>IF(AND($E286&gt;=Controls!$B$5,$E286&lt;=Controls!$B$6,OR(Controls!$E$9&lt;&gt;"Y",$BE286=1)),1,0)</f>
        <v/>
      </c>
      <c r="AL286" s="39">
        <f>1</f>
        <v/>
      </c>
      <c r="AM286" s="20">
        <f>S286-P286</f>
        <v/>
      </c>
      <c r="AN286" s="20">
        <f>IF(AH286=1,MAX(0,P286-S286),0)</f>
        <v/>
      </c>
      <c r="AO286" s="21">
        <f>IFERROR(S286/P286,"")</f>
        <v/>
      </c>
      <c r="AP286" s="22">
        <f>IF(Y286="","",P286/Y286)</f>
        <v/>
      </c>
      <c r="AQ286" s="39">
        <f>IF(Y286="",0,1)</f>
        <v/>
      </c>
      <c r="AR286" s="39">
        <f>IF(S286&lt;=0,1,0)</f>
        <v/>
      </c>
      <c r="AS286" s="17">
        <f>IF(AH286=1,AG286,"")</f>
        <v/>
      </c>
      <c r="AT286" s="17">
        <f>IF(AND(AH286=0,AJ286=1),AG286,"")</f>
        <v/>
      </c>
      <c r="AU286" s="5">
        <f>IF(P286&lt;10000,"Under $10K",IF(P286&lt;20000,"$10-20K",IF(P286&lt;30000,"$20-30K",IF(P286&lt;50000,"$30-50K",IF(P286&lt;100000,"$50-100K","$100K+")))))</f>
        <v/>
      </c>
      <c r="AV286" s="5">
        <f>IF(O286&lt;=1.35,"1.35 and under",IF(O286&lt;=1.42,"1.36-1.42",IF(O286&lt;=1.45,"1.43-1.45",IF(O286&lt;1.49,"1.46-1.48",IF(O286&lt;=1.49,"1.49","Above 1.49")))))</f>
        <v/>
      </c>
      <c r="AW286" s="5">
        <f>IF(AE286="","",IF(AE286&lt;60,"Under 60",IF(AE286&lt;90,"60-89",IF(AE286&lt;120,"90-119",IF(AE286&lt;150,"120-149","150+")))))</f>
        <v/>
      </c>
      <c r="AX286" s="5">
        <f>IF(AP286="","No revenue data",IF(AP286&lt;0.15,"Under 0.15x",IF(AP286&lt;0.3,"0.15-0.30x",IF(AP286&lt;0.5,"0.30-0.50x",IF(AP286&lt;1,"0.50-1.00x","1.00x+")))))</f>
        <v/>
      </c>
      <c r="AY286" s="5">
        <f>IF(J286="","No SIC",IFERROR(VLOOKUP(J286,Ref!$A$4:$C$67,2,FALSE()),"Unclassified"))</f>
        <v/>
      </c>
      <c r="AZ286" s="5">
        <f>IF(E286="","",TEXT(E286,"YYYY")&amp;"-Q"&amp;ROUNDUP(MONTH(E286)/3,0))</f>
        <v/>
      </c>
      <c r="BA286" s="5">
        <f>IF(E286="","",TEXT(E286,"YYYY-MM"))</f>
        <v/>
      </c>
      <c r="BB286" s="5">
        <f>IF(E286="","",TEXT(E286,"YYYY"))</f>
        <v/>
      </c>
      <c r="BC286" s="92">
        <f>IF($E286="","",NETWORKDAYS($E286,Controls!$B$9,Ref!$F$4:$F$47))</f>
        <v/>
      </c>
      <c r="BD286" s="92">
        <f>IF(OR($AH286=1,$AJ286=1),1,0)</f>
        <v/>
      </c>
      <c r="BE286" s="95">
        <f>IF(OR($BD286=1,AND($AE286&lt;&gt;"",$BC286&gt;=Controls!$B$10*$AE286)),1,0)</f>
        <v/>
      </c>
    </row>
    <row r="287" ht="15.75" customHeight="1" s="79">
      <c r="A287" s="5" t="inlineStr">
        <is>
          <t>5674168176</t>
        </is>
      </c>
      <c r="B287" s="5" t="inlineStr">
        <is>
          <t>WHICH WICH #95</t>
        </is>
      </c>
      <c r="C287" s="5" t="inlineStr">
        <is>
          <t>H&amp;M Mendez Enterprises LLC</t>
        </is>
      </c>
      <c r="D287" s="5" t="inlineStr">
        <is>
          <t>Bankruptcy</t>
        </is>
      </c>
      <c r="E287" s="16" t="n">
        <v>45940</v>
      </c>
      <c r="F287" s="16" t="n">
        <v>46139</v>
      </c>
      <c r="G287" s="17" t="n">
        <v>3</v>
      </c>
      <c r="H287" s="5" t="inlineStr">
        <is>
          <t>5812</t>
        </is>
      </c>
      <c r="I287" s="5" t="inlineStr">
        <is>
          <t>Snack and Nonalcoholic Beverage Bars</t>
        </is>
      </c>
      <c r="J287" s="5" t="inlineStr">
        <is>
          <t>58</t>
        </is>
      </c>
      <c r="K287" s="5" t="n">
        <v>5812</v>
      </c>
      <c r="L287" s="5" t="inlineStr">
        <is>
          <t>TX</t>
        </is>
      </c>
      <c r="M287" s="5" t="inlineStr">
        <is>
          <t>Fundwell</t>
        </is>
      </c>
      <c r="N287" s="5" t="inlineStr">
        <is>
          <t>New Deal</t>
        </is>
      </c>
      <c r="O287" s="19" t="n">
        <v>1.39</v>
      </c>
      <c r="P287" s="20" t="n">
        <v>28500</v>
      </c>
      <c r="Q287" s="20" t="n">
        <v>3277.5</v>
      </c>
      <c r="R287" s="20" t="n">
        <v>39615</v>
      </c>
      <c r="S287" s="20" t="n">
        <v>14814.63</v>
      </c>
      <c r="T287" s="20" t="n">
        <v>24800.37</v>
      </c>
      <c r="U287" s="21" t="n">
        <v>0.373965164710337</v>
      </c>
      <c r="V287" s="22" t="n">
        <v>32</v>
      </c>
      <c r="W287" s="17" t="n">
        <v>163</v>
      </c>
      <c r="X287" s="17" t="n">
        <v>9</v>
      </c>
      <c r="Y287" s="20" t="n">
        <v>70423.34</v>
      </c>
      <c r="Z287" s="21" t="n">
        <v>0.0703</v>
      </c>
      <c r="AA287" s="16" t="n">
        <v>44334</v>
      </c>
      <c r="AB287" s="5">
        <f>IF(V287="","",IF(V287&lt;12,"Months","Weeks"))</f>
        <v/>
      </c>
      <c r="AC287" s="5">
        <f>IF(AB287="","",IF(AB287="Months","Daily","Weekly"))</f>
        <v/>
      </c>
      <c r="AD287" s="17">
        <f>IF(V287="","",IF(AC287="Daily",V287*Controls!$B$13,V287))</f>
        <v/>
      </c>
      <c r="AE287" s="17">
        <f>IF(V287="","",IF(AC287="Daily",V287*Controls!$B$13,V287*Controls!$B$12))</f>
        <v/>
      </c>
      <c r="AF287" s="17">
        <f>IF(OR(E287="",F287=""),"",F287-E287)</f>
        <v/>
      </c>
      <c r="AG287" s="17">
        <f>IF(OR(E287="",F287=""),"",NETWORKDAYS(E287,F287,Ref!$F$4:$F$47))</f>
        <v/>
      </c>
      <c r="AH287" s="39">
        <f>IF(IFERROR(VLOOKUP(D287,Controls!$A$25:$D$35,2,FALSE()),"No")="Yes",1,0)</f>
        <v/>
      </c>
      <c r="AI287" s="39">
        <f>IF(IFERROR(VLOOKUP(D287,Controls!$A$25:$D$35,3,FALSE()),"No")="Yes",1,0)</f>
        <v/>
      </c>
      <c r="AJ287" s="39">
        <f>IF(IFERROR(VLOOKUP(D287,Controls!$A$25:$D$35,4,FALSE()),"No")="Yes",1,0)</f>
        <v/>
      </c>
      <c r="AK287" s="96">
        <f>IF(AND($E287&gt;=Controls!$B$5,$E287&lt;=Controls!$B$6,OR(Controls!$E$9&lt;&gt;"Y",$BE287=1)),1,0)</f>
        <v/>
      </c>
      <c r="AL287" s="39">
        <f>1</f>
        <v/>
      </c>
      <c r="AM287" s="20">
        <f>S287-P287</f>
        <v/>
      </c>
      <c r="AN287" s="20">
        <f>IF(AH287=1,MAX(0,P287-S287),0)</f>
        <v/>
      </c>
      <c r="AO287" s="21">
        <f>IFERROR(S287/P287,"")</f>
        <v/>
      </c>
      <c r="AP287" s="22">
        <f>IF(Y287="","",P287/Y287)</f>
        <v/>
      </c>
      <c r="AQ287" s="39">
        <f>IF(Y287="",0,1)</f>
        <v/>
      </c>
      <c r="AR287" s="39">
        <f>IF(S287&lt;=0,1,0)</f>
        <v/>
      </c>
      <c r="AS287" s="17">
        <f>IF(AH287=1,AG287,"")</f>
        <v/>
      </c>
      <c r="AT287" s="17">
        <f>IF(AND(AH287=0,AJ287=1),AG287,"")</f>
        <v/>
      </c>
      <c r="AU287" s="5">
        <f>IF(P287&lt;10000,"Under $10K",IF(P287&lt;20000,"$10-20K",IF(P287&lt;30000,"$20-30K",IF(P287&lt;50000,"$30-50K",IF(P287&lt;100000,"$50-100K","$100K+")))))</f>
        <v/>
      </c>
      <c r="AV287" s="5">
        <f>IF(O287&lt;=1.35,"1.35 and under",IF(O287&lt;=1.42,"1.36-1.42",IF(O287&lt;=1.45,"1.43-1.45",IF(O287&lt;1.49,"1.46-1.48",IF(O287&lt;=1.49,"1.49","Above 1.49")))))</f>
        <v/>
      </c>
      <c r="AW287" s="5">
        <f>IF(AE287="","",IF(AE287&lt;60,"Under 60",IF(AE287&lt;90,"60-89",IF(AE287&lt;120,"90-119",IF(AE287&lt;150,"120-149","150+")))))</f>
        <v/>
      </c>
      <c r="AX287" s="5">
        <f>IF(AP287="","No revenue data",IF(AP287&lt;0.15,"Under 0.15x",IF(AP287&lt;0.3,"0.15-0.30x",IF(AP287&lt;0.5,"0.30-0.50x",IF(AP287&lt;1,"0.50-1.00x","1.00x+")))))</f>
        <v/>
      </c>
      <c r="AY287" s="5">
        <f>IF(J287="","No SIC",IFERROR(VLOOKUP(J287,Ref!$A$4:$C$67,2,FALSE()),"Unclassified"))</f>
        <v/>
      </c>
      <c r="AZ287" s="5">
        <f>IF(E287="","",TEXT(E287,"YYYY")&amp;"-Q"&amp;ROUNDUP(MONTH(E287)/3,0))</f>
        <v/>
      </c>
      <c r="BA287" s="5">
        <f>IF(E287="","",TEXT(E287,"YYYY-MM"))</f>
        <v/>
      </c>
      <c r="BB287" s="5">
        <f>IF(E287="","",TEXT(E287,"YYYY"))</f>
        <v/>
      </c>
      <c r="BC287" s="92">
        <f>IF($E287="","",NETWORKDAYS($E287,Controls!$B$9,Ref!$F$4:$F$47))</f>
        <v/>
      </c>
      <c r="BD287" s="92">
        <f>IF(OR($AH287=1,$AJ287=1),1,0)</f>
        <v/>
      </c>
      <c r="BE287" s="95">
        <f>IF(OR($BD287=1,AND($AE287&lt;&gt;"",$BC287&gt;=Controls!$B$10*$AE287)),1,0)</f>
        <v/>
      </c>
    </row>
    <row r="288" ht="15.75" customHeight="1" s="79">
      <c r="A288" s="5" t="inlineStr">
        <is>
          <t>5674168235</t>
        </is>
      </c>
      <c r="B288" s="5" t="inlineStr">
        <is>
          <t>MDS Pack2Ship LLC</t>
        </is>
      </c>
      <c r="C288" s="5" t="inlineStr">
        <is>
          <t>MDS Pack2Ship LLC</t>
        </is>
      </c>
      <c r="D288" s="5" t="inlineStr">
        <is>
          <t>Legal</t>
        </is>
      </c>
      <c r="E288" s="16" t="n">
        <v>45944</v>
      </c>
      <c r="F288" s="16" t="n">
        <v>45994</v>
      </c>
      <c r="G288" s="17" t="n">
        <v>1</v>
      </c>
      <c r="H288" s="5" t="inlineStr">
        <is>
          <t>4783</t>
        </is>
      </c>
      <c r="I288" s="5" t="inlineStr">
        <is>
          <t>Packing and Crating</t>
        </is>
      </c>
      <c r="J288" s="5" t="inlineStr">
        <is>
          <t>47</t>
        </is>
      </c>
      <c r="K288" s="5" t="n">
        <v>4225</v>
      </c>
      <c r="L288" s="5" t="inlineStr">
        <is>
          <t>IN</t>
        </is>
      </c>
      <c r="M288" s="5" t="inlineStr">
        <is>
          <t>Go Ai Ez LLC Dba:Gova Funding</t>
        </is>
      </c>
      <c r="N288" s="5" t="inlineStr">
        <is>
          <t>New Deal</t>
        </is>
      </c>
      <c r="O288" s="19" t="n">
        <v>1.45</v>
      </c>
      <c r="P288" s="20" t="n">
        <v>7000</v>
      </c>
      <c r="Q288" s="20" t="n">
        <v>840</v>
      </c>
      <c r="R288" s="20" t="n">
        <v>10150</v>
      </c>
      <c r="S288" s="20" t="n">
        <v>4373.32</v>
      </c>
      <c r="T288" s="20" t="n">
        <v>5776.68</v>
      </c>
      <c r="U288" s="21" t="n">
        <v>0.430868965517241</v>
      </c>
      <c r="V288" s="22" t="n">
        <v>2.131</v>
      </c>
      <c r="W288" s="17" t="n">
        <v>267</v>
      </c>
      <c r="X288" s="17" t="n">
        <v>5</v>
      </c>
      <c r="Y288" s="5" t="n"/>
      <c r="Z288" s="21" t="n">
        <v>0.082</v>
      </c>
      <c r="AA288" s="16" t="n">
        <v>36708</v>
      </c>
      <c r="AB288" s="5">
        <f>IF(V288="","",IF(V288&lt;12,"Months","Weeks"))</f>
        <v/>
      </c>
      <c r="AC288" s="5">
        <f>IF(AB288="","",IF(AB288="Months","Daily","Weekly"))</f>
        <v/>
      </c>
      <c r="AD288" s="17">
        <f>IF(V288="","",IF(AC288="Daily",V288*Controls!$B$13,V288))</f>
        <v/>
      </c>
      <c r="AE288" s="17">
        <f>IF(V288="","",IF(AC288="Daily",V288*Controls!$B$13,V288*Controls!$B$12))</f>
        <v/>
      </c>
      <c r="AF288" s="17">
        <f>IF(OR(E288="",F288=""),"",F288-E288)</f>
        <v/>
      </c>
      <c r="AG288" s="17">
        <f>IF(OR(E288="",F288=""),"",NETWORKDAYS(E288,F288,Ref!$F$4:$F$47))</f>
        <v/>
      </c>
      <c r="AH288" s="39">
        <f>IF(IFERROR(VLOOKUP(D288,Controls!$A$25:$D$35,2,FALSE()),"No")="Yes",1,0)</f>
        <v/>
      </c>
      <c r="AI288" s="39">
        <f>IF(IFERROR(VLOOKUP(D288,Controls!$A$25:$D$35,3,FALSE()),"No")="Yes",1,0)</f>
        <v/>
      </c>
      <c r="AJ288" s="39">
        <f>IF(IFERROR(VLOOKUP(D288,Controls!$A$25:$D$35,4,FALSE()),"No")="Yes",1,0)</f>
        <v/>
      </c>
      <c r="AK288" s="96">
        <f>IF(AND($E288&gt;=Controls!$B$5,$E288&lt;=Controls!$B$6,OR(Controls!$E$9&lt;&gt;"Y",$BE288=1)),1,0)</f>
        <v/>
      </c>
      <c r="AL288" s="39">
        <f>1</f>
        <v/>
      </c>
      <c r="AM288" s="20">
        <f>S288-P288</f>
        <v/>
      </c>
      <c r="AN288" s="20">
        <f>IF(AH288=1,MAX(0,P288-S288),0)</f>
        <v/>
      </c>
      <c r="AO288" s="21">
        <f>IFERROR(S288/P288,"")</f>
        <v/>
      </c>
      <c r="AP288" s="22">
        <f>IF(Y288="","",P288/Y288)</f>
        <v/>
      </c>
      <c r="AQ288" s="39">
        <f>IF(Y288="",0,1)</f>
        <v/>
      </c>
      <c r="AR288" s="39">
        <f>IF(S288&lt;=0,1,0)</f>
        <v/>
      </c>
      <c r="AS288" s="17">
        <f>IF(AH288=1,AG288,"")</f>
        <v/>
      </c>
      <c r="AT288" s="17">
        <f>IF(AND(AH288=0,AJ288=1),AG288,"")</f>
        <v/>
      </c>
      <c r="AU288" s="5">
        <f>IF(P288&lt;10000,"Under $10K",IF(P288&lt;20000,"$10-20K",IF(P288&lt;30000,"$20-30K",IF(P288&lt;50000,"$30-50K",IF(P288&lt;100000,"$50-100K","$100K+")))))</f>
        <v/>
      </c>
      <c r="AV288" s="5">
        <f>IF(O288&lt;=1.35,"1.35 and under",IF(O288&lt;=1.42,"1.36-1.42",IF(O288&lt;=1.45,"1.43-1.45",IF(O288&lt;1.49,"1.46-1.48",IF(O288&lt;=1.49,"1.49","Above 1.49")))))</f>
        <v/>
      </c>
      <c r="AW288" s="5">
        <f>IF(AE288="","",IF(AE288&lt;60,"Under 60",IF(AE288&lt;90,"60-89",IF(AE288&lt;120,"90-119",IF(AE288&lt;150,"120-149","150+")))))</f>
        <v/>
      </c>
      <c r="AX288" s="5">
        <f>IF(AP288="","No revenue data",IF(AP288&lt;0.15,"Under 0.15x",IF(AP288&lt;0.3,"0.15-0.30x",IF(AP288&lt;0.5,"0.30-0.50x",IF(AP288&lt;1,"0.50-1.00x","1.00x+")))))</f>
        <v/>
      </c>
      <c r="AY288" s="5">
        <f>IF(J288="","No SIC",IFERROR(VLOOKUP(J288,Ref!$A$4:$C$67,2,FALSE()),"Unclassified"))</f>
        <v/>
      </c>
      <c r="AZ288" s="5">
        <f>IF(E288="","",TEXT(E288,"YYYY")&amp;"-Q"&amp;ROUNDUP(MONTH(E288)/3,0))</f>
        <v/>
      </c>
      <c r="BA288" s="5">
        <f>IF(E288="","",TEXT(E288,"YYYY-MM"))</f>
        <v/>
      </c>
      <c r="BB288" s="5">
        <f>IF(E288="","",TEXT(E288,"YYYY"))</f>
        <v/>
      </c>
      <c r="BC288" s="92">
        <f>IF($E288="","",NETWORKDAYS($E288,Controls!$B$9,Ref!$F$4:$F$47))</f>
        <v/>
      </c>
      <c r="BD288" s="92">
        <f>IF(OR($AH288=1,$AJ288=1),1,0)</f>
        <v/>
      </c>
      <c r="BE288" s="95">
        <f>IF(OR($BD288=1,AND($AE288&lt;&gt;"",$BC288&gt;=Controls!$B$10*$AE288)),1,0)</f>
        <v/>
      </c>
    </row>
    <row r="289" ht="15.75" customHeight="1" s="79">
      <c r="A289" s="5" t="inlineStr">
        <is>
          <t>5674168241</t>
        </is>
      </c>
      <c r="B289" s="5" t="inlineStr">
        <is>
          <t>Anderson Electric LLC</t>
        </is>
      </c>
      <c r="C289" s="5" t="inlineStr">
        <is>
          <t>Anderson Electric LLC</t>
        </is>
      </c>
      <c r="D289" s="5" t="inlineStr">
        <is>
          <t>Legal</t>
        </is>
      </c>
      <c r="E289" s="16" t="n">
        <v>45944</v>
      </c>
      <c r="F289" s="16" t="n">
        <v>46041</v>
      </c>
      <c r="G289" s="17" t="n">
        <v>1</v>
      </c>
      <c r="H289" s="5" t="inlineStr">
        <is>
          <t>1731</t>
        </is>
      </c>
      <c r="I289" s="5" t="inlineStr">
        <is>
          <t>Electrical Contractors and Other Wiring Installation Contractors</t>
        </is>
      </c>
      <c r="J289" s="5" t="inlineStr">
        <is>
          <t>17</t>
        </is>
      </c>
      <c r="K289" s="5" t="n">
        <v>1731</v>
      </c>
      <c r="L289" s="5" t="inlineStr">
        <is>
          <t>GA</t>
        </is>
      </c>
      <c r="M289" s="5" t="inlineStr">
        <is>
          <t>Fundwell</t>
        </is>
      </c>
      <c r="N289" s="5" t="inlineStr">
        <is>
          <t>New Deal</t>
        </is>
      </c>
      <c r="O289" s="19" t="n">
        <v>1.42</v>
      </c>
      <c r="P289" s="20" t="n">
        <v>20000</v>
      </c>
      <c r="Q289" s="20" t="n">
        <v>2800</v>
      </c>
      <c r="R289" s="20" t="n">
        <v>28400</v>
      </c>
      <c r="S289" s="20" t="n">
        <v>7098.56</v>
      </c>
      <c r="T289" s="20" t="n">
        <v>21301.44</v>
      </c>
      <c r="U289" s="21" t="n">
        <v>0.249949295774648</v>
      </c>
      <c r="V289" s="22" t="n">
        <v>32</v>
      </c>
      <c r="W289" s="17" t="n">
        <v>254</v>
      </c>
      <c r="X289" s="17" t="n">
        <v>5</v>
      </c>
      <c r="Y289" s="20" t="n">
        <v>48487.6</v>
      </c>
      <c r="Z289" s="21" t="n">
        <v>0.0732</v>
      </c>
      <c r="AA289" s="16" t="n">
        <v>44533</v>
      </c>
      <c r="AB289" s="5">
        <f>IF(V289="","",IF(V289&lt;12,"Months","Weeks"))</f>
        <v/>
      </c>
      <c r="AC289" s="5">
        <f>IF(AB289="","",IF(AB289="Months","Daily","Weekly"))</f>
        <v/>
      </c>
      <c r="AD289" s="17">
        <f>IF(V289="","",IF(AC289="Daily",V289*Controls!$B$13,V289))</f>
        <v/>
      </c>
      <c r="AE289" s="17">
        <f>IF(V289="","",IF(AC289="Daily",V289*Controls!$B$13,V289*Controls!$B$12))</f>
        <v/>
      </c>
      <c r="AF289" s="17">
        <f>IF(OR(E289="",F289=""),"",F289-E289)</f>
        <v/>
      </c>
      <c r="AG289" s="17">
        <f>IF(OR(E289="",F289=""),"",NETWORKDAYS(E289,F289,Ref!$F$4:$F$47))</f>
        <v/>
      </c>
      <c r="AH289" s="39">
        <f>IF(IFERROR(VLOOKUP(D289,Controls!$A$25:$D$35,2,FALSE()),"No")="Yes",1,0)</f>
        <v/>
      </c>
      <c r="AI289" s="39">
        <f>IF(IFERROR(VLOOKUP(D289,Controls!$A$25:$D$35,3,FALSE()),"No")="Yes",1,0)</f>
        <v/>
      </c>
      <c r="AJ289" s="39">
        <f>IF(IFERROR(VLOOKUP(D289,Controls!$A$25:$D$35,4,FALSE()),"No")="Yes",1,0)</f>
        <v/>
      </c>
      <c r="AK289" s="96">
        <f>IF(AND($E289&gt;=Controls!$B$5,$E289&lt;=Controls!$B$6,OR(Controls!$E$9&lt;&gt;"Y",$BE289=1)),1,0)</f>
        <v/>
      </c>
      <c r="AL289" s="39">
        <f>1</f>
        <v/>
      </c>
      <c r="AM289" s="20">
        <f>S289-P289</f>
        <v/>
      </c>
      <c r="AN289" s="20">
        <f>IF(AH289=1,MAX(0,P289-S289),0)</f>
        <v/>
      </c>
      <c r="AO289" s="21">
        <f>IFERROR(S289/P289,"")</f>
        <v/>
      </c>
      <c r="AP289" s="22">
        <f>IF(Y289="","",P289/Y289)</f>
        <v/>
      </c>
      <c r="AQ289" s="39">
        <f>IF(Y289="",0,1)</f>
        <v/>
      </c>
      <c r="AR289" s="39">
        <f>IF(S289&lt;=0,1,0)</f>
        <v/>
      </c>
      <c r="AS289" s="17">
        <f>IF(AH289=1,AG289,"")</f>
        <v/>
      </c>
      <c r="AT289" s="17">
        <f>IF(AND(AH289=0,AJ289=1),AG289,"")</f>
        <v/>
      </c>
      <c r="AU289" s="5">
        <f>IF(P289&lt;10000,"Under $10K",IF(P289&lt;20000,"$10-20K",IF(P289&lt;30000,"$20-30K",IF(P289&lt;50000,"$30-50K",IF(P289&lt;100000,"$50-100K","$100K+")))))</f>
        <v/>
      </c>
      <c r="AV289" s="5">
        <f>IF(O289&lt;=1.35,"1.35 and under",IF(O289&lt;=1.42,"1.36-1.42",IF(O289&lt;=1.45,"1.43-1.45",IF(O289&lt;1.49,"1.46-1.48",IF(O289&lt;=1.49,"1.49","Above 1.49")))))</f>
        <v/>
      </c>
      <c r="AW289" s="5">
        <f>IF(AE289="","",IF(AE289&lt;60,"Under 60",IF(AE289&lt;90,"60-89",IF(AE289&lt;120,"90-119",IF(AE289&lt;150,"120-149","150+")))))</f>
        <v/>
      </c>
      <c r="AX289" s="5">
        <f>IF(AP289="","No revenue data",IF(AP289&lt;0.15,"Under 0.15x",IF(AP289&lt;0.3,"0.15-0.30x",IF(AP289&lt;0.5,"0.30-0.50x",IF(AP289&lt;1,"0.50-1.00x","1.00x+")))))</f>
        <v/>
      </c>
      <c r="AY289" s="5">
        <f>IF(J289="","No SIC",IFERROR(VLOOKUP(J289,Ref!$A$4:$C$67,2,FALSE()),"Unclassified"))</f>
        <v/>
      </c>
      <c r="AZ289" s="5">
        <f>IF(E289="","",TEXT(E289,"YYYY")&amp;"-Q"&amp;ROUNDUP(MONTH(E289)/3,0))</f>
        <v/>
      </c>
      <c r="BA289" s="5">
        <f>IF(E289="","",TEXT(E289,"YYYY-MM"))</f>
        <v/>
      </c>
      <c r="BB289" s="5">
        <f>IF(E289="","",TEXT(E289,"YYYY"))</f>
        <v/>
      </c>
      <c r="BC289" s="92">
        <f>IF($E289="","",NETWORKDAYS($E289,Controls!$B$9,Ref!$F$4:$F$47))</f>
        <v/>
      </c>
      <c r="BD289" s="92">
        <f>IF(OR($AH289=1,$AJ289=1),1,0)</f>
        <v/>
      </c>
      <c r="BE289" s="95">
        <f>IF(OR($BD289=1,AND($AE289&lt;&gt;"",$BC289&gt;=Controls!$B$10*$AE289)),1,0)</f>
        <v/>
      </c>
    </row>
    <row r="290" ht="15.75" customHeight="1" s="79">
      <c r="A290" s="5" t="inlineStr">
        <is>
          <t>5674168247</t>
        </is>
      </c>
      <c r="B290" s="5" t="inlineStr">
        <is>
          <t>Shoperies NE LLC</t>
        </is>
      </c>
      <c r="C290" s="5" t="inlineStr">
        <is>
          <t>Shoperies NE LLC</t>
        </is>
      </c>
      <c r="D290" s="5" t="inlineStr">
        <is>
          <t>Lowered Payments</t>
        </is>
      </c>
      <c r="E290" s="16" t="n">
        <v>45944</v>
      </c>
      <c r="F290" s="16" t="n">
        <v>46253</v>
      </c>
      <c r="G290" s="17" t="n">
        <v>3</v>
      </c>
      <c r="H290" s="5" t="inlineStr">
        <is>
          <t>5999</t>
        </is>
      </c>
      <c r="I290" s="5" t="inlineStr">
        <is>
          <t>All Other Misc. Store Retailers (Except Tobacco Stores)</t>
        </is>
      </c>
      <c r="J290" s="5" t="inlineStr">
        <is>
          <t>59</t>
        </is>
      </c>
      <c r="K290" s="5" t="n">
        <v>5999</v>
      </c>
      <c r="L290" s="5" t="inlineStr">
        <is>
          <t>MA</t>
        </is>
      </c>
      <c r="M290" s="5" t="inlineStr">
        <is>
          <t>Westwood</t>
        </is>
      </c>
      <c r="N290" s="5" t="inlineStr">
        <is>
          <t>Renewal</t>
        </is>
      </c>
      <c r="O290" s="19" t="n">
        <v>1.499</v>
      </c>
      <c r="P290" s="20" t="n">
        <v>35000</v>
      </c>
      <c r="Q290" s="20" t="n">
        <v>4900</v>
      </c>
      <c r="R290" s="20" t="n">
        <v>52465</v>
      </c>
      <c r="S290" s="20" t="n">
        <v>31716.51</v>
      </c>
      <c r="T290" s="20" t="n">
        <v>20748.49</v>
      </c>
      <c r="U290" s="21" t="n">
        <v>0.604527018012008</v>
      </c>
      <c r="V290" s="22" t="n">
        <v>2.951</v>
      </c>
      <c r="W290" s="17" t="n">
        <v>0</v>
      </c>
      <c r="X290" s="17" t="n">
        <v>22</v>
      </c>
      <c r="Y290" s="20" t="n">
        <v>109868.79</v>
      </c>
      <c r="Z290" s="21" t="n">
        <v>0.1107</v>
      </c>
      <c r="AA290" s="16" t="n">
        <v>43891</v>
      </c>
      <c r="AB290" s="5">
        <f>IF(V290="","",IF(V290&lt;12,"Months","Weeks"))</f>
        <v/>
      </c>
      <c r="AC290" s="5">
        <f>IF(AB290="","",IF(AB290="Months","Daily","Weekly"))</f>
        <v/>
      </c>
      <c r="AD290" s="17">
        <f>IF(V290="","",IF(AC290="Daily",V290*Controls!$B$13,V290))</f>
        <v/>
      </c>
      <c r="AE290" s="17">
        <f>IF(V290="","",IF(AC290="Daily",V290*Controls!$B$13,V290*Controls!$B$12))</f>
        <v/>
      </c>
      <c r="AF290" s="17">
        <f>IF(OR(E290="",F290=""),"",F290-E290)</f>
        <v/>
      </c>
      <c r="AG290" s="17">
        <f>IF(OR(E290="",F290=""),"",NETWORKDAYS(E290,F290,Ref!$F$4:$F$47))</f>
        <v/>
      </c>
      <c r="AH290" s="39">
        <f>IF(IFERROR(VLOOKUP(D290,Controls!$A$25:$D$35,2,FALSE()),"No")="Yes",1,0)</f>
        <v/>
      </c>
      <c r="AI290" s="39">
        <f>IF(IFERROR(VLOOKUP(D290,Controls!$A$25:$D$35,3,FALSE()),"No")="Yes",1,0)</f>
        <v/>
      </c>
      <c r="AJ290" s="39">
        <f>IF(IFERROR(VLOOKUP(D290,Controls!$A$25:$D$35,4,FALSE()),"No")="Yes",1,0)</f>
        <v/>
      </c>
      <c r="AK290" s="96">
        <f>IF(AND($E290&gt;=Controls!$B$5,$E290&lt;=Controls!$B$6,OR(Controls!$E$9&lt;&gt;"Y",$BE290=1)),1,0)</f>
        <v/>
      </c>
      <c r="AL290" s="39">
        <f>1</f>
        <v/>
      </c>
      <c r="AM290" s="20">
        <f>S290-P290</f>
        <v/>
      </c>
      <c r="AN290" s="20">
        <f>IF(AH290=1,MAX(0,P290-S290),0)</f>
        <v/>
      </c>
      <c r="AO290" s="21">
        <f>IFERROR(S290/P290,"")</f>
        <v/>
      </c>
      <c r="AP290" s="22">
        <f>IF(Y290="","",P290/Y290)</f>
        <v/>
      </c>
      <c r="AQ290" s="39">
        <f>IF(Y290="",0,1)</f>
        <v/>
      </c>
      <c r="AR290" s="39">
        <f>IF(S290&lt;=0,1,0)</f>
        <v/>
      </c>
      <c r="AS290" s="17">
        <f>IF(AH290=1,AG290,"")</f>
        <v/>
      </c>
      <c r="AT290" s="17">
        <f>IF(AND(AH290=0,AJ290=1),AG290,"")</f>
        <v/>
      </c>
      <c r="AU290" s="5">
        <f>IF(P290&lt;10000,"Under $10K",IF(P290&lt;20000,"$10-20K",IF(P290&lt;30000,"$20-30K",IF(P290&lt;50000,"$30-50K",IF(P290&lt;100000,"$50-100K","$100K+")))))</f>
        <v/>
      </c>
      <c r="AV290" s="5">
        <f>IF(O290&lt;=1.35,"1.35 and under",IF(O290&lt;=1.42,"1.36-1.42",IF(O290&lt;=1.45,"1.43-1.45",IF(O290&lt;1.49,"1.46-1.48",IF(O290&lt;=1.49,"1.49","Above 1.49")))))</f>
        <v/>
      </c>
      <c r="AW290" s="5">
        <f>IF(AE290="","",IF(AE290&lt;60,"Under 60",IF(AE290&lt;90,"60-89",IF(AE290&lt;120,"90-119",IF(AE290&lt;150,"120-149","150+")))))</f>
        <v/>
      </c>
      <c r="AX290" s="5">
        <f>IF(AP290="","No revenue data",IF(AP290&lt;0.15,"Under 0.15x",IF(AP290&lt;0.3,"0.15-0.30x",IF(AP290&lt;0.5,"0.30-0.50x",IF(AP290&lt;1,"0.50-1.00x","1.00x+")))))</f>
        <v/>
      </c>
      <c r="AY290" s="5">
        <f>IF(J290="","No SIC",IFERROR(VLOOKUP(J290,Ref!$A$4:$C$67,2,FALSE()),"Unclassified"))</f>
        <v/>
      </c>
      <c r="AZ290" s="5">
        <f>IF(E290="","",TEXT(E290,"YYYY")&amp;"-Q"&amp;ROUNDUP(MONTH(E290)/3,0))</f>
        <v/>
      </c>
      <c r="BA290" s="5">
        <f>IF(E290="","",TEXT(E290,"YYYY-MM"))</f>
        <v/>
      </c>
      <c r="BB290" s="5">
        <f>IF(E290="","",TEXT(E290,"YYYY"))</f>
        <v/>
      </c>
      <c r="BC290" s="92">
        <f>IF($E290="","",NETWORKDAYS($E290,Controls!$B$9,Ref!$F$4:$F$47))</f>
        <v/>
      </c>
      <c r="BD290" s="92">
        <f>IF(OR($AH290=1,$AJ290=1),1,0)</f>
        <v/>
      </c>
      <c r="BE290" s="95">
        <f>IF(OR($BD290=1,AND($AE290&lt;&gt;"",$BC290&gt;=Controls!$B$10*$AE290)),1,0)</f>
        <v/>
      </c>
    </row>
    <row r="291" ht="15.75" customHeight="1" s="79">
      <c r="A291" s="5" t="inlineStr">
        <is>
          <t>5674168395</t>
        </is>
      </c>
      <c r="B291" s="5" t="inlineStr">
        <is>
          <t>Binxy Boy Consulting INC.</t>
        </is>
      </c>
      <c r="C291" s="5" t="inlineStr">
        <is>
          <t>Binxy Boy Consulting INC.</t>
        </is>
      </c>
      <c r="D291" s="5" t="inlineStr">
        <is>
          <t>Closed</t>
        </is>
      </c>
      <c r="E291" s="16" t="n">
        <v>45946</v>
      </c>
      <c r="F291" s="16" t="n">
        <v>46121</v>
      </c>
      <c r="G291" s="17" t="n">
        <v>1</v>
      </c>
      <c r="H291" s="5" t="inlineStr">
        <is>
          <t>1711</t>
        </is>
      </c>
      <c r="I291" s="5" t="inlineStr">
        <is>
          <t>Plumbing, Heating, and Air Conditioning Contractors</t>
        </is>
      </c>
      <c r="J291" s="5" t="inlineStr">
        <is>
          <t>17</t>
        </is>
      </c>
      <c r="K291" s="5" t="n"/>
      <c r="L291" s="5" t="inlineStr">
        <is>
          <t>No state</t>
        </is>
      </c>
      <c r="M291" s="5" t="inlineStr">
        <is>
          <t>Aspire Funding</t>
        </is>
      </c>
      <c r="N291" s="5" t="inlineStr">
        <is>
          <t>New Deal</t>
        </is>
      </c>
      <c r="O291" s="19" t="n">
        <v>1.31</v>
      </c>
      <c r="P291" s="20" t="n">
        <v>8000</v>
      </c>
      <c r="Q291" s="20" t="n">
        <v>80</v>
      </c>
      <c r="R291" s="20" t="n">
        <v>10480</v>
      </c>
      <c r="S291" s="20" t="n">
        <v>10480</v>
      </c>
      <c r="T291" s="20" t="n">
        <v>0</v>
      </c>
      <c r="U291" s="21" t="n">
        <v>1</v>
      </c>
      <c r="V291" s="22" t="n">
        <v>24</v>
      </c>
      <c r="W291" s="17" t="n">
        <v>132</v>
      </c>
      <c r="X291" s="17" t="n">
        <v>0</v>
      </c>
      <c r="Y291" s="20" t="n">
        <v>21170</v>
      </c>
      <c r="Z291" s="21" t="n">
        <v>0.0825</v>
      </c>
      <c r="AA291" s="16" t="n">
        <v>45946</v>
      </c>
      <c r="AB291" s="5">
        <f>IF(V291="","",IF(V291&lt;12,"Months","Weeks"))</f>
        <v/>
      </c>
      <c r="AC291" s="5">
        <f>IF(AB291="","",IF(AB291="Months","Daily","Weekly"))</f>
        <v/>
      </c>
      <c r="AD291" s="17">
        <f>IF(V291="","",IF(AC291="Daily",V291*Controls!$B$13,V291))</f>
        <v/>
      </c>
      <c r="AE291" s="17">
        <f>IF(V291="","",IF(AC291="Daily",V291*Controls!$B$13,V291*Controls!$B$12))</f>
        <v/>
      </c>
      <c r="AF291" s="17">
        <f>IF(OR(E291="",F291=""),"",F291-E291)</f>
        <v/>
      </c>
      <c r="AG291" s="17">
        <f>IF(OR(E291="",F291=""),"",NETWORKDAYS(E291,F291,Ref!$F$4:$F$47))</f>
        <v/>
      </c>
      <c r="AH291" s="39">
        <f>IF(IFERROR(VLOOKUP(D291,Controls!$A$25:$D$35,2,FALSE()),"No")="Yes",1,0)</f>
        <v/>
      </c>
      <c r="AI291" s="39">
        <f>IF(IFERROR(VLOOKUP(D291,Controls!$A$25:$D$35,3,FALSE()),"No")="Yes",1,0)</f>
        <v/>
      </c>
      <c r="AJ291" s="39">
        <f>IF(IFERROR(VLOOKUP(D291,Controls!$A$25:$D$35,4,FALSE()),"No")="Yes",1,0)</f>
        <v/>
      </c>
      <c r="AK291" s="96">
        <f>IF(AND($E291&gt;=Controls!$B$5,$E291&lt;=Controls!$B$6,OR(Controls!$E$9&lt;&gt;"Y",$BE291=1)),1,0)</f>
        <v/>
      </c>
      <c r="AL291" s="39">
        <f>1</f>
        <v/>
      </c>
      <c r="AM291" s="20">
        <f>S291-P291</f>
        <v/>
      </c>
      <c r="AN291" s="20">
        <f>IF(AH291=1,MAX(0,P291-S291),0)</f>
        <v/>
      </c>
      <c r="AO291" s="21">
        <f>IFERROR(S291/P291,"")</f>
        <v/>
      </c>
      <c r="AP291" s="22">
        <f>IF(Y291="","",P291/Y291)</f>
        <v/>
      </c>
      <c r="AQ291" s="39">
        <f>IF(Y291="",0,1)</f>
        <v/>
      </c>
      <c r="AR291" s="39">
        <f>IF(S291&lt;=0,1,0)</f>
        <v/>
      </c>
      <c r="AS291" s="17">
        <f>IF(AH291=1,AG291,"")</f>
        <v/>
      </c>
      <c r="AT291" s="17">
        <f>IF(AND(AH291=0,AJ291=1),AG291,"")</f>
        <v/>
      </c>
      <c r="AU291" s="5">
        <f>IF(P291&lt;10000,"Under $10K",IF(P291&lt;20000,"$10-20K",IF(P291&lt;30000,"$20-30K",IF(P291&lt;50000,"$30-50K",IF(P291&lt;100000,"$50-100K","$100K+")))))</f>
        <v/>
      </c>
      <c r="AV291" s="5">
        <f>IF(O291&lt;=1.35,"1.35 and under",IF(O291&lt;=1.42,"1.36-1.42",IF(O291&lt;=1.45,"1.43-1.45",IF(O291&lt;1.49,"1.46-1.48",IF(O291&lt;=1.49,"1.49","Above 1.49")))))</f>
        <v/>
      </c>
      <c r="AW291" s="5">
        <f>IF(AE291="","",IF(AE291&lt;60,"Under 60",IF(AE291&lt;90,"60-89",IF(AE291&lt;120,"90-119",IF(AE291&lt;150,"120-149","150+")))))</f>
        <v/>
      </c>
      <c r="AX291" s="5">
        <f>IF(AP291="","No revenue data",IF(AP291&lt;0.15,"Under 0.15x",IF(AP291&lt;0.3,"0.15-0.30x",IF(AP291&lt;0.5,"0.30-0.50x",IF(AP291&lt;1,"0.50-1.00x","1.00x+")))))</f>
        <v/>
      </c>
      <c r="AY291" s="5">
        <f>IF(J291="","No SIC",IFERROR(VLOOKUP(J291,Ref!$A$4:$C$67,2,FALSE()),"Unclassified"))</f>
        <v/>
      </c>
      <c r="AZ291" s="5">
        <f>IF(E291="","",TEXT(E291,"YYYY")&amp;"-Q"&amp;ROUNDUP(MONTH(E291)/3,0))</f>
        <v/>
      </c>
      <c r="BA291" s="5">
        <f>IF(E291="","",TEXT(E291,"YYYY-MM"))</f>
        <v/>
      </c>
      <c r="BB291" s="5">
        <f>IF(E291="","",TEXT(E291,"YYYY"))</f>
        <v/>
      </c>
      <c r="BC291" s="92">
        <f>IF($E291="","",NETWORKDAYS($E291,Controls!$B$9,Ref!$F$4:$F$47))</f>
        <v/>
      </c>
      <c r="BD291" s="92">
        <f>IF(OR($AH291=1,$AJ291=1),1,0)</f>
        <v/>
      </c>
      <c r="BE291" s="95">
        <f>IF(OR($BD291=1,AND($AE291&lt;&gt;"",$BC291&gt;=Controls!$B$10*$AE291)),1,0)</f>
        <v/>
      </c>
    </row>
    <row r="292" ht="15.75" customHeight="1" s="79">
      <c r="A292" s="5" t="inlineStr">
        <is>
          <t>5674168410</t>
        </is>
      </c>
      <c r="B292" s="5" t="inlineStr">
        <is>
          <t>BARBERIA CALLE LOIZA VILLA CAROLINA</t>
        </is>
      </c>
      <c r="C292" s="5" t="inlineStr">
        <is>
          <t>ROBERTO ROLON DELGADO</t>
        </is>
      </c>
      <c r="D292" s="5" t="inlineStr">
        <is>
          <t>Closed</t>
        </is>
      </c>
      <c r="E292" s="16" t="n">
        <v>45946</v>
      </c>
      <c r="F292" s="16" t="n">
        <v>46070</v>
      </c>
      <c r="G292" s="17" t="n">
        <v>2</v>
      </c>
      <c r="H292" s="5" t="inlineStr">
        <is>
          <t>7241</t>
        </is>
      </c>
      <c r="I292" s="5" t="inlineStr">
        <is>
          <t>Barber Shops</t>
        </is>
      </c>
      <c r="J292" s="5" t="inlineStr">
        <is>
          <t>72</t>
        </is>
      </c>
      <c r="K292" s="5" t="n">
        <v>7230</v>
      </c>
      <c r="L292" s="5" t="inlineStr">
        <is>
          <t>PR</t>
        </is>
      </c>
      <c r="M292" s="5" t="inlineStr">
        <is>
          <t>Siriux internacional corp</t>
        </is>
      </c>
      <c r="N292" s="5" t="inlineStr">
        <is>
          <t>New Deal</t>
        </is>
      </c>
      <c r="O292" s="19" t="n">
        <v>1.499</v>
      </c>
      <c r="P292" s="20" t="n">
        <v>15000</v>
      </c>
      <c r="Q292" s="20" t="n">
        <v>2100</v>
      </c>
      <c r="R292" s="20" t="n">
        <v>22485</v>
      </c>
      <c r="S292" s="20" t="n">
        <v>22485</v>
      </c>
      <c r="T292" s="20" t="n">
        <v>0</v>
      </c>
      <c r="U292" s="21" t="n">
        <v>1</v>
      </c>
      <c r="V292" s="22" t="n">
        <v>2.951</v>
      </c>
      <c r="W292" s="17" t="n">
        <v>183</v>
      </c>
      <c r="X292" s="17" t="n">
        <v>0</v>
      </c>
      <c r="Y292" s="20" t="n">
        <v>14958.77</v>
      </c>
      <c r="Z292" s="21" t="n">
        <v>0.3507</v>
      </c>
      <c r="AA292" s="16" t="n">
        <v>42309</v>
      </c>
      <c r="AB292" s="5">
        <f>IF(V292="","",IF(V292&lt;12,"Months","Weeks"))</f>
        <v/>
      </c>
      <c r="AC292" s="5">
        <f>IF(AB292="","",IF(AB292="Months","Daily","Weekly"))</f>
        <v/>
      </c>
      <c r="AD292" s="17">
        <f>IF(V292="","",IF(AC292="Daily",V292*Controls!$B$13,V292))</f>
        <v/>
      </c>
      <c r="AE292" s="17">
        <f>IF(V292="","",IF(AC292="Daily",V292*Controls!$B$13,V292*Controls!$B$12))</f>
        <v/>
      </c>
      <c r="AF292" s="17">
        <f>IF(OR(E292="",F292=""),"",F292-E292)</f>
        <v/>
      </c>
      <c r="AG292" s="17">
        <f>IF(OR(E292="",F292=""),"",NETWORKDAYS(E292,F292,Ref!$F$4:$F$47))</f>
        <v/>
      </c>
      <c r="AH292" s="39">
        <f>IF(IFERROR(VLOOKUP(D292,Controls!$A$25:$D$35,2,FALSE()),"No")="Yes",1,0)</f>
        <v/>
      </c>
      <c r="AI292" s="39">
        <f>IF(IFERROR(VLOOKUP(D292,Controls!$A$25:$D$35,3,FALSE()),"No")="Yes",1,0)</f>
        <v/>
      </c>
      <c r="AJ292" s="39">
        <f>IF(IFERROR(VLOOKUP(D292,Controls!$A$25:$D$35,4,FALSE()),"No")="Yes",1,0)</f>
        <v/>
      </c>
      <c r="AK292" s="96">
        <f>IF(AND($E292&gt;=Controls!$B$5,$E292&lt;=Controls!$B$6,OR(Controls!$E$9&lt;&gt;"Y",$BE292=1)),1,0)</f>
        <v/>
      </c>
      <c r="AL292" s="39">
        <f>1</f>
        <v/>
      </c>
      <c r="AM292" s="20">
        <f>S292-P292</f>
        <v/>
      </c>
      <c r="AN292" s="20">
        <f>IF(AH292=1,MAX(0,P292-S292),0)</f>
        <v/>
      </c>
      <c r="AO292" s="21">
        <f>IFERROR(S292/P292,"")</f>
        <v/>
      </c>
      <c r="AP292" s="22">
        <f>IF(Y292="","",P292/Y292)</f>
        <v/>
      </c>
      <c r="AQ292" s="39">
        <f>IF(Y292="",0,1)</f>
        <v/>
      </c>
      <c r="AR292" s="39">
        <f>IF(S292&lt;=0,1,0)</f>
        <v/>
      </c>
      <c r="AS292" s="17">
        <f>IF(AH292=1,AG292,"")</f>
        <v/>
      </c>
      <c r="AT292" s="17">
        <f>IF(AND(AH292=0,AJ292=1),AG292,"")</f>
        <v/>
      </c>
      <c r="AU292" s="5">
        <f>IF(P292&lt;10000,"Under $10K",IF(P292&lt;20000,"$10-20K",IF(P292&lt;30000,"$20-30K",IF(P292&lt;50000,"$30-50K",IF(P292&lt;100000,"$50-100K","$100K+")))))</f>
        <v/>
      </c>
      <c r="AV292" s="5">
        <f>IF(O292&lt;=1.35,"1.35 and under",IF(O292&lt;=1.42,"1.36-1.42",IF(O292&lt;=1.45,"1.43-1.45",IF(O292&lt;1.49,"1.46-1.48",IF(O292&lt;=1.49,"1.49","Above 1.49")))))</f>
        <v/>
      </c>
      <c r="AW292" s="5">
        <f>IF(AE292="","",IF(AE292&lt;60,"Under 60",IF(AE292&lt;90,"60-89",IF(AE292&lt;120,"90-119",IF(AE292&lt;150,"120-149","150+")))))</f>
        <v/>
      </c>
      <c r="AX292" s="5">
        <f>IF(AP292="","No revenue data",IF(AP292&lt;0.15,"Under 0.15x",IF(AP292&lt;0.3,"0.15-0.30x",IF(AP292&lt;0.5,"0.30-0.50x",IF(AP292&lt;1,"0.50-1.00x","1.00x+")))))</f>
        <v/>
      </c>
      <c r="AY292" s="5">
        <f>IF(J292="","No SIC",IFERROR(VLOOKUP(J292,Ref!$A$4:$C$67,2,FALSE()),"Unclassified"))</f>
        <v/>
      </c>
      <c r="AZ292" s="5">
        <f>IF(E292="","",TEXT(E292,"YYYY")&amp;"-Q"&amp;ROUNDUP(MONTH(E292)/3,0))</f>
        <v/>
      </c>
      <c r="BA292" s="5">
        <f>IF(E292="","",TEXT(E292,"YYYY-MM"))</f>
        <v/>
      </c>
      <c r="BB292" s="5">
        <f>IF(E292="","",TEXT(E292,"YYYY"))</f>
        <v/>
      </c>
      <c r="BC292" s="92">
        <f>IF($E292="","",NETWORKDAYS($E292,Controls!$B$9,Ref!$F$4:$F$47))</f>
        <v/>
      </c>
      <c r="BD292" s="92">
        <f>IF(OR($AH292=1,$AJ292=1),1,0)</f>
        <v/>
      </c>
      <c r="BE292" s="95">
        <f>IF(OR($BD292=1,AND($AE292&lt;&gt;"",$BC292&gt;=Controls!$B$10*$AE292)),1,0)</f>
        <v/>
      </c>
    </row>
    <row r="293" ht="15.75" customHeight="1" s="79">
      <c r="A293" s="5" t="inlineStr">
        <is>
          <t>5674168427</t>
        </is>
      </c>
      <c r="B293" s="5" t="inlineStr">
        <is>
          <t>DBA EL TACO LOCO AL VAPOR</t>
        </is>
      </c>
      <c r="C293" s="5" t="inlineStr">
        <is>
          <t>DBA EL TACO LOCO AL VAPOR</t>
        </is>
      </c>
      <c r="D293" s="5" t="inlineStr">
        <is>
          <t>Closed</t>
        </is>
      </c>
      <c r="E293" s="16" t="n">
        <v>45946</v>
      </c>
      <c r="F293" s="16" t="n">
        <v>46007</v>
      </c>
      <c r="G293" s="17" t="n">
        <v>1</v>
      </c>
      <c r="H293" s="5" t="inlineStr">
        <is>
          <t>5812</t>
        </is>
      </c>
      <c r="I293" s="5" t="inlineStr">
        <is>
          <t>Snack and Nonalcoholic Beverage Bars</t>
        </is>
      </c>
      <c r="J293" s="5" t="inlineStr">
        <is>
          <t>58</t>
        </is>
      </c>
      <c r="K293" s="5" t="n">
        <v>5812</v>
      </c>
      <c r="L293" s="5" t="inlineStr">
        <is>
          <t>TX</t>
        </is>
      </c>
      <c r="M293" s="5" t="inlineStr">
        <is>
          <t>Westwood</t>
        </is>
      </c>
      <c r="N293" s="5" t="inlineStr">
        <is>
          <t>New Deal</t>
        </is>
      </c>
      <c r="O293" s="19" t="n">
        <v>1.499</v>
      </c>
      <c r="P293" s="20" t="n">
        <v>10000</v>
      </c>
      <c r="Q293" s="20" t="n">
        <v>1400</v>
      </c>
      <c r="R293" s="20" t="n">
        <v>14990</v>
      </c>
      <c r="S293" s="20" t="n">
        <v>14990</v>
      </c>
      <c r="T293" s="20" t="n">
        <v>1.81898940354586e-12</v>
      </c>
      <c r="U293" s="21" t="n">
        <v>1</v>
      </c>
      <c r="V293" s="22" t="n">
        <v>3.279</v>
      </c>
      <c r="W293" s="17" t="n">
        <v>246</v>
      </c>
      <c r="X293" s="17" t="n">
        <v>0</v>
      </c>
      <c r="Y293" s="20" t="n">
        <v>50000</v>
      </c>
      <c r="Z293" s="21" t="n">
        <v>0.0626</v>
      </c>
      <c r="AA293" s="16" t="n">
        <v>44977</v>
      </c>
      <c r="AB293" s="5">
        <f>IF(V293="","",IF(V293&lt;12,"Months","Weeks"))</f>
        <v/>
      </c>
      <c r="AC293" s="5">
        <f>IF(AB293="","",IF(AB293="Months","Daily","Weekly"))</f>
        <v/>
      </c>
      <c r="AD293" s="17">
        <f>IF(V293="","",IF(AC293="Daily",V293*Controls!$B$13,V293))</f>
        <v/>
      </c>
      <c r="AE293" s="17">
        <f>IF(V293="","",IF(AC293="Daily",V293*Controls!$B$13,V293*Controls!$B$12))</f>
        <v/>
      </c>
      <c r="AF293" s="17">
        <f>IF(OR(E293="",F293=""),"",F293-E293)</f>
        <v/>
      </c>
      <c r="AG293" s="17">
        <f>IF(OR(E293="",F293=""),"",NETWORKDAYS(E293,F293,Ref!$F$4:$F$47))</f>
        <v/>
      </c>
      <c r="AH293" s="39">
        <f>IF(IFERROR(VLOOKUP(D293,Controls!$A$25:$D$35,2,FALSE()),"No")="Yes",1,0)</f>
        <v/>
      </c>
      <c r="AI293" s="39">
        <f>IF(IFERROR(VLOOKUP(D293,Controls!$A$25:$D$35,3,FALSE()),"No")="Yes",1,0)</f>
        <v/>
      </c>
      <c r="AJ293" s="39">
        <f>IF(IFERROR(VLOOKUP(D293,Controls!$A$25:$D$35,4,FALSE()),"No")="Yes",1,0)</f>
        <v/>
      </c>
      <c r="AK293" s="96">
        <f>IF(AND($E293&gt;=Controls!$B$5,$E293&lt;=Controls!$B$6,OR(Controls!$E$9&lt;&gt;"Y",$BE293=1)),1,0)</f>
        <v/>
      </c>
      <c r="AL293" s="39">
        <f>1</f>
        <v/>
      </c>
      <c r="AM293" s="20">
        <f>S293-P293</f>
        <v/>
      </c>
      <c r="AN293" s="20">
        <f>IF(AH293=1,MAX(0,P293-S293),0)</f>
        <v/>
      </c>
      <c r="AO293" s="21">
        <f>IFERROR(S293/P293,"")</f>
        <v/>
      </c>
      <c r="AP293" s="22">
        <f>IF(Y293="","",P293/Y293)</f>
        <v/>
      </c>
      <c r="AQ293" s="39">
        <f>IF(Y293="",0,1)</f>
        <v/>
      </c>
      <c r="AR293" s="39">
        <f>IF(S293&lt;=0,1,0)</f>
        <v/>
      </c>
      <c r="AS293" s="17">
        <f>IF(AH293=1,AG293,"")</f>
        <v/>
      </c>
      <c r="AT293" s="17">
        <f>IF(AND(AH293=0,AJ293=1),AG293,"")</f>
        <v/>
      </c>
      <c r="AU293" s="5">
        <f>IF(P293&lt;10000,"Under $10K",IF(P293&lt;20000,"$10-20K",IF(P293&lt;30000,"$20-30K",IF(P293&lt;50000,"$30-50K",IF(P293&lt;100000,"$50-100K","$100K+")))))</f>
        <v/>
      </c>
      <c r="AV293" s="5">
        <f>IF(O293&lt;=1.35,"1.35 and under",IF(O293&lt;=1.42,"1.36-1.42",IF(O293&lt;=1.45,"1.43-1.45",IF(O293&lt;1.49,"1.46-1.48",IF(O293&lt;=1.49,"1.49","Above 1.49")))))</f>
        <v/>
      </c>
      <c r="AW293" s="5">
        <f>IF(AE293="","",IF(AE293&lt;60,"Under 60",IF(AE293&lt;90,"60-89",IF(AE293&lt;120,"90-119",IF(AE293&lt;150,"120-149","150+")))))</f>
        <v/>
      </c>
      <c r="AX293" s="5">
        <f>IF(AP293="","No revenue data",IF(AP293&lt;0.15,"Under 0.15x",IF(AP293&lt;0.3,"0.15-0.30x",IF(AP293&lt;0.5,"0.30-0.50x",IF(AP293&lt;1,"0.50-1.00x","1.00x+")))))</f>
        <v/>
      </c>
      <c r="AY293" s="5">
        <f>IF(J293="","No SIC",IFERROR(VLOOKUP(J293,Ref!$A$4:$C$67,2,FALSE()),"Unclassified"))</f>
        <v/>
      </c>
      <c r="AZ293" s="5">
        <f>IF(E293="","",TEXT(E293,"YYYY")&amp;"-Q"&amp;ROUNDUP(MONTH(E293)/3,0))</f>
        <v/>
      </c>
      <c r="BA293" s="5">
        <f>IF(E293="","",TEXT(E293,"YYYY-MM"))</f>
        <v/>
      </c>
      <c r="BB293" s="5">
        <f>IF(E293="","",TEXT(E293,"YYYY"))</f>
        <v/>
      </c>
      <c r="BC293" s="92">
        <f>IF($E293="","",NETWORKDAYS($E293,Controls!$B$9,Ref!$F$4:$F$47))</f>
        <v/>
      </c>
      <c r="BD293" s="92">
        <f>IF(OR($AH293=1,$AJ293=1),1,0)</f>
        <v/>
      </c>
      <c r="BE293" s="95">
        <f>IF(OR($BD293=1,AND($AE293&lt;&gt;"",$BC293&gt;=Controls!$B$10*$AE293)),1,0)</f>
        <v/>
      </c>
    </row>
    <row r="294" ht="15.75" customHeight="1" s="79">
      <c r="A294" s="5" t="inlineStr">
        <is>
          <t>5674168717</t>
        </is>
      </c>
      <c r="B294" s="5" t="inlineStr">
        <is>
          <t>S. Shuart Contracting, LLC</t>
        </is>
      </c>
      <c r="C294" s="5" t="inlineStr">
        <is>
          <t>S. Shuart Contracting, LLC</t>
        </is>
      </c>
      <c r="D294" s="5" t="inlineStr">
        <is>
          <t>Closed</t>
        </is>
      </c>
      <c r="E294" s="16" t="n">
        <v>45947</v>
      </c>
      <c r="F294" s="16" t="n">
        <v>46178</v>
      </c>
      <c r="G294" s="17" t="n">
        <v>2</v>
      </c>
      <c r="H294" s="5" t="inlineStr">
        <is>
          <t>1771</t>
        </is>
      </c>
      <c r="I294" s="5" t="inlineStr">
        <is>
          <t>Poured Concrete Foundation and Structure Contractors</t>
        </is>
      </c>
      <c r="J294" s="5" t="inlineStr">
        <is>
          <t>17</t>
        </is>
      </c>
      <c r="K294" s="5" t="n">
        <v>1771</v>
      </c>
      <c r="L294" s="5" t="inlineStr">
        <is>
          <t>NJ</t>
        </is>
      </c>
      <c r="M294" s="5" t="inlineStr">
        <is>
          <t>Shore Funding USA</t>
        </is>
      </c>
      <c r="N294" s="5" t="inlineStr">
        <is>
          <t>New Deal</t>
        </is>
      </c>
      <c r="O294" s="19" t="n">
        <v>1.36</v>
      </c>
      <c r="P294" s="20" t="n">
        <v>50000</v>
      </c>
      <c r="Q294" s="20" t="n">
        <v>5500</v>
      </c>
      <c r="R294" s="20" t="n">
        <v>68000</v>
      </c>
      <c r="S294" s="20" t="n">
        <v>68000</v>
      </c>
      <c r="T294" s="20" t="n">
        <v>0</v>
      </c>
      <c r="U294" s="21" t="n">
        <v>1</v>
      </c>
      <c r="V294" s="22" t="n">
        <v>52</v>
      </c>
      <c r="W294" s="17" t="n">
        <v>75</v>
      </c>
      <c r="X294" s="17" t="n">
        <v>0</v>
      </c>
      <c r="Y294" s="20" t="n">
        <v>46372.53</v>
      </c>
      <c r="Z294" s="21" t="n">
        <v>0.1128</v>
      </c>
      <c r="AA294" s="16" t="n">
        <v>42979</v>
      </c>
      <c r="AB294" s="5">
        <f>IF(V294="","",IF(V294&lt;12,"Months","Weeks"))</f>
        <v/>
      </c>
      <c r="AC294" s="5">
        <f>IF(AB294="","",IF(AB294="Months","Daily","Weekly"))</f>
        <v/>
      </c>
      <c r="AD294" s="17">
        <f>IF(V294="","",IF(AC294="Daily",V294*Controls!$B$13,V294))</f>
        <v/>
      </c>
      <c r="AE294" s="17">
        <f>IF(V294="","",IF(AC294="Daily",V294*Controls!$B$13,V294*Controls!$B$12))</f>
        <v/>
      </c>
      <c r="AF294" s="17">
        <f>IF(OR(E294="",F294=""),"",F294-E294)</f>
        <v/>
      </c>
      <c r="AG294" s="17">
        <f>IF(OR(E294="",F294=""),"",NETWORKDAYS(E294,F294,Ref!$F$4:$F$47))</f>
        <v/>
      </c>
      <c r="AH294" s="39">
        <f>IF(IFERROR(VLOOKUP(D294,Controls!$A$25:$D$35,2,FALSE()),"No")="Yes",1,0)</f>
        <v/>
      </c>
      <c r="AI294" s="39">
        <f>IF(IFERROR(VLOOKUP(D294,Controls!$A$25:$D$35,3,FALSE()),"No")="Yes",1,0)</f>
        <v/>
      </c>
      <c r="AJ294" s="39">
        <f>IF(IFERROR(VLOOKUP(D294,Controls!$A$25:$D$35,4,FALSE()),"No")="Yes",1,0)</f>
        <v/>
      </c>
      <c r="AK294" s="96">
        <f>IF(AND($E294&gt;=Controls!$B$5,$E294&lt;=Controls!$B$6,OR(Controls!$E$9&lt;&gt;"Y",$BE294=1)),1,0)</f>
        <v/>
      </c>
      <c r="AL294" s="39">
        <f>1</f>
        <v/>
      </c>
      <c r="AM294" s="20">
        <f>S294-P294</f>
        <v/>
      </c>
      <c r="AN294" s="20">
        <f>IF(AH294=1,MAX(0,P294-S294),0)</f>
        <v/>
      </c>
      <c r="AO294" s="21">
        <f>IFERROR(S294/P294,"")</f>
        <v/>
      </c>
      <c r="AP294" s="22">
        <f>IF(Y294="","",P294/Y294)</f>
        <v/>
      </c>
      <c r="AQ294" s="39">
        <f>IF(Y294="",0,1)</f>
        <v/>
      </c>
      <c r="AR294" s="39">
        <f>IF(S294&lt;=0,1,0)</f>
        <v/>
      </c>
      <c r="AS294" s="17">
        <f>IF(AH294=1,AG294,"")</f>
        <v/>
      </c>
      <c r="AT294" s="17">
        <f>IF(AND(AH294=0,AJ294=1),AG294,"")</f>
        <v/>
      </c>
      <c r="AU294" s="5">
        <f>IF(P294&lt;10000,"Under $10K",IF(P294&lt;20000,"$10-20K",IF(P294&lt;30000,"$20-30K",IF(P294&lt;50000,"$30-50K",IF(P294&lt;100000,"$50-100K","$100K+")))))</f>
        <v/>
      </c>
      <c r="AV294" s="5">
        <f>IF(O294&lt;=1.35,"1.35 and under",IF(O294&lt;=1.42,"1.36-1.42",IF(O294&lt;=1.45,"1.43-1.45",IF(O294&lt;1.49,"1.46-1.48",IF(O294&lt;=1.49,"1.49","Above 1.49")))))</f>
        <v/>
      </c>
      <c r="AW294" s="5">
        <f>IF(AE294="","",IF(AE294&lt;60,"Under 60",IF(AE294&lt;90,"60-89",IF(AE294&lt;120,"90-119",IF(AE294&lt;150,"120-149","150+")))))</f>
        <v/>
      </c>
      <c r="AX294" s="5">
        <f>IF(AP294="","No revenue data",IF(AP294&lt;0.15,"Under 0.15x",IF(AP294&lt;0.3,"0.15-0.30x",IF(AP294&lt;0.5,"0.30-0.50x",IF(AP294&lt;1,"0.50-1.00x","1.00x+")))))</f>
        <v/>
      </c>
      <c r="AY294" s="5">
        <f>IF(J294="","No SIC",IFERROR(VLOOKUP(J294,Ref!$A$4:$C$67,2,FALSE()),"Unclassified"))</f>
        <v/>
      </c>
      <c r="AZ294" s="5">
        <f>IF(E294="","",TEXT(E294,"YYYY")&amp;"-Q"&amp;ROUNDUP(MONTH(E294)/3,0))</f>
        <v/>
      </c>
      <c r="BA294" s="5">
        <f>IF(E294="","",TEXT(E294,"YYYY-MM"))</f>
        <v/>
      </c>
      <c r="BB294" s="5">
        <f>IF(E294="","",TEXT(E294,"YYYY"))</f>
        <v/>
      </c>
      <c r="BC294" s="92">
        <f>IF($E294="","",NETWORKDAYS($E294,Controls!$B$9,Ref!$F$4:$F$47))</f>
        <v/>
      </c>
      <c r="BD294" s="92">
        <f>IF(OR($AH294=1,$AJ294=1),1,0)</f>
        <v/>
      </c>
      <c r="BE294" s="95">
        <f>IF(OR($BD294=1,AND($AE294&lt;&gt;"",$BC294&gt;=Controls!$B$10*$AE294)),1,0)</f>
        <v/>
      </c>
    </row>
    <row r="295" ht="15.75" customHeight="1" s="79">
      <c r="A295" s="5" t="inlineStr">
        <is>
          <t>5674168782</t>
        </is>
      </c>
      <c r="B295" s="5" t="inlineStr">
        <is>
          <t>DALLAS DETAIL &amp; CONSTRUCTION</t>
        </is>
      </c>
      <c r="C295" s="5" t="inlineStr">
        <is>
          <t>DALLAS DETAIL &amp; CONSTRUCTION</t>
        </is>
      </c>
      <c r="D295" s="5" t="inlineStr">
        <is>
          <t>Legal</t>
        </is>
      </c>
      <c r="E295" s="16" t="n">
        <v>45947</v>
      </c>
      <c r="F295" s="16" t="n">
        <v>46177</v>
      </c>
      <c r="G295" s="17" t="n">
        <v>7</v>
      </c>
      <c r="H295" s="5" t="inlineStr">
        <is>
          <t>1521</t>
        </is>
      </c>
      <c r="I295" s="5" t="inlineStr">
        <is>
          <t>New Single-Family Housing Construction (Except For-Sale Builders)</t>
        </is>
      </c>
      <c r="J295" s="5" t="inlineStr">
        <is>
          <t>15</t>
        </is>
      </c>
      <c r="K295" s="5" t="n">
        <v>1520</v>
      </c>
      <c r="L295" s="5" t="inlineStr">
        <is>
          <t>TX</t>
        </is>
      </c>
      <c r="M295" s="5" t="inlineStr">
        <is>
          <t>The Funding Channel</t>
        </is>
      </c>
      <c r="N295" s="5" t="inlineStr">
        <is>
          <t>Renewal</t>
        </is>
      </c>
      <c r="O295" s="19" t="n">
        <v>1.399</v>
      </c>
      <c r="P295" s="20" t="n">
        <v>7000</v>
      </c>
      <c r="Q295" s="20" t="n">
        <v>630</v>
      </c>
      <c r="R295" s="20" t="n">
        <v>9793</v>
      </c>
      <c r="S295" s="20" t="n">
        <v>4082.62</v>
      </c>
      <c r="T295" s="20" t="n">
        <v>5710.38</v>
      </c>
      <c r="U295" s="21" t="n">
        <v>0.416891657306239</v>
      </c>
      <c r="V295" s="22" t="n">
        <v>2.951</v>
      </c>
      <c r="W295" s="17" t="n">
        <v>226</v>
      </c>
      <c r="X295" s="17" t="n">
        <v>22</v>
      </c>
      <c r="Y295" s="20" t="n">
        <v>77765.69</v>
      </c>
      <c r="Z295" s="21" t="n">
        <v>0.0294</v>
      </c>
      <c r="AA295" s="16" t="n">
        <v>40917</v>
      </c>
      <c r="AB295" s="5">
        <f>IF(V295="","",IF(V295&lt;12,"Months","Weeks"))</f>
        <v/>
      </c>
      <c r="AC295" s="5">
        <f>IF(AB295="","",IF(AB295="Months","Daily","Weekly"))</f>
        <v/>
      </c>
      <c r="AD295" s="17">
        <f>IF(V295="","",IF(AC295="Daily",V295*Controls!$B$13,V295))</f>
        <v/>
      </c>
      <c r="AE295" s="17">
        <f>IF(V295="","",IF(AC295="Daily",V295*Controls!$B$13,V295*Controls!$B$12))</f>
        <v/>
      </c>
      <c r="AF295" s="17">
        <f>IF(OR(E295="",F295=""),"",F295-E295)</f>
        <v/>
      </c>
      <c r="AG295" s="17">
        <f>IF(OR(E295="",F295=""),"",NETWORKDAYS(E295,F295,Ref!$F$4:$F$47))</f>
        <v/>
      </c>
      <c r="AH295" s="39">
        <f>IF(IFERROR(VLOOKUP(D295,Controls!$A$25:$D$35,2,FALSE()),"No")="Yes",1,0)</f>
        <v/>
      </c>
      <c r="AI295" s="39">
        <f>IF(IFERROR(VLOOKUP(D295,Controls!$A$25:$D$35,3,FALSE()),"No")="Yes",1,0)</f>
        <v/>
      </c>
      <c r="AJ295" s="39">
        <f>IF(IFERROR(VLOOKUP(D295,Controls!$A$25:$D$35,4,FALSE()),"No")="Yes",1,0)</f>
        <v/>
      </c>
      <c r="AK295" s="96">
        <f>IF(AND($E295&gt;=Controls!$B$5,$E295&lt;=Controls!$B$6,OR(Controls!$E$9&lt;&gt;"Y",$BE295=1)),1,0)</f>
        <v/>
      </c>
      <c r="AL295" s="39">
        <f>1</f>
        <v/>
      </c>
      <c r="AM295" s="20">
        <f>S295-P295</f>
        <v/>
      </c>
      <c r="AN295" s="20">
        <f>IF(AH295=1,MAX(0,P295-S295),0)</f>
        <v/>
      </c>
      <c r="AO295" s="21">
        <f>IFERROR(S295/P295,"")</f>
        <v/>
      </c>
      <c r="AP295" s="22">
        <f>IF(Y295="","",P295/Y295)</f>
        <v/>
      </c>
      <c r="AQ295" s="39">
        <f>IF(Y295="",0,1)</f>
        <v/>
      </c>
      <c r="AR295" s="39">
        <f>IF(S295&lt;=0,1,0)</f>
        <v/>
      </c>
      <c r="AS295" s="17">
        <f>IF(AH295=1,AG295,"")</f>
        <v/>
      </c>
      <c r="AT295" s="17">
        <f>IF(AND(AH295=0,AJ295=1),AG295,"")</f>
        <v/>
      </c>
      <c r="AU295" s="5">
        <f>IF(P295&lt;10000,"Under $10K",IF(P295&lt;20000,"$10-20K",IF(P295&lt;30000,"$20-30K",IF(P295&lt;50000,"$30-50K",IF(P295&lt;100000,"$50-100K","$100K+")))))</f>
        <v/>
      </c>
      <c r="AV295" s="5">
        <f>IF(O295&lt;=1.35,"1.35 and under",IF(O295&lt;=1.42,"1.36-1.42",IF(O295&lt;=1.45,"1.43-1.45",IF(O295&lt;1.49,"1.46-1.48",IF(O295&lt;=1.49,"1.49","Above 1.49")))))</f>
        <v/>
      </c>
      <c r="AW295" s="5">
        <f>IF(AE295="","",IF(AE295&lt;60,"Under 60",IF(AE295&lt;90,"60-89",IF(AE295&lt;120,"90-119",IF(AE295&lt;150,"120-149","150+")))))</f>
        <v/>
      </c>
      <c r="AX295" s="5">
        <f>IF(AP295="","No revenue data",IF(AP295&lt;0.15,"Under 0.15x",IF(AP295&lt;0.3,"0.15-0.30x",IF(AP295&lt;0.5,"0.30-0.50x",IF(AP295&lt;1,"0.50-1.00x","1.00x+")))))</f>
        <v/>
      </c>
      <c r="AY295" s="5">
        <f>IF(J295="","No SIC",IFERROR(VLOOKUP(J295,Ref!$A$4:$C$67,2,FALSE()),"Unclassified"))</f>
        <v/>
      </c>
      <c r="AZ295" s="5">
        <f>IF(E295="","",TEXT(E295,"YYYY")&amp;"-Q"&amp;ROUNDUP(MONTH(E295)/3,0))</f>
        <v/>
      </c>
      <c r="BA295" s="5">
        <f>IF(E295="","",TEXT(E295,"YYYY-MM"))</f>
        <v/>
      </c>
      <c r="BB295" s="5">
        <f>IF(E295="","",TEXT(E295,"YYYY"))</f>
        <v/>
      </c>
      <c r="BC295" s="92">
        <f>IF($E295="","",NETWORKDAYS($E295,Controls!$B$9,Ref!$F$4:$F$47))</f>
        <v/>
      </c>
      <c r="BD295" s="92">
        <f>IF(OR($AH295=1,$AJ295=1),1,0)</f>
        <v/>
      </c>
      <c r="BE295" s="95">
        <f>IF(OR($BD295=1,AND($AE295&lt;&gt;"",$BC295&gt;=Controls!$B$10*$AE295)),1,0)</f>
        <v/>
      </c>
    </row>
    <row r="296" ht="15.75" customHeight="1" s="79">
      <c r="A296" s="5" t="inlineStr">
        <is>
          <t>5674168787</t>
        </is>
      </c>
      <c r="B296" s="5" t="inlineStr">
        <is>
          <t>CCC TREE SERVICE INC</t>
        </is>
      </c>
      <c r="C296" s="5" t="inlineStr">
        <is>
          <t>CCC TREE SERVICE INC</t>
        </is>
      </c>
      <c r="D296" s="5" t="inlineStr">
        <is>
          <t>Legal</t>
        </is>
      </c>
      <c r="E296" s="16" t="n">
        <v>45947</v>
      </c>
      <c r="F296" s="16" t="n">
        <v>46154</v>
      </c>
      <c r="G296" s="17" t="n">
        <v>2</v>
      </c>
      <c r="H296" s="5" t="inlineStr">
        <is>
          <t>0851</t>
        </is>
      </c>
      <c r="I296" s="5" t="inlineStr">
        <is>
          <t>Support Activities for Forestry</t>
        </is>
      </c>
      <c r="J296" s="5" t="inlineStr">
        <is>
          <t>08</t>
        </is>
      </c>
      <c r="K296" s="5" t="n">
        <v>5712</v>
      </c>
      <c r="L296" s="5" t="inlineStr">
        <is>
          <t>NC</t>
        </is>
      </c>
      <c r="M296" s="5" t="inlineStr">
        <is>
          <t>United Secured Capital 8</t>
        </is>
      </c>
      <c r="N296" s="5" t="inlineStr">
        <is>
          <t>New Deal</t>
        </is>
      </c>
      <c r="O296" s="19" t="n">
        <v>1.49</v>
      </c>
      <c r="P296" s="20" t="n">
        <v>5000</v>
      </c>
      <c r="Q296" s="20" t="n">
        <v>700</v>
      </c>
      <c r="R296" s="20" t="n">
        <v>7450</v>
      </c>
      <c r="S296" s="20" t="n">
        <v>1024.32</v>
      </c>
      <c r="T296" s="20" t="n">
        <v>6425.68</v>
      </c>
      <c r="U296" s="21" t="n">
        <v>0.137492617449664</v>
      </c>
      <c r="V296" s="22" t="n">
        <v>2.623</v>
      </c>
      <c r="W296" s="17" t="n">
        <v>288</v>
      </c>
      <c r="X296" s="17" t="n">
        <v>17</v>
      </c>
      <c r="Y296" s="20" t="n">
        <v>8757.459999999999</v>
      </c>
      <c r="Z296" s="21" t="n">
        <v>0.2233</v>
      </c>
      <c r="AA296" s="5" t="n"/>
      <c r="AB296" s="5">
        <f>IF(V296="","",IF(V296&lt;12,"Months","Weeks"))</f>
        <v/>
      </c>
      <c r="AC296" s="5">
        <f>IF(AB296="","",IF(AB296="Months","Daily","Weekly"))</f>
        <v/>
      </c>
      <c r="AD296" s="17">
        <f>IF(V296="","",IF(AC296="Daily",V296*Controls!$B$13,V296))</f>
        <v/>
      </c>
      <c r="AE296" s="17">
        <f>IF(V296="","",IF(AC296="Daily",V296*Controls!$B$13,V296*Controls!$B$12))</f>
        <v/>
      </c>
      <c r="AF296" s="17">
        <f>IF(OR(E296="",F296=""),"",F296-E296)</f>
        <v/>
      </c>
      <c r="AG296" s="17">
        <f>IF(OR(E296="",F296=""),"",NETWORKDAYS(E296,F296,Ref!$F$4:$F$47))</f>
        <v/>
      </c>
      <c r="AH296" s="39">
        <f>IF(IFERROR(VLOOKUP(D296,Controls!$A$25:$D$35,2,FALSE()),"No")="Yes",1,0)</f>
        <v/>
      </c>
      <c r="AI296" s="39">
        <f>IF(IFERROR(VLOOKUP(D296,Controls!$A$25:$D$35,3,FALSE()),"No")="Yes",1,0)</f>
        <v/>
      </c>
      <c r="AJ296" s="39">
        <f>IF(IFERROR(VLOOKUP(D296,Controls!$A$25:$D$35,4,FALSE()),"No")="Yes",1,0)</f>
        <v/>
      </c>
      <c r="AK296" s="96">
        <f>IF(AND($E296&gt;=Controls!$B$5,$E296&lt;=Controls!$B$6,OR(Controls!$E$9&lt;&gt;"Y",$BE296=1)),1,0)</f>
        <v/>
      </c>
      <c r="AL296" s="39">
        <f>1</f>
        <v/>
      </c>
      <c r="AM296" s="20">
        <f>S296-P296</f>
        <v/>
      </c>
      <c r="AN296" s="20">
        <f>IF(AH296=1,MAX(0,P296-S296),0)</f>
        <v/>
      </c>
      <c r="AO296" s="21">
        <f>IFERROR(S296/P296,"")</f>
        <v/>
      </c>
      <c r="AP296" s="22">
        <f>IF(Y296="","",P296/Y296)</f>
        <v/>
      </c>
      <c r="AQ296" s="39">
        <f>IF(Y296="",0,1)</f>
        <v/>
      </c>
      <c r="AR296" s="39">
        <f>IF(S296&lt;=0,1,0)</f>
        <v/>
      </c>
      <c r="AS296" s="17">
        <f>IF(AH296=1,AG296,"")</f>
        <v/>
      </c>
      <c r="AT296" s="17">
        <f>IF(AND(AH296=0,AJ296=1),AG296,"")</f>
        <v/>
      </c>
      <c r="AU296" s="5">
        <f>IF(P296&lt;10000,"Under $10K",IF(P296&lt;20000,"$10-20K",IF(P296&lt;30000,"$20-30K",IF(P296&lt;50000,"$30-50K",IF(P296&lt;100000,"$50-100K","$100K+")))))</f>
        <v/>
      </c>
      <c r="AV296" s="5">
        <f>IF(O296&lt;=1.35,"1.35 and under",IF(O296&lt;=1.42,"1.36-1.42",IF(O296&lt;=1.45,"1.43-1.45",IF(O296&lt;1.49,"1.46-1.48",IF(O296&lt;=1.49,"1.49","Above 1.49")))))</f>
        <v/>
      </c>
      <c r="AW296" s="5">
        <f>IF(AE296="","",IF(AE296&lt;60,"Under 60",IF(AE296&lt;90,"60-89",IF(AE296&lt;120,"90-119",IF(AE296&lt;150,"120-149","150+")))))</f>
        <v/>
      </c>
      <c r="AX296" s="5">
        <f>IF(AP296="","No revenue data",IF(AP296&lt;0.15,"Under 0.15x",IF(AP296&lt;0.3,"0.15-0.30x",IF(AP296&lt;0.5,"0.30-0.50x",IF(AP296&lt;1,"0.50-1.00x","1.00x+")))))</f>
        <v/>
      </c>
      <c r="AY296" s="5">
        <f>IF(J296="","No SIC",IFERROR(VLOOKUP(J296,Ref!$A$4:$C$67,2,FALSE()),"Unclassified"))</f>
        <v/>
      </c>
      <c r="AZ296" s="5">
        <f>IF(E296="","",TEXT(E296,"YYYY")&amp;"-Q"&amp;ROUNDUP(MONTH(E296)/3,0))</f>
        <v/>
      </c>
      <c r="BA296" s="5">
        <f>IF(E296="","",TEXT(E296,"YYYY-MM"))</f>
        <v/>
      </c>
      <c r="BB296" s="5">
        <f>IF(E296="","",TEXT(E296,"YYYY"))</f>
        <v/>
      </c>
      <c r="BC296" s="92">
        <f>IF($E296="","",NETWORKDAYS($E296,Controls!$B$9,Ref!$F$4:$F$47))</f>
        <v/>
      </c>
      <c r="BD296" s="92">
        <f>IF(OR($AH296=1,$AJ296=1),1,0)</f>
        <v/>
      </c>
      <c r="BE296" s="95">
        <f>IF(OR($BD296=1,AND($AE296&lt;&gt;"",$BC296&gt;=Controls!$B$10*$AE296)),1,0)</f>
        <v/>
      </c>
    </row>
    <row r="297" ht="15.75" customHeight="1" s="79">
      <c r="A297" s="5" t="inlineStr">
        <is>
          <t>5674168835</t>
        </is>
      </c>
      <c r="B297" s="5" t="inlineStr">
        <is>
          <t>503 BUILDERS LLC</t>
        </is>
      </c>
      <c r="C297" s="5" t="inlineStr">
        <is>
          <t>503 Builders LLC</t>
        </is>
      </c>
      <c r="D297" s="5" t="inlineStr">
        <is>
          <t>Closed</t>
        </is>
      </c>
      <c r="E297" s="16" t="n">
        <v>45950</v>
      </c>
      <c r="F297" s="16" t="n">
        <v>46020</v>
      </c>
      <c r="G297" s="17" t="n">
        <v>5</v>
      </c>
      <c r="H297" s="5" t="inlineStr">
        <is>
          <t>1521</t>
        </is>
      </c>
      <c r="I297" s="5" t="inlineStr">
        <is>
          <t>New Single-Family Housing Construction (Except For-Sale Builders)</t>
        </is>
      </c>
      <c r="J297" s="5" t="inlineStr">
        <is>
          <t>15</t>
        </is>
      </c>
      <c r="K297" s="5" t="n">
        <v>1520</v>
      </c>
      <c r="L297" s="5" t="inlineStr">
        <is>
          <t>OR</t>
        </is>
      </c>
      <c r="M297" s="5" t="inlineStr">
        <is>
          <t>Biz fuel</t>
        </is>
      </c>
      <c r="N297" s="5" t="inlineStr">
        <is>
          <t>Renewal</t>
        </is>
      </c>
      <c r="O297" s="19" t="n">
        <v>1.499</v>
      </c>
      <c r="P297" s="20" t="n">
        <v>30000</v>
      </c>
      <c r="Q297" s="20" t="n">
        <v>4200</v>
      </c>
      <c r="R297" s="20" t="n">
        <v>44970</v>
      </c>
      <c r="S297" s="20" t="n">
        <v>44970</v>
      </c>
      <c r="T297" s="20" t="n">
        <v>0</v>
      </c>
      <c r="U297" s="21" t="n">
        <v>1</v>
      </c>
      <c r="V297" s="22" t="n">
        <v>2.951</v>
      </c>
      <c r="W297" s="17" t="n">
        <v>233</v>
      </c>
      <c r="X297" s="17" t="n">
        <v>0</v>
      </c>
      <c r="Y297" s="20" t="n">
        <v>64267.19</v>
      </c>
      <c r="Z297" s="21" t="n">
        <v>0.1479</v>
      </c>
      <c r="AA297" s="16" t="n">
        <v>44367</v>
      </c>
      <c r="AB297" s="5">
        <f>IF(V297="","",IF(V297&lt;12,"Months","Weeks"))</f>
        <v/>
      </c>
      <c r="AC297" s="5">
        <f>IF(AB297="","",IF(AB297="Months","Daily","Weekly"))</f>
        <v/>
      </c>
      <c r="AD297" s="17">
        <f>IF(V297="","",IF(AC297="Daily",V297*Controls!$B$13,V297))</f>
        <v/>
      </c>
      <c r="AE297" s="17">
        <f>IF(V297="","",IF(AC297="Daily",V297*Controls!$B$13,V297*Controls!$B$12))</f>
        <v/>
      </c>
      <c r="AF297" s="17">
        <f>IF(OR(E297="",F297=""),"",F297-E297)</f>
        <v/>
      </c>
      <c r="AG297" s="17">
        <f>IF(OR(E297="",F297=""),"",NETWORKDAYS(E297,F297,Ref!$F$4:$F$47))</f>
        <v/>
      </c>
      <c r="AH297" s="39">
        <f>IF(IFERROR(VLOOKUP(D297,Controls!$A$25:$D$35,2,FALSE()),"No")="Yes",1,0)</f>
        <v/>
      </c>
      <c r="AI297" s="39">
        <f>IF(IFERROR(VLOOKUP(D297,Controls!$A$25:$D$35,3,FALSE()),"No")="Yes",1,0)</f>
        <v/>
      </c>
      <c r="AJ297" s="39">
        <f>IF(IFERROR(VLOOKUP(D297,Controls!$A$25:$D$35,4,FALSE()),"No")="Yes",1,0)</f>
        <v/>
      </c>
      <c r="AK297" s="96">
        <f>IF(AND($E297&gt;=Controls!$B$5,$E297&lt;=Controls!$B$6,OR(Controls!$E$9&lt;&gt;"Y",$BE297=1)),1,0)</f>
        <v/>
      </c>
      <c r="AL297" s="39">
        <f>1</f>
        <v/>
      </c>
      <c r="AM297" s="20">
        <f>S297-P297</f>
        <v/>
      </c>
      <c r="AN297" s="20">
        <f>IF(AH297=1,MAX(0,P297-S297),0)</f>
        <v/>
      </c>
      <c r="AO297" s="21">
        <f>IFERROR(S297/P297,"")</f>
        <v/>
      </c>
      <c r="AP297" s="22">
        <f>IF(Y297="","",P297/Y297)</f>
        <v/>
      </c>
      <c r="AQ297" s="39">
        <f>IF(Y297="",0,1)</f>
        <v/>
      </c>
      <c r="AR297" s="39">
        <f>IF(S297&lt;=0,1,0)</f>
        <v/>
      </c>
      <c r="AS297" s="17">
        <f>IF(AH297=1,AG297,"")</f>
        <v/>
      </c>
      <c r="AT297" s="17">
        <f>IF(AND(AH297=0,AJ297=1),AG297,"")</f>
        <v/>
      </c>
      <c r="AU297" s="5">
        <f>IF(P297&lt;10000,"Under $10K",IF(P297&lt;20000,"$10-20K",IF(P297&lt;30000,"$20-30K",IF(P297&lt;50000,"$30-50K",IF(P297&lt;100000,"$50-100K","$100K+")))))</f>
        <v/>
      </c>
      <c r="AV297" s="5">
        <f>IF(O297&lt;=1.35,"1.35 and under",IF(O297&lt;=1.42,"1.36-1.42",IF(O297&lt;=1.45,"1.43-1.45",IF(O297&lt;1.49,"1.46-1.48",IF(O297&lt;=1.49,"1.49","Above 1.49")))))</f>
        <v/>
      </c>
      <c r="AW297" s="5">
        <f>IF(AE297="","",IF(AE297&lt;60,"Under 60",IF(AE297&lt;90,"60-89",IF(AE297&lt;120,"90-119",IF(AE297&lt;150,"120-149","150+")))))</f>
        <v/>
      </c>
      <c r="AX297" s="5">
        <f>IF(AP297="","No revenue data",IF(AP297&lt;0.15,"Under 0.15x",IF(AP297&lt;0.3,"0.15-0.30x",IF(AP297&lt;0.5,"0.30-0.50x",IF(AP297&lt;1,"0.50-1.00x","1.00x+")))))</f>
        <v/>
      </c>
      <c r="AY297" s="5">
        <f>IF(J297="","No SIC",IFERROR(VLOOKUP(J297,Ref!$A$4:$C$67,2,FALSE()),"Unclassified"))</f>
        <v/>
      </c>
      <c r="AZ297" s="5">
        <f>IF(E297="","",TEXT(E297,"YYYY")&amp;"-Q"&amp;ROUNDUP(MONTH(E297)/3,0))</f>
        <v/>
      </c>
      <c r="BA297" s="5">
        <f>IF(E297="","",TEXT(E297,"YYYY-MM"))</f>
        <v/>
      </c>
      <c r="BB297" s="5">
        <f>IF(E297="","",TEXT(E297,"YYYY"))</f>
        <v/>
      </c>
      <c r="BC297" s="92">
        <f>IF($E297="","",NETWORKDAYS($E297,Controls!$B$9,Ref!$F$4:$F$47))</f>
        <v/>
      </c>
      <c r="BD297" s="92">
        <f>IF(OR($AH297=1,$AJ297=1),1,0)</f>
        <v/>
      </c>
      <c r="BE297" s="95">
        <f>IF(OR($BD297=1,AND($AE297&lt;&gt;"",$BC297&gt;=Controls!$B$10*$AE297)),1,0)</f>
        <v/>
      </c>
    </row>
    <row r="298" ht="15.75" customHeight="1" s="79">
      <c r="A298" s="5" t="inlineStr">
        <is>
          <t>5674168872</t>
        </is>
      </c>
      <c r="B298" s="5" t="inlineStr">
        <is>
          <t>Blue Mountain Heating &amp; Air</t>
        </is>
      </c>
      <c r="C298" s="5" t="inlineStr">
        <is>
          <t>Blue Mountain Heating &amp; Air</t>
        </is>
      </c>
      <c r="D298" s="5" t="inlineStr">
        <is>
          <t>In House Collection</t>
        </is>
      </c>
      <c r="E298" s="16" t="n">
        <v>45950</v>
      </c>
      <c r="F298" s="16" t="n">
        <v>46171</v>
      </c>
      <c r="G298" s="17" t="n">
        <v>2</v>
      </c>
      <c r="H298" s="5" t="inlineStr">
        <is>
          <t>1711</t>
        </is>
      </c>
      <c r="I298" s="5" t="inlineStr">
        <is>
          <t>Plumbing, Heating, and Air Conditioning Contractors</t>
        </is>
      </c>
      <c r="J298" s="5" t="inlineStr">
        <is>
          <t>17</t>
        </is>
      </c>
      <c r="K298" s="5" t="n">
        <v>1711</v>
      </c>
      <c r="L298" s="5" t="inlineStr">
        <is>
          <t>GA</t>
        </is>
      </c>
      <c r="M298" s="5" t="inlineStr">
        <is>
          <t>United Secured Capital 8</t>
        </is>
      </c>
      <c r="N298" s="5" t="inlineStr">
        <is>
          <t>New Deal</t>
        </is>
      </c>
      <c r="O298" s="19" t="n">
        <v>1.499</v>
      </c>
      <c r="P298" s="20" t="n">
        <v>10000</v>
      </c>
      <c r="Q298" s="20" t="n">
        <v>1400</v>
      </c>
      <c r="R298" s="20" t="n">
        <v>14990</v>
      </c>
      <c r="S298" s="20" t="n">
        <v>3576.96</v>
      </c>
      <c r="T298" s="20" t="n">
        <v>11413.04</v>
      </c>
      <c r="U298" s="21" t="n">
        <v>0.238623082054703</v>
      </c>
      <c r="V298" s="22" t="n">
        <v>2.459</v>
      </c>
      <c r="W298" s="17" t="n">
        <v>84</v>
      </c>
      <c r="X298" s="17" t="n">
        <v>7</v>
      </c>
      <c r="Y298" s="20" t="n">
        <v>33817.98</v>
      </c>
      <c r="Z298" s="21" t="n">
        <v>0.1234</v>
      </c>
      <c r="AA298" s="16" t="n">
        <v>36892</v>
      </c>
      <c r="AB298" s="5">
        <f>IF(V298="","",IF(V298&lt;12,"Months","Weeks"))</f>
        <v/>
      </c>
      <c r="AC298" s="5">
        <f>IF(AB298="","",IF(AB298="Months","Daily","Weekly"))</f>
        <v/>
      </c>
      <c r="AD298" s="17">
        <f>IF(V298="","",IF(AC298="Daily",V298*Controls!$B$13,V298))</f>
        <v/>
      </c>
      <c r="AE298" s="17">
        <f>IF(V298="","",IF(AC298="Daily",V298*Controls!$B$13,V298*Controls!$B$12))</f>
        <v/>
      </c>
      <c r="AF298" s="17">
        <f>IF(OR(E298="",F298=""),"",F298-E298)</f>
        <v/>
      </c>
      <c r="AG298" s="17">
        <f>IF(OR(E298="",F298=""),"",NETWORKDAYS(E298,F298,Ref!$F$4:$F$47))</f>
        <v/>
      </c>
      <c r="AH298" s="39">
        <f>IF(IFERROR(VLOOKUP(D298,Controls!$A$25:$D$35,2,FALSE()),"No")="Yes",1,0)</f>
        <v/>
      </c>
      <c r="AI298" s="39">
        <f>IF(IFERROR(VLOOKUP(D298,Controls!$A$25:$D$35,3,FALSE()),"No")="Yes",1,0)</f>
        <v/>
      </c>
      <c r="AJ298" s="39">
        <f>IF(IFERROR(VLOOKUP(D298,Controls!$A$25:$D$35,4,FALSE()),"No")="Yes",1,0)</f>
        <v/>
      </c>
      <c r="AK298" s="96">
        <f>IF(AND($E298&gt;=Controls!$B$5,$E298&lt;=Controls!$B$6,OR(Controls!$E$9&lt;&gt;"Y",$BE298=1)),1,0)</f>
        <v/>
      </c>
      <c r="AL298" s="39">
        <f>1</f>
        <v/>
      </c>
      <c r="AM298" s="20">
        <f>S298-P298</f>
        <v/>
      </c>
      <c r="AN298" s="20">
        <f>IF(AH298=1,MAX(0,P298-S298),0)</f>
        <v/>
      </c>
      <c r="AO298" s="21">
        <f>IFERROR(S298/P298,"")</f>
        <v/>
      </c>
      <c r="AP298" s="22">
        <f>IF(Y298="","",P298/Y298)</f>
        <v/>
      </c>
      <c r="AQ298" s="39">
        <f>IF(Y298="",0,1)</f>
        <v/>
      </c>
      <c r="AR298" s="39">
        <f>IF(S298&lt;=0,1,0)</f>
        <v/>
      </c>
      <c r="AS298" s="17">
        <f>IF(AH298=1,AG298,"")</f>
        <v/>
      </c>
      <c r="AT298" s="17">
        <f>IF(AND(AH298=0,AJ298=1),AG298,"")</f>
        <v/>
      </c>
      <c r="AU298" s="5">
        <f>IF(P298&lt;10000,"Under $10K",IF(P298&lt;20000,"$10-20K",IF(P298&lt;30000,"$20-30K",IF(P298&lt;50000,"$30-50K",IF(P298&lt;100000,"$50-100K","$100K+")))))</f>
        <v/>
      </c>
      <c r="AV298" s="5">
        <f>IF(O298&lt;=1.35,"1.35 and under",IF(O298&lt;=1.42,"1.36-1.42",IF(O298&lt;=1.45,"1.43-1.45",IF(O298&lt;1.49,"1.46-1.48",IF(O298&lt;=1.49,"1.49","Above 1.49")))))</f>
        <v/>
      </c>
      <c r="AW298" s="5">
        <f>IF(AE298="","",IF(AE298&lt;60,"Under 60",IF(AE298&lt;90,"60-89",IF(AE298&lt;120,"90-119",IF(AE298&lt;150,"120-149","150+")))))</f>
        <v/>
      </c>
      <c r="AX298" s="5">
        <f>IF(AP298="","No revenue data",IF(AP298&lt;0.15,"Under 0.15x",IF(AP298&lt;0.3,"0.15-0.30x",IF(AP298&lt;0.5,"0.30-0.50x",IF(AP298&lt;1,"0.50-1.00x","1.00x+")))))</f>
        <v/>
      </c>
      <c r="AY298" s="5">
        <f>IF(J298="","No SIC",IFERROR(VLOOKUP(J298,Ref!$A$4:$C$67,2,FALSE()),"Unclassified"))</f>
        <v/>
      </c>
      <c r="AZ298" s="5">
        <f>IF(E298="","",TEXT(E298,"YYYY")&amp;"-Q"&amp;ROUNDUP(MONTH(E298)/3,0))</f>
        <v/>
      </c>
      <c r="BA298" s="5">
        <f>IF(E298="","",TEXT(E298,"YYYY-MM"))</f>
        <v/>
      </c>
      <c r="BB298" s="5">
        <f>IF(E298="","",TEXT(E298,"YYYY"))</f>
        <v/>
      </c>
      <c r="BC298" s="92">
        <f>IF($E298="","",NETWORKDAYS($E298,Controls!$B$9,Ref!$F$4:$F$47))</f>
        <v/>
      </c>
      <c r="BD298" s="92">
        <f>IF(OR($AH298=1,$AJ298=1),1,0)</f>
        <v/>
      </c>
      <c r="BE298" s="95">
        <f>IF(OR($BD298=1,AND($AE298&lt;&gt;"",$BC298&gt;=Controls!$B$10*$AE298)),1,0)</f>
        <v/>
      </c>
    </row>
    <row r="299" ht="15.75" customHeight="1" s="79">
      <c r="A299" s="5" t="inlineStr">
        <is>
          <t>5674168907</t>
        </is>
      </c>
      <c r="B299" s="5" t="inlineStr">
        <is>
          <t>Awnings R Us</t>
        </is>
      </c>
      <c r="C299" s="5" t="inlineStr">
        <is>
          <t>Awnings R Us</t>
        </is>
      </c>
      <c r="D299" s="5" t="inlineStr">
        <is>
          <t>Legal</t>
        </is>
      </c>
      <c r="E299" s="16" t="n">
        <v>45951</v>
      </c>
      <c r="F299" s="16" t="n">
        <v>45981</v>
      </c>
      <c r="G299" s="17" t="n">
        <v>2</v>
      </c>
      <c r="H299" s="5" t="inlineStr">
        <is>
          <t>3524</t>
        </is>
      </c>
      <c r="I299" s="5" t="inlineStr">
        <is>
          <t>Lawn and Garden Tractor and Home Lawn and Garden Equipment Mfg.</t>
        </is>
      </c>
      <c r="J299" s="5" t="inlineStr">
        <is>
          <t>35</t>
        </is>
      </c>
      <c r="K299" s="5" t="n">
        <v>5261</v>
      </c>
      <c r="L299" s="5" t="inlineStr">
        <is>
          <t>MD</t>
        </is>
      </c>
      <c r="M299" s="5" t="inlineStr">
        <is>
          <t>Redline Capital</t>
        </is>
      </c>
      <c r="N299" s="5" t="inlineStr">
        <is>
          <t>New Deal</t>
        </is>
      </c>
      <c r="O299" s="19" t="n">
        <v>1.499</v>
      </c>
      <c r="P299" s="20" t="n">
        <v>22000</v>
      </c>
      <c r="Q299" s="20" t="n">
        <v>0</v>
      </c>
      <c r="R299" s="20" t="n">
        <v>32978</v>
      </c>
      <c r="S299" s="20" t="n">
        <v>1966.14</v>
      </c>
      <c r="T299" s="20" t="n">
        <v>31011.86</v>
      </c>
      <c r="U299" s="21" t="n">
        <v>0.0596197464976651</v>
      </c>
      <c r="V299" s="22" t="n">
        <v>3.279</v>
      </c>
      <c r="W299" s="17" t="n">
        <v>286</v>
      </c>
      <c r="X299" s="17" t="n">
        <v>14</v>
      </c>
      <c r="Y299" s="20" t="n">
        <v>52690.8</v>
      </c>
      <c r="Z299" s="21" t="n">
        <v>0.1306</v>
      </c>
      <c r="AA299" s="16" t="n">
        <v>44782</v>
      </c>
      <c r="AB299" s="5">
        <f>IF(V299="","",IF(V299&lt;12,"Months","Weeks"))</f>
        <v/>
      </c>
      <c r="AC299" s="5">
        <f>IF(AB299="","",IF(AB299="Months","Daily","Weekly"))</f>
        <v/>
      </c>
      <c r="AD299" s="17">
        <f>IF(V299="","",IF(AC299="Daily",V299*Controls!$B$13,V299))</f>
        <v/>
      </c>
      <c r="AE299" s="17">
        <f>IF(V299="","",IF(AC299="Daily",V299*Controls!$B$13,V299*Controls!$B$12))</f>
        <v/>
      </c>
      <c r="AF299" s="17">
        <f>IF(OR(E299="",F299=""),"",F299-E299)</f>
        <v/>
      </c>
      <c r="AG299" s="17">
        <f>IF(OR(E299="",F299=""),"",NETWORKDAYS(E299,F299,Ref!$F$4:$F$47))</f>
        <v/>
      </c>
      <c r="AH299" s="39">
        <f>IF(IFERROR(VLOOKUP(D299,Controls!$A$25:$D$35,2,FALSE()),"No")="Yes",1,0)</f>
        <v/>
      </c>
      <c r="AI299" s="39">
        <f>IF(IFERROR(VLOOKUP(D299,Controls!$A$25:$D$35,3,FALSE()),"No")="Yes",1,0)</f>
        <v/>
      </c>
      <c r="AJ299" s="39">
        <f>IF(IFERROR(VLOOKUP(D299,Controls!$A$25:$D$35,4,FALSE()),"No")="Yes",1,0)</f>
        <v/>
      </c>
      <c r="AK299" s="96">
        <f>IF(AND($E299&gt;=Controls!$B$5,$E299&lt;=Controls!$B$6,OR(Controls!$E$9&lt;&gt;"Y",$BE299=1)),1,0)</f>
        <v/>
      </c>
      <c r="AL299" s="39">
        <f>1</f>
        <v/>
      </c>
      <c r="AM299" s="20">
        <f>S299-P299</f>
        <v/>
      </c>
      <c r="AN299" s="20">
        <f>IF(AH299=1,MAX(0,P299-S299),0)</f>
        <v/>
      </c>
      <c r="AO299" s="21">
        <f>IFERROR(S299/P299,"")</f>
        <v/>
      </c>
      <c r="AP299" s="22">
        <f>IF(Y299="","",P299/Y299)</f>
        <v/>
      </c>
      <c r="AQ299" s="39">
        <f>IF(Y299="",0,1)</f>
        <v/>
      </c>
      <c r="AR299" s="39">
        <f>IF(S299&lt;=0,1,0)</f>
        <v/>
      </c>
      <c r="AS299" s="17">
        <f>IF(AH299=1,AG299,"")</f>
        <v/>
      </c>
      <c r="AT299" s="17">
        <f>IF(AND(AH299=0,AJ299=1),AG299,"")</f>
        <v/>
      </c>
      <c r="AU299" s="5">
        <f>IF(P299&lt;10000,"Under $10K",IF(P299&lt;20000,"$10-20K",IF(P299&lt;30000,"$20-30K",IF(P299&lt;50000,"$30-50K",IF(P299&lt;100000,"$50-100K","$100K+")))))</f>
        <v/>
      </c>
      <c r="AV299" s="5">
        <f>IF(O299&lt;=1.35,"1.35 and under",IF(O299&lt;=1.42,"1.36-1.42",IF(O299&lt;=1.45,"1.43-1.45",IF(O299&lt;1.49,"1.46-1.48",IF(O299&lt;=1.49,"1.49","Above 1.49")))))</f>
        <v/>
      </c>
      <c r="AW299" s="5">
        <f>IF(AE299="","",IF(AE299&lt;60,"Under 60",IF(AE299&lt;90,"60-89",IF(AE299&lt;120,"90-119",IF(AE299&lt;150,"120-149","150+")))))</f>
        <v/>
      </c>
      <c r="AX299" s="5">
        <f>IF(AP299="","No revenue data",IF(AP299&lt;0.15,"Under 0.15x",IF(AP299&lt;0.3,"0.15-0.30x",IF(AP299&lt;0.5,"0.30-0.50x",IF(AP299&lt;1,"0.50-1.00x","1.00x+")))))</f>
        <v/>
      </c>
      <c r="AY299" s="5">
        <f>IF(J299="","No SIC",IFERROR(VLOOKUP(J299,Ref!$A$4:$C$67,2,FALSE()),"Unclassified"))</f>
        <v/>
      </c>
      <c r="AZ299" s="5">
        <f>IF(E299="","",TEXT(E299,"YYYY")&amp;"-Q"&amp;ROUNDUP(MONTH(E299)/3,0))</f>
        <v/>
      </c>
      <c r="BA299" s="5">
        <f>IF(E299="","",TEXT(E299,"YYYY-MM"))</f>
        <v/>
      </c>
      <c r="BB299" s="5">
        <f>IF(E299="","",TEXT(E299,"YYYY"))</f>
        <v/>
      </c>
      <c r="BC299" s="92">
        <f>IF($E299="","",NETWORKDAYS($E299,Controls!$B$9,Ref!$F$4:$F$47))</f>
        <v/>
      </c>
      <c r="BD299" s="92">
        <f>IF(OR($AH299=1,$AJ299=1),1,0)</f>
        <v/>
      </c>
      <c r="BE299" s="95">
        <f>IF(OR($BD299=1,AND($AE299&lt;&gt;"",$BC299&gt;=Controls!$B$10*$AE299)),1,0)</f>
        <v/>
      </c>
    </row>
    <row r="300" ht="15.75" customHeight="1" s="79">
      <c r="A300" s="5" t="inlineStr">
        <is>
          <t>5674168912</t>
        </is>
      </c>
      <c r="B300" s="5" t="inlineStr">
        <is>
          <t>KHEPRA'S RAW FOOD JUICE BAR</t>
        </is>
      </c>
      <c r="C300" s="5" t="inlineStr">
        <is>
          <t>KHEPRA ANU SOLE PROP</t>
        </is>
      </c>
      <c r="D300" s="5" t="inlineStr">
        <is>
          <t>Legal</t>
        </is>
      </c>
      <c r="E300" s="16" t="n">
        <v>45951</v>
      </c>
      <c r="F300" s="16" t="n">
        <v>45980</v>
      </c>
      <c r="G300" s="17" t="n">
        <v>2</v>
      </c>
      <c r="H300" s="5" t="inlineStr">
        <is>
          <t>5812</t>
        </is>
      </c>
      <c r="I300" s="5" t="inlineStr">
        <is>
          <t>Snack and Nonalcoholic Beverage Bars</t>
        </is>
      </c>
      <c r="J300" s="5" t="inlineStr">
        <is>
          <t>58</t>
        </is>
      </c>
      <c r="K300" s="5" t="n">
        <v>5812</v>
      </c>
      <c r="L300" s="5" t="inlineStr">
        <is>
          <t>DC</t>
        </is>
      </c>
      <c r="M300" s="5" t="inlineStr">
        <is>
          <t>United Secured Capital 8</t>
        </is>
      </c>
      <c r="N300" s="5" t="inlineStr">
        <is>
          <t>New Deal</t>
        </is>
      </c>
      <c r="O300" s="19" t="n">
        <v>1.5</v>
      </c>
      <c r="P300" s="20" t="n">
        <v>12500</v>
      </c>
      <c r="Q300" s="20" t="n">
        <v>1750</v>
      </c>
      <c r="R300" s="20" t="n">
        <v>18750</v>
      </c>
      <c r="S300" s="20" t="n">
        <v>3518.49</v>
      </c>
      <c r="T300" s="20" t="n">
        <v>15231.51</v>
      </c>
      <c r="U300" s="21" t="n">
        <v>0.1876528</v>
      </c>
      <c r="V300" s="22" t="n">
        <v>2.951</v>
      </c>
      <c r="W300" s="17" t="n">
        <v>279</v>
      </c>
      <c r="X300" s="17" t="n">
        <v>3</v>
      </c>
      <c r="Y300" s="20" t="n">
        <v>20290.8</v>
      </c>
      <c r="Z300" s="21" t="n">
        <v>0.2142</v>
      </c>
      <c r="AA300" s="5" t="n"/>
      <c r="AB300" s="5">
        <f>IF(V300="","",IF(V300&lt;12,"Months","Weeks"))</f>
        <v/>
      </c>
      <c r="AC300" s="5">
        <f>IF(AB300="","",IF(AB300="Months","Daily","Weekly"))</f>
        <v/>
      </c>
      <c r="AD300" s="17">
        <f>IF(V300="","",IF(AC300="Daily",V300*Controls!$B$13,V300))</f>
        <v/>
      </c>
      <c r="AE300" s="17">
        <f>IF(V300="","",IF(AC300="Daily",V300*Controls!$B$13,V300*Controls!$B$12))</f>
        <v/>
      </c>
      <c r="AF300" s="17">
        <f>IF(OR(E300="",F300=""),"",F300-E300)</f>
        <v/>
      </c>
      <c r="AG300" s="17">
        <f>IF(OR(E300="",F300=""),"",NETWORKDAYS(E300,F300,Ref!$F$4:$F$47))</f>
        <v/>
      </c>
      <c r="AH300" s="39">
        <f>IF(IFERROR(VLOOKUP(D300,Controls!$A$25:$D$35,2,FALSE()),"No")="Yes",1,0)</f>
        <v/>
      </c>
      <c r="AI300" s="39">
        <f>IF(IFERROR(VLOOKUP(D300,Controls!$A$25:$D$35,3,FALSE()),"No")="Yes",1,0)</f>
        <v/>
      </c>
      <c r="AJ300" s="39">
        <f>IF(IFERROR(VLOOKUP(D300,Controls!$A$25:$D$35,4,FALSE()),"No")="Yes",1,0)</f>
        <v/>
      </c>
      <c r="AK300" s="96">
        <f>IF(AND($E300&gt;=Controls!$B$5,$E300&lt;=Controls!$B$6,OR(Controls!$E$9&lt;&gt;"Y",$BE300=1)),1,0)</f>
        <v/>
      </c>
      <c r="AL300" s="39">
        <f>1</f>
        <v/>
      </c>
      <c r="AM300" s="20">
        <f>S300-P300</f>
        <v/>
      </c>
      <c r="AN300" s="20">
        <f>IF(AH300=1,MAX(0,P300-S300),0)</f>
        <v/>
      </c>
      <c r="AO300" s="21">
        <f>IFERROR(S300/P300,"")</f>
        <v/>
      </c>
      <c r="AP300" s="22">
        <f>IF(Y300="","",P300/Y300)</f>
        <v/>
      </c>
      <c r="AQ300" s="39">
        <f>IF(Y300="",0,1)</f>
        <v/>
      </c>
      <c r="AR300" s="39">
        <f>IF(S300&lt;=0,1,0)</f>
        <v/>
      </c>
      <c r="AS300" s="17">
        <f>IF(AH300=1,AG300,"")</f>
        <v/>
      </c>
      <c r="AT300" s="17">
        <f>IF(AND(AH300=0,AJ300=1),AG300,"")</f>
        <v/>
      </c>
      <c r="AU300" s="5">
        <f>IF(P300&lt;10000,"Under $10K",IF(P300&lt;20000,"$10-20K",IF(P300&lt;30000,"$20-30K",IF(P300&lt;50000,"$30-50K",IF(P300&lt;100000,"$50-100K","$100K+")))))</f>
        <v/>
      </c>
      <c r="AV300" s="5">
        <f>IF(O300&lt;=1.35,"1.35 and under",IF(O300&lt;=1.42,"1.36-1.42",IF(O300&lt;=1.45,"1.43-1.45",IF(O300&lt;1.49,"1.46-1.48",IF(O300&lt;=1.49,"1.49","Above 1.49")))))</f>
        <v/>
      </c>
      <c r="AW300" s="5">
        <f>IF(AE300="","",IF(AE300&lt;60,"Under 60",IF(AE300&lt;90,"60-89",IF(AE300&lt;120,"90-119",IF(AE300&lt;150,"120-149","150+")))))</f>
        <v/>
      </c>
      <c r="AX300" s="5">
        <f>IF(AP300="","No revenue data",IF(AP300&lt;0.15,"Under 0.15x",IF(AP300&lt;0.3,"0.15-0.30x",IF(AP300&lt;0.5,"0.30-0.50x",IF(AP300&lt;1,"0.50-1.00x","1.00x+")))))</f>
        <v/>
      </c>
      <c r="AY300" s="5">
        <f>IF(J300="","No SIC",IFERROR(VLOOKUP(J300,Ref!$A$4:$C$67,2,FALSE()),"Unclassified"))</f>
        <v/>
      </c>
      <c r="AZ300" s="5">
        <f>IF(E300="","",TEXT(E300,"YYYY")&amp;"-Q"&amp;ROUNDUP(MONTH(E300)/3,0))</f>
        <v/>
      </c>
      <c r="BA300" s="5">
        <f>IF(E300="","",TEXT(E300,"YYYY-MM"))</f>
        <v/>
      </c>
      <c r="BB300" s="5">
        <f>IF(E300="","",TEXT(E300,"YYYY"))</f>
        <v/>
      </c>
      <c r="BC300" s="92">
        <f>IF($E300="","",NETWORKDAYS($E300,Controls!$B$9,Ref!$F$4:$F$47))</f>
        <v/>
      </c>
      <c r="BD300" s="92">
        <f>IF(OR($AH300=1,$AJ300=1),1,0)</f>
        <v/>
      </c>
      <c r="BE300" s="95">
        <f>IF(OR($BD300=1,AND($AE300&lt;&gt;"",$BC300&gt;=Controls!$B$10*$AE300)),1,0)</f>
        <v/>
      </c>
    </row>
    <row r="301" ht="15.75" customHeight="1" s="79">
      <c r="A301" s="5" t="inlineStr">
        <is>
          <t>5674169031</t>
        </is>
      </c>
      <c r="B301" s="5" t="inlineStr">
        <is>
          <t>ST CAJETAN OIL COMPANY LLC</t>
        </is>
      </c>
      <c r="C301" s="5" t="inlineStr">
        <is>
          <t>ST CAJETAN OIL COMPANY LLC</t>
        </is>
      </c>
      <c r="D301" s="5" t="inlineStr">
        <is>
          <t>Closed</t>
        </is>
      </c>
      <c r="E301" s="16" t="n">
        <v>45952</v>
      </c>
      <c r="F301" s="16" t="n">
        <v>46090</v>
      </c>
      <c r="G301" s="17" t="n">
        <v>2</v>
      </c>
      <c r="H301" s="5" t="inlineStr">
        <is>
          <t>1382</t>
        </is>
      </c>
      <c r="I301" s="5" t="inlineStr">
        <is>
          <t>Geophysical Surveying and Mapping Services</t>
        </is>
      </c>
      <c r="J301" s="5" t="inlineStr">
        <is>
          <t>13</t>
        </is>
      </c>
      <c r="K301" s="5" t="n">
        <v>5983</v>
      </c>
      <c r="L301" s="5" t="inlineStr">
        <is>
          <t>TX</t>
        </is>
      </c>
      <c r="M301" s="5" t="inlineStr">
        <is>
          <t>United Secured Capital 8</t>
        </is>
      </c>
      <c r="N301" s="5" t="inlineStr">
        <is>
          <t>New Deal</t>
        </is>
      </c>
      <c r="O301" s="19" t="n">
        <v>1.499</v>
      </c>
      <c r="P301" s="20" t="n">
        <v>12500</v>
      </c>
      <c r="Q301" s="20" t="n">
        <v>1750</v>
      </c>
      <c r="R301" s="20" t="n">
        <v>18737.5</v>
      </c>
      <c r="S301" s="20" t="n">
        <v>18737.5</v>
      </c>
      <c r="T301" s="20" t="n">
        <v>0</v>
      </c>
      <c r="U301" s="21" t="n">
        <v>1</v>
      </c>
      <c r="V301" s="22" t="n">
        <v>2.951</v>
      </c>
      <c r="W301" s="17" t="n">
        <v>163</v>
      </c>
      <c r="X301" s="17" t="n">
        <v>0</v>
      </c>
      <c r="Y301" s="20" t="n">
        <v>37694.01</v>
      </c>
      <c r="Z301" s="21" t="n">
        <v>0.1146</v>
      </c>
      <c r="AA301" s="16" t="n">
        <v>44338</v>
      </c>
      <c r="AB301" s="5">
        <f>IF(V301="","",IF(V301&lt;12,"Months","Weeks"))</f>
        <v/>
      </c>
      <c r="AC301" s="5">
        <f>IF(AB301="","",IF(AB301="Months","Daily","Weekly"))</f>
        <v/>
      </c>
      <c r="AD301" s="17">
        <f>IF(V301="","",IF(AC301="Daily",V301*Controls!$B$13,V301))</f>
        <v/>
      </c>
      <c r="AE301" s="17">
        <f>IF(V301="","",IF(AC301="Daily",V301*Controls!$B$13,V301*Controls!$B$12))</f>
        <v/>
      </c>
      <c r="AF301" s="17">
        <f>IF(OR(E301="",F301=""),"",F301-E301)</f>
        <v/>
      </c>
      <c r="AG301" s="17">
        <f>IF(OR(E301="",F301=""),"",NETWORKDAYS(E301,F301,Ref!$F$4:$F$47))</f>
        <v/>
      </c>
      <c r="AH301" s="39">
        <f>IF(IFERROR(VLOOKUP(D301,Controls!$A$25:$D$35,2,FALSE()),"No")="Yes",1,0)</f>
        <v/>
      </c>
      <c r="AI301" s="39">
        <f>IF(IFERROR(VLOOKUP(D301,Controls!$A$25:$D$35,3,FALSE()),"No")="Yes",1,0)</f>
        <v/>
      </c>
      <c r="AJ301" s="39">
        <f>IF(IFERROR(VLOOKUP(D301,Controls!$A$25:$D$35,4,FALSE()),"No")="Yes",1,0)</f>
        <v/>
      </c>
      <c r="AK301" s="96">
        <f>IF(AND($E301&gt;=Controls!$B$5,$E301&lt;=Controls!$B$6,OR(Controls!$E$9&lt;&gt;"Y",$BE301=1)),1,0)</f>
        <v/>
      </c>
      <c r="AL301" s="39">
        <f>1</f>
        <v/>
      </c>
      <c r="AM301" s="20">
        <f>S301-P301</f>
        <v/>
      </c>
      <c r="AN301" s="20">
        <f>IF(AH301=1,MAX(0,P301-S301),0)</f>
        <v/>
      </c>
      <c r="AO301" s="21">
        <f>IFERROR(S301/P301,"")</f>
        <v/>
      </c>
      <c r="AP301" s="22">
        <f>IF(Y301="","",P301/Y301)</f>
        <v/>
      </c>
      <c r="AQ301" s="39">
        <f>IF(Y301="",0,1)</f>
        <v/>
      </c>
      <c r="AR301" s="39">
        <f>IF(S301&lt;=0,1,0)</f>
        <v/>
      </c>
      <c r="AS301" s="17">
        <f>IF(AH301=1,AG301,"")</f>
        <v/>
      </c>
      <c r="AT301" s="17">
        <f>IF(AND(AH301=0,AJ301=1),AG301,"")</f>
        <v/>
      </c>
      <c r="AU301" s="5">
        <f>IF(P301&lt;10000,"Under $10K",IF(P301&lt;20000,"$10-20K",IF(P301&lt;30000,"$20-30K",IF(P301&lt;50000,"$30-50K",IF(P301&lt;100000,"$50-100K","$100K+")))))</f>
        <v/>
      </c>
      <c r="AV301" s="5">
        <f>IF(O301&lt;=1.35,"1.35 and under",IF(O301&lt;=1.42,"1.36-1.42",IF(O301&lt;=1.45,"1.43-1.45",IF(O301&lt;1.49,"1.46-1.48",IF(O301&lt;=1.49,"1.49","Above 1.49")))))</f>
        <v/>
      </c>
      <c r="AW301" s="5">
        <f>IF(AE301="","",IF(AE301&lt;60,"Under 60",IF(AE301&lt;90,"60-89",IF(AE301&lt;120,"90-119",IF(AE301&lt;150,"120-149","150+")))))</f>
        <v/>
      </c>
      <c r="AX301" s="5">
        <f>IF(AP301="","No revenue data",IF(AP301&lt;0.15,"Under 0.15x",IF(AP301&lt;0.3,"0.15-0.30x",IF(AP301&lt;0.5,"0.30-0.50x",IF(AP301&lt;1,"0.50-1.00x","1.00x+")))))</f>
        <v/>
      </c>
      <c r="AY301" s="5">
        <f>IF(J301="","No SIC",IFERROR(VLOOKUP(J301,Ref!$A$4:$C$67,2,FALSE()),"Unclassified"))</f>
        <v/>
      </c>
      <c r="AZ301" s="5">
        <f>IF(E301="","",TEXT(E301,"YYYY")&amp;"-Q"&amp;ROUNDUP(MONTH(E301)/3,0))</f>
        <v/>
      </c>
      <c r="BA301" s="5">
        <f>IF(E301="","",TEXT(E301,"YYYY-MM"))</f>
        <v/>
      </c>
      <c r="BB301" s="5">
        <f>IF(E301="","",TEXT(E301,"YYYY"))</f>
        <v/>
      </c>
      <c r="BC301" s="92">
        <f>IF($E301="","",NETWORKDAYS($E301,Controls!$B$9,Ref!$F$4:$F$47))</f>
        <v/>
      </c>
      <c r="BD301" s="92">
        <f>IF(OR($AH301=1,$AJ301=1),1,0)</f>
        <v/>
      </c>
      <c r="BE301" s="95">
        <f>IF(OR($BD301=1,AND($AE301&lt;&gt;"",$BC301&gt;=Controls!$B$10*$AE301)),1,0)</f>
        <v/>
      </c>
    </row>
    <row r="302" ht="15.75" customHeight="1" s="79">
      <c r="A302" s="5" t="inlineStr">
        <is>
          <t>5674169050</t>
        </is>
      </c>
      <c r="B302" s="5" t="inlineStr">
        <is>
          <t>Alodia Brands Inc.</t>
        </is>
      </c>
      <c r="C302" s="5" t="inlineStr">
        <is>
          <t>Alodia Brands Inc.</t>
        </is>
      </c>
      <c r="D302" s="5" t="inlineStr">
        <is>
          <t>Open</t>
        </is>
      </c>
      <c r="E302" s="16" t="n">
        <v>45952</v>
      </c>
      <c r="F302" s="16" t="n">
        <v>46247</v>
      </c>
      <c r="G302" s="17" t="n">
        <v>3</v>
      </c>
      <c r="H302" s="5" t="inlineStr">
        <is>
          <t>5999</t>
        </is>
      </c>
      <c r="I302" s="5" t="inlineStr">
        <is>
          <t>All Other Misc. Store Retailers (Except Tobacco Stores)</t>
        </is>
      </c>
      <c r="J302" s="5" t="inlineStr">
        <is>
          <t>59</t>
        </is>
      </c>
      <c r="K302" s="5" t="n">
        <v>5999</v>
      </c>
      <c r="L302" s="5" t="inlineStr">
        <is>
          <t>MD</t>
        </is>
      </c>
      <c r="M302" s="5" t="inlineStr">
        <is>
          <t>Fundible</t>
        </is>
      </c>
      <c r="N302" s="5" t="inlineStr">
        <is>
          <t>New Deal</t>
        </is>
      </c>
      <c r="O302" s="19" t="n">
        <v>1.499</v>
      </c>
      <c r="P302" s="20" t="n">
        <v>8500</v>
      </c>
      <c r="Q302" s="20" t="n">
        <v>1190</v>
      </c>
      <c r="R302" s="20" t="n">
        <v>12741.5</v>
      </c>
      <c r="S302" s="20" t="n">
        <v>9449.65</v>
      </c>
      <c r="T302" s="20" t="n">
        <v>3291.85</v>
      </c>
      <c r="U302" s="21" t="n">
        <v>0.741643448573559</v>
      </c>
      <c r="V302" s="22" t="n">
        <v>2.951</v>
      </c>
      <c r="W302" s="17" t="n">
        <v>6</v>
      </c>
      <c r="X302" s="17" t="n">
        <v>5</v>
      </c>
      <c r="Y302" s="20" t="n">
        <v>78783.37</v>
      </c>
      <c r="Z302" s="21" t="n">
        <v>0.0373</v>
      </c>
      <c r="AA302" s="16" t="n">
        <v>42795</v>
      </c>
      <c r="AB302" s="5">
        <f>IF(V302="","",IF(V302&lt;12,"Months","Weeks"))</f>
        <v/>
      </c>
      <c r="AC302" s="5">
        <f>IF(AB302="","",IF(AB302="Months","Daily","Weekly"))</f>
        <v/>
      </c>
      <c r="AD302" s="17">
        <f>IF(V302="","",IF(AC302="Daily",V302*Controls!$B$13,V302))</f>
        <v/>
      </c>
      <c r="AE302" s="17">
        <f>IF(V302="","",IF(AC302="Daily",V302*Controls!$B$13,V302*Controls!$B$12))</f>
        <v/>
      </c>
      <c r="AF302" s="17">
        <f>IF(OR(E302="",F302=""),"",F302-E302)</f>
        <v/>
      </c>
      <c r="AG302" s="17">
        <f>IF(OR(E302="",F302=""),"",NETWORKDAYS(E302,F302,Ref!$F$4:$F$47))</f>
        <v/>
      </c>
      <c r="AH302" s="39">
        <f>IF(IFERROR(VLOOKUP(D302,Controls!$A$25:$D$35,2,FALSE()),"No")="Yes",1,0)</f>
        <v/>
      </c>
      <c r="AI302" s="39">
        <f>IF(IFERROR(VLOOKUP(D302,Controls!$A$25:$D$35,3,FALSE()),"No")="Yes",1,0)</f>
        <v/>
      </c>
      <c r="AJ302" s="39">
        <f>IF(IFERROR(VLOOKUP(D302,Controls!$A$25:$D$35,4,FALSE()),"No")="Yes",1,0)</f>
        <v/>
      </c>
      <c r="AK302" s="96">
        <f>IF(AND($E302&gt;=Controls!$B$5,$E302&lt;=Controls!$B$6,OR(Controls!$E$9&lt;&gt;"Y",$BE302=1)),1,0)</f>
        <v/>
      </c>
      <c r="AL302" s="39">
        <f>1</f>
        <v/>
      </c>
      <c r="AM302" s="20">
        <f>S302-P302</f>
        <v/>
      </c>
      <c r="AN302" s="20">
        <f>IF(AH302=1,MAX(0,P302-S302),0)</f>
        <v/>
      </c>
      <c r="AO302" s="21">
        <f>IFERROR(S302/P302,"")</f>
        <v/>
      </c>
      <c r="AP302" s="22">
        <f>IF(Y302="","",P302/Y302)</f>
        <v/>
      </c>
      <c r="AQ302" s="39">
        <f>IF(Y302="",0,1)</f>
        <v/>
      </c>
      <c r="AR302" s="39">
        <f>IF(S302&lt;=0,1,0)</f>
        <v/>
      </c>
      <c r="AS302" s="17">
        <f>IF(AH302=1,AG302,"")</f>
        <v/>
      </c>
      <c r="AT302" s="17">
        <f>IF(AND(AH302=0,AJ302=1),AG302,"")</f>
        <v/>
      </c>
      <c r="AU302" s="5">
        <f>IF(P302&lt;10000,"Under $10K",IF(P302&lt;20000,"$10-20K",IF(P302&lt;30000,"$20-30K",IF(P302&lt;50000,"$30-50K",IF(P302&lt;100000,"$50-100K","$100K+")))))</f>
        <v/>
      </c>
      <c r="AV302" s="5">
        <f>IF(O302&lt;=1.35,"1.35 and under",IF(O302&lt;=1.42,"1.36-1.42",IF(O302&lt;=1.45,"1.43-1.45",IF(O302&lt;1.49,"1.46-1.48",IF(O302&lt;=1.49,"1.49","Above 1.49")))))</f>
        <v/>
      </c>
      <c r="AW302" s="5">
        <f>IF(AE302="","",IF(AE302&lt;60,"Under 60",IF(AE302&lt;90,"60-89",IF(AE302&lt;120,"90-119",IF(AE302&lt;150,"120-149","150+")))))</f>
        <v/>
      </c>
      <c r="AX302" s="5">
        <f>IF(AP302="","No revenue data",IF(AP302&lt;0.15,"Under 0.15x",IF(AP302&lt;0.3,"0.15-0.30x",IF(AP302&lt;0.5,"0.30-0.50x",IF(AP302&lt;1,"0.50-1.00x","1.00x+")))))</f>
        <v/>
      </c>
      <c r="AY302" s="5">
        <f>IF(J302="","No SIC",IFERROR(VLOOKUP(J302,Ref!$A$4:$C$67,2,FALSE()),"Unclassified"))</f>
        <v/>
      </c>
      <c r="AZ302" s="5">
        <f>IF(E302="","",TEXT(E302,"YYYY")&amp;"-Q"&amp;ROUNDUP(MONTH(E302)/3,0))</f>
        <v/>
      </c>
      <c r="BA302" s="5">
        <f>IF(E302="","",TEXT(E302,"YYYY-MM"))</f>
        <v/>
      </c>
      <c r="BB302" s="5">
        <f>IF(E302="","",TEXT(E302,"YYYY"))</f>
        <v/>
      </c>
      <c r="BC302" s="92">
        <f>IF($E302="","",NETWORKDAYS($E302,Controls!$B$9,Ref!$F$4:$F$47))</f>
        <v/>
      </c>
      <c r="BD302" s="92">
        <f>IF(OR($AH302=1,$AJ302=1),1,0)</f>
        <v/>
      </c>
      <c r="BE302" s="95">
        <f>IF(OR($BD302=1,AND($AE302&lt;&gt;"",$BC302&gt;=Controls!$B$10*$AE302)),1,0)</f>
        <v/>
      </c>
    </row>
    <row r="303" ht="15.75" customHeight="1" s="79">
      <c r="A303" s="5" t="inlineStr">
        <is>
          <t>5674169104</t>
        </is>
      </c>
      <c r="B303" s="5" t="inlineStr">
        <is>
          <t>TGIF LLC</t>
        </is>
      </c>
      <c r="C303" s="5" t="inlineStr">
        <is>
          <t>TGIF LLC</t>
        </is>
      </c>
      <c r="D303" s="5" t="inlineStr">
        <is>
          <t>Legal</t>
        </is>
      </c>
      <c r="E303" s="16" t="n">
        <v>45953</v>
      </c>
      <c r="F303" s="16" t="n">
        <v>46009</v>
      </c>
      <c r="G303" s="17" t="n">
        <v>2</v>
      </c>
      <c r="H303" s="5" t="inlineStr">
        <is>
          <t>5159</t>
        </is>
      </c>
      <c r="I303" s="5" t="inlineStr">
        <is>
          <t>Other Farm Product Raw Material Merchant Wholesalers</t>
        </is>
      </c>
      <c r="J303" s="5" t="inlineStr">
        <is>
          <t>51</t>
        </is>
      </c>
      <c r="K303" s="5" t="n">
        <v>763</v>
      </c>
      <c r="L303" s="5" t="inlineStr">
        <is>
          <t>OR</t>
        </is>
      </c>
      <c r="M303" s="5" t="inlineStr">
        <is>
          <t>United Secured Capital 8</t>
        </is>
      </c>
      <c r="N303" s="5" t="inlineStr">
        <is>
          <t>New Deal</t>
        </is>
      </c>
      <c r="O303" s="19" t="n">
        <v>1.49</v>
      </c>
      <c r="P303" s="20" t="n">
        <v>18500</v>
      </c>
      <c r="Q303" s="20" t="n">
        <v>0</v>
      </c>
      <c r="R303" s="20" t="n">
        <v>27565</v>
      </c>
      <c r="S303" s="20" t="n">
        <v>4134.45</v>
      </c>
      <c r="T303" s="20" t="n">
        <v>23430.55</v>
      </c>
      <c r="U303" s="21" t="n">
        <v>0.149989116633412</v>
      </c>
      <c r="V303" s="22" t="n">
        <v>3.279</v>
      </c>
      <c r="W303" s="17" t="n">
        <v>254</v>
      </c>
      <c r="X303" s="17" t="n">
        <v>13</v>
      </c>
      <c r="Y303" s="20" t="n">
        <v>33189.82</v>
      </c>
      <c r="Z303" s="21" t="n">
        <v>0.1744</v>
      </c>
      <c r="AA303" s="16" t="n">
        <v>42914</v>
      </c>
      <c r="AB303" s="5">
        <f>IF(V303="","",IF(V303&lt;12,"Months","Weeks"))</f>
        <v/>
      </c>
      <c r="AC303" s="5">
        <f>IF(AB303="","",IF(AB303="Months","Daily","Weekly"))</f>
        <v/>
      </c>
      <c r="AD303" s="17">
        <f>IF(V303="","",IF(AC303="Daily",V303*Controls!$B$13,V303))</f>
        <v/>
      </c>
      <c r="AE303" s="17">
        <f>IF(V303="","",IF(AC303="Daily",V303*Controls!$B$13,V303*Controls!$B$12))</f>
        <v/>
      </c>
      <c r="AF303" s="17">
        <f>IF(OR(E303="",F303=""),"",F303-E303)</f>
        <v/>
      </c>
      <c r="AG303" s="17">
        <f>IF(OR(E303="",F303=""),"",NETWORKDAYS(E303,F303,Ref!$F$4:$F$47))</f>
        <v/>
      </c>
      <c r="AH303" s="39">
        <f>IF(IFERROR(VLOOKUP(D303,Controls!$A$25:$D$35,2,FALSE()),"No")="Yes",1,0)</f>
        <v/>
      </c>
      <c r="AI303" s="39">
        <f>IF(IFERROR(VLOOKUP(D303,Controls!$A$25:$D$35,3,FALSE()),"No")="Yes",1,0)</f>
        <v/>
      </c>
      <c r="AJ303" s="39">
        <f>IF(IFERROR(VLOOKUP(D303,Controls!$A$25:$D$35,4,FALSE()),"No")="Yes",1,0)</f>
        <v/>
      </c>
      <c r="AK303" s="96">
        <f>IF(AND($E303&gt;=Controls!$B$5,$E303&lt;=Controls!$B$6,OR(Controls!$E$9&lt;&gt;"Y",$BE303=1)),1,0)</f>
        <v/>
      </c>
      <c r="AL303" s="39">
        <f>1</f>
        <v/>
      </c>
      <c r="AM303" s="20">
        <f>S303-P303</f>
        <v/>
      </c>
      <c r="AN303" s="20">
        <f>IF(AH303=1,MAX(0,P303-S303),0)</f>
        <v/>
      </c>
      <c r="AO303" s="21">
        <f>IFERROR(S303/P303,"")</f>
        <v/>
      </c>
      <c r="AP303" s="22">
        <f>IF(Y303="","",P303/Y303)</f>
        <v/>
      </c>
      <c r="AQ303" s="39">
        <f>IF(Y303="",0,1)</f>
        <v/>
      </c>
      <c r="AR303" s="39">
        <f>IF(S303&lt;=0,1,0)</f>
        <v/>
      </c>
      <c r="AS303" s="17">
        <f>IF(AH303=1,AG303,"")</f>
        <v/>
      </c>
      <c r="AT303" s="17">
        <f>IF(AND(AH303=0,AJ303=1),AG303,"")</f>
        <v/>
      </c>
      <c r="AU303" s="5">
        <f>IF(P303&lt;10000,"Under $10K",IF(P303&lt;20000,"$10-20K",IF(P303&lt;30000,"$20-30K",IF(P303&lt;50000,"$30-50K",IF(P303&lt;100000,"$50-100K","$100K+")))))</f>
        <v/>
      </c>
      <c r="AV303" s="5">
        <f>IF(O303&lt;=1.35,"1.35 and under",IF(O303&lt;=1.42,"1.36-1.42",IF(O303&lt;=1.45,"1.43-1.45",IF(O303&lt;1.49,"1.46-1.48",IF(O303&lt;=1.49,"1.49","Above 1.49")))))</f>
        <v/>
      </c>
      <c r="AW303" s="5">
        <f>IF(AE303="","",IF(AE303&lt;60,"Under 60",IF(AE303&lt;90,"60-89",IF(AE303&lt;120,"90-119",IF(AE303&lt;150,"120-149","150+")))))</f>
        <v/>
      </c>
      <c r="AX303" s="5">
        <f>IF(AP303="","No revenue data",IF(AP303&lt;0.15,"Under 0.15x",IF(AP303&lt;0.3,"0.15-0.30x",IF(AP303&lt;0.5,"0.30-0.50x",IF(AP303&lt;1,"0.50-1.00x","1.00x+")))))</f>
        <v/>
      </c>
      <c r="AY303" s="5">
        <f>IF(J303="","No SIC",IFERROR(VLOOKUP(J303,Ref!$A$4:$C$67,2,FALSE()),"Unclassified"))</f>
        <v/>
      </c>
      <c r="AZ303" s="5">
        <f>IF(E303="","",TEXT(E303,"YYYY")&amp;"-Q"&amp;ROUNDUP(MONTH(E303)/3,0))</f>
        <v/>
      </c>
      <c r="BA303" s="5">
        <f>IF(E303="","",TEXT(E303,"YYYY-MM"))</f>
        <v/>
      </c>
      <c r="BB303" s="5">
        <f>IF(E303="","",TEXT(E303,"YYYY"))</f>
        <v/>
      </c>
      <c r="BC303" s="92">
        <f>IF($E303="","",NETWORKDAYS($E303,Controls!$B$9,Ref!$F$4:$F$47))</f>
        <v/>
      </c>
      <c r="BD303" s="92">
        <f>IF(OR($AH303=1,$AJ303=1),1,0)</f>
        <v/>
      </c>
      <c r="BE303" s="95">
        <f>IF(OR($BD303=1,AND($AE303&lt;&gt;"",$BC303&gt;=Controls!$B$10*$AE303)),1,0)</f>
        <v/>
      </c>
    </row>
    <row r="304" ht="15.75" customHeight="1" s="79">
      <c r="A304" s="5" t="inlineStr">
        <is>
          <t>5674169127</t>
        </is>
      </c>
      <c r="B304" s="5" t="inlineStr">
        <is>
          <t>Dsg performance</t>
        </is>
      </c>
      <c r="C304" s="5" t="inlineStr">
        <is>
          <t>DSG PERFORMANCE LLC</t>
        </is>
      </c>
      <c r="D304" s="5" t="inlineStr">
        <is>
          <t>Closed</t>
        </is>
      </c>
      <c r="E304" s="16" t="n">
        <v>45953</v>
      </c>
      <c r="F304" s="16" t="n">
        <v>46191</v>
      </c>
      <c r="G304" s="17" t="n">
        <v>3</v>
      </c>
      <c r="H304" s="5" t="inlineStr">
        <is>
          <t>2396</t>
        </is>
      </c>
      <c r="I304" s="5" t="inlineStr">
        <is>
          <t>Apparel Accessories and Other Apparel Mfg.</t>
        </is>
      </c>
      <c r="J304" s="5" t="inlineStr">
        <is>
          <t>23</t>
        </is>
      </c>
      <c r="K304" s="5" t="n">
        <v>5533</v>
      </c>
      <c r="L304" s="5" t="inlineStr">
        <is>
          <t>TX</t>
        </is>
      </c>
      <c r="M304" s="5" t="inlineStr">
        <is>
          <t>National Business Capital</t>
        </is>
      </c>
      <c r="N304" s="5" t="inlineStr">
        <is>
          <t>New Deal</t>
        </is>
      </c>
      <c r="O304" s="19" t="n">
        <v>1.49</v>
      </c>
      <c r="P304" s="20" t="n">
        <v>40000</v>
      </c>
      <c r="Q304" s="20" t="n">
        <v>5600</v>
      </c>
      <c r="R304" s="20" t="n">
        <v>59600</v>
      </c>
      <c r="S304" s="20" t="n">
        <v>59600</v>
      </c>
      <c r="T304" s="20" t="n">
        <v>0</v>
      </c>
      <c r="U304" s="21" t="n">
        <v>1</v>
      </c>
      <c r="V304" s="22" t="n">
        <v>32</v>
      </c>
      <c r="W304" s="17" t="n">
        <v>62</v>
      </c>
      <c r="X304" s="17" t="n">
        <v>1</v>
      </c>
      <c r="Y304" s="20" t="n">
        <v>108255.14</v>
      </c>
      <c r="Z304" s="21" t="n">
        <v>0.0688</v>
      </c>
      <c r="AA304" s="5" t="n"/>
      <c r="AB304" s="5">
        <f>IF(V304="","",IF(V304&lt;12,"Months","Weeks"))</f>
        <v/>
      </c>
      <c r="AC304" s="5">
        <f>IF(AB304="","",IF(AB304="Months","Daily","Weekly"))</f>
        <v/>
      </c>
      <c r="AD304" s="17">
        <f>IF(V304="","",IF(AC304="Daily",V304*Controls!$B$13,V304))</f>
        <v/>
      </c>
      <c r="AE304" s="17">
        <f>IF(V304="","",IF(AC304="Daily",V304*Controls!$B$13,V304*Controls!$B$12))</f>
        <v/>
      </c>
      <c r="AF304" s="17">
        <f>IF(OR(E304="",F304=""),"",F304-E304)</f>
        <v/>
      </c>
      <c r="AG304" s="17">
        <f>IF(OR(E304="",F304=""),"",NETWORKDAYS(E304,F304,Ref!$F$4:$F$47))</f>
        <v/>
      </c>
      <c r="AH304" s="39">
        <f>IF(IFERROR(VLOOKUP(D304,Controls!$A$25:$D$35,2,FALSE()),"No")="Yes",1,0)</f>
        <v/>
      </c>
      <c r="AI304" s="39">
        <f>IF(IFERROR(VLOOKUP(D304,Controls!$A$25:$D$35,3,FALSE()),"No")="Yes",1,0)</f>
        <v/>
      </c>
      <c r="AJ304" s="39">
        <f>IF(IFERROR(VLOOKUP(D304,Controls!$A$25:$D$35,4,FALSE()),"No")="Yes",1,0)</f>
        <v/>
      </c>
      <c r="AK304" s="96">
        <f>IF(AND($E304&gt;=Controls!$B$5,$E304&lt;=Controls!$B$6,OR(Controls!$E$9&lt;&gt;"Y",$BE304=1)),1,0)</f>
        <v/>
      </c>
      <c r="AL304" s="39">
        <f>1</f>
        <v/>
      </c>
      <c r="AM304" s="20">
        <f>S304-P304</f>
        <v/>
      </c>
      <c r="AN304" s="20">
        <f>IF(AH304=1,MAX(0,P304-S304),0)</f>
        <v/>
      </c>
      <c r="AO304" s="21">
        <f>IFERROR(S304/P304,"")</f>
        <v/>
      </c>
      <c r="AP304" s="22">
        <f>IF(Y304="","",P304/Y304)</f>
        <v/>
      </c>
      <c r="AQ304" s="39">
        <f>IF(Y304="",0,1)</f>
        <v/>
      </c>
      <c r="AR304" s="39">
        <f>IF(S304&lt;=0,1,0)</f>
        <v/>
      </c>
      <c r="AS304" s="17">
        <f>IF(AH304=1,AG304,"")</f>
        <v/>
      </c>
      <c r="AT304" s="17">
        <f>IF(AND(AH304=0,AJ304=1),AG304,"")</f>
        <v/>
      </c>
      <c r="AU304" s="5">
        <f>IF(P304&lt;10000,"Under $10K",IF(P304&lt;20000,"$10-20K",IF(P304&lt;30000,"$20-30K",IF(P304&lt;50000,"$30-50K",IF(P304&lt;100000,"$50-100K","$100K+")))))</f>
        <v/>
      </c>
      <c r="AV304" s="5">
        <f>IF(O304&lt;=1.35,"1.35 and under",IF(O304&lt;=1.42,"1.36-1.42",IF(O304&lt;=1.45,"1.43-1.45",IF(O304&lt;1.49,"1.46-1.48",IF(O304&lt;=1.49,"1.49","Above 1.49")))))</f>
        <v/>
      </c>
      <c r="AW304" s="5">
        <f>IF(AE304="","",IF(AE304&lt;60,"Under 60",IF(AE304&lt;90,"60-89",IF(AE304&lt;120,"90-119",IF(AE304&lt;150,"120-149","150+")))))</f>
        <v/>
      </c>
      <c r="AX304" s="5">
        <f>IF(AP304="","No revenue data",IF(AP304&lt;0.15,"Under 0.15x",IF(AP304&lt;0.3,"0.15-0.30x",IF(AP304&lt;0.5,"0.30-0.50x",IF(AP304&lt;1,"0.50-1.00x","1.00x+")))))</f>
        <v/>
      </c>
      <c r="AY304" s="5">
        <f>IF(J304="","No SIC",IFERROR(VLOOKUP(J304,Ref!$A$4:$C$67,2,FALSE()),"Unclassified"))</f>
        <v/>
      </c>
      <c r="AZ304" s="5">
        <f>IF(E304="","",TEXT(E304,"YYYY")&amp;"-Q"&amp;ROUNDUP(MONTH(E304)/3,0))</f>
        <v/>
      </c>
      <c r="BA304" s="5">
        <f>IF(E304="","",TEXT(E304,"YYYY-MM"))</f>
        <v/>
      </c>
      <c r="BB304" s="5">
        <f>IF(E304="","",TEXT(E304,"YYYY"))</f>
        <v/>
      </c>
      <c r="BC304" s="92">
        <f>IF($E304="","",NETWORKDAYS($E304,Controls!$B$9,Ref!$F$4:$F$47))</f>
        <v/>
      </c>
      <c r="BD304" s="92">
        <f>IF(OR($AH304=1,$AJ304=1),1,0)</f>
        <v/>
      </c>
      <c r="BE304" s="95">
        <f>IF(OR($BD304=1,AND($AE304&lt;&gt;"",$BC304&gt;=Controls!$B$10*$AE304)),1,0)</f>
        <v/>
      </c>
    </row>
    <row r="305" ht="15.75" customHeight="1" s="79">
      <c r="A305" s="5" t="inlineStr">
        <is>
          <t>5674169134</t>
        </is>
      </c>
      <c r="B305" s="5" t="inlineStr">
        <is>
          <t>Cafe Gripon's</t>
        </is>
      </c>
      <c r="C305" s="5" t="inlineStr">
        <is>
          <t>Gripon Group LLC</t>
        </is>
      </c>
      <c r="D305" s="5" t="inlineStr">
        <is>
          <t>Open</t>
        </is>
      </c>
      <c r="E305" s="16" t="n">
        <v>45953</v>
      </c>
      <c r="F305" s="16" t="n">
        <v>46253</v>
      </c>
      <c r="G305" s="17" t="n">
        <v>3</v>
      </c>
      <c r="H305" s="5" t="inlineStr">
        <is>
          <t>5812</t>
        </is>
      </c>
      <c r="I305" s="5" t="inlineStr">
        <is>
          <t>Snack and Nonalcoholic Beverage Bars</t>
        </is>
      </c>
      <c r="J305" s="5" t="inlineStr">
        <is>
          <t>58</t>
        </is>
      </c>
      <c r="K305" s="5" t="n">
        <v>5812</v>
      </c>
      <c r="L305" s="5" t="inlineStr">
        <is>
          <t>TX</t>
        </is>
      </c>
      <c r="M305" s="5" t="inlineStr">
        <is>
          <t>Samson Funding</t>
        </is>
      </c>
      <c r="N305" s="5" t="inlineStr">
        <is>
          <t>Renewal</t>
        </is>
      </c>
      <c r="O305" s="19" t="n">
        <v>1.49</v>
      </c>
      <c r="P305" s="20" t="n">
        <v>35000</v>
      </c>
      <c r="Q305" s="20" t="n">
        <v>4900</v>
      </c>
      <c r="R305" s="20" t="n">
        <v>52150</v>
      </c>
      <c r="S305" s="20" t="n">
        <v>39610.36</v>
      </c>
      <c r="T305" s="20" t="n">
        <v>12539.64</v>
      </c>
      <c r="U305" s="21" t="n">
        <v>0.759546692233941</v>
      </c>
      <c r="V305" s="22" t="n">
        <v>4.262</v>
      </c>
      <c r="W305" s="17" t="n">
        <v>0</v>
      </c>
      <c r="X305" s="17" t="n">
        <v>45</v>
      </c>
      <c r="Y305" s="20" t="n">
        <v>81334.42999999999</v>
      </c>
      <c r="Z305" s="21" t="n">
        <v>0.0936</v>
      </c>
      <c r="AA305" s="16" t="n">
        <v>44946</v>
      </c>
      <c r="AB305" s="5">
        <f>IF(V305="","",IF(V305&lt;12,"Months","Weeks"))</f>
        <v/>
      </c>
      <c r="AC305" s="5">
        <f>IF(AB305="","",IF(AB305="Months","Daily","Weekly"))</f>
        <v/>
      </c>
      <c r="AD305" s="17">
        <f>IF(V305="","",IF(AC305="Daily",V305*Controls!$B$13,V305))</f>
        <v/>
      </c>
      <c r="AE305" s="17">
        <f>IF(V305="","",IF(AC305="Daily",V305*Controls!$B$13,V305*Controls!$B$12))</f>
        <v/>
      </c>
      <c r="AF305" s="17">
        <f>IF(OR(E305="",F305=""),"",F305-E305)</f>
        <v/>
      </c>
      <c r="AG305" s="17">
        <f>IF(OR(E305="",F305=""),"",NETWORKDAYS(E305,F305,Ref!$F$4:$F$47))</f>
        <v/>
      </c>
      <c r="AH305" s="39">
        <f>IF(IFERROR(VLOOKUP(D305,Controls!$A$25:$D$35,2,FALSE()),"No")="Yes",1,0)</f>
        <v/>
      </c>
      <c r="AI305" s="39">
        <f>IF(IFERROR(VLOOKUP(D305,Controls!$A$25:$D$35,3,FALSE()),"No")="Yes",1,0)</f>
        <v/>
      </c>
      <c r="AJ305" s="39">
        <f>IF(IFERROR(VLOOKUP(D305,Controls!$A$25:$D$35,4,FALSE()),"No")="Yes",1,0)</f>
        <v/>
      </c>
      <c r="AK305" s="96">
        <f>IF(AND($E305&gt;=Controls!$B$5,$E305&lt;=Controls!$B$6,OR(Controls!$E$9&lt;&gt;"Y",$BE305=1)),1,0)</f>
        <v/>
      </c>
      <c r="AL305" s="39">
        <f>1</f>
        <v/>
      </c>
      <c r="AM305" s="20">
        <f>S305-P305</f>
        <v/>
      </c>
      <c r="AN305" s="20">
        <f>IF(AH305=1,MAX(0,P305-S305),0)</f>
        <v/>
      </c>
      <c r="AO305" s="21">
        <f>IFERROR(S305/P305,"")</f>
        <v/>
      </c>
      <c r="AP305" s="22">
        <f>IF(Y305="","",P305/Y305)</f>
        <v/>
      </c>
      <c r="AQ305" s="39">
        <f>IF(Y305="",0,1)</f>
        <v/>
      </c>
      <c r="AR305" s="39">
        <f>IF(S305&lt;=0,1,0)</f>
        <v/>
      </c>
      <c r="AS305" s="17">
        <f>IF(AH305=1,AG305,"")</f>
        <v/>
      </c>
      <c r="AT305" s="17">
        <f>IF(AND(AH305=0,AJ305=1),AG305,"")</f>
        <v/>
      </c>
      <c r="AU305" s="5">
        <f>IF(P305&lt;10000,"Under $10K",IF(P305&lt;20000,"$10-20K",IF(P305&lt;30000,"$20-30K",IF(P305&lt;50000,"$30-50K",IF(P305&lt;100000,"$50-100K","$100K+")))))</f>
        <v/>
      </c>
      <c r="AV305" s="5">
        <f>IF(O305&lt;=1.35,"1.35 and under",IF(O305&lt;=1.42,"1.36-1.42",IF(O305&lt;=1.45,"1.43-1.45",IF(O305&lt;1.49,"1.46-1.48",IF(O305&lt;=1.49,"1.49","Above 1.49")))))</f>
        <v/>
      </c>
      <c r="AW305" s="5">
        <f>IF(AE305="","",IF(AE305&lt;60,"Under 60",IF(AE305&lt;90,"60-89",IF(AE305&lt;120,"90-119",IF(AE305&lt;150,"120-149","150+")))))</f>
        <v/>
      </c>
      <c r="AX305" s="5">
        <f>IF(AP305="","No revenue data",IF(AP305&lt;0.15,"Under 0.15x",IF(AP305&lt;0.3,"0.15-0.30x",IF(AP305&lt;0.5,"0.30-0.50x",IF(AP305&lt;1,"0.50-1.00x","1.00x+")))))</f>
        <v/>
      </c>
      <c r="AY305" s="5">
        <f>IF(J305="","No SIC",IFERROR(VLOOKUP(J305,Ref!$A$4:$C$67,2,FALSE()),"Unclassified"))</f>
        <v/>
      </c>
      <c r="AZ305" s="5">
        <f>IF(E305="","",TEXT(E305,"YYYY")&amp;"-Q"&amp;ROUNDUP(MONTH(E305)/3,0))</f>
        <v/>
      </c>
      <c r="BA305" s="5">
        <f>IF(E305="","",TEXT(E305,"YYYY-MM"))</f>
        <v/>
      </c>
      <c r="BB305" s="5">
        <f>IF(E305="","",TEXT(E305,"YYYY"))</f>
        <v/>
      </c>
      <c r="BC305" s="92">
        <f>IF($E305="","",NETWORKDAYS($E305,Controls!$B$9,Ref!$F$4:$F$47))</f>
        <v/>
      </c>
      <c r="BD305" s="92">
        <f>IF(OR($AH305=1,$AJ305=1),1,0)</f>
        <v/>
      </c>
      <c r="BE305" s="95">
        <f>IF(OR($BD305=1,AND($AE305&lt;&gt;"",$BC305&gt;=Controls!$B$10*$AE305)),1,0)</f>
        <v/>
      </c>
    </row>
    <row r="306" ht="15.75" customHeight="1" s="79">
      <c r="A306" s="5" t="inlineStr">
        <is>
          <t>5674169159</t>
        </is>
      </c>
      <c r="B306" s="5" t="inlineStr">
        <is>
          <t>CLOVE AND HOOF RESTAURANT</t>
        </is>
      </c>
      <c r="C306" s="5" t="inlineStr">
        <is>
          <t>CLOVE AND HOOF RESTAURANT</t>
        </is>
      </c>
      <c r="D306" s="5" t="inlineStr">
        <is>
          <t>Legal</t>
        </is>
      </c>
      <c r="E306" s="16" t="n">
        <v>45953</v>
      </c>
      <c r="F306" s="16" t="n">
        <v>46045</v>
      </c>
      <c r="G306" s="17" t="n">
        <v>6</v>
      </c>
      <c r="H306" s="5" t="inlineStr">
        <is>
          <t>5812</t>
        </is>
      </c>
      <c r="I306" s="5" t="inlineStr">
        <is>
          <t>Snack and Nonalcoholic Beverage Bars</t>
        </is>
      </c>
      <c r="J306" s="5" t="inlineStr">
        <is>
          <t>58</t>
        </is>
      </c>
      <c r="K306" s="5" t="n">
        <v>5812</v>
      </c>
      <c r="L306" s="5" t="inlineStr">
        <is>
          <t>CA</t>
        </is>
      </c>
      <c r="M306" s="5" t="inlineStr">
        <is>
          <t>United Secured Capital 8</t>
        </is>
      </c>
      <c r="N306" s="5" t="inlineStr">
        <is>
          <t>New Deal</t>
        </is>
      </c>
      <c r="O306" s="19" t="n">
        <v>1.49</v>
      </c>
      <c r="P306" s="20" t="n">
        <v>15000</v>
      </c>
      <c r="Q306" s="20" t="n">
        <v>0</v>
      </c>
      <c r="R306" s="20" t="n">
        <v>22350</v>
      </c>
      <c r="S306" s="20" t="n">
        <v>4190.4</v>
      </c>
      <c r="T306" s="20" t="n">
        <v>18159.6</v>
      </c>
      <c r="U306" s="21" t="n">
        <v>0.187489932885906</v>
      </c>
      <c r="V306" s="22" t="n">
        <v>16</v>
      </c>
      <c r="W306" s="17" t="n">
        <v>264</v>
      </c>
      <c r="X306" s="17" t="n">
        <v>10</v>
      </c>
      <c r="Y306" s="20" t="n">
        <v>49885.63</v>
      </c>
      <c r="Z306" s="21" t="n">
        <v>0.112</v>
      </c>
      <c r="AA306" s="5" t="n"/>
      <c r="AB306" s="5">
        <f>IF(V306="","",IF(V306&lt;12,"Months","Weeks"))</f>
        <v/>
      </c>
      <c r="AC306" s="5">
        <f>IF(AB306="","",IF(AB306="Months","Daily","Weekly"))</f>
        <v/>
      </c>
      <c r="AD306" s="17">
        <f>IF(V306="","",IF(AC306="Daily",V306*Controls!$B$13,V306))</f>
        <v/>
      </c>
      <c r="AE306" s="17">
        <f>IF(V306="","",IF(AC306="Daily",V306*Controls!$B$13,V306*Controls!$B$12))</f>
        <v/>
      </c>
      <c r="AF306" s="17">
        <f>IF(OR(E306="",F306=""),"",F306-E306)</f>
        <v/>
      </c>
      <c r="AG306" s="17">
        <f>IF(OR(E306="",F306=""),"",NETWORKDAYS(E306,F306,Ref!$F$4:$F$47))</f>
        <v/>
      </c>
      <c r="AH306" s="39">
        <f>IF(IFERROR(VLOOKUP(D306,Controls!$A$25:$D$35,2,FALSE()),"No")="Yes",1,0)</f>
        <v/>
      </c>
      <c r="AI306" s="39">
        <f>IF(IFERROR(VLOOKUP(D306,Controls!$A$25:$D$35,3,FALSE()),"No")="Yes",1,0)</f>
        <v/>
      </c>
      <c r="AJ306" s="39">
        <f>IF(IFERROR(VLOOKUP(D306,Controls!$A$25:$D$35,4,FALSE()),"No")="Yes",1,0)</f>
        <v/>
      </c>
      <c r="AK306" s="96">
        <f>IF(AND($E306&gt;=Controls!$B$5,$E306&lt;=Controls!$B$6,OR(Controls!$E$9&lt;&gt;"Y",$BE306=1)),1,0)</f>
        <v/>
      </c>
      <c r="AL306" s="39">
        <f>1</f>
        <v/>
      </c>
      <c r="AM306" s="20">
        <f>S306-P306</f>
        <v/>
      </c>
      <c r="AN306" s="20">
        <f>IF(AH306=1,MAX(0,P306-S306),0)</f>
        <v/>
      </c>
      <c r="AO306" s="21">
        <f>IFERROR(S306/P306,"")</f>
        <v/>
      </c>
      <c r="AP306" s="22">
        <f>IF(Y306="","",P306/Y306)</f>
        <v/>
      </c>
      <c r="AQ306" s="39">
        <f>IF(Y306="",0,1)</f>
        <v/>
      </c>
      <c r="AR306" s="39">
        <f>IF(S306&lt;=0,1,0)</f>
        <v/>
      </c>
      <c r="AS306" s="17">
        <f>IF(AH306=1,AG306,"")</f>
        <v/>
      </c>
      <c r="AT306" s="17">
        <f>IF(AND(AH306=0,AJ306=1),AG306,"")</f>
        <v/>
      </c>
      <c r="AU306" s="5">
        <f>IF(P306&lt;10000,"Under $10K",IF(P306&lt;20000,"$10-20K",IF(P306&lt;30000,"$20-30K",IF(P306&lt;50000,"$30-50K",IF(P306&lt;100000,"$50-100K","$100K+")))))</f>
        <v/>
      </c>
      <c r="AV306" s="5">
        <f>IF(O306&lt;=1.35,"1.35 and under",IF(O306&lt;=1.42,"1.36-1.42",IF(O306&lt;=1.45,"1.43-1.45",IF(O306&lt;1.49,"1.46-1.48",IF(O306&lt;=1.49,"1.49","Above 1.49")))))</f>
        <v/>
      </c>
      <c r="AW306" s="5">
        <f>IF(AE306="","",IF(AE306&lt;60,"Under 60",IF(AE306&lt;90,"60-89",IF(AE306&lt;120,"90-119",IF(AE306&lt;150,"120-149","150+")))))</f>
        <v/>
      </c>
      <c r="AX306" s="5">
        <f>IF(AP306="","No revenue data",IF(AP306&lt;0.15,"Under 0.15x",IF(AP306&lt;0.3,"0.15-0.30x",IF(AP306&lt;0.5,"0.30-0.50x",IF(AP306&lt;1,"0.50-1.00x","1.00x+")))))</f>
        <v/>
      </c>
      <c r="AY306" s="5">
        <f>IF(J306="","No SIC",IFERROR(VLOOKUP(J306,Ref!$A$4:$C$67,2,FALSE()),"Unclassified"))</f>
        <v/>
      </c>
      <c r="AZ306" s="5">
        <f>IF(E306="","",TEXT(E306,"YYYY")&amp;"-Q"&amp;ROUNDUP(MONTH(E306)/3,0))</f>
        <v/>
      </c>
      <c r="BA306" s="5">
        <f>IF(E306="","",TEXT(E306,"YYYY-MM"))</f>
        <v/>
      </c>
      <c r="BB306" s="5">
        <f>IF(E306="","",TEXT(E306,"YYYY"))</f>
        <v/>
      </c>
      <c r="BC306" s="92">
        <f>IF($E306="","",NETWORKDAYS($E306,Controls!$B$9,Ref!$F$4:$F$47))</f>
        <v/>
      </c>
      <c r="BD306" s="92">
        <f>IF(OR($AH306=1,$AJ306=1),1,0)</f>
        <v/>
      </c>
      <c r="BE306" s="95">
        <f>IF(OR($BD306=1,AND($AE306&lt;&gt;"",$BC306&gt;=Controls!$B$10*$AE306)),1,0)</f>
        <v/>
      </c>
    </row>
    <row r="307" ht="15.75" customHeight="1" s="79">
      <c r="A307" s="5" t="inlineStr">
        <is>
          <t>5674169163</t>
        </is>
      </c>
      <c r="B307" s="5" t="inlineStr">
        <is>
          <t>So Baltimore, LLC</t>
        </is>
      </c>
      <c r="C307" s="5" t="inlineStr">
        <is>
          <t>So Baltimore, LLC</t>
        </is>
      </c>
      <c r="D307" s="5" t="inlineStr">
        <is>
          <t>Closed</t>
        </is>
      </c>
      <c r="E307" s="16" t="n">
        <v>45953</v>
      </c>
      <c r="F307" s="16" t="n">
        <v>46101</v>
      </c>
      <c r="G307" s="17" t="n">
        <v>5</v>
      </c>
      <c r="H307" s="5" t="inlineStr">
        <is>
          <t>5812</t>
        </is>
      </c>
      <c r="I307" s="5" t="inlineStr">
        <is>
          <t>Snack and Nonalcoholic Beverage Bars</t>
        </is>
      </c>
      <c r="J307" s="5" t="inlineStr">
        <is>
          <t>58</t>
        </is>
      </c>
      <c r="K307" s="5" t="n">
        <v>5812</v>
      </c>
      <c r="L307" s="5" t="inlineStr">
        <is>
          <t>MD</t>
        </is>
      </c>
      <c r="M307" s="5" t="inlineStr">
        <is>
          <t>Llama Loan</t>
        </is>
      </c>
      <c r="N307" s="5" t="inlineStr">
        <is>
          <t>Renewal</t>
        </is>
      </c>
      <c r="O307" s="19" t="n">
        <v>1.45</v>
      </c>
      <c r="P307" s="20" t="n">
        <v>22000</v>
      </c>
      <c r="Q307" s="20" t="n">
        <v>2640</v>
      </c>
      <c r="R307" s="20" t="n">
        <v>31900</v>
      </c>
      <c r="S307" s="20" t="n">
        <v>31900</v>
      </c>
      <c r="T307" s="20" t="n">
        <v>0</v>
      </c>
      <c r="U307" s="21" t="n">
        <v>1</v>
      </c>
      <c r="V307" s="22" t="n">
        <v>3.77</v>
      </c>
      <c r="W307" s="17" t="n">
        <v>152</v>
      </c>
      <c r="X307" s="17" t="n">
        <v>1</v>
      </c>
      <c r="Y307" s="20" t="n">
        <v>82755.78</v>
      </c>
      <c r="Z307" s="21" t="n">
        <v>0.1026</v>
      </c>
      <c r="AA307" s="16" t="n">
        <v>44378</v>
      </c>
      <c r="AB307" s="5">
        <f>IF(V307="","",IF(V307&lt;12,"Months","Weeks"))</f>
        <v/>
      </c>
      <c r="AC307" s="5">
        <f>IF(AB307="","",IF(AB307="Months","Daily","Weekly"))</f>
        <v/>
      </c>
      <c r="AD307" s="17">
        <f>IF(V307="","",IF(AC307="Daily",V307*Controls!$B$13,V307))</f>
        <v/>
      </c>
      <c r="AE307" s="17">
        <f>IF(V307="","",IF(AC307="Daily",V307*Controls!$B$13,V307*Controls!$B$12))</f>
        <v/>
      </c>
      <c r="AF307" s="17">
        <f>IF(OR(E307="",F307=""),"",F307-E307)</f>
        <v/>
      </c>
      <c r="AG307" s="17">
        <f>IF(OR(E307="",F307=""),"",NETWORKDAYS(E307,F307,Ref!$F$4:$F$47))</f>
        <v/>
      </c>
      <c r="AH307" s="39">
        <f>IF(IFERROR(VLOOKUP(D307,Controls!$A$25:$D$35,2,FALSE()),"No")="Yes",1,0)</f>
        <v/>
      </c>
      <c r="AI307" s="39">
        <f>IF(IFERROR(VLOOKUP(D307,Controls!$A$25:$D$35,3,FALSE()),"No")="Yes",1,0)</f>
        <v/>
      </c>
      <c r="AJ307" s="39">
        <f>IF(IFERROR(VLOOKUP(D307,Controls!$A$25:$D$35,4,FALSE()),"No")="Yes",1,0)</f>
        <v/>
      </c>
      <c r="AK307" s="96">
        <f>IF(AND($E307&gt;=Controls!$B$5,$E307&lt;=Controls!$B$6,OR(Controls!$E$9&lt;&gt;"Y",$BE307=1)),1,0)</f>
        <v/>
      </c>
      <c r="AL307" s="39">
        <f>1</f>
        <v/>
      </c>
      <c r="AM307" s="20">
        <f>S307-P307</f>
        <v/>
      </c>
      <c r="AN307" s="20">
        <f>IF(AH307=1,MAX(0,P307-S307),0)</f>
        <v/>
      </c>
      <c r="AO307" s="21">
        <f>IFERROR(S307/P307,"")</f>
        <v/>
      </c>
      <c r="AP307" s="22">
        <f>IF(Y307="","",P307/Y307)</f>
        <v/>
      </c>
      <c r="AQ307" s="39">
        <f>IF(Y307="",0,1)</f>
        <v/>
      </c>
      <c r="AR307" s="39">
        <f>IF(S307&lt;=0,1,0)</f>
        <v/>
      </c>
      <c r="AS307" s="17">
        <f>IF(AH307=1,AG307,"")</f>
        <v/>
      </c>
      <c r="AT307" s="17">
        <f>IF(AND(AH307=0,AJ307=1),AG307,"")</f>
        <v/>
      </c>
      <c r="AU307" s="5">
        <f>IF(P307&lt;10000,"Under $10K",IF(P307&lt;20000,"$10-20K",IF(P307&lt;30000,"$20-30K",IF(P307&lt;50000,"$30-50K",IF(P307&lt;100000,"$50-100K","$100K+")))))</f>
        <v/>
      </c>
      <c r="AV307" s="5">
        <f>IF(O307&lt;=1.35,"1.35 and under",IF(O307&lt;=1.42,"1.36-1.42",IF(O307&lt;=1.45,"1.43-1.45",IF(O307&lt;1.49,"1.46-1.48",IF(O307&lt;=1.49,"1.49","Above 1.49")))))</f>
        <v/>
      </c>
      <c r="AW307" s="5">
        <f>IF(AE307="","",IF(AE307&lt;60,"Under 60",IF(AE307&lt;90,"60-89",IF(AE307&lt;120,"90-119",IF(AE307&lt;150,"120-149","150+")))))</f>
        <v/>
      </c>
      <c r="AX307" s="5">
        <f>IF(AP307="","No revenue data",IF(AP307&lt;0.15,"Under 0.15x",IF(AP307&lt;0.3,"0.15-0.30x",IF(AP307&lt;0.5,"0.30-0.50x",IF(AP307&lt;1,"0.50-1.00x","1.00x+")))))</f>
        <v/>
      </c>
      <c r="AY307" s="5">
        <f>IF(J307="","No SIC",IFERROR(VLOOKUP(J307,Ref!$A$4:$C$67,2,FALSE()),"Unclassified"))</f>
        <v/>
      </c>
      <c r="AZ307" s="5">
        <f>IF(E307="","",TEXT(E307,"YYYY")&amp;"-Q"&amp;ROUNDUP(MONTH(E307)/3,0))</f>
        <v/>
      </c>
      <c r="BA307" s="5">
        <f>IF(E307="","",TEXT(E307,"YYYY-MM"))</f>
        <v/>
      </c>
      <c r="BB307" s="5">
        <f>IF(E307="","",TEXT(E307,"YYYY"))</f>
        <v/>
      </c>
      <c r="BC307" s="92">
        <f>IF($E307="","",NETWORKDAYS($E307,Controls!$B$9,Ref!$F$4:$F$47))</f>
        <v/>
      </c>
      <c r="BD307" s="92">
        <f>IF(OR($AH307=1,$AJ307=1),1,0)</f>
        <v/>
      </c>
      <c r="BE307" s="95">
        <f>IF(OR($BD307=1,AND($AE307&lt;&gt;"",$BC307&gt;=Controls!$B$10*$AE307)),1,0)</f>
        <v/>
      </c>
    </row>
    <row r="308" ht="15.75" customHeight="1" s="79">
      <c r="A308" s="5" t="inlineStr">
        <is>
          <t>5674169206</t>
        </is>
      </c>
      <c r="B308" s="5" t="inlineStr">
        <is>
          <t>Novulis Corporation</t>
        </is>
      </c>
      <c r="C308" s="5" t="inlineStr">
        <is>
          <t>Novulis Corporation</t>
        </is>
      </c>
      <c r="D308" s="5" t="inlineStr">
        <is>
          <t>Closed</t>
        </is>
      </c>
      <c r="E308" s="16" t="n">
        <v>45954</v>
      </c>
      <c r="F308" s="16" t="n">
        <v>46168</v>
      </c>
      <c r="G308" s="17" t="n">
        <v>3</v>
      </c>
      <c r="H308" s="5" t="inlineStr">
        <is>
          <t>9661</t>
        </is>
      </c>
      <c r="I308" s="5" t="inlineStr">
        <is>
          <t>Space Research and Technology</t>
        </is>
      </c>
      <c r="J308" s="5" t="inlineStr">
        <is>
          <t>96</t>
        </is>
      </c>
      <c r="K308" s="5" t="n">
        <v>8734</v>
      </c>
      <c r="L308" s="5" t="inlineStr">
        <is>
          <t>VA</t>
        </is>
      </c>
      <c r="M308" s="5" t="inlineStr">
        <is>
          <t>Ballicci</t>
        </is>
      </c>
      <c r="N308" s="5" t="inlineStr">
        <is>
          <t>New Deal</t>
        </is>
      </c>
      <c r="O308" s="19" t="n">
        <v>1.459</v>
      </c>
      <c r="P308" s="20" t="n">
        <v>150000</v>
      </c>
      <c r="Q308" s="20" t="n">
        <v>18000</v>
      </c>
      <c r="R308" s="20" t="n">
        <v>218850</v>
      </c>
      <c r="S308" s="20" t="n">
        <v>218850</v>
      </c>
      <c r="T308" s="20" t="n">
        <v>0</v>
      </c>
      <c r="U308" s="21" t="n">
        <v>1</v>
      </c>
      <c r="V308" s="22" t="n">
        <v>27</v>
      </c>
      <c r="W308" s="17" t="n">
        <v>85</v>
      </c>
      <c r="X308" s="17" t="n">
        <v>7</v>
      </c>
      <c r="Y308" s="20" t="n">
        <v>1194272.49</v>
      </c>
      <c r="Z308" s="21" t="n">
        <v>0.0271</v>
      </c>
      <c r="AA308" s="16" t="n">
        <v>44958</v>
      </c>
      <c r="AB308" s="5">
        <f>IF(V308="","",IF(V308&lt;12,"Months","Weeks"))</f>
        <v/>
      </c>
      <c r="AC308" s="5">
        <f>IF(AB308="","",IF(AB308="Months","Daily","Weekly"))</f>
        <v/>
      </c>
      <c r="AD308" s="17">
        <f>IF(V308="","",IF(AC308="Daily",V308*Controls!$B$13,V308))</f>
        <v/>
      </c>
      <c r="AE308" s="17">
        <f>IF(V308="","",IF(AC308="Daily",V308*Controls!$B$13,V308*Controls!$B$12))</f>
        <v/>
      </c>
      <c r="AF308" s="17">
        <f>IF(OR(E308="",F308=""),"",F308-E308)</f>
        <v/>
      </c>
      <c r="AG308" s="17">
        <f>IF(OR(E308="",F308=""),"",NETWORKDAYS(E308,F308,Ref!$F$4:$F$47))</f>
        <v/>
      </c>
      <c r="AH308" s="39">
        <f>IF(IFERROR(VLOOKUP(D308,Controls!$A$25:$D$35,2,FALSE()),"No")="Yes",1,0)</f>
        <v/>
      </c>
      <c r="AI308" s="39">
        <f>IF(IFERROR(VLOOKUP(D308,Controls!$A$25:$D$35,3,FALSE()),"No")="Yes",1,0)</f>
        <v/>
      </c>
      <c r="AJ308" s="39">
        <f>IF(IFERROR(VLOOKUP(D308,Controls!$A$25:$D$35,4,FALSE()),"No")="Yes",1,0)</f>
        <v/>
      </c>
      <c r="AK308" s="96">
        <f>IF(AND($E308&gt;=Controls!$B$5,$E308&lt;=Controls!$B$6,OR(Controls!$E$9&lt;&gt;"Y",$BE308=1)),1,0)</f>
        <v/>
      </c>
      <c r="AL308" s="39">
        <f>1</f>
        <v/>
      </c>
      <c r="AM308" s="20">
        <f>S308-P308</f>
        <v/>
      </c>
      <c r="AN308" s="20">
        <f>IF(AH308=1,MAX(0,P308-S308),0)</f>
        <v/>
      </c>
      <c r="AO308" s="21">
        <f>IFERROR(S308/P308,"")</f>
        <v/>
      </c>
      <c r="AP308" s="22">
        <f>IF(Y308="","",P308/Y308)</f>
        <v/>
      </c>
      <c r="AQ308" s="39">
        <f>IF(Y308="",0,1)</f>
        <v/>
      </c>
      <c r="AR308" s="39">
        <f>IF(S308&lt;=0,1,0)</f>
        <v/>
      </c>
      <c r="AS308" s="17">
        <f>IF(AH308=1,AG308,"")</f>
        <v/>
      </c>
      <c r="AT308" s="17">
        <f>IF(AND(AH308=0,AJ308=1),AG308,"")</f>
        <v/>
      </c>
      <c r="AU308" s="5">
        <f>IF(P308&lt;10000,"Under $10K",IF(P308&lt;20000,"$10-20K",IF(P308&lt;30000,"$20-30K",IF(P308&lt;50000,"$30-50K",IF(P308&lt;100000,"$50-100K","$100K+")))))</f>
        <v/>
      </c>
      <c r="AV308" s="5">
        <f>IF(O308&lt;=1.35,"1.35 and under",IF(O308&lt;=1.42,"1.36-1.42",IF(O308&lt;=1.45,"1.43-1.45",IF(O308&lt;1.49,"1.46-1.48",IF(O308&lt;=1.49,"1.49","Above 1.49")))))</f>
        <v/>
      </c>
      <c r="AW308" s="5">
        <f>IF(AE308="","",IF(AE308&lt;60,"Under 60",IF(AE308&lt;90,"60-89",IF(AE308&lt;120,"90-119",IF(AE308&lt;150,"120-149","150+")))))</f>
        <v/>
      </c>
      <c r="AX308" s="5">
        <f>IF(AP308="","No revenue data",IF(AP308&lt;0.15,"Under 0.15x",IF(AP308&lt;0.3,"0.15-0.30x",IF(AP308&lt;0.5,"0.30-0.50x",IF(AP308&lt;1,"0.50-1.00x","1.00x+")))))</f>
        <v/>
      </c>
      <c r="AY308" s="5">
        <f>IF(J308="","No SIC",IFERROR(VLOOKUP(J308,Ref!$A$4:$C$67,2,FALSE()),"Unclassified"))</f>
        <v/>
      </c>
      <c r="AZ308" s="5">
        <f>IF(E308="","",TEXT(E308,"YYYY")&amp;"-Q"&amp;ROUNDUP(MONTH(E308)/3,0))</f>
        <v/>
      </c>
      <c r="BA308" s="5">
        <f>IF(E308="","",TEXT(E308,"YYYY-MM"))</f>
        <v/>
      </c>
      <c r="BB308" s="5">
        <f>IF(E308="","",TEXT(E308,"YYYY"))</f>
        <v/>
      </c>
      <c r="BC308" s="92">
        <f>IF($E308="","",NETWORKDAYS($E308,Controls!$B$9,Ref!$F$4:$F$47))</f>
        <v/>
      </c>
      <c r="BD308" s="92">
        <f>IF(OR($AH308=1,$AJ308=1),1,0)</f>
        <v/>
      </c>
      <c r="BE308" s="95">
        <f>IF(OR($BD308=1,AND($AE308&lt;&gt;"",$BC308&gt;=Controls!$B$10*$AE308)),1,0)</f>
        <v/>
      </c>
    </row>
    <row r="309" ht="15.75" customHeight="1" s="79">
      <c r="A309" s="5" t="inlineStr">
        <is>
          <t>5674169212</t>
        </is>
      </c>
      <c r="B309" s="5" t="inlineStr">
        <is>
          <t>REALTAKAI</t>
        </is>
      </c>
      <c r="C309" s="5" t="inlineStr">
        <is>
          <t>JAY LLC</t>
        </is>
      </c>
      <c r="D309" s="5" t="inlineStr">
        <is>
          <t>Legal</t>
        </is>
      </c>
      <c r="E309" s="16" t="n">
        <v>45954</v>
      </c>
      <c r="F309" s="16" t="n">
        <v>46038</v>
      </c>
      <c r="G309" s="17" t="n">
        <v>3</v>
      </c>
      <c r="H309" s="5" t="inlineStr">
        <is>
          <t>5261</t>
        </is>
      </c>
      <c r="I309" s="5" t="inlineStr">
        <is>
          <t>Farm Supplies Merchant Wholesalers</t>
        </is>
      </c>
      <c r="J309" s="5" t="inlineStr">
        <is>
          <t>52</t>
        </is>
      </c>
      <c r="K309" s="5" t="n">
        <v>5261</v>
      </c>
      <c r="L309" s="5" t="inlineStr">
        <is>
          <t>WA</t>
        </is>
      </c>
      <c r="M309" s="5" t="inlineStr">
        <is>
          <t>Fundwell</t>
        </is>
      </c>
      <c r="N309" s="5" t="inlineStr">
        <is>
          <t>New Deal</t>
        </is>
      </c>
      <c r="O309" s="19" t="n">
        <v>1.4</v>
      </c>
      <c r="P309" s="20" t="n">
        <v>150000</v>
      </c>
      <c r="Q309" s="20" t="n">
        <v>19500</v>
      </c>
      <c r="R309" s="20" t="n">
        <v>210000</v>
      </c>
      <c r="S309" s="20" t="n">
        <v>42962.67</v>
      </c>
      <c r="T309" s="20" t="n">
        <v>167037.33</v>
      </c>
      <c r="U309" s="21" t="n">
        <v>0.204584142857143</v>
      </c>
      <c r="V309" s="22" t="n">
        <v>44</v>
      </c>
      <c r="W309" s="17" t="n">
        <v>222</v>
      </c>
      <c r="X309" s="17" t="n">
        <v>2</v>
      </c>
      <c r="Y309" s="20" t="n">
        <v>349077.34</v>
      </c>
      <c r="Z309" s="21" t="n">
        <v>0.0547</v>
      </c>
      <c r="AA309" s="16" t="n">
        <v>43466</v>
      </c>
      <c r="AB309" s="5">
        <f>IF(V309="","",IF(V309&lt;12,"Months","Weeks"))</f>
        <v/>
      </c>
      <c r="AC309" s="5">
        <f>IF(AB309="","",IF(AB309="Months","Daily","Weekly"))</f>
        <v/>
      </c>
      <c r="AD309" s="17">
        <f>IF(V309="","",IF(AC309="Daily",V309*Controls!$B$13,V309))</f>
        <v/>
      </c>
      <c r="AE309" s="17">
        <f>IF(V309="","",IF(AC309="Daily",V309*Controls!$B$13,V309*Controls!$B$12))</f>
        <v/>
      </c>
      <c r="AF309" s="17">
        <f>IF(OR(E309="",F309=""),"",F309-E309)</f>
        <v/>
      </c>
      <c r="AG309" s="17">
        <f>IF(OR(E309="",F309=""),"",NETWORKDAYS(E309,F309,Ref!$F$4:$F$47))</f>
        <v/>
      </c>
      <c r="AH309" s="39">
        <f>IF(IFERROR(VLOOKUP(D309,Controls!$A$25:$D$35,2,FALSE()),"No")="Yes",1,0)</f>
        <v/>
      </c>
      <c r="AI309" s="39">
        <f>IF(IFERROR(VLOOKUP(D309,Controls!$A$25:$D$35,3,FALSE()),"No")="Yes",1,0)</f>
        <v/>
      </c>
      <c r="AJ309" s="39">
        <f>IF(IFERROR(VLOOKUP(D309,Controls!$A$25:$D$35,4,FALSE()),"No")="Yes",1,0)</f>
        <v/>
      </c>
      <c r="AK309" s="96">
        <f>IF(AND($E309&gt;=Controls!$B$5,$E309&lt;=Controls!$B$6,OR(Controls!$E$9&lt;&gt;"Y",$BE309=1)),1,0)</f>
        <v/>
      </c>
      <c r="AL309" s="39">
        <f>1</f>
        <v/>
      </c>
      <c r="AM309" s="20">
        <f>S309-P309</f>
        <v/>
      </c>
      <c r="AN309" s="20">
        <f>IF(AH309=1,MAX(0,P309-S309),0)</f>
        <v/>
      </c>
      <c r="AO309" s="21">
        <f>IFERROR(S309/P309,"")</f>
        <v/>
      </c>
      <c r="AP309" s="22">
        <f>IF(Y309="","",P309/Y309)</f>
        <v/>
      </c>
      <c r="AQ309" s="39">
        <f>IF(Y309="",0,1)</f>
        <v/>
      </c>
      <c r="AR309" s="39">
        <f>IF(S309&lt;=0,1,0)</f>
        <v/>
      </c>
      <c r="AS309" s="17">
        <f>IF(AH309=1,AG309,"")</f>
        <v/>
      </c>
      <c r="AT309" s="17">
        <f>IF(AND(AH309=0,AJ309=1),AG309,"")</f>
        <v/>
      </c>
      <c r="AU309" s="5">
        <f>IF(P309&lt;10000,"Under $10K",IF(P309&lt;20000,"$10-20K",IF(P309&lt;30000,"$20-30K",IF(P309&lt;50000,"$30-50K",IF(P309&lt;100000,"$50-100K","$100K+")))))</f>
        <v/>
      </c>
      <c r="AV309" s="5">
        <f>IF(O309&lt;=1.35,"1.35 and under",IF(O309&lt;=1.42,"1.36-1.42",IF(O309&lt;=1.45,"1.43-1.45",IF(O309&lt;1.49,"1.46-1.48",IF(O309&lt;=1.49,"1.49","Above 1.49")))))</f>
        <v/>
      </c>
      <c r="AW309" s="5">
        <f>IF(AE309="","",IF(AE309&lt;60,"Under 60",IF(AE309&lt;90,"60-89",IF(AE309&lt;120,"90-119",IF(AE309&lt;150,"120-149","150+")))))</f>
        <v/>
      </c>
      <c r="AX309" s="5">
        <f>IF(AP309="","No revenue data",IF(AP309&lt;0.15,"Under 0.15x",IF(AP309&lt;0.3,"0.15-0.30x",IF(AP309&lt;0.5,"0.30-0.50x",IF(AP309&lt;1,"0.50-1.00x","1.00x+")))))</f>
        <v/>
      </c>
      <c r="AY309" s="5">
        <f>IF(J309="","No SIC",IFERROR(VLOOKUP(J309,Ref!$A$4:$C$67,2,FALSE()),"Unclassified"))</f>
        <v/>
      </c>
      <c r="AZ309" s="5">
        <f>IF(E309="","",TEXT(E309,"YYYY")&amp;"-Q"&amp;ROUNDUP(MONTH(E309)/3,0))</f>
        <v/>
      </c>
      <c r="BA309" s="5">
        <f>IF(E309="","",TEXT(E309,"YYYY-MM"))</f>
        <v/>
      </c>
      <c r="BB309" s="5">
        <f>IF(E309="","",TEXT(E309,"YYYY"))</f>
        <v/>
      </c>
      <c r="BC309" s="92">
        <f>IF($E309="","",NETWORKDAYS($E309,Controls!$B$9,Ref!$F$4:$F$47))</f>
        <v/>
      </c>
      <c r="BD309" s="92">
        <f>IF(OR($AH309=1,$AJ309=1),1,0)</f>
        <v/>
      </c>
      <c r="BE309" s="95">
        <f>IF(OR($BD309=1,AND($AE309&lt;&gt;"",$BC309&gt;=Controls!$B$10*$AE309)),1,0)</f>
        <v/>
      </c>
    </row>
    <row r="310" ht="15.75" customHeight="1" s="79">
      <c r="A310" s="5" t="inlineStr">
        <is>
          <t>5674169288</t>
        </is>
      </c>
      <c r="B310" s="5" t="inlineStr">
        <is>
          <t>Luxe MediGlow</t>
        </is>
      </c>
      <c r="C310" s="5" t="inlineStr">
        <is>
          <t>Judy M Perkins LLC</t>
        </is>
      </c>
      <c r="D310" s="5" t="inlineStr">
        <is>
          <t>Closed</t>
        </is>
      </c>
      <c r="E310" s="16" t="n">
        <v>45957</v>
      </c>
      <c r="F310" s="16" t="n">
        <v>46076</v>
      </c>
      <c r="G310" s="17" t="n">
        <v>2</v>
      </c>
      <c r="H310" s="5" t="inlineStr">
        <is>
          <t>5999</t>
        </is>
      </c>
      <c r="I310" s="5" t="inlineStr">
        <is>
          <t>All Other Health and Personal Care Stores</t>
        </is>
      </c>
      <c r="J310" s="5" t="inlineStr">
        <is>
          <t>59</t>
        </is>
      </c>
      <c r="K310" s="5" t="n">
        <v>5999</v>
      </c>
      <c r="L310" s="5" t="inlineStr">
        <is>
          <t>FL</t>
        </is>
      </c>
      <c r="M310" s="5" t="inlineStr">
        <is>
          <t>Fundible</t>
        </is>
      </c>
      <c r="N310" s="5" t="inlineStr">
        <is>
          <t>New Deal</t>
        </is>
      </c>
      <c r="O310" s="19" t="n">
        <v>1.49</v>
      </c>
      <c r="P310" s="20" t="n">
        <v>7500</v>
      </c>
      <c r="Q310" s="20" t="n">
        <v>1050</v>
      </c>
      <c r="R310" s="20" t="n">
        <v>11175</v>
      </c>
      <c r="S310" s="20" t="n">
        <v>11175</v>
      </c>
      <c r="T310" s="20" t="n">
        <v>0</v>
      </c>
      <c r="U310" s="21" t="n">
        <v>1</v>
      </c>
      <c r="V310" s="22" t="n">
        <v>2.623</v>
      </c>
      <c r="W310" s="17" t="n">
        <v>177</v>
      </c>
      <c r="X310" s="17" t="n">
        <v>0</v>
      </c>
      <c r="Y310" s="20" t="n">
        <v>17544.28</v>
      </c>
      <c r="Z310" s="21" t="n">
        <v>0.1672</v>
      </c>
      <c r="AA310" s="16" t="n">
        <v>43757</v>
      </c>
      <c r="AB310" s="5">
        <f>IF(V310="","",IF(V310&lt;12,"Months","Weeks"))</f>
        <v/>
      </c>
      <c r="AC310" s="5">
        <f>IF(AB310="","",IF(AB310="Months","Daily","Weekly"))</f>
        <v/>
      </c>
      <c r="AD310" s="17">
        <f>IF(V310="","",IF(AC310="Daily",V310*Controls!$B$13,V310))</f>
        <v/>
      </c>
      <c r="AE310" s="17">
        <f>IF(V310="","",IF(AC310="Daily",V310*Controls!$B$13,V310*Controls!$B$12))</f>
        <v/>
      </c>
      <c r="AF310" s="17">
        <f>IF(OR(E310="",F310=""),"",F310-E310)</f>
        <v/>
      </c>
      <c r="AG310" s="17">
        <f>IF(OR(E310="",F310=""),"",NETWORKDAYS(E310,F310,Ref!$F$4:$F$47))</f>
        <v/>
      </c>
      <c r="AH310" s="39">
        <f>IF(IFERROR(VLOOKUP(D310,Controls!$A$25:$D$35,2,FALSE()),"No")="Yes",1,0)</f>
        <v/>
      </c>
      <c r="AI310" s="39">
        <f>IF(IFERROR(VLOOKUP(D310,Controls!$A$25:$D$35,3,FALSE()),"No")="Yes",1,0)</f>
        <v/>
      </c>
      <c r="AJ310" s="39">
        <f>IF(IFERROR(VLOOKUP(D310,Controls!$A$25:$D$35,4,FALSE()),"No")="Yes",1,0)</f>
        <v/>
      </c>
      <c r="AK310" s="96">
        <f>IF(AND($E310&gt;=Controls!$B$5,$E310&lt;=Controls!$B$6,OR(Controls!$E$9&lt;&gt;"Y",$BE310=1)),1,0)</f>
        <v/>
      </c>
      <c r="AL310" s="39">
        <f>1</f>
        <v/>
      </c>
      <c r="AM310" s="20">
        <f>S310-P310</f>
        <v/>
      </c>
      <c r="AN310" s="20">
        <f>IF(AH310=1,MAX(0,P310-S310),0)</f>
        <v/>
      </c>
      <c r="AO310" s="21">
        <f>IFERROR(S310/P310,"")</f>
        <v/>
      </c>
      <c r="AP310" s="22">
        <f>IF(Y310="","",P310/Y310)</f>
        <v/>
      </c>
      <c r="AQ310" s="39">
        <f>IF(Y310="",0,1)</f>
        <v/>
      </c>
      <c r="AR310" s="39">
        <f>IF(S310&lt;=0,1,0)</f>
        <v/>
      </c>
      <c r="AS310" s="17">
        <f>IF(AH310=1,AG310,"")</f>
        <v/>
      </c>
      <c r="AT310" s="17">
        <f>IF(AND(AH310=0,AJ310=1),AG310,"")</f>
        <v/>
      </c>
      <c r="AU310" s="5">
        <f>IF(P310&lt;10000,"Under $10K",IF(P310&lt;20000,"$10-20K",IF(P310&lt;30000,"$20-30K",IF(P310&lt;50000,"$30-50K",IF(P310&lt;100000,"$50-100K","$100K+")))))</f>
        <v/>
      </c>
      <c r="AV310" s="5">
        <f>IF(O310&lt;=1.35,"1.35 and under",IF(O310&lt;=1.42,"1.36-1.42",IF(O310&lt;=1.45,"1.43-1.45",IF(O310&lt;1.49,"1.46-1.48",IF(O310&lt;=1.49,"1.49","Above 1.49")))))</f>
        <v/>
      </c>
      <c r="AW310" s="5">
        <f>IF(AE310="","",IF(AE310&lt;60,"Under 60",IF(AE310&lt;90,"60-89",IF(AE310&lt;120,"90-119",IF(AE310&lt;150,"120-149","150+")))))</f>
        <v/>
      </c>
      <c r="AX310" s="5">
        <f>IF(AP310="","No revenue data",IF(AP310&lt;0.15,"Under 0.15x",IF(AP310&lt;0.3,"0.15-0.30x",IF(AP310&lt;0.5,"0.30-0.50x",IF(AP310&lt;1,"0.50-1.00x","1.00x+")))))</f>
        <v/>
      </c>
      <c r="AY310" s="5">
        <f>IF(J310="","No SIC",IFERROR(VLOOKUP(J310,Ref!$A$4:$C$67,2,FALSE()),"Unclassified"))</f>
        <v/>
      </c>
      <c r="AZ310" s="5">
        <f>IF(E310="","",TEXT(E310,"YYYY")&amp;"-Q"&amp;ROUNDUP(MONTH(E310)/3,0))</f>
        <v/>
      </c>
      <c r="BA310" s="5">
        <f>IF(E310="","",TEXT(E310,"YYYY-MM"))</f>
        <v/>
      </c>
      <c r="BB310" s="5">
        <f>IF(E310="","",TEXT(E310,"YYYY"))</f>
        <v/>
      </c>
      <c r="BC310" s="92">
        <f>IF($E310="","",NETWORKDAYS($E310,Controls!$B$9,Ref!$F$4:$F$47))</f>
        <v/>
      </c>
      <c r="BD310" s="92">
        <f>IF(OR($AH310=1,$AJ310=1),1,0)</f>
        <v/>
      </c>
      <c r="BE310" s="95">
        <f>IF(OR($BD310=1,AND($AE310&lt;&gt;"",$BC310&gt;=Controls!$B$10*$AE310)),1,0)</f>
        <v/>
      </c>
    </row>
    <row r="311" ht="15.75" customHeight="1" s="79">
      <c r="A311" s="5" t="inlineStr">
        <is>
          <t>5674169299</t>
        </is>
      </c>
      <c r="B311" s="5" t="inlineStr">
        <is>
          <t>Essential Washer LLC</t>
        </is>
      </c>
      <c r="C311" s="5" t="inlineStr">
        <is>
          <t>Essential Washer LLC</t>
        </is>
      </c>
      <c r="D311" s="5" t="inlineStr">
        <is>
          <t>Closed</t>
        </is>
      </c>
      <c r="E311" s="16" t="n">
        <v>45957</v>
      </c>
      <c r="F311" s="16" t="n">
        <v>46071</v>
      </c>
      <c r="G311" s="17" t="n">
        <v>7</v>
      </c>
      <c r="H311" s="5" t="inlineStr">
        <is>
          <t>5999</t>
        </is>
      </c>
      <c r="I311" s="5" t="inlineStr">
        <is>
          <t>All Other Misc. Store Retailers (Except Tobacco Stores)</t>
        </is>
      </c>
      <c r="J311" s="5" t="inlineStr">
        <is>
          <t>59</t>
        </is>
      </c>
      <c r="K311" s="5" t="n">
        <v>5999</v>
      </c>
      <c r="L311" s="5" t="inlineStr">
        <is>
          <t>TX</t>
        </is>
      </c>
      <c r="M311" s="5" t="inlineStr">
        <is>
          <t>Merchant ReFi</t>
        </is>
      </c>
      <c r="N311" s="5" t="inlineStr">
        <is>
          <t>New Deal</t>
        </is>
      </c>
      <c r="O311" s="19" t="n">
        <v>1.499</v>
      </c>
      <c r="P311" s="20" t="n">
        <v>15000</v>
      </c>
      <c r="Q311" s="20" t="n">
        <v>2100</v>
      </c>
      <c r="R311" s="20" t="n">
        <v>22485</v>
      </c>
      <c r="S311" s="20" t="n">
        <v>22485</v>
      </c>
      <c r="T311" s="20" t="n">
        <v>0</v>
      </c>
      <c r="U311" s="21" t="n">
        <v>1</v>
      </c>
      <c r="V311" s="22" t="n">
        <v>2.951</v>
      </c>
      <c r="W311" s="17" t="n">
        <v>182</v>
      </c>
      <c r="X311" s="17" t="n">
        <v>0</v>
      </c>
      <c r="Y311" s="20" t="n">
        <v>25610.61</v>
      </c>
      <c r="Z311" s="21" t="n">
        <v>0.2025</v>
      </c>
      <c r="AA311" s="5" t="n"/>
      <c r="AB311" s="5">
        <f>IF(V311="","",IF(V311&lt;12,"Months","Weeks"))</f>
        <v/>
      </c>
      <c r="AC311" s="5">
        <f>IF(AB311="","",IF(AB311="Months","Daily","Weekly"))</f>
        <v/>
      </c>
      <c r="AD311" s="17">
        <f>IF(V311="","",IF(AC311="Daily",V311*Controls!$B$13,V311))</f>
        <v/>
      </c>
      <c r="AE311" s="17">
        <f>IF(V311="","",IF(AC311="Daily",V311*Controls!$B$13,V311*Controls!$B$12))</f>
        <v/>
      </c>
      <c r="AF311" s="17">
        <f>IF(OR(E311="",F311=""),"",F311-E311)</f>
        <v/>
      </c>
      <c r="AG311" s="17">
        <f>IF(OR(E311="",F311=""),"",NETWORKDAYS(E311,F311,Ref!$F$4:$F$47))</f>
        <v/>
      </c>
      <c r="AH311" s="39">
        <f>IF(IFERROR(VLOOKUP(D311,Controls!$A$25:$D$35,2,FALSE()),"No")="Yes",1,0)</f>
        <v/>
      </c>
      <c r="AI311" s="39">
        <f>IF(IFERROR(VLOOKUP(D311,Controls!$A$25:$D$35,3,FALSE()),"No")="Yes",1,0)</f>
        <v/>
      </c>
      <c r="AJ311" s="39">
        <f>IF(IFERROR(VLOOKUP(D311,Controls!$A$25:$D$35,4,FALSE()),"No")="Yes",1,0)</f>
        <v/>
      </c>
      <c r="AK311" s="96">
        <f>IF(AND($E311&gt;=Controls!$B$5,$E311&lt;=Controls!$B$6,OR(Controls!$E$9&lt;&gt;"Y",$BE311=1)),1,0)</f>
        <v/>
      </c>
      <c r="AL311" s="39">
        <f>1</f>
        <v/>
      </c>
      <c r="AM311" s="20">
        <f>S311-P311</f>
        <v/>
      </c>
      <c r="AN311" s="20">
        <f>IF(AH311=1,MAX(0,P311-S311),0)</f>
        <v/>
      </c>
      <c r="AO311" s="21">
        <f>IFERROR(S311/P311,"")</f>
        <v/>
      </c>
      <c r="AP311" s="22">
        <f>IF(Y311="","",P311/Y311)</f>
        <v/>
      </c>
      <c r="AQ311" s="39">
        <f>IF(Y311="",0,1)</f>
        <v/>
      </c>
      <c r="AR311" s="39">
        <f>IF(S311&lt;=0,1,0)</f>
        <v/>
      </c>
      <c r="AS311" s="17">
        <f>IF(AH311=1,AG311,"")</f>
        <v/>
      </c>
      <c r="AT311" s="17">
        <f>IF(AND(AH311=0,AJ311=1),AG311,"")</f>
        <v/>
      </c>
      <c r="AU311" s="5">
        <f>IF(P311&lt;10000,"Under $10K",IF(P311&lt;20000,"$10-20K",IF(P311&lt;30000,"$20-30K",IF(P311&lt;50000,"$30-50K",IF(P311&lt;100000,"$50-100K","$100K+")))))</f>
        <v/>
      </c>
      <c r="AV311" s="5">
        <f>IF(O311&lt;=1.35,"1.35 and under",IF(O311&lt;=1.42,"1.36-1.42",IF(O311&lt;=1.45,"1.43-1.45",IF(O311&lt;1.49,"1.46-1.48",IF(O311&lt;=1.49,"1.49","Above 1.49")))))</f>
        <v/>
      </c>
      <c r="AW311" s="5">
        <f>IF(AE311="","",IF(AE311&lt;60,"Under 60",IF(AE311&lt;90,"60-89",IF(AE311&lt;120,"90-119",IF(AE311&lt;150,"120-149","150+")))))</f>
        <v/>
      </c>
      <c r="AX311" s="5">
        <f>IF(AP311="","No revenue data",IF(AP311&lt;0.15,"Under 0.15x",IF(AP311&lt;0.3,"0.15-0.30x",IF(AP311&lt;0.5,"0.30-0.50x",IF(AP311&lt;1,"0.50-1.00x","1.00x+")))))</f>
        <v/>
      </c>
      <c r="AY311" s="5">
        <f>IF(J311="","No SIC",IFERROR(VLOOKUP(J311,Ref!$A$4:$C$67,2,FALSE()),"Unclassified"))</f>
        <v/>
      </c>
      <c r="AZ311" s="5">
        <f>IF(E311="","",TEXT(E311,"YYYY")&amp;"-Q"&amp;ROUNDUP(MONTH(E311)/3,0))</f>
        <v/>
      </c>
      <c r="BA311" s="5">
        <f>IF(E311="","",TEXT(E311,"YYYY-MM"))</f>
        <v/>
      </c>
      <c r="BB311" s="5">
        <f>IF(E311="","",TEXT(E311,"YYYY"))</f>
        <v/>
      </c>
      <c r="BC311" s="92">
        <f>IF($E311="","",NETWORKDAYS($E311,Controls!$B$9,Ref!$F$4:$F$47))</f>
        <v/>
      </c>
      <c r="BD311" s="92">
        <f>IF(OR($AH311=1,$AJ311=1),1,0)</f>
        <v/>
      </c>
      <c r="BE311" s="95">
        <f>IF(OR($BD311=1,AND($AE311&lt;&gt;"",$BC311&gt;=Controls!$B$10*$AE311)),1,0)</f>
        <v/>
      </c>
    </row>
    <row r="312" ht="15.75" customHeight="1" s="79">
      <c r="A312" s="5" t="inlineStr">
        <is>
          <t>5674169327</t>
        </is>
      </c>
      <c r="B312" s="5" t="inlineStr">
        <is>
          <t>WOWS KITCHEN</t>
        </is>
      </c>
      <c r="C312" s="5" t="inlineStr">
        <is>
          <t>WOWS KITCHEN</t>
        </is>
      </c>
      <c r="D312" s="5" t="inlineStr">
        <is>
          <t>Legal</t>
        </is>
      </c>
      <c r="E312" s="16" t="n">
        <v>45958</v>
      </c>
      <c r="F312" s="16" t="n">
        <v>46051</v>
      </c>
      <c r="G312" s="17" t="n">
        <v>1</v>
      </c>
      <c r="H312" s="5" t="inlineStr">
        <is>
          <t>5499</t>
        </is>
      </c>
      <c r="I312" s="5" t="inlineStr">
        <is>
          <t>All Other Specialty Food Stores</t>
        </is>
      </c>
      <c r="J312" s="5" t="inlineStr">
        <is>
          <t>54</t>
        </is>
      </c>
      <c r="K312" s="5" t="n">
        <v>5499</v>
      </c>
      <c r="L312" s="5" t="inlineStr">
        <is>
          <t>CA</t>
        </is>
      </c>
      <c r="M312" s="5" t="inlineStr">
        <is>
          <t>Fundwell</t>
        </is>
      </c>
      <c r="N312" s="5" t="inlineStr">
        <is>
          <t>New Deal</t>
        </is>
      </c>
      <c r="O312" s="19" t="n">
        <v>1.46</v>
      </c>
      <c r="P312" s="20" t="n">
        <v>8000</v>
      </c>
      <c r="Q312" s="20" t="n">
        <v>1200</v>
      </c>
      <c r="R312" s="20" t="n">
        <v>11680</v>
      </c>
      <c r="S312" s="20" t="n">
        <v>4904.34</v>
      </c>
      <c r="T312" s="20" t="n">
        <v>6775.66</v>
      </c>
      <c r="U312" s="21" t="n">
        <v>0.419892123287671</v>
      </c>
      <c r="V312" s="22" t="n">
        <v>3.279</v>
      </c>
      <c r="W312" s="17" t="n">
        <v>216</v>
      </c>
      <c r="X312" s="17" t="n">
        <v>21</v>
      </c>
      <c r="Y312" s="20" t="n">
        <v>31357.62</v>
      </c>
      <c r="Z312" s="21" t="n">
        <v>0.07820000000000001</v>
      </c>
      <c r="AA312" s="16" t="n">
        <v>45600</v>
      </c>
      <c r="AB312" s="5">
        <f>IF(V312="","",IF(V312&lt;12,"Months","Weeks"))</f>
        <v/>
      </c>
      <c r="AC312" s="5">
        <f>IF(AB312="","",IF(AB312="Months","Daily","Weekly"))</f>
        <v/>
      </c>
      <c r="AD312" s="17">
        <f>IF(V312="","",IF(AC312="Daily",V312*Controls!$B$13,V312))</f>
        <v/>
      </c>
      <c r="AE312" s="17">
        <f>IF(V312="","",IF(AC312="Daily",V312*Controls!$B$13,V312*Controls!$B$12))</f>
        <v/>
      </c>
      <c r="AF312" s="17">
        <f>IF(OR(E312="",F312=""),"",F312-E312)</f>
        <v/>
      </c>
      <c r="AG312" s="17">
        <f>IF(OR(E312="",F312=""),"",NETWORKDAYS(E312,F312,Ref!$F$4:$F$47))</f>
        <v/>
      </c>
      <c r="AH312" s="39">
        <f>IF(IFERROR(VLOOKUP(D312,Controls!$A$25:$D$35,2,FALSE()),"No")="Yes",1,0)</f>
        <v/>
      </c>
      <c r="AI312" s="39">
        <f>IF(IFERROR(VLOOKUP(D312,Controls!$A$25:$D$35,3,FALSE()),"No")="Yes",1,0)</f>
        <v/>
      </c>
      <c r="AJ312" s="39">
        <f>IF(IFERROR(VLOOKUP(D312,Controls!$A$25:$D$35,4,FALSE()),"No")="Yes",1,0)</f>
        <v/>
      </c>
      <c r="AK312" s="96">
        <f>IF(AND($E312&gt;=Controls!$B$5,$E312&lt;=Controls!$B$6,OR(Controls!$E$9&lt;&gt;"Y",$BE312=1)),1,0)</f>
        <v/>
      </c>
      <c r="AL312" s="39">
        <f>1</f>
        <v/>
      </c>
      <c r="AM312" s="20">
        <f>S312-P312</f>
        <v/>
      </c>
      <c r="AN312" s="20">
        <f>IF(AH312=1,MAX(0,P312-S312),0)</f>
        <v/>
      </c>
      <c r="AO312" s="21">
        <f>IFERROR(S312/P312,"")</f>
        <v/>
      </c>
      <c r="AP312" s="22">
        <f>IF(Y312="","",P312/Y312)</f>
        <v/>
      </c>
      <c r="AQ312" s="39">
        <f>IF(Y312="",0,1)</f>
        <v/>
      </c>
      <c r="AR312" s="39">
        <f>IF(S312&lt;=0,1,0)</f>
        <v/>
      </c>
      <c r="AS312" s="17">
        <f>IF(AH312=1,AG312,"")</f>
        <v/>
      </c>
      <c r="AT312" s="17">
        <f>IF(AND(AH312=0,AJ312=1),AG312,"")</f>
        <v/>
      </c>
      <c r="AU312" s="5">
        <f>IF(P312&lt;10000,"Under $10K",IF(P312&lt;20000,"$10-20K",IF(P312&lt;30000,"$20-30K",IF(P312&lt;50000,"$30-50K",IF(P312&lt;100000,"$50-100K","$100K+")))))</f>
        <v/>
      </c>
      <c r="AV312" s="5">
        <f>IF(O312&lt;=1.35,"1.35 and under",IF(O312&lt;=1.42,"1.36-1.42",IF(O312&lt;=1.45,"1.43-1.45",IF(O312&lt;1.49,"1.46-1.48",IF(O312&lt;=1.49,"1.49","Above 1.49")))))</f>
        <v/>
      </c>
      <c r="AW312" s="5">
        <f>IF(AE312="","",IF(AE312&lt;60,"Under 60",IF(AE312&lt;90,"60-89",IF(AE312&lt;120,"90-119",IF(AE312&lt;150,"120-149","150+")))))</f>
        <v/>
      </c>
      <c r="AX312" s="5">
        <f>IF(AP312="","No revenue data",IF(AP312&lt;0.15,"Under 0.15x",IF(AP312&lt;0.3,"0.15-0.30x",IF(AP312&lt;0.5,"0.30-0.50x",IF(AP312&lt;1,"0.50-1.00x","1.00x+")))))</f>
        <v/>
      </c>
      <c r="AY312" s="5">
        <f>IF(J312="","No SIC",IFERROR(VLOOKUP(J312,Ref!$A$4:$C$67,2,FALSE()),"Unclassified"))</f>
        <v/>
      </c>
      <c r="AZ312" s="5">
        <f>IF(E312="","",TEXT(E312,"YYYY")&amp;"-Q"&amp;ROUNDUP(MONTH(E312)/3,0))</f>
        <v/>
      </c>
      <c r="BA312" s="5">
        <f>IF(E312="","",TEXT(E312,"YYYY-MM"))</f>
        <v/>
      </c>
      <c r="BB312" s="5">
        <f>IF(E312="","",TEXT(E312,"YYYY"))</f>
        <v/>
      </c>
      <c r="BC312" s="92">
        <f>IF($E312="","",NETWORKDAYS($E312,Controls!$B$9,Ref!$F$4:$F$47))</f>
        <v/>
      </c>
      <c r="BD312" s="92">
        <f>IF(OR($AH312=1,$AJ312=1),1,0)</f>
        <v/>
      </c>
      <c r="BE312" s="95">
        <f>IF(OR($BD312=1,AND($AE312&lt;&gt;"",$BC312&gt;=Controls!$B$10*$AE312)),1,0)</f>
        <v/>
      </c>
    </row>
    <row r="313" ht="15.75" customHeight="1" s="79">
      <c r="A313" s="5" t="inlineStr">
        <is>
          <t>5674169346</t>
        </is>
      </c>
      <c r="B313" s="5" t="inlineStr">
        <is>
          <t>Robs Flooring LLC</t>
        </is>
      </c>
      <c r="C313" s="5" t="inlineStr">
        <is>
          <t>Robs Flooring LLC</t>
        </is>
      </c>
      <c r="D313" s="5" t="inlineStr">
        <is>
          <t>In House Collection</t>
        </is>
      </c>
      <c r="E313" s="16" t="n">
        <v>45958</v>
      </c>
      <c r="F313" s="16" t="n">
        <v>46248</v>
      </c>
      <c r="G313" s="17" t="n">
        <v>2</v>
      </c>
      <c r="H313" s="5" t="inlineStr">
        <is>
          <t>1521</t>
        </is>
      </c>
      <c r="I313" s="5" t="inlineStr">
        <is>
          <t>New Single-Family Housing Construction (Except For-Sale Builders)</t>
        </is>
      </c>
      <c r="J313" s="5" t="inlineStr">
        <is>
          <t>15</t>
        </is>
      </c>
      <c r="K313" s="5" t="n">
        <v>1520</v>
      </c>
      <c r="L313" s="5" t="inlineStr">
        <is>
          <t>MI</t>
        </is>
      </c>
      <c r="M313" s="5" t="inlineStr">
        <is>
          <t>Llama Loan</t>
        </is>
      </c>
      <c r="N313" s="5" t="inlineStr">
        <is>
          <t>New Deal</t>
        </is>
      </c>
      <c r="O313" s="19" t="n">
        <v>1.45</v>
      </c>
      <c r="P313" s="20" t="n">
        <v>3500</v>
      </c>
      <c r="Q313" s="20" t="n">
        <v>420</v>
      </c>
      <c r="R313" s="20" t="n">
        <v>5075</v>
      </c>
      <c r="S313" s="20" t="n">
        <v>2067.06</v>
      </c>
      <c r="T313" s="20" t="n">
        <v>3007.94</v>
      </c>
      <c r="U313" s="21" t="n">
        <v>0.407302463054187</v>
      </c>
      <c r="V313" s="22" t="n">
        <v>16</v>
      </c>
      <c r="W313" s="17" t="n">
        <v>5</v>
      </c>
      <c r="X313" s="17" t="n">
        <v>12</v>
      </c>
      <c r="Y313" s="20" t="n">
        <v>16360.2</v>
      </c>
      <c r="Z313" s="21" t="n">
        <v>0.0776</v>
      </c>
      <c r="AA313" s="16" t="n">
        <v>44247</v>
      </c>
      <c r="AB313" s="5">
        <f>IF(V313="","",IF(V313&lt;12,"Months","Weeks"))</f>
        <v/>
      </c>
      <c r="AC313" s="5">
        <f>IF(AB313="","",IF(AB313="Months","Daily","Weekly"))</f>
        <v/>
      </c>
      <c r="AD313" s="17">
        <f>IF(V313="","",IF(AC313="Daily",V313*Controls!$B$13,V313))</f>
        <v/>
      </c>
      <c r="AE313" s="17">
        <f>IF(V313="","",IF(AC313="Daily",V313*Controls!$B$13,V313*Controls!$B$12))</f>
        <v/>
      </c>
      <c r="AF313" s="17">
        <f>IF(OR(E313="",F313=""),"",F313-E313)</f>
        <v/>
      </c>
      <c r="AG313" s="17">
        <f>IF(OR(E313="",F313=""),"",NETWORKDAYS(E313,F313,Ref!$F$4:$F$47))</f>
        <v/>
      </c>
      <c r="AH313" s="39">
        <f>IF(IFERROR(VLOOKUP(D313,Controls!$A$25:$D$35,2,FALSE()),"No")="Yes",1,0)</f>
        <v/>
      </c>
      <c r="AI313" s="39">
        <f>IF(IFERROR(VLOOKUP(D313,Controls!$A$25:$D$35,3,FALSE()),"No")="Yes",1,0)</f>
        <v/>
      </c>
      <c r="AJ313" s="39">
        <f>IF(IFERROR(VLOOKUP(D313,Controls!$A$25:$D$35,4,FALSE()),"No")="Yes",1,0)</f>
        <v/>
      </c>
      <c r="AK313" s="96">
        <f>IF(AND($E313&gt;=Controls!$B$5,$E313&lt;=Controls!$B$6,OR(Controls!$E$9&lt;&gt;"Y",$BE313=1)),1,0)</f>
        <v/>
      </c>
      <c r="AL313" s="39">
        <f>1</f>
        <v/>
      </c>
      <c r="AM313" s="20">
        <f>S313-P313</f>
        <v/>
      </c>
      <c r="AN313" s="20">
        <f>IF(AH313=1,MAX(0,P313-S313),0)</f>
        <v/>
      </c>
      <c r="AO313" s="21">
        <f>IFERROR(S313/P313,"")</f>
        <v/>
      </c>
      <c r="AP313" s="22">
        <f>IF(Y313="","",P313/Y313)</f>
        <v/>
      </c>
      <c r="AQ313" s="39">
        <f>IF(Y313="",0,1)</f>
        <v/>
      </c>
      <c r="AR313" s="39">
        <f>IF(S313&lt;=0,1,0)</f>
        <v/>
      </c>
      <c r="AS313" s="17">
        <f>IF(AH313=1,AG313,"")</f>
        <v/>
      </c>
      <c r="AT313" s="17">
        <f>IF(AND(AH313=0,AJ313=1),AG313,"")</f>
        <v/>
      </c>
      <c r="AU313" s="5">
        <f>IF(P313&lt;10000,"Under $10K",IF(P313&lt;20000,"$10-20K",IF(P313&lt;30000,"$20-30K",IF(P313&lt;50000,"$30-50K",IF(P313&lt;100000,"$50-100K","$100K+")))))</f>
        <v/>
      </c>
      <c r="AV313" s="5">
        <f>IF(O313&lt;=1.35,"1.35 and under",IF(O313&lt;=1.42,"1.36-1.42",IF(O313&lt;=1.45,"1.43-1.45",IF(O313&lt;1.49,"1.46-1.48",IF(O313&lt;=1.49,"1.49","Above 1.49")))))</f>
        <v/>
      </c>
      <c r="AW313" s="5">
        <f>IF(AE313="","",IF(AE313&lt;60,"Under 60",IF(AE313&lt;90,"60-89",IF(AE313&lt;120,"90-119",IF(AE313&lt;150,"120-149","150+")))))</f>
        <v/>
      </c>
      <c r="AX313" s="5">
        <f>IF(AP313="","No revenue data",IF(AP313&lt;0.15,"Under 0.15x",IF(AP313&lt;0.3,"0.15-0.30x",IF(AP313&lt;0.5,"0.30-0.50x",IF(AP313&lt;1,"0.50-1.00x","1.00x+")))))</f>
        <v/>
      </c>
      <c r="AY313" s="5">
        <f>IF(J313="","No SIC",IFERROR(VLOOKUP(J313,Ref!$A$4:$C$67,2,FALSE()),"Unclassified"))</f>
        <v/>
      </c>
      <c r="AZ313" s="5">
        <f>IF(E313="","",TEXT(E313,"YYYY")&amp;"-Q"&amp;ROUNDUP(MONTH(E313)/3,0))</f>
        <v/>
      </c>
      <c r="BA313" s="5">
        <f>IF(E313="","",TEXT(E313,"YYYY-MM"))</f>
        <v/>
      </c>
      <c r="BB313" s="5">
        <f>IF(E313="","",TEXT(E313,"YYYY"))</f>
        <v/>
      </c>
      <c r="BC313" s="92">
        <f>IF($E313="","",NETWORKDAYS($E313,Controls!$B$9,Ref!$F$4:$F$47))</f>
        <v/>
      </c>
      <c r="BD313" s="92">
        <f>IF(OR($AH313=1,$AJ313=1),1,0)</f>
        <v/>
      </c>
      <c r="BE313" s="95">
        <f>IF(OR($BD313=1,AND($AE313&lt;&gt;"",$BC313&gt;=Controls!$B$10*$AE313)),1,0)</f>
        <v/>
      </c>
    </row>
    <row r="314" ht="15.75" customHeight="1" s="79">
      <c r="A314" s="5" t="inlineStr">
        <is>
          <t>5674169361</t>
        </is>
      </c>
      <c r="B314" s="5" t="inlineStr">
        <is>
          <t>Bayani Commercial, Inc.</t>
        </is>
      </c>
      <c r="C314" s="5" t="inlineStr">
        <is>
          <t>Bayani Commercial, Inc.</t>
        </is>
      </c>
      <c r="D314" s="5" t="inlineStr">
        <is>
          <t>Open</t>
        </is>
      </c>
      <c r="E314" s="16" t="n">
        <v>45958</v>
      </c>
      <c r="F314" s="16" t="n">
        <v>46252</v>
      </c>
      <c r="G314" s="17" t="n">
        <v>5</v>
      </c>
      <c r="H314" s="5" t="inlineStr">
        <is>
          <t>3731</t>
        </is>
      </c>
      <c r="I314" s="5" t="inlineStr">
        <is>
          <t>Ship Building and Repairing</t>
        </is>
      </c>
      <c r="J314" s="5" t="inlineStr">
        <is>
          <t>37</t>
        </is>
      </c>
      <c r="K314" s="5" t="n">
        <v>7531</v>
      </c>
      <c r="L314" s="5" t="inlineStr">
        <is>
          <t>WA</t>
        </is>
      </c>
      <c r="M314" s="5" t="inlineStr">
        <is>
          <t>Fundwell</t>
        </is>
      </c>
      <c r="N314" s="5" t="inlineStr">
        <is>
          <t>New Deal</t>
        </is>
      </c>
      <c r="O314" s="19" t="n">
        <v>1.42</v>
      </c>
      <c r="P314" s="20" t="n">
        <v>15000</v>
      </c>
      <c r="Q314" s="20" t="n">
        <v>2100</v>
      </c>
      <c r="R314" s="20" t="n">
        <v>21300</v>
      </c>
      <c r="S314" s="20" t="n">
        <v>12771.84</v>
      </c>
      <c r="T314" s="20" t="n">
        <v>8528.16</v>
      </c>
      <c r="U314" s="21" t="n">
        <v>0.599616901408451</v>
      </c>
      <c r="V314" s="22" t="n">
        <v>20</v>
      </c>
      <c r="W314" s="17" t="n">
        <v>1</v>
      </c>
      <c r="X314" s="17" t="n">
        <v>30</v>
      </c>
      <c r="Y314" s="20" t="n">
        <v>74168.49000000001</v>
      </c>
      <c r="Z314" s="21" t="n">
        <v>0.0574</v>
      </c>
      <c r="AA314" s="16" t="n">
        <v>34121</v>
      </c>
      <c r="AB314" s="5">
        <f>IF(V314="","",IF(V314&lt;12,"Months","Weeks"))</f>
        <v/>
      </c>
      <c r="AC314" s="5">
        <f>IF(AB314="","",IF(AB314="Months","Daily","Weekly"))</f>
        <v/>
      </c>
      <c r="AD314" s="17">
        <f>IF(V314="","",IF(AC314="Daily",V314*Controls!$B$13,V314))</f>
        <v/>
      </c>
      <c r="AE314" s="17">
        <f>IF(V314="","",IF(AC314="Daily",V314*Controls!$B$13,V314*Controls!$B$12))</f>
        <v/>
      </c>
      <c r="AF314" s="17">
        <f>IF(OR(E314="",F314=""),"",F314-E314)</f>
        <v/>
      </c>
      <c r="AG314" s="17">
        <f>IF(OR(E314="",F314=""),"",NETWORKDAYS(E314,F314,Ref!$F$4:$F$47))</f>
        <v/>
      </c>
      <c r="AH314" s="39">
        <f>IF(IFERROR(VLOOKUP(D314,Controls!$A$25:$D$35,2,FALSE()),"No")="Yes",1,0)</f>
        <v/>
      </c>
      <c r="AI314" s="39">
        <f>IF(IFERROR(VLOOKUP(D314,Controls!$A$25:$D$35,3,FALSE()),"No")="Yes",1,0)</f>
        <v/>
      </c>
      <c r="AJ314" s="39">
        <f>IF(IFERROR(VLOOKUP(D314,Controls!$A$25:$D$35,4,FALSE()),"No")="Yes",1,0)</f>
        <v/>
      </c>
      <c r="AK314" s="96">
        <f>IF(AND($E314&gt;=Controls!$B$5,$E314&lt;=Controls!$B$6,OR(Controls!$E$9&lt;&gt;"Y",$BE314=1)),1,0)</f>
        <v/>
      </c>
      <c r="AL314" s="39">
        <f>1</f>
        <v/>
      </c>
      <c r="AM314" s="20">
        <f>S314-P314</f>
        <v/>
      </c>
      <c r="AN314" s="20">
        <f>IF(AH314=1,MAX(0,P314-S314),0)</f>
        <v/>
      </c>
      <c r="AO314" s="21">
        <f>IFERROR(S314/P314,"")</f>
        <v/>
      </c>
      <c r="AP314" s="22">
        <f>IF(Y314="","",P314/Y314)</f>
        <v/>
      </c>
      <c r="AQ314" s="39">
        <f>IF(Y314="",0,1)</f>
        <v/>
      </c>
      <c r="AR314" s="39">
        <f>IF(S314&lt;=0,1,0)</f>
        <v/>
      </c>
      <c r="AS314" s="17">
        <f>IF(AH314=1,AG314,"")</f>
        <v/>
      </c>
      <c r="AT314" s="17">
        <f>IF(AND(AH314=0,AJ314=1),AG314,"")</f>
        <v/>
      </c>
      <c r="AU314" s="5">
        <f>IF(P314&lt;10000,"Under $10K",IF(P314&lt;20000,"$10-20K",IF(P314&lt;30000,"$20-30K",IF(P314&lt;50000,"$30-50K",IF(P314&lt;100000,"$50-100K","$100K+")))))</f>
        <v/>
      </c>
      <c r="AV314" s="5">
        <f>IF(O314&lt;=1.35,"1.35 and under",IF(O314&lt;=1.42,"1.36-1.42",IF(O314&lt;=1.45,"1.43-1.45",IF(O314&lt;1.49,"1.46-1.48",IF(O314&lt;=1.49,"1.49","Above 1.49")))))</f>
        <v/>
      </c>
      <c r="AW314" s="5">
        <f>IF(AE314="","",IF(AE314&lt;60,"Under 60",IF(AE314&lt;90,"60-89",IF(AE314&lt;120,"90-119",IF(AE314&lt;150,"120-149","150+")))))</f>
        <v/>
      </c>
      <c r="AX314" s="5">
        <f>IF(AP314="","No revenue data",IF(AP314&lt;0.15,"Under 0.15x",IF(AP314&lt;0.3,"0.15-0.30x",IF(AP314&lt;0.5,"0.30-0.50x",IF(AP314&lt;1,"0.50-1.00x","1.00x+")))))</f>
        <v/>
      </c>
      <c r="AY314" s="5">
        <f>IF(J314="","No SIC",IFERROR(VLOOKUP(J314,Ref!$A$4:$C$67,2,FALSE()),"Unclassified"))</f>
        <v/>
      </c>
      <c r="AZ314" s="5">
        <f>IF(E314="","",TEXT(E314,"YYYY")&amp;"-Q"&amp;ROUNDUP(MONTH(E314)/3,0))</f>
        <v/>
      </c>
      <c r="BA314" s="5">
        <f>IF(E314="","",TEXT(E314,"YYYY-MM"))</f>
        <v/>
      </c>
      <c r="BB314" s="5">
        <f>IF(E314="","",TEXT(E314,"YYYY"))</f>
        <v/>
      </c>
      <c r="BC314" s="92">
        <f>IF($E314="","",NETWORKDAYS($E314,Controls!$B$9,Ref!$F$4:$F$47))</f>
        <v/>
      </c>
      <c r="BD314" s="92">
        <f>IF(OR($AH314=1,$AJ314=1),1,0)</f>
        <v/>
      </c>
      <c r="BE314" s="95">
        <f>IF(OR($BD314=1,AND($AE314&lt;&gt;"",$BC314&gt;=Controls!$B$10*$AE314)),1,0)</f>
        <v/>
      </c>
    </row>
    <row r="315" ht="15.75" customHeight="1" s="79">
      <c r="A315" s="5" t="inlineStr">
        <is>
          <t>5674169460</t>
        </is>
      </c>
      <c r="B315" s="5" t="inlineStr">
        <is>
          <t>Jerry's venture</t>
        </is>
      </c>
      <c r="C315" s="5" t="inlineStr">
        <is>
          <t>Jerry's venture</t>
        </is>
      </c>
      <c r="D315" s="5" t="inlineStr">
        <is>
          <t>Legal</t>
        </is>
      </c>
      <c r="E315" s="16" t="n">
        <v>45959</v>
      </c>
      <c r="F315" s="16" t="n">
        <v>45987</v>
      </c>
      <c r="G315" s="17" t="n">
        <v>4</v>
      </c>
      <c r="H315" s="5" t="inlineStr">
        <is>
          <t>7221</t>
        </is>
      </c>
      <c r="I315" s="5" t="inlineStr">
        <is>
          <t>Photography Studios, Portrait</t>
        </is>
      </c>
      <c r="J315" s="5" t="inlineStr">
        <is>
          <t>72</t>
        </is>
      </c>
      <c r="K315" s="5" t="n">
        <v>7221</v>
      </c>
      <c r="L315" s="5" t="inlineStr">
        <is>
          <t>TX</t>
        </is>
      </c>
      <c r="M315" s="5" t="inlineStr">
        <is>
          <t>PMF</t>
        </is>
      </c>
      <c r="N315" s="5" t="inlineStr">
        <is>
          <t>New Deal</t>
        </is>
      </c>
      <c r="O315" s="19" t="n">
        <v>1.49</v>
      </c>
      <c r="P315" s="20" t="n">
        <v>15000</v>
      </c>
      <c r="Q315" s="20" t="n">
        <v>2100</v>
      </c>
      <c r="R315" s="20" t="n">
        <v>22350</v>
      </c>
      <c r="S315" s="20" t="n">
        <v>2459</v>
      </c>
      <c r="T315" s="20" t="n">
        <v>19891</v>
      </c>
      <c r="U315" s="21" t="n">
        <v>0.110022371364653</v>
      </c>
      <c r="V315" s="22" t="n">
        <v>3.279</v>
      </c>
      <c r="W315" s="17" t="n">
        <v>268</v>
      </c>
      <c r="X315" s="17" t="n">
        <v>7</v>
      </c>
      <c r="Y315" s="20" t="n">
        <v>43557.72</v>
      </c>
      <c r="Z315" s="21" t="n">
        <v>0.1078</v>
      </c>
      <c r="AA315" s="16" t="n">
        <v>44217</v>
      </c>
      <c r="AB315" s="5">
        <f>IF(V315="","",IF(V315&lt;12,"Months","Weeks"))</f>
        <v/>
      </c>
      <c r="AC315" s="5">
        <f>IF(AB315="","",IF(AB315="Months","Daily","Weekly"))</f>
        <v/>
      </c>
      <c r="AD315" s="17">
        <f>IF(V315="","",IF(AC315="Daily",V315*Controls!$B$13,V315))</f>
        <v/>
      </c>
      <c r="AE315" s="17">
        <f>IF(V315="","",IF(AC315="Daily",V315*Controls!$B$13,V315*Controls!$B$12))</f>
        <v/>
      </c>
      <c r="AF315" s="17">
        <f>IF(OR(E315="",F315=""),"",F315-E315)</f>
        <v/>
      </c>
      <c r="AG315" s="17">
        <f>IF(OR(E315="",F315=""),"",NETWORKDAYS(E315,F315,Ref!$F$4:$F$47))</f>
        <v/>
      </c>
      <c r="AH315" s="39">
        <f>IF(IFERROR(VLOOKUP(D315,Controls!$A$25:$D$35,2,FALSE()),"No")="Yes",1,0)</f>
        <v/>
      </c>
      <c r="AI315" s="39">
        <f>IF(IFERROR(VLOOKUP(D315,Controls!$A$25:$D$35,3,FALSE()),"No")="Yes",1,0)</f>
        <v/>
      </c>
      <c r="AJ315" s="39">
        <f>IF(IFERROR(VLOOKUP(D315,Controls!$A$25:$D$35,4,FALSE()),"No")="Yes",1,0)</f>
        <v/>
      </c>
      <c r="AK315" s="96">
        <f>IF(AND($E315&gt;=Controls!$B$5,$E315&lt;=Controls!$B$6,OR(Controls!$E$9&lt;&gt;"Y",$BE315=1)),1,0)</f>
        <v/>
      </c>
      <c r="AL315" s="39">
        <f>1</f>
        <v/>
      </c>
      <c r="AM315" s="20">
        <f>S315-P315</f>
        <v/>
      </c>
      <c r="AN315" s="20">
        <f>IF(AH315=1,MAX(0,P315-S315),0)</f>
        <v/>
      </c>
      <c r="AO315" s="21">
        <f>IFERROR(S315/P315,"")</f>
        <v/>
      </c>
      <c r="AP315" s="22">
        <f>IF(Y315="","",P315/Y315)</f>
        <v/>
      </c>
      <c r="AQ315" s="39">
        <f>IF(Y315="",0,1)</f>
        <v/>
      </c>
      <c r="AR315" s="39">
        <f>IF(S315&lt;=0,1,0)</f>
        <v/>
      </c>
      <c r="AS315" s="17">
        <f>IF(AH315=1,AG315,"")</f>
        <v/>
      </c>
      <c r="AT315" s="17">
        <f>IF(AND(AH315=0,AJ315=1),AG315,"")</f>
        <v/>
      </c>
      <c r="AU315" s="5">
        <f>IF(P315&lt;10000,"Under $10K",IF(P315&lt;20000,"$10-20K",IF(P315&lt;30000,"$20-30K",IF(P315&lt;50000,"$30-50K",IF(P315&lt;100000,"$50-100K","$100K+")))))</f>
        <v/>
      </c>
      <c r="AV315" s="5">
        <f>IF(O315&lt;=1.35,"1.35 and under",IF(O315&lt;=1.42,"1.36-1.42",IF(O315&lt;=1.45,"1.43-1.45",IF(O315&lt;1.49,"1.46-1.48",IF(O315&lt;=1.49,"1.49","Above 1.49")))))</f>
        <v/>
      </c>
      <c r="AW315" s="5">
        <f>IF(AE315="","",IF(AE315&lt;60,"Under 60",IF(AE315&lt;90,"60-89",IF(AE315&lt;120,"90-119",IF(AE315&lt;150,"120-149","150+")))))</f>
        <v/>
      </c>
      <c r="AX315" s="5">
        <f>IF(AP315="","No revenue data",IF(AP315&lt;0.15,"Under 0.15x",IF(AP315&lt;0.3,"0.15-0.30x",IF(AP315&lt;0.5,"0.30-0.50x",IF(AP315&lt;1,"0.50-1.00x","1.00x+")))))</f>
        <v/>
      </c>
      <c r="AY315" s="5">
        <f>IF(J315="","No SIC",IFERROR(VLOOKUP(J315,Ref!$A$4:$C$67,2,FALSE()),"Unclassified"))</f>
        <v/>
      </c>
      <c r="AZ315" s="5">
        <f>IF(E315="","",TEXT(E315,"YYYY")&amp;"-Q"&amp;ROUNDUP(MONTH(E315)/3,0))</f>
        <v/>
      </c>
      <c r="BA315" s="5">
        <f>IF(E315="","",TEXT(E315,"YYYY-MM"))</f>
        <v/>
      </c>
      <c r="BB315" s="5">
        <f>IF(E315="","",TEXT(E315,"YYYY"))</f>
        <v/>
      </c>
      <c r="BC315" s="92">
        <f>IF($E315="","",NETWORKDAYS($E315,Controls!$B$9,Ref!$F$4:$F$47))</f>
        <v/>
      </c>
      <c r="BD315" s="92">
        <f>IF(OR($AH315=1,$AJ315=1),1,0)</f>
        <v/>
      </c>
      <c r="BE315" s="95">
        <f>IF(OR($BD315=1,AND($AE315&lt;&gt;"",$BC315&gt;=Controls!$B$10*$AE315)),1,0)</f>
        <v/>
      </c>
    </row>
    <row r="316" ht="15.75" customHeight="1" s="79">
      <c r="A316" s="5" t="inlineStr">
        <is>
          <t>5674169466</t>
        </is>
      </c>
      <c r="B316" s="5" t="inlineStr">
        <is>
          <t>Foutch Properties</t>
        </is>
      </c>
      <c r="C316" s="5" t="inlineStr">
        <is>
          <t>JMAE LLC</t>
        </is>
      </c>
      <c r="D316" s="5" t="inlineStr">
        <is>
          <t>Closed/NSF</t>
        </is>
      </c>
      <c r="E316" s="16" t="n">
        <v>45959</v>
      </c>
      <c r="F316" s="16" t="n">
        <v>46239</v>
      </c>
      <c r="G316" s="17" t="n">
        <v>1</v>
      </c>
      <c r="H316" s="5" t="inlineStr">
        <is>
          <t>6531</t>
        </is>
      </c>
      <c r="I316" s="5" t="inlineStr">
        <is>
          <t>Other Activities Related to Real Estate</t>
        </is>
      </c>
      <c r="J316" s="5" t="inlineStr">
        <is>
          <t>65</t>
        </is>
      </c>
      <c r="K316" s="5" t="n">
        <v>6513</v>
      </c>
      <c r="L316" s="5" t="inlineStr">
        <is>
          <t>IA</t>
        </is>
      </c>
      <c r="M316" s="5" t="inlineStr">
        <is>
          <t>Fundwell</t>
        </is>
      </c>
      <c r="N316" s="5" t="inlineStr">
        <is>
          <t>New Deal</t>
        </is>
      </c>
      <c r="O316" s="19" t="n">
        <v>1.38</v>
      </c>
      <c r="P316" s="20" t="n">
        <v>60000</v>
      </c>
      <c r="Q316" s="20" t="n">
        <v>6600</v>
      </c>
      <c r="R316" s="20" t="n">
        <v>82800</v>
      </c>
      <c r="S316" s="20" t="n">
        <v>82800</v>
      </c>
      <c r="T316" s="20" t="n">
        <v>0</v>
      </c>
      <c r="U316" s="21" t="n">
        <v>1</v>
      </c>
      <c r="V316" s="22" t="n">
        <v>36</v>
      </c>
      <c r="W316" s="17" t="n">
        <v>14</v>
      </c>
      <c r="X316" s="17" t="n">
        <v>4</v>
      </c>
      <c r="Y316" s="20" t="n">
        <v>159036.62</v>
      </c>
      <c r="Z316" s="21" t="n">
        <v>0.0578</v>
      </c>
      <c r="AA316" s="16" t="n">
        <v>41334</v>
      </c>
      <c r="AB316" s="5">
        <f>IF(V316="","",IF(V316&lt;12,"Months","Weeks"))</f>
        <v/>
      </c>
      <c r="AC316" s="5">
        <f>IF(AB316="","",IF(AB316="Months","Daily","Weekly"))</f>
        <v/>
      </c>
      <c r="AD316" s="17">
        <f>IF(V316="","",IF(AC316="Daily",V316*Controls!$B$13,V316))</f>
        <v/>
      </c>
      <c r="AE316" s="17">
        <f>IF(V316="","",IF(AC316="Daily",V316*Controls!$B$13,V316*Controls!$B$12))</f>
        <v/>
      </c>
      <c r="AF316" s="17">
        <f>IF(OR(E316="",F316=""),"",F316-E316)</f>
        <v/>
      </c>
      <c r="AG316" s="17">
        <f>IF(OR(E316="",F316=""),"",NETWORKDAYS(E316,F316,Ref!$F$4:$F$47))</f>
        <v/>
      </c>
      <c r="AH316" s="39">
        <f>IF(IFERROR(VLOOKUP(D316,Controls!$A$25:$D$35,2,FALSE()),"No")="Yes",1,0)</f>
        <v/>
      </c>
      <c r="AI316" s="39">
        <f>IF(IFERROR(VLOOKUP(D316,Controls!$A$25:$D$35,3,FALSE()),"No")="Yes",1,0)</f>
        <v/>
      </c>
      <c r="AJ316" s="39">
        <f>IF(IFERROR(VLOOKUP(D316,Controls!$A$25:$D$35,4,FALSE()),"No")="Yes",1,0)</f>
        <v/>
      </c>
      <c r="AK316" s="96">
        <f>IF(AND($E316&gt;=Controls!$B$5,$E316&lt;=Controls!$B$6,OR(Controls!$E$9&lt;&gt;"Y",$BE316=1)),1,0)</f>
        <v/>
      </c>
      <c r="AL316" s="39">
        <f>1</f>
        <v/>
      </c>
      <c r="AM316" s="20">
        <f>S316-P316</f>
        <v/>
      </c>
      <c r="AN316" s="20">
        <f>IF(AH316=1,MAX(0,P316-S316),0)</f>
        <v/>
      </c>
      <c r="AO316" s="21">
        <f>IFERROR(S316/P316,"")</f>
        <v/>
      </c>
      <c r="AP316" s="22">
        <f>IF(Y316="","",P316/Y316)</f>
        <v/>
      </c>
      <c r="AQ316" s="39">
        <f>IF(Y316="",0,1)</f>
        <v/>
      </c>
      <c r="AR316" s="39">
        <f>IF(S316&lt;=0,1,0)</f>
        <v/>
      </c>
      <c r="AS316" s="17">
        <f>IF(AH316=1,AG316,"")</f>
        <v/>
      </c>
      <c r="AT316" s="17">
        <f>IF(AND(AH316=0,AJ316=1),AG316,"")</f>
        <v/>
      </c>
      <c r="AU316" s="5">
        <f>IF(P316&lt;10000,"Under $10K",IF(P316&lt;20000,"$10-20K",IF(P316&lt;30000,"$20-30K",IF(P316&lt;50000,"$30-50K",IF(P316&lt;100000,"$50-100K","$100K+")))))</f>
        <v/>
      </c>
      <c r="AV316" s="5">
        <f>IF(O316&lt;=1.35,"1.35 and under",IF(O316&lt;=1.42,"1.36-1.42",IF(O316&lt;=1.45,"1.43-1.45",IF(O316&lt;1.49,"1.46-1.48",IF(O316&lt;=1.49,"1.49","Above 1.49")))))</f>
        <v/>
      </c>
      <c r="AW316" s="5">
        <f>IF(AE316="","",IF(AE316&lt;60,"Under 60",IF(AE316&lt;90,"60-89",IF(AE316&lt;120,"90-119",IF(AE316&lt;150,"120-149","150+")))))</f>
        <v/>
      </c>
      <c r="AX316" s="5">
        <f>IF(AP316="","No revenue data",IF(AP316&lt;0.15,"Under 0.15x",IF(AP316&lt;0.3,"0.15-0.30x",IF(AP316&lt;0.5,"0.30-0.50x",IF(AP316&lt;1,"0.50-1.00x","1.00x+")))))</f>
        <v/>
      </c>
      <c r="AY316" s="5">
        <f>IF(J316="","No SIC",IFERROR(VLOOKUP(J316,Ref!$A$4:$C$67,2,FALSE()),"Unclassified"))</f>
        <v/>
      </c>
      <c r="AZ316" s="5">
        <f>IF(E316="","",TEXT(E316,"YYYY")&amp;"-Q"&amp;ROUNDUP(MONTH(E316)/3,0))</f>
        <v/>
      </c>
      <c r="BA316" s="5">
        <f>IF(E316="","",TEXT(E316,"YYYY-MM"))</f>
        <v/>
      </c>
      <c r="BB316" s="5">
        <f>IF(E316="","",TEXT(E316,"YYYY"))</f>
        <v/>
      </c>
      <c r="BC316" s="92">
        <f>IF($E316="","",NETWORKDAYS($E316,Controls!$B$9,Ref!$F$4:$F$47))</f>
        <v/>
      </c>
      <c r="BD316" s="92">
        <f>IF(OR($AH316=1,$AJ316=1),1,0)</f>
        <v/>
      </c>
      <c r="BE316" s="95">
        <f>IF(OR($BD316=1,AND($AE316&lt;&gt;"",$BC316&gt;=Controls!$B$10*$AE316)),1,0)</f>
        <v/>
      </c>
    </row>
    <row r="317" ht="15.75" customHeight="1" s="79">
      <c r="A317" s="5" t="inlineStr">
        <is>
          <t>5674169518</t>
        </is>
      </c>
      <c r="B317" s="5" t="inlineStr">
        <is>
          <t>FRESH LAND IMPORTS LLC</t>
        </is>
      </c>
      <c r="C317" s="5" t="inlineStr">
        <is>
          <t>FRESH LAND IMPORTS LLC</t>
        </is>
      </c>
      <c r="D317" s="5" t="inlineStr">
        <is>
          <t>Closed</t>
        </is>
      </c>
      <c r="E317" s="16" t="n">
        <v>45959</v>
      </c>
      <c r="F317" s="16" t="n">
        <v>46090</v>
      </c>
      <c r="G317" s="17" t="n">
        <v>1</v>
      </c>
      <c r="H317" s="5" t="inlineStr">
        <is>
          <t>3495</t>
        </is>
      </c>
      <c r="I317" s="5" t="inlineStr">
        <is>
          <t>Other Measuring and Controlling Device Mfg.</t>
        </is>
      </c>
      <c r="J317" s="5" t="inlineStr">
        <is>
          <t>34</t>
        </is>
      </c>
      <c r="K317" s="5" t="n">
        <v>7372</v>
      </c>
      <c r="L317" s="5" t="inlineStr">
        <is>
          <t>IL</t>
        </is>
      </c>
      <c r="M317" s="5" t="inlineStr">
        <is>
          <t>Fundwell</t>
        </is>
      </c>
      <c r="N317" s="5" t="inlineStr">
        <is>
          <t>New Deal</t>
        </is>
      </c>
      <c r="O317" s="19" t="n">
        <v>1.46</v>
      </c>
      <c r="P317" s="20" t="n">
        <v>100000</v>
      </c>
      <c r="Q317" s="20" t="n">
        <v>15000</v>
      </c>
      <c r="R317" s="20" t="n">
        <v>146000</v>
      </c>
      <c r="S317" s="20" t="n">
        <v>146000</v>
      </c>
      <c r="T317" s="20" t="n">
        <v>0</v>
      </c>
      <c r="U317" s="21" t="n">
        <v>1</v>
      </c>
      <c r="V317" s="22" t="n">
        <v>32</v>
      </c>
      <c r="W317" s="17" t="n">
        <v>163</v>
      </c>
      <c r="X317" s="17" t="n">
        <v>0</v>
      </c>
      <c r="Y317" s="20" t="n">
        <v>356120.58</v>
      </c>
      <c r="Z317" s="21" t="n">
        <v>0.0512</v>
      </c>
      <c r="AA317" s="16" t="n">
        <v>43945</v>
      </c>
      <c r="AB317" s="5">
        <f>IF(V317="","",IF(V317&lt;12,"Months","Weeks"))</f>
        <v/>
      </c>
      <c r="AC317" s="5">
        <f>IF(AB317="","",IF(AB317="Months","Daily","Weekly"))</f>
        <v/>
      </c>
      <c r="AD317" s="17">
        <f>IF(V317="","",IF(AC317="Daily",V317*Controls!$B$13,V317))</f>
        <v/>
      </c>
      <c r="AE317" s="17">
        <f>IF(V317="","",IF(AC317="Daily",V317*Controls!$B$13,V317*Controls!$B$12))</f>
        <v/>
      </c>
      <c r="AF317" s="17">
        <f>IF(OR(E317="",F317=""),"",F317-E317)</f>
        <v/>
      </c>
      <c r="AG317" s="17">
        <f>IF(OR(E317="",F317=""),"",NETWORKDAYS(E317,F317,Ref!$F$4:$F$47))</f>
        <v/>
      </c>
      <c r="AH317" s="39">
        <f>IF(IFERROR(VLOOKUP(D317,Controls!$A$25:$D$35,2,FALSE()),"No")="Yes",1,0)</f>
        <v/>
      </c>
      <c r="AI317" s="39">
        <f>IF(IFERROR(VLOOKUP(D317,Controls!$A$25:$D$35,3,FALSE()),"No")="Yes",1,0)</f>
        <v/>
      </c>
      <c r="AJ317" s="39">
        <f>IF(IFERROR(VLOOKUP(D317,Controls!$A$25:$D$35,4,FALSE()),"No")="Yes",1,0)</f>
        <v/>
      </c>
      <c r="AK317" s="96">
        <f>IF(AND($E317&gt;=Controls!$B$5,$E317&lt;=Controls!$B$6,OR(Controls!$E$9&lt;&gt;"Y",$BE317=1)),1,0)</f>
        <v/>
      </c>
      <c r="AL317" s="39">
        <f>1</f>
        <v/>
      </c>
      <c r="AM317" s="20">
        <f>S317-P317</f>
        <v/>
      </c>
      <c r="AN317" s="20">
        <f>IF(AH317=1,MAX(0,P317-S317),0)</f>
        <v/>
      </c>
      <c r="AO317" s="21">
        <f>IFERROR(S317/P317,"")</f>
        <v/>
      </c>
      <c r="AP317" s="22">
        <f>IF(Y317="","",P317/Y317)</f>
        <v/>
      </c>
      <c r="AQ317" s="39">
        <f>IF(Y317="",0,1)</f>
        <v/>
      </c>
      <c r="AR317" s="39">
        <f>IF(S317&lt;=0,1,0)</f>
        <v/>
      </c>
      <c r="AS317" s="17">
        <f>IF(AH317=1,AG317,"")</f>
        <v/>
      </c>
      <c r="AT317" s="17">
        <f>IF(AND(AH317=0,AJ317=1),AG317,"")</f>
        <v/>
      </c>
      <c r="AU317" s="5">
        <f>IF(P317&lt;10000,"Under $10K",IF(P317&lt;20000,"$10-20K",IF(P317&lt;30000,"$20-30K",IF(P317&lt;50000,"$30-50K",IF(P317&lt;100000,"$50-100K","$100K+")))))</f>
        <v/>
      </c>
      <c r="AV317" s="5">
        <f>IF(O317&lt;=1.35,"1.35 and under",IF(O317&lt;=1.42,"1.36-1.42",IF(O317&lt;=1.45,"1.43-1.45",IF(O317&lt;1.49,"1.46-1.48",IF(O317&lt;=1.49,"1.49","Above 1.49")))))</f>
        <v/>
      </c>
      <c r="AW317" s="5">
        <f>IF(AE317="","",IF(AE317&lt;60,"Under 60",IF(AE317&lt;90,"60-89",IF(AE317&lt;120,"90-119",IF(AE317&lt;150,"120-149","150+")))))</f>
        <v/>
      </c>
      <c r="AX317" s="5">
        <f>IF(AP317="","No revenue data",IF(AP317&lt;0.15,"Under 0.15x",IF(AP317&lt;0.3,"0.15-0.30x",IF(AP317&lt;0.5,"0.30-0.50x",IF(AP317&lt;1,"0.50-1.00x","1.00x+")))))</f>
        <v/>
      </c>
      <c r="AY317" s="5">
        <f>IF(J317="","No SIC",IFERROR(VLOOKUP(J317,Ref!$A$4:$C$67,2,FALSE()),"Unclassified"))</f>
        <v/>
      </c>
      <c r="AZ317" s="5">
        <f>IF(E317="","",TEXT(E317,"YYYY")&amp;"-Q"&amp;ROUNDUP(MONTH(E317)/3,0))</f>
        <v/>
      </c>
      <c r="BA317" s="5">
        <f>IF(E317="","",TEXT(E317,"YYYY-MM"))</f>
        <v/>
      </c>
      <c r="BB317" s="5">
        <f>IF(E317="","",TEXT(E317,"YYYY"))</f>
        <v/>
      </c>
      <c r="BC317" s="92">
        <f>IF($E317="","",NETWORKDAYS($E317,Controls!$B$9,Ref!$F$4:$F$47))</f>
        <v/>
      </c>
      <c r="BD317" s="92">
        <f>IF(OR($AH317=1,$AJ317=1),1,0)</f>
        <v/>
      </c>
      <c r="BE317" s="95">
        <f>IF(OR($BD317=1,AND($AE317&lt;&gt;"",$BC317&gt;=Controls!$B$10*$AE317)),1,0)</f>
        <v/>
      </c>
    </row>
    <row r="318" ht="15.75" customHeight="1" s="79">
      <c r="A318" s="5" t="inlineStr">
        <is>
          <t>5674169540</t>
        </is>
      </c>
      <c r="B318" s="5" t="inlineStr">
        <is>
          <t>Charles Hannum Inc</t>
        </is>
      </c>
      <c r="C318" s="5" t="inlineStr">
        <is>
          <t>Charles Hannum Inc</t>
        </is>
      </c>
      <c r="D318" s="5" t="inlineStr">
        <is>
          <t>Open</t>
        </is>
      </c>
      <c r="E318" s="16" t="n">
        <v>45960</v>
      </c>
      <c r="F318" s="16" t="n">
        <v>46248</v>
      </c>
      <c r="G318" s="17" t="n">
        <v>3</v>
      </c>
      <c r="H318" s="5" t="inlineStr">
        <is>
          <t>5999</t>
        </is>
      </c>
      <c r="I318" s="5" t="inlineStr">
        <is>
          <t>All Other Misc. Store Retailers (Except Tobacco Stores)</t>
        </is>
      </c>
      <c r="J318" s="5" t="inlineStr">
        <is>
          <t>59</t>
        </is>
      </c>
      <c r="K318" s="5" t="n">
        <v>5999</v>
      </c>
      <c r="L318" s="5" t="inlineStr">
        <is>
          <t>PA</t>
        </is>
      </c>
      <c r="M318" s="5" t="inlineStr">
        <is>
          <t>Triumph Cap Fund</t>
        </is>
      </c>
      <c r="N318" s="5" t="inlineStr">
        <is>
          <t>Renewal</t>
        </is>
      </c>
      <c r="O318" s="19" t="n">
        <v>1.43</v>
      </c>
      <c r="P318" s="20" t="n">
        <v>20000</v>
      </c>
      <c r="Q318" s="20" t="n">
        <v>2200</v>
      </c>
      <c r="R318" s="20" t="n">
        <v>28600</v>
      </c>
      <c r="S318" s="20" t="n">
        <v>17468.76</v>
      </c>
      <c r="T318" s="20" t="n">
        <v>11131.24</v>
      </c>
      <c r="U318" s="21" t="n">
        <v>0.610795804195804</v>
      </c>
      <c r="V318" s="22" t="n">
        <v>3.279</v>
      </c>
      <c r="W318" s="17" t="n">
        <v>5</v>
      </c>
      <c r="X318" s="17" t="n">
        <v>0</v>
      </c>
      <c r="Y318" s="20" t="n">
        <v>33782.45</v>
      </c>
      <c r="Z318" s="21" t="n">
        <v>0.1778</v>
      </c>
      <c r="AA318" s="5" t="n"/>
      <c r="AB318" s="5">
        <f>IF(V318="","",IF(V318&lt;12,"Months","Weeks"))</f>
        <v/>
      </c>
      <c r="AC318" s="5">
        <f>IF(AB318="","",IF(AB318="Months","Daily","Weekly"))</f>
        <v/>
      </c>
      <c r="AD318" s="17">
        <f>IF(V318="","",IF(AC318="Daily",V318*Controls!$B$13,V318))</f>
        <v/>
      </c>
      <c r="AE318" s="17">
        <f>IF(V318="","",IF(AC318="Daily",V318*Controls!$B$13,V318*Controls!$B$12))</f>
        <v/>
      </c>
      <c r="AF318" s="17">
        <f>IF(OR(E318="",F318=""),"",F318-E318)</f>
        <v/>
      </c>
      <c r="AG318" s="17">
        <f>IF(OR(E318="",F318=""),"",NETWORKDAYS(E318,F318,Ref!$F$4:$F$47))</f>
        <v/>
      </c>
      <c r="AH318" s="39">
        <f>IF(IFERROR(VLOOKUP(D318,Controls!$A$25:$D$35,2,FALSE()),"No")="Yes",1,0)</f>
        <v/>
      </c>
      <c r="AI318" s="39">
        <f>IF(IFERROR(VLOOKUP(D318,Controls!$A$25:$D$35,3,FALSE()),"No")="Yes",1,0)</f>
        <v/>
      </c>
      <c r="AJ318" s="39">
        <f>IF(IFERROR(VLOOKUP(D318,Controls!$A$25:$D$35,4,FALSE()),"No")="Yes",1,0)</f>
        <v/>
      </c>
      <c r="AK318" s="96">
        <f>IF(AND($E318&gt;=Controls!$B$5,$E318&lt;=Controls!$B$6,OR(Controls!$E$9&lt;&gt;"Y",$BE318=1)),1,0)</f>
        <v/>
      </c>
      <c r="AL318" s="39">
        <f>1</f>
        <v/>
      </c>
      <c r="AM318" s="20">
        <f>S318-P318</f>
        <v/>
      </c>
      <c r="AN318" s="20">
        <f>IF(AH318=1,MAX(0,P318-S318),0)</f>
        <v/>
      </c>
      <c r="AO318" s="21">
        <f>IFERROR(S318/P318,"")</f>
        <v/>
      </c>
      <c r="AP318" s="22">
        <f>IF(Y318="","",P318/Y318)</f>
        <v/>
      </c>
      <c r="AQ318" s="39">
        <f>IF(Y318="",0,1)</f>
        <v/>
      </c>
      <c r="AR318" s="39">
        <f>IF(S318&lt;=0,1,0)</f>
        <v/>
      </c>
      <c r="AS318" s="17">
        <f>IF(AH318=1,AG318,"")</f>
        <v/>
      </c>
      <c r="AT318" s="17">
        <f>IF(AND(AH318=0,AJ318=1),AG318,"")</f>
        <v/>
      </c>
      <c r="AU318" s="5">
        <f>IF(P318&lt;10000,"Under $10K",IF(P318&lt;20000,"$10-20K",IF(P318&lt;30000,"$20-30K",IF(P318&lt;50000,"$30-50K",IF(P318&lt;100000,"$50-100K","$100K+")))))</f>
        <v/>
      </c>
      <c r="AV318" s="5">
        <f>IF(O318&lt;=1.35,"1.35 and under",IF(O318&lt;=1.42,"1.36-1.42",IF(O318&lt;=1.45,"1.43-1.45",IF(O318&lt;1.49,"1.46-1.48",IF(O318&lt;=1.49,"1.49","Above 1.49")))))</f>
        <v/>
      </c>
      <c r="AW318" s="5">
        <f>IF(AE318="","",IF(AE318&lt;60,"Under 60",IF(AE318&lt;90,"60-89",IF(AE318&lt;120,"90-119",IF(AE318&lt;150,"120-149","150+")))))</f>
        <v/>
      </c>
      <c r="AX318" s="5">
        <f>IF(AP318="","No revenue data",IF(AP318&lt;0.15,"Under 0.15x",IF(AP318&lt;0.3,"0.15-0.30x",IF(AP318&lt;0.5,"0.30-0.50x",IF(AP318&lt;1,"0.50-1.00x","1.00x+")))))</f>
        <v/>
      </c>
      <c r="AY318" s="5">
        <f>IF(J318="","No SIC",IFERROR(VLOOKUP(J318,Ref!$A$4:$C$67,2,FALSE()),"Unclassified"))</f>
        <v/>
      </c>
      <c r="AZ318" s="5">
        <f>IF(E318="","",TEXT(E318,"YYYY")&amp;"-Q"&amp;ROUNDUP(MONTH(E318)/3,0))</f>
        <v/>
      </c>
      <c r="BA318" s="5">
        <f>IF(E318="","",TEXT(E318,"YYYY-MM"))</f>
        <v/>
      </c>
      <c r="BB318" s="5">
        <f>IF(E318="","",TEXT(E318,"YYYY"))</f>
        <v/>
      </c>
      <c r="BC318" s="92">
        <f>IF($E318="","",NETWORKDAYS($E318,Controls!$B$9,Ref!$F$4:$F$47))</f>
        <v/>
      </c>
      <c r="BD318" s="92">
        <f>IF(OR($AH318=1,$AJ318=1),1,0)</f>
        <v/>
      </c>
      <c r="BE318" s="95">
        <f>IF(OR($BD318=1,AND($AE318&lt;&gt;"",$BC318&gt;=Controls!$B$10*$AE318)),1,0)</f>
        <v/>
      </c>
    </row>
    <row r="319" ht="15.75" customHeight="1" s="79">
      <c r="A319" s="5" t="inlineStr">
        <is>
          <t>5674169558</t>
        </is>
      </c>
      <c r="B319" s="5" t="inlineStr">
        <is>
          <t>Life Heart Medical Center LLC</t>
        </is>
      </c>
      <c r="C319" s="5" t="inlineStr">
        <is>
          <t>Life Heart Medical Center LLC</t>
        </is>
      </c>
      <c r="D319" s="5" t="inlineStr">
        <is>
          <t>Legal</t>
        </is>
      </c>
      <c r="E319" s="16" t="n">
        <v>45960</v>
      </c>
      <c r="F319" s="16" t="n">
        <v>46056</v>
      </c>
      <c r="G319" s="17" t="n">
        <v>4</v>
      </c>
      <c r="H319" s="5" t="inlineStr">
        <is>
          <t>6371</t>
        </is>
      </c>
      <c r="I319" s="5" t="inlineStr">
        <is>
          <t>Health and Welfare Funds</t>
        </is>
      </c>
      <c r="J319" s="5" t="inlineStr">
        <is>
          <t>63</t>
        </is>
      </c>
      <c r="K319" s="5" t="n">
        <v>8099</v>
      </c>
      <c r="L319" s="5" t="inlineStr">
        <is>
          <t>FL</t>
        </is>
      </c>
      <c r="M319" s="5" t="inlineStr">
        <is>
          <t>Pharoah Fund</t>
        </is>
      </c>
      <c r="N319" s="5" t="inlineStr">
        <is>
          <t>New Deal</t>
        </is>
      </c>
      <c r="O319" s="19" t="n">
        <v>1.499</v>
      </c>
      <c r="P319" s="20" t="n">
        <v>10000</v>
      </c>
      <c r="Q319" s="20" t="n">
        <v>1400</v>
      </c>
      <c r="R319" s="20" t="n">
        <v>14990</v>
      </c>
      <c r="S319" s="20" t="n">
        <v>5512.16</v>
      </c>
      <c r="T319" s="20" t="n">
        <v>9477.84</v>
      </c>
      <c r="U319" s="21" t="n">
        <v>0.367722481654436</v>
      </c>
      <c r="V319" s="22" t="n">
        <v>2.787</v>
      </c>
      <c r="W319" s="17" t="n">
        <v>211</v>
      </c>
      <c r="X319" s="17" t="n">
        <v>25</v>
      </c>
      <c r="Y319" s="20" t="n">
        <v>82025.95</v>
      </c>
      <c r="Z319" s="21" t="n">
        <v>0.0448</v>
      </c>
      <c r="AA319" s="16" t="n">
        <v>44317</v>
      </c>
      <c r="AB319" s="5">
        <f>IF(V319="","",IF(V319&lt;12,"Months","Weeks"))</f>
        <v/>
      </c>
      <c r="AC319" s="5">
        <f>IF(AB319="","",IF(AB319="Months","Daily","Weekly"))</f>
        <v/>
      </c>
      <c r="AD319" s="17">
        <f>IF(V319="","",IF(AC319="Daily",V319*Controls!$B$13,V319))</f>
        <v/>
      </c>
      <c r="AE319" s="17">
        <f>IF(V319="","",IF(AC319="Daily",V319*Controls!$B$13,V319*Controls!$B$12))</f>
        <v/>
      </c>
      <c r="AF319" s="17">
        <f>IF(OR(E319="",F319=""),"",F319-E319)</f>
        <v/>
      </c>
      <c r="AG319" s="17">
        <f>IF(OR(E319="",F319=""),"",NETWORKDAYS(E319,F319,Ref!$F$4:$F$47))</f>
        <v/>
      </c>
      <c r="AH319" s="39">
        <f>IF(IFERROR(VLOOKUP(D319,Controls!$A$25:$D$35,2,FALSE()),"No")="Yes",1,0)</f>
        <v/>
      </c>
      <c r="AI319" s="39">
        <f>IF(IFERROR(VLOOKUP(D319,Controls!$A$25:$D$35,3,FALSE()),"No")="Yes",1,0)</f>
        <v/>
      </c>
      <c r="AJ319" s="39">
        <f>IF(IFERROR(VLOOKUP(D319,Controls!$A$25:$D$35,4,FALSE()),"No")="Yes",1,0)</f>
        <v/>
      </c>
      <c r="AK319" s="96">
        <f>IF(AND($E319&gt;=Controls!$B$5,$E319&lt;=Controls!$B$6,OR(Controls!$E$9&lt;&gt;"Y",$BE319=1)),1,0)</f>
        <v/>
      </c>
      <c r="AL319" s="39">
        <f>1</f>
        <v/>
      </c>
      <c r="AM319" s="20">
        <f>S319-P319</f>
        <v/>
      </c>
      <c r="AN319" s="20">
        <f>IF(AH319=1,MAX(0,P319-S319),0)</f>
        <v/>
      </c>
      <c r="AO319" s="21">
        <f>IFERROR(S319/P319,"")</f>
        <v/>
      </c>
      <c r="AP319" s="22">
        <f>IF(Y319="","",P319/Y319)</f>
        <v/>
      </c>
      <c r="AQ319" s="39">
        <f>IF(Y319="",0,1)</f>
        <v/>
      </c>
      <c r="AR319" s="39">
        <f>IF(S319&lt;=0,1,0)</f>
        <v/>
      </c>
      <c r="AS319" s="17">
        <f>IF(AH319=1,AG319,"")</f>
        <v/>
      </c>
      <c r="AT319" s="17">
        <f>IF(AND(AH319=0,AJ319=1),AG319,"")</f>
        <v/>
      </c>
      <c r="AU319" s="5">
        <f>IF(P319&lt;10000,"Under $10K",IF(P319&lt;20000,"$10-20K",IF(P319&lt;30000,"$20-30K",IF(P319&lt;50000,"$30-50K",IF(P319&lt;100000,"$50-100K","$100K+")))))</f>
        <v/>
      </c>
      <c r="AV319" s="5">
        <f>IF(O319&lt;=1.35,"1.35 and under",IF(O319&lt;=1.42,"1.36-1.42",IF(O319&lt;=1.45,"1.43-1.45",IF(O319&lt;1.49,"1.46-1.48",IF(O319&lt;=1.49,"1.49","Above 1.49")))))</f>
        <v/>
      </c>
      <c r="AW319" s="5">
        <f>IF(AE319="","",IF(AE319&lt;60,"Under 60",IF(AE319&lt;90,"60-89",IF(AE319&lt;120,"90-119",IF(AE319&lt;150,"120-149","150+")))))</f>
        <v/>
      </c>
      <c r="AX319" s="5">
        <f>IF(AP319="","No revenue data",IF(AP319&lt;0.15,"Under 0.15x",IF(AP319&lt;0.3,"0.15-0.30x",IF(AP319&lt;0.5,"0.30-0.50x",IF(AP319&lt;1,"0.50-1.00x","1.00x+")))))</f>
        <v/>
      </c>
      <c r="AY319" s="5">
        <f>IF(J319="","No SIC",IFERROR(VLOOKUP(J319,Ref!$A$4:$C$67,2,FALSE()),"Unclassified"))</f>
        <v/>
      </c>
      <c r="AZ319" s="5">
        <f>IF(E319="","",TEXT(E319,"YYYY")&amp;"-Q"&amp;ROUNDUP(MONTH(E319)/3,0))</f>
        <v/>
      </c>
      <c r="BA319" s="5">
        <f>IF(E319="","",TEXT(E319,"YYYY-MM"))</f>
        <v/>
      </c>
      <c r="BB319" s="5">
        <f>IF(E319="","",TEXT(E319,"YYYY"))</f>
        <v/>
      </c>
      <c r="BC319" s="92">
        <f>IF($E319="","",NETWORKDAYS($E319,Controls!$B$9,Ref!$F$4:$F$47))</f>
        <v/>
      </c>
      <c r="BD319" s="92">
        <f>IF(OR($AH319=1,$AJ319=1),1,0)</f>
        <v/>
      </c>
      <c r="BE319" s="95">
        <f>IF(OR($BD319=1,AND($AE319&lt;&gt;"",$BC319&gt;=Controls!$B$10*$AE319)),1,0)</f>
        <v/>
      </c>
    </row>
    <row r="320" ht="15.75" customHeight="1" s="79">
      <c r="A320" s="5" t="inlineStr">
        <is>
          <t>5674169614</t>
        </is>
      </c>
      <c r="B320" s="5" t="inlineStr">
        <is>
          <t>Cask wine bar &amp; restaurant</t>
        </is>
      </c>
      <c r="C320" s="5" t="inlineStr">
        <is>
          <t>Kurtrestaurant LLC</t>
        </is>
      </c>
      <c r="D320" s="5" t="inlineStr">
        <is>
          <t>Legal</t>
        </is>
      </c>
      <c r="E320" s="16" t="n">
        <v>45960</v>
      </c>
      <c r="F320" s="16" t="n">
        <v>45980</v>
      </c>
      <c r="G320" s="17" t="n">
        <v>2</v>
      </c>
      <c r="H320" s="5" t="inlineStr">
        <is>
          <t>5812</t>
        </is>
      </c>
      <c r="I320" s="5" t="inlineStr">
        <is>
          <t>Snack and Nonalcoholic Beverage Bars</t>
        </is>
      </c>
      <c r="J320" s="5" t="inlineStr">
        <is>
          <t>58</t>
        </is>
      </c>
      <c r="K320" s="5" t="n">
        <v>5812</v>
      </c>
      <c r="L320" s="5" t="inlineStr">
        <is>
          <t>CA</t>
        </is>
      </c>
      <c r="M320" s="5" t="inlineStr">
        <is>
          <t>Biz fuel</t>
        </is>
      </c>
      <c r="N320" s="5" t="inlineStr">
        <is>
          <t>New Deal</t>
        </is>
      </c>
      <c r="O320" s="19" t="n">
        <v>1.499</v>
      </c>
      <c r="P320" s="20" t="n">
        <v>35000</v>
      </c>
      <c r="Q320" s="20" t="n">
        <v>0</v>
      </c>
      <c r="R320" s="20" t="n">
        <v>52465</v>
      </c>
      <c r="S320" s="20" t="n">
        <v>579.35</v>
      </c>
      <c r="T320" s="20" t="n">
        <v>51885.65</v>
      </c>
      <c r="U320" s="21" t="n">
        <v>0.0110425998284571</v>
      </c>
      <c r="V320" s="22" t="n">
        <v>2.951</v>
      </c>
      <c r="W320" s="17" t="n">
        <v>293</v>
      </c>
      <c r="X320" s="17" t="n">
        <v>12</v>
      </c>
      <c r="Y320" s="20" t="n">
        <v>111823.08</v>
      </c>
      <c r="Z320" s="21" t="n">
        <v>0.1088</v>
      </c>
      <c r="AA320" s="16" t="n">
        <v>39741</v>
      </c>
      <c r="AB320" s="5">
        <f>IF(V320="","",IF(V320&lt;12,"Months","Weeks"))</f>
        <v/>
      </c>
      <c r="AC320" s="5">
        <f>IF(AB320="","",IF(AB320="Months","Daily","Weekly"))</f>
        <v/>
      </c>
      <c r="AD320" s="17">
        <f>IF(V320="","",IF(AC320="Daily",V320*Controls!$B$13,V320))</f>
        <v/>
      </c>
      <c r="AE320" s="17">
        <f>IF(V320="","",IF(AC320="Daily",V320*Controls!$B$13,V320*Controls!$B$12))</f>
        <v/>
      </c>
      <c r="AF320" s="17">
        <f>IF(OR(E320="",F320=""),"",F320-E320)</f>
        <v/>
      </c>
      <c r="AG320" s="17">
        <f>IF(OR(E320="",F320=""),"",NETWORKDAYS(E320,F320,Ref!$F$4:$F$47))</f>
        <v/>
      </c>
      <c r="AH320" s="39">
        <f>IF(IFERROR(VLOOKUP(D320,Controls!$A$25:$D$35,2,FALSE()),"No")="Yes",1,0)</f>
        <v/>
      </c>
      <c r="AI320" s="39">
        <f>IF(IFERROR(VLOOKUP(D320,Controls!$A$25:$D$35,3,FALSE()),"No")="Yes",1,0)</f>
        <v/>
      </c>
      <c r="AJ320" s="39">
        <f>IF(IFERROR(VLOOKUP(D320,Controls!$A$25:$D$35,4,FALSE()),"No")="Yes",1,0)</f>
        <v/>
      </c>
      <c r="AK320" s="96">
        <f>IF(AND($E320&gt;=Controls!$B$5,$E320&lt;=Controls!$B$6,OR(Controls!$E$9&lt;&gt;"Y",$BE320=1)),1,0)</f>
        <v/>
      </c>
      <c r="AL320" s="39">
        <f>1</f>
        <v/>
      </c>
      <c r="AM320" s="20">
        <f>S320-P320</f>
        <v/>
      </c>
      <c r="AN320" s="20">
        <f>IF(AH320=1,MAX(0,P320-S320),0)</f>
        <v/>
      </c>
      <c r="AO320" s="21">
        <f>IFERROR(S320/P320,"")</f>
        <v/>
      </c>
      <c r="AP320" s="22">
        <f>IF(Y320="","",P320/Y320)</f>
        <v/>
      </c>
      <c r="AQ320" s="39">
        <f>IF(Y320="",0,1)</f>
        <v/>
      </c>
      <c r="AR320" s="39">
        <f>IF(S320&lt;=0,1,0)</f>
        <v/>
      </c>
      <c r="AS320" s="17">
        <f>IF(AH320=1,AG320,"")</f>
        <v/>
      </c>
      <c r="AT320" s="17">
        <f>IF(AND(AH320=0,AJ320=1),AG320,"")</f>
        <v/>
      </c>
      <c r="AU320" s="5">
        <f>IF(P320&lt;10000,"Under $10K",IF(P320&lt;20000,"$10-20K",IF(P320&lt;30000,"$20-30K",IF(P320&lt;50000,"$30-50K",IF(P320&lt;100000,"$50-100K","$100K+")))))</f>
        <v/>
      </c>
      <c r="AV320" s="5">
        <f>IF(O320&lt;=1.35,"1.35 and under",IF(O320&lt;=1.42,"1.36-1.42",IF(O320&lt;=1.45,"1.43-1.45",IF(O320&lt;1.49,"1.46-1.48",IF(O320&lt;=1.49,"1.49","Above 1.49")))))</f>
        <v/>
      </c>
      <c r="AW320" s="5">
        <f>IF(AE320="","",IF(AE320&lt;60,"Under 60",IF(AE320&lt;90,"60-89",IF(AE320&lt;120,"90-119",IF(AE320&lt;150,"120-149","150+")))))</f>
        <v/>
      </c>
      <c r="AX320" s="5">
        <f>IF(AP320="","No revenue data",IF(AP320&lt;0.15,"Under 0.15x",IF(AP320&lt;0.3,"0.15-0.30x",IF(AP320&lt;0.5,"0.30-0.50x",IF(AP320&lt;1,"0.50-1.00x","1.00x+")))))</f>
        <v/>
      </c>
      <c r="AY320" s="5">
        <f>IF(J320="","No SIC",IFERROR(VLOOKUP(J320,Ref!$A$4:$C$67,2,FALSE()),"Unclassified"))</f>
        <v/>
      </c>
      <c r="AZ320" s="5">
        <f>IF(E320="","",TEXT(E320,"YYYY")&amp;"-Q"&amp;ROUNDUP(MONTH(E320)/3,0))</f>
        <v/>
      </c>
      <c r="BA320" s="5">
        <f>IF(E320="","",TEXT(E320,"YYYY-MM"))</f>
        <v/>
      </c>
      <c r="BB320" s="5">
        <f>IF(E320="","",TEXT(E320,"YYYY"))</f>
        <v/>
      </c>
      <c r="BC320" s="92">
        <f>IF($E320="","",NETWORKDAYS($E320,Controls!$B$9,Ref!$F$4:$F$47))</f>
        <v/>
      </c>
      <c r="BD320" s="92">
        <f>IF(OR($AH320=1,$AJ320=1),1,0)</f>
        <v/>
      </c>
      <c r="BE320" s="95">
        <f>IF(OR($BD320=1,AND($AE320&lt;&gt;"",$BC320&gt;=Controls!$B$10*$AE320)),1,0)</f>
        <v/>
      </c>
    </row>
    <row r="321" ht="15.75" customHeight="1" s="79">
      <c r="A321" s="5" t="inlineStr">
        <is>
          <t>5674169644</t>
        </is>
      </c>
      <c r="B321" s="5" t="inlineStr">
        <is>
          <t>FINELINES DESIGN STUDIO LLC</t>
        </is>
      </c>
      <c r="C321" s="5" t="inlineStr">
        <is>
          <t>FINELINES DESIGN STUDIO LLC</t>
        </is>
      </c>
      <c r="D321" s="5" t="inlineStr">
        <is>
          <t>Legal</t>
        </is>
      </c>
      <c r="E321" s="16" t="n">
        <v>45961</v>
      </c>
      <c r="F321" s="16" t="n">
        <v>46111</v>
      </c>
      <c r="G321" s="17" t="n">
        <v>1</v>
      </c>
      <c r="H321" s="5" t="inlineStr">
        <is>
          <t>1442</t>
        </is>
      </c>
      <c r="I321" s="5" t="inlineStr">
        <is>
          <t>Construction Sand and Gravel Mining</t>
        </is>
      </c>
      <c r="J321" s="5" t="inlineStr">
        <is>
          <t>14</t>
        </is>
      </c>
      <c r="K321" s="5" t="n">
        <v>5039</v>
      </c>
      <c r="L321" s="5" t="inlineStr">
        <is>
          <t>TX</t>
        </is>
      </c>
      <c r="M321" s="5" t="inlineStr">
        <is>
          <t>Fundwell</t>
        </is>
      </c>
      <c r="N321" s="5" t="inlineStr">
        <is>
          <t>New Deal</t>
        </is>
      </c>
      <c r="O321" s="19" t="n">
        <v>1.34</v>
      </c>
      <c r="P321" s="20" t="n">
        <v>45000</v>
      </c>
      <c r="Q321" s="20" t="n">
        <v>3600</v>
      </c>
      <c r="R321" s="20" t="n">
        <v>60300</v>
      </c>
      <c r="S321" s="20" t="n">
        <v>14393</v>
      </c>
      <c r="T321" s="20" t="n">
        <v>45907</v>
      </c>
      <c r="U321" s="21" t="n">
        <v>0.238689883913765</v>
      </c>
      <c r="V321" s="22" t="n">
        <v>36</v>
      </c>
      <c r="W321" s="17" t="n">
        <v>142</v>
      </c>
      <c r="X321" s="17" t="n">
        <v>7</v>
      </c>
      <c r="Y321" s="20" t="n">
        <v>128687</v>
      </c>
      <c r="Z321" s="21" t="n">
        <v>0.0558</v>
      </c>
      <c r="AA321" s="16" t="n">
        <v>40661</v>
      </c>
      <c r="AB321" s="5">
        <f>IF(V321="","",IF(V321&lt;12,"Months","Weeks"))</f>
        <v/>
      </c>
      <c r="AC321" s="5">
        <f>IF(AB321="","",IF(AB321="Months","Daily","Weekly"))</f>
        <v/>
      </c>
      <c r="AD321" s="17">
        <f>IF(V321="","",IF(AC321="Daily",V321*Controls!$B$13,V321))</f>
        <v/>
      </c>
      <c r="AE321" s="17">
        <f>IF(V321="","",IF(AC321="Daily",V321*Controls!$B$13,V321*Controls!$B$12))</f>
        <v/>
      </c>
      <c r="AF321" s="17">
        <f>IF(OR(E321="",F321=""),"",F321-E321)</f>
        <v/>
      </c>
      <c r="AG321" s="17">
        <f>IF(OR(E321="",F321=""),"",NETWORKDAYS(E321,F321,Ref!$F$4:$F$47))</f>
        <v/>
      </c>
      <c r="AH321" s="39">
        <f>IF(IFERROR(VLOOKUP(D321,Controls!$A$25:$D$35,2,FALSE()),"No")="Yes",1,0)</f>
        <v/>
      </c>
      <c r="AI321" s="39">
        <f>IF(IFERROR(VLOOKUP(D321,Controls!$A$25:$D$35,3,FALSE()),"No")="Yes",1,0)</f>
        <v/>
      </c>
      <c r="AJ321" s="39">
        <f>IF(IFERROR(VLOOKUP(D321,Controls!$A$25:$D$35,4,FALSE()),"No")="Yes",1,0)</f>
        <v/>
      </c>
      <c r="AK321" s="96">
        <f>IF(AND($E321&gt;=Controls!$B$5,$E321&lt;=Controls!$B$6,OR(Controls!$E$9&lt;&gt;"Y",$BE321=1)),1,0)</f>
        <v/>
      </c>
      <c r="AL321" s="39">
        <f>1</f>
        <v/>
      </c>
      <c r="AM321" s="20">
        <f>S321-P321</f>
        <v/>
      </c>
      <c r="AN321" s="20">
        <f>IF(AH321=1,MAX(0,P321-S321),0)</f>
        <v/>
      </c>
      <c r="AO321" s="21">
        <f>IFERROR(S321/P321,"")</f>
        <v/>
      </c>
      <c r="AP321" s="22">
        <f>IF(Y321="","",P321/Y321)</f>
        <v/>
      </c>
      <c r="AQ321" s="39">
        <f>IF(Y321="",0,1)</f>
        <v/>
      </c>
      <c r="AR321" s="39">
        <f>IF(S321&lt;=0,1,0)</f>
        <v/>
      </c>
      <c r="AS321" s="17">
        <f>IF(AH321=1,AG321,"")</f>
        <v/>
      </c>
      <c r="AT321" s="17">
        <f>IF(AND(AH321=0,AJ321=1),AG321,"")</f>
        <v/>
      </c>
      <c r="AU321" s="5">
        <f>IF(P321&lt;10000,"Under $10K",IF(P321&lt;20000,"$10-20K",IF(P321&lt;30000,"$20-30K",IF(P321&lt;50000,"$30-50K",IF(P321&lt;100000,"$50-100K","$100K+")))))</f>
        <v/>
      </c>
      <c r="AV321" s="5">
        <f>IF(O321&lt;=1.35,"1.35 and under",IF(O321&lt;=1.42,"1.36-1.42",IF(O321&lt;=1.45,"1.43-1.45",IF(O321&lt;1.49,"1.46-1.48",IF(O321&lt;=1.49,"1.49","Above 1.49")))))</f>
        <v/>
      </c>
      <c r="AW321" s="5">
        <f>IF(AE321="","",IF(AE321&lt;60,"Under 60",IF(AE321&lt;90,"60-89",IF(AE321&lt;120,"90-119",IF(AE321&lt;150,"120-149","150+")))))</f>
        <v/>
      </c>
      <c r="AX321" s="5">
        <f>IF(AP321="","No revenue data",IF(AP321&lt;0.15,"Under 0.15x",IF(AP321&lt;0.3,"0.15-0.30x",IF(AP321&lt;0.5,"0.30-0.50x",IF(AP321&lt;1,"0.50-1.00x","1.00x+")))))</f>
        <v/>
      </c>
      <c r="AY321" s="5">
        <f>IF(J321="","No SIC",IFERROR(VLOOKUP(J321,Ref!$A$4:$C$67,2,FALSE()),"Unclassified"))</f>
        <v/>
      </c>
      <c r="AZ321" s="5">
        <f>IF(E321="","",TEXT(E321,"YYYY")&amp;"-Q"&amp;ROUNDUP(MONTH(E321)/3,0))</f>
        <v/>
      </c>
      <c r="BA321" s="5">
        <f>IF(E321="","",TEXT(E321,"YYYY-MM"))</f>
        <v/>
      </c>
      <c r="BB321" s="5">
        <f>IF(E321="","",TEXT(E321,"YYYY"))</f>
        <v/>
      </c>
      <c r="BC321" s="92">
        <f>IF($E321="","",NETWORKDAYS($E321,Controls!$B$9,Ref!$F$4:$F$47))</f>
        <v/>
      </c>
      <c r="BD321" s="92">
        <f>IF(OR($AH321=1,$AJ321=1),1,0)</f>
        <v/>
      </c>
      <c r="BE321" s="95">
        <f>IF(OR($BD321=1,AND($AE321&lt;&gt;"",$BC321&gt;=Controls!$B$10*$AE321)),1,0)</f>
        <v/>
      </c>
    </row>
    <row r="322" ht="15.75" customHeight="1" s="79">
      <c r="A322" s="5" t="inlineStr">
        <is>
          <t>5674169662</t>
        </is>
      </c>
      <c r="B322" s="5" t="inlineStr">
        <is>
          <t>ACE FENCE COMPANY</t>
        </is>
      </c>
      <c r="C322" s="5" t="inlineStr">
        <is>
          <t>Z &amp; G Investment Group, LLC</t>
        </is>
      </c>
      <c r="D322" s="5" t="inlineStr">
        <is>
          <t>Closed</t>
        </is>
      </c>
      <c r="E322" s="16" t="n">
        <v>45961</v>
      </c>
      <c r="F322" s="16" t="n">
        <v>46125</v>
      </c>
      <c r="G322" s="17" t="n">
        <v>2</v>
      </c>
      <c r="H322" s="5" t="inlineStr">
        <is>
          <t>0781</t>
        </is>
      </c>
      <c r="I322" s="5" t="inlineStr">
        <is>
          <t>Landscape Architectural Services</t>
        </is>
      </c>
      <c r="J322" s="5" t="inlineStr">
        <is>
          <t>07</t>
        </is>
      </c>
      <c r="K322" s="5" t="n">
        <v>1520</v>
      </c>
      <c r="L322" s="5" t="inlineStr">
        <is>
          <t>FL</t>
        </is>
      </c>
      <c r="M322" s="5" t="inlineStr">
        <is>
          <t>Fundwell</t>
        </is>
      </c>
      <c r="N322" s="5" t="inlineStr">
        <is>
          <t>New Deal</t>
        </is>
      </c>
      <c r="O322" s="19" t="n">
        <v>1.4</v>
      </c>
      <c r="P322" s="20" t="n">
        <v>11000</v>
      </c>
      <c r="Q322" s="20" t="n">
        <v>1430</v>
      </c>
      <c r="R322" s="20" t="n">
        <v>15400</v>
      </c>
      <c r="S322" s="20" t="n">
        <v>15400</v>
      </c>
      <c r="T322" s="20" t="n">
        <v>-1.81898940354586e-12</v>
      </c>
      <c r="U322" s="21" t="n">
        <v>1</v>
      </c>
      <c r="V322" s="22" t="n">
        <v>2.951</v>
      </c>
      <c r="W322" s="17" t="n">
        <v>128</v>
      </c>
      <c r="X322" s="17" t="n">
        <v>7</v>
      </c>
      <c r="Y322" s="20" t="n">
        <v>37442.06</v>
      </c>
      <c r="Z322" s="21" t="n">
        <v>0.096</v>
      </c>
      <c r="AA322" s="16" t="n">
        <v>45260</v>
      </c>
      <c r="AB322" s="5">
        <f>IF(V322="","",IF(V322&lt;12,"Months","Weeks"))</f>
        <v/>
      </c>
      <c r="AC322" s="5">
        <f>IF(AB322="","",IF(AB322="Months","Daily","Weekly"))</f>
        <v/>
      </c>
      <c r="AD322" s="17">
        <f>IF(V322="","",IF(AC322="Daily",V322*Controls!$B$13,V322))</f>
        <v/>
      </c>
      <c r="AE322" s="17">
        <f>IF(V322="","",IF(AC322="Daily",V322*Controls!$B$13,V322*Controls!$B$12))</f>
        <v/>
      </c>
      <c r="AF322" s="17">
        <f>IF(OR(E322="",F322=""),"",F322-E322)</f>
        <v/>
      </c>
      <c r="AG322" s="17">
        <f>IF(OR(E322="",F322=""),"",NETWORKDAYS(E322,F322,Ref!$F$4:$F$47))</f>
        <v/>
      </c>
      <c r="AH322" s="39">
        <f>IF(IFERROR(VLOOKUP(D322,Controls!$A$25:$D$35,2,FALSE()),"No")="Yes",1,0)</f>
        <v/>
      </c>
      <c r="AI322" s="39">
        <f>IF(IFERROR(VLOOKUP(D322,Controls!$A$25:$D$35,3,FALSE()),"No")="Yes",1,0)</f>
        <v/>
      </c>
      <c r="AJ322" s="39">
        <f>IF(IFERROR(VLOOKUP(D322,Controls!$A$25:$D$35,4,FALSE()),"No")="Yes",1,0)</f>
        <v/>
      </c>
      <c r="AK322" s="96">
        <f>IF(AND($E322&gt;=Controls!$B$5,$E322&lt;=Controls!$B$6,OR(Controls!$E$9&lt;&gt;"Y",$BE322=1)),1,0)</f>
        <v/>
      </c>
      <c r="AL322" s="39">
        <f>1</f>
        <v/>
      </c>
      <c r="AM322" s="20">
        <f>S322-P322</f>
        <v/>
      </c>
      <c r="AN322" s="20">
        <f>IF(AH322=1,MAX(0,P322-S322),0)</f>
        <v/>
      </c>
      <c r="AO322" s="21">
        <f>IFERROR(S322/P322,"")</f>
        <v/>
      </c>
      <c r="AP322" s="22">
        <f>IF(Y322="","",P322/Y322)</f>
        <v/>
      </c>
      <c r="AQ322" s="39">
        <f>IF(Y322="",0,1)</f>
        <v/>
      </c>
      <c r="AR322" s="39">
        <f>IF(S322&lt;=0,1,0)</f>
        <v/>
      </c>
      <c r="AS322" s="17">
        <f>IF(AH322=1,AG322,"")</f>
        <v/>
      </c>
      <c r="AT322" s="17">
        <f>IF(AND(AH322=0,AJ322=1),AG322,"")</f>
        <v/>
      </c>
      <c r="AU322" s="5">
        <f>IF(P322&lt;10000,"Under $10K",IF(P322&lt;20000,"$10-20K",IF(P322&lt;30000,"$20-30K",IF(P322&lt;50000,"$30-50K",IF(P322&lt;100000,"$50-100K","$100K+")))))</f>
        <v/>
      </c>
      <c r="AV322" s="5">
        <f>IF(O322&lt;=1.35,"1.35 and under",IF(O322&lt;=1.42,"1.36-1.42",IF(O322&lt;=1.45,"1.43-1.45",IF(O322&lt;1.49,"1.46-1.48",IF(O322&lt;=1.49,"1.49","Above 1.49")))))</f>
        <v/>
      </c>
      <c r="AW322" s="5">
        <f>IF(AE322="","",IF(AE322&lt;60,"Under 60",IF(AE322&lt;90,"60-89",IF(AE322&lt;120,"90-119",IF(AE322&lt;150,"120-149","150+")))))</f>
        <v/>
      </c>
      <c r="AX322" s="5">
        <f>IF(AP322="","No revenue data",IF(AP322&lt;0.15,"Under 0.15x",IF(AP322&lt;0.3,"0.15-0.30x",IF(AP322&lt;0.5,"0.30-0.50x",IF(AP322&lt;1,"0.50-1.00x","1.00x+")))))</f>
        <v/>
      </c>
      <c r="AY322" s="5">
        <f>IF(J322="","No SIC",IFERROR(VLOOKUP(J322,Ref!$A$4:$C$67,2,FALSE()),"Unclassified"))</f>
        <v/>
      </c>
      <c r="AZ322" s="5">
        <f>IF(E322="","",TEXT(E322,"YYYY")&amp;"-Q"&amp;ROUNDUP(MONTH(E322)/3,0))</f>
        <v/>
      </c>
      <c r="BA322" s="5">
        <f>IF(E322="","",TEXT(E322,"YYYY-MM"))</f>
        <v/>
      </c>
      <c r="BB322" s="5">
        <f>IF(E322="","",TEXT(E322,"YYYY"))</f>
        <v/>
      </c>
      <c r="BC322" s="92">
        <f>IF($E322="","",NETWORKDAYS($E322,Controls!$B$9,Ref!$F$4:$F$47))</f>
        <v/>
      </c>
      <c r="BD322" s="92">
        <f>IF(OR($AH322=1,$AJ322=1),1,0)</f>
        <v/>
      </c>
      <c r="BE322" s="95">
        <f>IF(OR($BD322=1,AND($AE322&lt;&gt;"",$BC322&gt;=Controls!$B$10*$AE322)),1,0)</f>
        <v/>
      </c>
    </row>
    <row r="323" ht="15.75" customHeight="1" s="79">
      <c r="A323" s="5" t="inlineStr">
        <is>
          <t>5674169689</t>
        </is>
      </c>
      <c r="B323" s="5" t="inlineStr">
        <is>
          <t>A2Z FAMILY DENTAL, P.C.</t>
        </is>
      </c>
      <c r="C323" s="5" t="inlineStr">
        <is>
          <t>A2Z FAMILY DENTAL, P.C.</t>
        </is>
      </c>
      <c r="D323" s="5" t="inlineStr">
        <is>
          <t>Closed</t>
        </is>
      </c>
      <c r="E323" s="16" t="n">
        <v>45961</v>
      </c>
      <c r="F323" s="16" t="n">
        <v>46029</v>
      </c>
      <c r="G323" s="17" t="n">
        <v>5</v>
      </c>
      <c r="H323" s="5" t="inlineStr">
        <is>
          <t>8021</t>
        </is>
      </c>
      <c r="I323" s="5" t="inlineStr">
        <is>
          <t>Offices of Dentists</t>
        </is>
      </c>
      <c r="J323" s="5" t="inlineStr">
        <is>
          <t>80</t>
        </is>
      </c>
      <c r="K323" s="5" t="n">
        <v>8021</v>
      </c>
      <c r="L323" s="5" t="inlineStr">
        <is>
          <t>IL</t>
        </is>
      </c>
      <c r="M323" s="5" t="inlineStr">
        <is>
          <t>EZ ADVANCE LLC</t>
        </is>
      </c>
      <c r="N323" s="5" t="inlineStr">
        <is>
          <t>New Deal</t>
        </is>
      </c>
      <c r="O323" s="19" t="n">
        <v>1.499</v>
      </c>
      <c r="P323" s="20" t="n">
        <v>15000</v>
      </c>
      <c r="Q323" s="20" t="n">
        <v>2100</v>
      </c>
      <c r="R323" s="20" t="n">
        <v>22485</v>
      </c>
      <c r="S323" s="20" t="n">
        <v>22485</v>
      </c>
      <c r="T323" s="20" t="n">
        <v>0</v>
      </c>
      <c r="U323" s="21" t="n">
        <v>1</v>
      </c>
      <c r="V323" s="22" t="n">
        <v>2.951</v>
      </c>
      <c r="W323" s="17" t="n">
        <v>224</v>
      </c>
      <c r="X323" s="17" t="n">
        <v>0</v>
      </c>
      <c r="Y323" s="20" t="n">
        <v>37783.29</v>
      </c>
      <c r="Z323" s="21" t="n">
        <v>0.1381</v>
      </c>
      <c r="AA323" s="16" t="n">
        <v>42515</v>
      </c>
      <c r="AB323" s="5">
        <f>IF(V323="","",IF(V323&lt;12,"Months","Weeks"))</f>
        <v/>
      </c>
      <c r="AC323" s="5">
        <f>IF(AB323="","",IF(AB323="Months","Daily","Weekly"))</f>
        <v/>
      </c>
      <c r="AD323" s="17">
        <f>IF(V323="","",IF(AC323="Daily",V323*Controls!$B$13,V323))</f>
        <v/>
      </c>
      <c r="AE323" s="17">
        <f>IF(V323="","",IF(AC323="Daily",V323*Controls!$B$13,V323*Controls!$B$12))</f>
        <v/>
      </c>
      <c r="AF323" s="17">
        <f>IF(OR(E323="",F323=""),"",F323-E323)</f>
        <v/>
      </c>
      <c r="AG323" s="17">
        <f>IF(OR(E323="",F323=""),"",NETWORKDAYS(E323,F323,Ref!$F$4:$F$47))</f>
        <v/>
      </c>
      <c r="AH323" s="39">
        <f>IF(IFERROR(VLOOKUP(D323,Controls!$A$25:$D$35,2,FALSE()),"No")="Yes",1,0)</f>
        <v/>
      </c>
      <c r="AI323" s="39">
        <f>IF(IFERROR(VLOOKUP(D323,Controls!$A$25:$D$35,3,FALSE()),"No")="Yes",1,0)</f>
        <v/>
      </c>
      <c r="AJ323" s="39">
        <f>IF(IFERROR(VLOOKUP(D323,Controls!$A$25:$D$35,4,FALSE()),"No")="Yes",1,0)</f>
        <v/>
      </c>
      <c r="AK323" s="96">
        <f>IF(AND($E323&gt;=Controls!$B$5,$E323&lt;=Controls!$B$6,OR(Controls!$E$9&lt;&gt;"Y",$BE323=1)),1,0)</f>
        <v/>
      </c>
      <c r="AL323" s="39">
        <f>1</f>
        <v/>
      </c>
      <c r="AM323" s="20">
        <f>S323-P323</f>
        <v/>
      </c>
      <c r="AN323" s="20">
        <f>IF(AH323=1,MAX(0,P323-S323),0)</f>
        <v/>
      </c>
      <c r="AO323" s="21">
        <f>IFERROR(S323/P323,"")</f>
        <v/>
      </c>
      <c r="AP323" s="22">
        <f>IF(Y323="","",P323/Y323)</f>
        <v/>
      </c>
      <c r="AQ323" s="39">
        <f>IF(Y323="",0,1)</f>
        <v/>
      </c>
      <c r="AR323" s="39">
        <f>IF(S323&lt;=0,1,0)</f>
        <v/>
      </c>
      <c r="AS323" s="17">
        <f>IF(AH323=1,AG323,"")</f>
        <v/>
      </c>
      <c r="AT323" s="17">
        <f>IF(AND(AH323=0,AJ323=1),AG323,"")</f>
        <v/>
      </c>
      <c r="AU323" s="5">
        <f>IF(P323&lt;10000,"Under $10K",IF(P323&lt;20000,"$10-20K",IF(P323&lt;30000,"$20-30K",IF(P323&lt;50000,"$30-50K",IF(P323&lt;100000,"$50-100K","$100K+")))))</f>
        <v/>
      </c>
      <c r="AV323" s="5">
        <f>IF(O323&lt;=1.35,"1.35 and under",IF(O323&lt;=1.42,"1.36-1.42",IF(O323&lt;=1.45,"1.43-1.45",IF(O323&lt;1.49,"1.46-1.48",IF(O323&lt;=1.49,"1.49","Above 1.49")))))</f>
        <v/>
      </c>
      <c r="AW323" s="5">
        <f>IF(AE323="","",IF(AE323&lt;60,"Under 60",IF(AE323&lt;90,"60-89",IF(AE323&lt;120,"90-119",IF(AE323&lt;150,"120-149","150+")))))</f>
        <v/>
      </c>
      <c r="AX323" s="5">
        <f>IF(AP323="","No revenue data",IF(AP323&lt;0.15,"Under 0.15x",IF(AP323&lt;0.3,"0.15-0.30x",IF(AP323&lt;0.5,"0.30-0.50x",IF(AP323&lt;1,"0.50-1.00x","1.00x+")))))</f>
        <v/>
      </c>
      <c r="AY323" s="5">
        <f>IF(J323="","No SIC",IFERROR(VLOOKUP(J323,Ref!$A$4:$C$67,2,FALSE()),"Unclassified"))</f>
        <v/>
      </c>
      <c r="AZ323" s="5">
        <f>IF(E323="","",TEXT(E323,"YYYY")&amp;"-Q"&amp;ROUNDUP(MONTH(E323)/3,0))</f>
        <v/>
      </c>
      <c r="BA323" s="5">
        <f>IF(E323="","",TEXT(E323,"YYYY-MM"))</f>
        <v/>
      </c>
      <c r="BB323" s="5">
        <f>IF(E323="","",TEXT(E323,"YYYY"))</f>
        <v/>
      </c>
      <c r="BC323" s="92">
        <f>IF($E323="","",NETWORKDAYS($E323,Controls!$B$9,Ref!$F$4:$F$47))</f>
        <v/>
      </c>
      <c r="BD323" s="92">
        <f>IF(OR($AH323=1,$AJ323=1),1,0)</f>
        <v/>
      </c>
      <c r="BE323" s="95">
        <f>IF(OR($BD323=1,AND($AE323&lt;&gt;"",$BC323&gt;=Controls!$B$10*$AE323)),1,0)</f>
        <v/>
      </c>
    </row>
    <row r="324" ht="15.75" customHeight="1" s="79">
      <c r="A324" s="5" t="inlineStr">
        <is>
          <t>5674169716</t>
        </is>
      </c>
      <c r="B324" s="5" t="inlineStr">
        <is>
          <t>VALOR TOURS LTD</t>
        </is>
      </c>
      <c r="C324" s="5" t="inlineStr">
        <is>
          <t>VALOR TOURS LTD</t>
        </is>
      </c>
      <c r="D324" s="5" t="inlineStr">
        <is>
          <t>Closed</t>
        </is>
      </c>
      <c r="E324" s="16" t="n">
        <v>45961</v>
      </c>
      <c r="F324" s="16" t="n">
        <v>46051</v>
      </c>
      <c r="G324" s="17" t="n">
        <v>2</v>
      </c>
      <c r="H324" s="5" t="inlineStr">
        <is>
          <t>4725</t>
        </is>
      </c>
      <c r="I324" s="5" t="inlineStr">
        <is>
          <t>Tour Operators</t>
        </is>
      </c>
      <c r="J324" s="5" t="inlineStr">
        <is>
          <t>47</t>
        </is>
      </c>
      <c r="K324" s="5" t="n">
        <v>4722</v>
      </c>
      <c r="L324" s="5" t="inlineStr">
        <is>
          <t>CA</t>
        </is>
      </c>
      <c r="M324" s="5" t="inlineStr">
        <is>
          <t>Westwood</t>
        </is>
      </c>
      <c r="N324" s="5" t="inlineStr">
        <is>
          <t>New Deal</t>
        </is>
      </c>
      <c r="O324" s="19" t="n">
        <v>1.499</v>
      </c>
      <c r="P324" s="20" t="n">
        <v>22500</v>
      </c>
      <c r="Q324" s="20" t="n">
        <v>3150</v>
      </c>
      <c r="R324" s="20" t="n">
        <v>33727.5</v>
      </c>
      <c r="S324" s="20" t="n">
        <v>33727.5</v>
      </c>
      <c r="T324" s="20" t="n">
        <v>0</v>
      </c>
      <c r="U324" s="21" t="n">
        <v>1</v>
      </c>
      <c r="V324" s="22" t="n">
        <v>2.951</v>
      </c>
      <c r="W324" s="17" t="n">
        <v>202</v>
      </c>
      <c r="X324" s="17" t="n">
        <v>8</v>
      </c>
      <c r="Y324" s="20" t="n">
        <v>48699.19</v>
      </c>
      <c r="Z324" s="21" t="n">
        <v>0.1606</v>
      </c>
      <c r="AA324" s="16" t="n">
        <v>42917</v>
      </c>
      <c r="AB324" s="5">
        <f>IF(V324="","",IF(V324&lt;12,"Months","Weeks"))</f>
        <v/>
      </c>
      <c r="AC324" s="5">
        <f>IF(AB324="","",IF(AB324="Months","Daily","Weekly"))</f>
        <v/>
      </c>
      <c r="AD324" s="17">
        <f>IF(V324="","",IF(AC324="Daily",V324*Controls!$B$13,V324))</f>
        <v/>
      </c>
      <c r="AE324" s="17">
        <f>IF(V324="","",IF(AC324="Daily",V324*Controls!$B$13,V324*Controls!$B$12))</f>
        <v/>
      </c>
      <c r="AF324" s="17">
        <f>IF(OR(E324="",F324=""),"",F324-E324)</f>
        <v/>
      </c>
      <c r="AG324" s="17">
        <f>IF(OR(E324="",F324=""),"",NETWORKDAYS(E324,F324,Ref!$F$4:$F$47))</f>
        <v/>
      </c>
      <c r="AH324" s="39">
        <f>IF(IFERROR(VLOOKUP(D324,Controls!$A$25:$D$35,2,FALSE()),"No")="Yes",1,0)</f>
        <v/>
      </c>
      <c r="AI324" s="39">
        <f>IF(IFERROR(VLOOKUP(D324,Controls!$A$25:$D$35,3,FALSE()),"No")="Yes",1,0)</f>
        <v/>
      </c>
      <c r="AJ324" s="39">
        <f>IF(IFERROR(VLOOKUP(D324,Controls!$A$25:$D$35,4,FALSE()),"No")="Yes",1,0)</f>
        <v/>
      </c>
      <c r="AK324" s="96">
        <f>IF(AND($E324&gt;=Controls!$B$5,$E324&lt;=Controls!$B$6,OR(Controls!$E$9&lt;&gt;"Y",$BE324=1)),1,0)</f>
        <v/>
      </c>
      <c r="AL324" s="39">
        <f>1</f>
        <v/>
      </c>
      <c r="AM324" s="20">
        <f>S324-P324</f>
        <v/>
      </c>
      <c r="AN324" s="20">
        <f>IF(AH324=1,MAX(0,P324-S324),0)</f>
        <v/>
      </c>
      <c r="AO324" s="21">
        <f>IFERROR(S324/P324,"")</f>
        <v/>
      </c>
      <c r="AP324" s="22">
        <f>IF(Y324="","",P324/Y324)</f>
        <v/>
      </c>
      <c r="AQ324" s="39">
        <f>IF(Y324="",0,1)</f>
        <v/>
      </c>
      <c r="AR324" s="39">
        <f>IF(S324&lt;=0,1,0)</f>
        <v/>
      </c>
      <c r="AS324" s="17">
        <f>IF(AH324=1,AG324,"")</f>
        <v/>
      </c>
      <c r="AT324" s="17">
        <f>IF(AND(AH324=0,AJ324=1),AG324,"")</f>
        <v/>
      </c>
      <c r="AU324" s="5">
        <f>IF(P324&lt;10000,"Under $10K",IF(P324&lt;20000,"$10-20K",IF(P324&lt;30000,"$20-30K",IF(P324&lt;50000,"$30-50K",IF(P324&lt;100000,"$50-100K","$100K+")))))</f>
        <v/>
      </c>
      <c r="AV324" s="5">
        <f>IF(O324&lt;=1.35,"1.35 and under",IF(O324&lt;=1.42,"1.36-1.42",IF(O324&lt;=1.45,"1.43-1.45",IF(O324&lt;1.49,"1.46-1.48",IF(O324&lt;=1.49,"1.49","Above 1.49")))))</f>
        <v/>
      </c>
      <c r="AW324" s="5">
        <f>IF(AE324="","",IF(AE324&lt;60,"Under 60",IF(AE324&lt;90,"60-89",IF(AE324&lt;120,"90-119",IF(AE324&lt;150,"120-149","150+")))))</f>
        <v/>
      </c>
      <c r="AX324" s="5">
        <f>IF(AP324="","No revenue data",IF(AP324&lt;0.15,"Under 0.15x",IF(AP324&lt;0.3,"0.15-0.30x",IF(AP324&lt;0.5,"0.30-0.50x",IF(AP324&lt;1,"0.50-1.00x","1.00x+")))))</f>
        <v/>
      </c>
      <c r="AY324" s="5">
        <f>IF(J324="","No SIC",IFERROR(VLOOKUP(J324,Ref!$A$4:$C$67,2,FALSE()),"Unclassified"))</f>
        <v/>
      </c>
      <c r="AZ324" s="5">
        <f>IF(E324="","",TEXT(E324,"YYYY")&amp;"-Q"&amp;ROUNDUP(MONTH(E324)/3,0))</f>
        <v/>
      </c>
      <c r="BA324" s="5">
        <f>IF(E324="","",TEXT(E324,"YYYY-MM"))</f>
        <v/>
      </c>
      <c r="BB324" s="5">
        <f>IF(E324="","",TEXT(E324,"YYYY"))</f>
        <v/>
      </c>
      <c r="BC324" s="92">
        <f>IF($E324="","",NETWORKDAYS($E324,Controls!$B$9,Ref!$F$4:$F$47))</f>
        <v/>
      </c>
      <c r="BD324" s="92">
        <f>IF(OR($AH324=1,$AJ324=1),1,0)</f>
        <v/>
      </c>
      <c r="BE324" s="95">
        <f>IF(OR($BD324=1,AND($AE324&lt;&gt;"",$BC324&gt;=Controls!$B$10*$AE324)),1,0)</f>
        <v/>
      </c>
    </row>
    <row r="325" ht="15.75" customHeight="1" s="79">
      <c r="A325" s="5" t="inlineStr">
        <is>
          <t>5674169733</t>
        </is>
      </c>
      <c r="B325" s="5" t="inlineStr">
        <is>
          <t>FEDL Monique Bakery</t>
        </is>
      </c>
      <c r="C325" s="5" t="inlineStr">
        <is>
          <t>FEDL MONIQUE BAKERIES INC</t>
        </is>
      </c>
      <c r="D325" s="5" t="inlineStr">
        <is>
          <t>Closed</t>
        </is>
      </c>
      <c r="E325" s="16" t="n">
        <v>45964</v>
      </c>
      <c r="F325" s="16" t="n">
        <v>46112</v>
      </c>
      <c r="G325" s="17" t="n">
        <v>2</v>
      </c>
      <c r="H325" s="5" t="inlineStr">
        <is>
          <t>2051</t>
        </is>
      </c>
      <c r="I325" s="5" t="inlineStr">
        <is>
          <t>Commercial Bakeries</t>
        </is>
      </c>
      <c r="J325" s="5" t="inlineStr">
        <is>
          <t>20</t>
        </is>
      </c>
      <c r="K325" s="5" t="n">
        <v>5462</v>
      </c>
      <c r="L325" s="5" t="inlineStr">
        <is>
          <t>TX</t>
        </is>
      </c>
      <c r="M325" s="5" t="inlineStr">
        <is>
          <t>Fidelity Funding</t>
        </is>
      </c>
      <c r="N325" s="5" t="inlineStr">
        <is>
          <t>New Deal</t>
        </is>
      </c>
      <c r="O325" s="19" t="n">
        <v>1.39</v>
      </c>
      <c r="P325" s="20" t="n">
        <v>40000</v>
      </c>
      <c r="Q325" s="20" t="n">
        <v>3600</v>
      </c>
      <c r="R325" s="20" t="n">
        <v>55600</v>
      </c>
      <c r="S325" s="20" t="n">
        <v>55600</v>
      </c>
      <c r="T325" s="20" t="n">
        <v>-7.275957614183431e-12</v>
      </c>
      <c r="U325" s="21" t="n">
        <v>1</v>
      </c>
      <c r="V325" s="22" t="n">
        <v>28</v>
      </c>
      <c r="W325" s="17" t="n">
        <v>141</v>
      </c>
      <c r="X325" s="17" t="n">
        <v>0</v>
      </c>
      <c r="Y325" s="20" t="n">
        <v>94974</v>
      </c>
      <c r="Z325" s="21" t="n">
        <v>0.08359999999999999</v>
      </c>
      <c r="AA325" s="5" t="n"/>
      <c r="AB325" s="5">
        <f>IF(V325="","",IF(V325&lt;12,"Months","Weeks"))</f>
        <v/>
      </c>
      <c r="AC325" s="5">
        <f>IF(AB325="","",IF(AB325="Months","Daily","Weekly"))</f>
        <v/>
      </c>
      <c r="AD325" s="17">
        <f>IF(V325="","",IF(AC325="Daily",V325*Controls!$B$13,V325))</f>
        <v/>
      </c>
      <c r="AE325" s="17">
        <f>IF(V325="","",IF(AC325="Daily",V325*Controls!$B$13,V325*Controls!$B$12))</f>
        <v/>
      </c>
      <c r="AF325" s="17">
        <f>IF(OR(E325="",F325=""),"",F325-E325)</f>
        <v/>
      </c>
      <c r="AG325" s="17">
        <f>IF(OR(E325="",F325=""),"",NETWORKDAYS(E325,F325,Ref!$F$4:$F$47))</f>
        <v/>
      </c>
      <c r="AH325" s="39">
        <f>IF(IFERROR(VLOOKUP(D325,Controls!$A$25:$D$35,2,FALSE()),"No")="Yes",1,0)</f>
        <v/>
      </c>
      <c r="AI325" s="39">
        <f>IF(IFERROR(VLOOKUP(D325,Controls!$A$25:$D$35,3,FALSE()),"No")="Yes",1,0)</f>
        <v/>
      </c>
      <c r="AJ325" s="39">
        <f>IF(IFERROR(VLOOKUP(D325,Controls!$A$25:$D$35,4,FALSE()),"No")="Yes",1,0)</f>
        <v/>
      </c>
      <c r="AK325" s="96">
        <f>IF(AND($E325&gt;=Controls!$B$5,$E325&lt;=Controls!$B$6,OR(Controls!$E$9&lt;&gt;"Y",$BE325=1)),1,0)</f>
        <v/>
      </c>
      <c r="AL325" s="39">
        <f>1</f>
        <v/>
      </c>
      <c r="AM325" s="20">
        <f>S325-P325</f>
        <v/>
      </c>
      <c r="AN325" s="20">
        <f>IF(AH325=1,MAX(0,P325-S325),0)</f>
        <v/>
      </c>
      <c r="AO325" s="21">
        <f>IFERROR(S325/P325,"")</f>
        <v/>
      </c>
      <c r="AP325" s="22">
        <f>IF(Y325="","",P325/Y325)</f>
        <v/>
      </c>
      <c r="AQ325" s="39">
        <f>IF(Y325="",0,1)</f>
        <v/>
      </c>
      <c r="AR325" s="39">
        <f>IF(S325&lt;=0,1,0)</f>
        <v/>
      </c>
      <c r="AS325" s="17">
        <f>IF(AH325=1,AG325,"")</f>
        <v/>
      </c>
      <c r="AT325" s="17">
        <f>IF(AND(AH325=0,AJ325=1),AG325,"")</f>
        <v/>
      </c>
      <c r="AU325" s="5">
        <f>IF(P325&lt;10000,"Under $10K",IF(P325&lt;20000,"$10-20K",IF(P325&lt;30000,"$20-30K",IF(P325&lt;50000,"$30-50K",IF(P325&lt;100000,"$50-100K","$100K+")))))</f>
        <v/>
      </c>
      <c r="AV325" s="5">
        <f>IF(O325&lt;=1.35,"1.35 and under",IF(O325&lt;=1.42,"1.36-1.42",IF(O325&lt;=1.45,"1.43-1.45",IF(O325&lt;1.49,"1.46-1.48",IF(O325&lt;=1.49,"1.49","Above 1.49")))))</f>
        <v/>
      </c>
      <c r="AW325" s="5">
        <f>IF(AE325="","",IF(AE325&lt;60,"Under 60",IF(AE325&lt;90,"60-89",IF(AE325&lt;120,"90-119",IF(AE325&lt;150,"120-149","150+")))))</f>
        <v/>
      </c>
      <c r="AX325" s="5">
        <f>IF(AP325="","No revenue data",IF(AP325&lt;0.15,"Under 0.15x",IF(AP325&lt;0.3,"0.15-0.30x",IF(AP325&lt;0.5,"0.30-0.50x",IF(AP325&lt;1,"0.50-1.00x","1.00x+")))))</f>
        <v/>
      </c>
      <c r="AY325" s="5">
        <f>IF(J325="","No SIC",IFERROR(VLOOKUP(J325,Ref!$A$4:$C$67,2,FALSE()),"Unclassified"))</f>
        <v/>
      </c>
      <c r="AZ325" s="5">
        <f>IF(E325="","",TEXT(E325,"YYYY")&amp;"-Q"&amp;ROUNDUP(MONTH(E325)/3,0))</f>
        <v/>
      </c>
      <c r="BA325" s="5">
        <f>IF(E325="","",TEXT(E325,"YYYY-MM"))</f>
        <v/>
      </c>
      <c r="BB325" s="5">
        <f>IF(E325="","",TEXT(E325,"YYYY"))</f>
        <v/>
      </c>
      <c r="BC325" s="92">
        <f>IF($E325="","",NETWORKDAYS($E325,Controls!$B$9,Ref!$F$4:$F$47))</f>
        <v/>
      </c>
      <c r="BD325" s="92">
        <f>IF(OR($AH325=1,$AJ325=1),1,0)</f>
        <v/>
      </c>
      <c r="BE325" s="95">
        <f>IF(OR($BD325=1,AND($AE325&lt;&gt;"",$BC325&gt;=Controls!$B$10*$AE325)),1,0)</f>
        <v/>
      </c>
    </row>
    <row r="326" ht="15.75" customHeight="1" s="79">
      <c r="A326" s="5" t="inlineStr">
        <is>
          <t>5674169755</t>
        </is>
      </c>
      <c r="B326" s="5" t="inlineStr">
        <is>
          <t>Fadak international food market</t>
        </is>
      </c>
      <c r="C326" s="5" t="inlineStr">
        <is>
          <t>Fadak international food market</t>
        </is>
      </c>
      <c r="D326" s="5" t="inlineStr">
        <is>
          <t>Legal</t>
        </is>
      </c>
      <c r="E326" s="16" t="n">
        <v>45964</v>
      </c>
      <c r="F326" s="16" t="n">
        <v>46175</v>
      </c>
      <c r="G326" s="17" t="n">
        <v>3</v>
      </c>
      <c r="H326" s="5" t="inlineStr">
        <is>
          <t>5999</t>
        </is>
      </c>
      <c r="I326" s="5" t="inlineStr">
        <is>
          <t>All Other Misc. Store Retailers (Except Tobacco Stores)</t>
        </is>
      </c>
      <c r="J326" s="5" t="inlineStr">
        <is>
          <t>59</t>
        </is>
      </c>
      <c r="K326" s="5" t="n">
        <v>5999</v>
      </c>
      <c r="L326" s="5" t="inlineStr">
        <is>
          <t>PA</t>
        </is>
      </c>
      <c r="M326" s="5" t="inlineStr">
        <is>
          <t>Blue Oak Advance</t>
        </is>
      </c>
      <c r="N326" s="5" t="inlineStr">
        <is>
          <t>New Deal</t>
        </is>
      </c>
      <c r="O326" s="19" t="n">
        <v>1.499</v>
      </c>
      <c r="P326" s="20" t="n">
        <v>15000</v>
      </c>
      <c r="Q326" s="20" t="n">
        <v>2100</v>
      </c>
      <c r="R326" s="20" t="n">
        <v>22485</v>
      </c>
      <c r="S326" s="20" t="n">
        <v>2603.23</v>
      </c>
      <c r="T326" s="20" t="n">
        <v>19881.77</v>
      </c>
      <c r="U326" s="21" t="n">
        <v>0.115776295307983</v>
      </c>
      <c r="V326" s="22" t="n">
        <v>1.967</v>
      </c>
      <c r="W326" s="17" t="n">
        <v>280</v>
      </c>
      <c r="X326" s="17" t="n">
        <v>11</v>
      </c>
      <c r="Y326" s="20" t="n">
        <v>182896.32</v>
      </c>
      <c r="Z326" s="21" t="n">
        <v>0.0427</v>
      </c>
      <c r="AA326" s="16" t="n">
        <v>44002</v>
      </c>
      <c r="AB326" s="5">
        <f>IF(V326="","",IF(V326&lt;12,"Months","Weeks"))</f>
        <v/>
      </c>
      <c r="AC326" s="5">
        <f>IF(AB326="","",IF(AB326="Months","Daily","Weekly"))</f>
        <v/>
      </c>
      <c r="AD326" s="17">
        <f>IF(V326="","",IF(AC326="Daily",V326*Controls!$B$13,V326))</f>
        <v/>
      </c>
      <c r="AE326" s="17">
        <f>IF(V326="","",IF(AC326="Daily",V326*Controls!$B$13,V326*Controls!$B$12))</f>
        <v/>
      </c>
      <c r="AF326" s="17">
        <f>IF(OR(E326="",F326=""),"",F326-E326)</f>
        <v/>
      </c>
      <c r="AG326" s="17">
        <f>IF(OR(E326="",F326=""),"",NETWORKDAYS(E326,F326,Ref!$F$4:$F$47))</f>
        <v/>
      </c>
      <c r="AH326" s="39">
        <f>IF(IFERROR(VLOOKUP(D326,Controls!$A$25:$D$35,2,FALSE()),"No")="Yes",1,0)</f>
        <v/>
      </c>
      <c r="AI326" s="39">
        <f>IF(IFERROR(VLOOKUP(D326,Controls!$A$25:$D$35,3,FALSE()),"No")="Yes",1,0)</f>
        <v/>
      </c>
      <c r="AJ326" s="39">
        <f>IF(IFERROR(VLOOKUP(D326,Controls!$A$25:$D$35,4,FALSE()),"No")="Yes",1,0)</f>
        <v/>
      </c>
      <c r="AK326" s="96">
        <f>IF(AND($E326&gt;=Controls!$B$5,$E326&lt;=Controls!$B$6,OR(Controls!$E$9&lt;&gt;"Y",$BE326=1)),1,0)</f>
        <v/>
      </c>
      <c r="AL326" s="39">
        <f>1</f>
        <v/>
      </c>
      <c r="AM326" s="20">
        <f>S326-P326</f>
        <v/>
      </c>
      <c r="AN326" s="20">
        <f>IF(AH326=1,MAX(0,P326-S326),0)</f>
        <v/>
      </c>
      <c r="AO326" s="21">
        <f>IFERROR(S326/P326,"")</f>
        <v/>
      </c>
      <c r="AP326" s="22">
        <f>IF(Y326="","",P326/Y326)</f>
        <v/>
      </c>
      <c r="AQ326" s="39">
        <f>IF(Y326="",0,1)</f>
        <v/>
      </c>
      <c r="AR326" s="39">
        <f>IF(S326&lt;=0,1,0)</f>
        <v/>
      </c>
      <c r="AS326" s="17">
        <f>IF(AH326=1,AG326,"")</f>
        <v/>
      </c>
      <c r="AT326" s="17">
        <f>IF(AND(AH326=0,AJ326=1),AG326,"")</f>
        <v/>
      </c>
      <c r="AU326" s="5">
        <f>IF(P326&lt;10000,"Under $10K",IF(P326&lt;20000,"$10-20K",IF(P326&lt;30000,"$20-30K",IF(P326&lt;50000,"$30-50K",IF(P326&lt;100000,"$50-100K","$100K+")))))</f>
        <v/>
      </c>
      <c r="AV326" s="5">
        <f>IF(O326&lt;=1.35,"1.35 and under",IF(O326&lt;=1.42,"1.36-1.42",IF(O326&lt;=1.45,"1.43-1.45",IF(O326&lt;1.49,"1.46-1.48",IF(O326&lt;=1.49,"1.49","Above 1.49")))))</f>
        <v/>
      </c>
      <c r="AW326" s="5">
        <f>IF(AE326="","",IF(AE326&lt;60,"Under 60",IF(AE326&lt;90,"60-89",IF(AE326&lt;120,"90-119",IF(AE326&lt;150,"120-149","150+")))))</f>
        <v/>
      </c>
      <c r="AX326" s="5">
        <f>IF(AP326="","No revenue data",IF(AP326&lt;0.15,"Under 0.15x",IF(AP326&lt;0.3,"0.15-0.30x",IF(AP326&lt;0.5,"0.30-0.50x",IF(AP326&lt;1,"0.50-1.00x","1.00x+")))))</f>
        <v/>
      </c>
      <c r="AY326" s="5">
        <f>IF(J326="","No SIC",IFERROR(VLOOKUP(J326,Ref!$A$4:$C$67,2,FALSE()),"Unclassified"))</f>
        <v/>
      </c>
      <c r="AZ326" s="5">
        <f>IF(E326="","",TEXT(E326,"YYYY")&amp;"-Q"&amp;ROUNDUP(MONTH(E326)/3,0))</f>
        <v/>
      </c>
      <c r="BA326" s="5">
        <f>IF(E326="","",TEXT(E326,"YYYY-MM"))</f>
        <v/>
      </c>
      <c r="BB326" s="5">
        <f>IF(E326="","",TEXT(E326,"YYYY"))</f>
        <v/>
      </c>
      <c r="BC326" s="92">
        <f>IF($E326="","",NETWORKDAYS($E326,Controls!$B$9,Ref!$F$4:$F$47))</f>
        <v/>
      </c>
      <c r="BD326" s="92">
        <f>IF(OR($AH326=1,$AJ326=1),1,0)</f>
        <v/>
      </c>
      <c r="BE326" s="95">
        <f>IF(OR($BD326=1,AND($AE326&lt;&gt;"",$BC326&gt;=Controls!$B$10*$AE326)),1,0)</f>
        <v/>
      </c>
    </row>
    <row r="327" ht="15.75" customHeight="1" s="79">
      <c r="A327" s="5" t="inlineStr">
        <is>
          <t>5674169769</t>
        </is>
      </c>
      <c r="B327" s="5" t="inlineStr">
        <is>
          <t>plush nails &amp; spa</t>
        </is>
      </c>
      <c r="C327" s="5" t="inlineStr">
        <is>
          <t>huyen and vu bui inc</t>
        </is>
      </c>
      <c r="D327" s="5" t="inlineStr">
        <is>
          <t>In House Collection</t>
        </is>
      </c>
      <c r="E327" s="16" t="n">
        <v>45964</v>
      </c>
      <c r="F327" s="16" t="n">
        <v>46248</v>
      </c>
      <c r="G327" s="17" t="n">
        <v>5</v>
      </c>
      <c r="H327" s="5" t="inlineStr">
        <is>
          <t>7231</t>
        </is>
      </c>
      <c r="I327" s="5" t="inlineStr">
        <is>
          <t>Beauty Salons</t>
        </is>
      </c>
      <c r="J327" s="5" t="inlineStr">
        <is>
          <t>72</t>
        </is>
      </c>
      <c r="K327" s="5" t="n">
        <v>7230</v>
      </c>
      <c r="L327" s="5" t="inlineStr">
        <is>
          <t>OK</t>
        </is>
      </c>
      <c r="M327" s="5" t="inlineStr">
        <is>
          <t>ontime cap</t>
        </is>
      </c>
      <c r="N327" s="5" t="inlineStr">
        <is>
          <t>New Deal</t>
        </is>
      </c>
      <c r="O327" s="19" t="n">
        <v>1.499</v>
      </c>
      <c r="P327" s="20" t="n">
        <v>25000</v>
      </c>
      <c r="Q327" s="20" t="n">
        <v>3500</v>
      </c>
      <c r="R327" s="20" t="n">
        <v>37475</v>
      </c>
      <c r="S327" s="20" t="n">
        <v>35806.96</v>
      </c>
      <c r="T327" s="20" t="n">
        <v>1668.04</v>
      </c>
      <c r="U327" s="21" t="n">
        <v>0.955489259506338</v>
      </c>
      <c r="V327" s="22" t="n">
        <v>2.951</v>
      </c>
      <c r="W327" s="17" t="n">
        <v>5</v>
      </c>
      <c r="X327" s="17" t="n">
        <v>61</v>
      </c>
      <c r="Y327" s="20" t="n">
        <v>102024.64</v>
      </c>
      <c r="Z327" s="21" t="n">
        <v>0.0857</v>
      </c>
      <c r="AA327" s="16" t="n">
        <v>43166</v>
      </c>
      <c r="AB327" s="5">
        <f>IF(V327="","",IF(V327&lt;12,"Months","Weeks"))</f>
        <v/>
      </c>
      <c r="AC327" s="5">
        <f>IF(AB327="","",IF(AB327="Months","Daily","Weekly"))</f>
        <v/>
      </c>
      <c r="AD327" s="17">
        <f>IF(V327="","",IF(AC327="Daily",V327*Controls!$B$13,V327))</f>
        <v/>
      </c>
      <c r="AE327" s="17">
        <f>IF(V327="","",IF(AC327="Daily",V327*Controls!$B$13,V327*Controls!$B$12))</f>
        <v/>
      </c>
      <c r="AF327" s="17">
        <f>IF(OR(E327="",F327=""),"",F327-E327)</f>
        <v/>
      </c>
      <c r="AG327" s="17">
        <f>IF(OR(E327="",F327=""),"",NETWORKDAYS(E327,F327,Ref!$F$4:$F$47))</f>
        <v/>
      </c>
      <c r="AH327" s="39">
        <f>IF(IFERROR(VLOOKUP(D327,Controls!$A$25:$D$35,2,FALSE()),"No")="Yes",1,0)</f>
        <v/>
      </c>
      <c r="AI327" s="39">
        <f>IF(IFERROR(VLOOKUP(D327,Controls!$A$25:$D$35,3,FALSE()),"No")="Yes",1,0)</f>
        <v/>
      </c>
      <c r="AJ327" s="39">
        <f>IF(IFERROR(VLOOKUP(D327,Controls!$A$25:$D$35,4,FALSE()),"No")="Yes",1,0)</f>
        <v/>
      </c>
      <c r="AK327" s="96">
        <f>IF(AND($E327&gt;=Controls!$B$5,$E327&lt;=Controls!$B$6,OR(Controls!$E$9&lt;&gt;"Y",$BE327=1)),1,0)</f>
        <v/>
      </c>
      <c r="AL327" s="39">
        <f>1</f>
        <v/>
      </c>
      <c r="AM327" s="20">
        <f>S327-P327</f>
        <v/>
      </c>
      <c r="AN327" s="20">
        <f>IF(AH327=1,MAX(0,P327-S327),0)</f>
        <v/>
      </c>
      <c r="AO327" s="21">
        <f>IFERROR(S327/P327,"")</f>
        <v/>
      </c>
      <c r="AP327" s="22">
        <f>IF(Y327="","",P327/Y327)</f>
        <v/>
      </c>
      <c r="AQ327" s="39">
        <f>IF(Y327="",0,1)</f>
        <v/>
      </c>
      <c r="AR327" s="39">
        <f>IF(S327&lt;=0,1,0)</f>
        <v/>
      </c>
      <c r="AS327" s="17">
        <f>IF(AH327=1,AG327,"")</f>
        <v/>
      </c>
      <c r="AT327" s="17">
        <f>IF(AND(AH327=0,AJ327=1),AG327,"")</f>
        <v/>
      </c>
      <c r="AU327" s="5">
        <f>IF(P327&lt;10000,"Under $10K",IF(P327&lt;20000,"$10-20K",IF(P327&lt;30000,"$20-30K",IF(P327&lt;50000,"$30-50K",IF(P327&lt;100000,"$50-100K","$100K+")))))</f>
        <v/>
      </c>
      <c r="AV327" s="5">
        <f>IF(O327&lt;=1.35,"1.35 and under",IF(O327&lt;=1.42,"1.36-1.42",IF(O327&lt;=1.45,"1.43-1.45",IF(O327&lt;1.49,"1.46-1.48",IF(O327&lt;=1.49,"1.49","Above 1.49")))))</f>
        <v/>
      </c>
      <c r="AW327" s="5">
        <f>IF(AE327="","",IF(AE327&lt;60,"Under 60",IF(AE327&lt;90,"60-89",IF(AE327&lt;120,"90-119",IF(AE327&lt;150,"120-149","150+")))))</f>
        <v/>
      </c>
      <c r="AX327" s="5">
        <f>IF(AP327="","No revenue data",IF(AP327&lt;0.15,"Under 0.15x",IF(AP327&lt;0.3,"0.15-0.30x",IF(AP327&lt;0.5,"0.30-0.50x",IF(AP327&lt;1,"0.50-1.00x","1.00x+")))))</f>
        <v/>
      </c>
      <c r="AY327" s="5">
        <f>IF(J327="","No SIC",IFERROR(VLOOKUP(J327,Ref!$A$4:$C$67,2,FALSE()),"Unclassified"))</f>
        <v/>
      </c>
      <c r="AZ327" s="5">
        <f>IF(E327="","",TEXT(E327,"YYYY")&amp;"-Q"&amp;ROUNDUP(MONTH(E327)/3,0))</f>
        <v/>
      </c>
      <c r="BA327" s="5">
        <f>IF(E327="","",TEXT(E327,"YYYY-MM"))</f>
        <v/>
      </c>
      <c r="BB327" s="5">
        <f>IF(E327="","",TEXT(E327,"YYYY"))</f>
        <v/>
      </c>
      <c r="BC327" s="92">
        <f>IF($E327="","",NETWORKDAYS($E327,Controls!$B$9,Ref!$F$4:$F$47))</f>
        <v/>
      </c>
      <c r="BD327" s="92">
        <f>IF(OR($AH327=1,$AJ327=1),1,0)</f>
        <v/>
      </c>
      <c r="BE327" s="95">
        <f>IF(OR($BD327=1,AND($AE327&lt;&gt;"",$BC327&gt;=Controls!$B$10*$AE327)),1,0)</f>
        <v/>
      </c>
    </row>
    <row r="328" ht="15.75" customHeight="1" s="79">
      <c r="A328" s="5" t="inlineStr">
        <is>
          <t>5674169782</t>
        </is>
      </c>
      <c r="B328" s="5" t="inlineStr">
        <is>
          <t>Gamboa Fence Corp</t>
        </is>
      </c>
      <c r="C328" s="5" t="inlineStr">
        <is>
          <t>Gamboa Fence Corp</t>
        </is>
      </c>
      <c r="D328" s="5" t="inlineStr">
        <is>
          <t>Legal</t>
        </is>
      </c>
      <c r="E328" s="16" t="n">
        <v>45964</v>
      </c>
      <c r="F328" s="16" t="n">
        <v>45967</v>
      </c>
      <c r="G328" s="17" t="n">
        <v>3</v>
      </c>
      <c r="H328" s="5" t="inlineStr">
        <is>
          <t>1521</t>
        </is>
      </c>
      <c r="I328" s="5" t="inlineStr">
        <is>
          <t>New Single-Family Housing Construction (Except For-Sale Builders)</t>
        </is>
      </c>
      <c r="J328" s="5" t="inlineStr">
        <is>
          <t>15</t>
        </is>
      </c>
      <c r="K328" s="5" t="n">
        <v>1520</v>
      </c>
      <c r="L328" s="5" t="inlineStr">
        <is>
          <t>FL</t>
        </is>
      </c>
      <c r="M328" s="5" t="inlineStr">
        <is>
          <t>United Secured Capital 8</t>
        </is>
      </c>
      <c r="N328" s="5" t="inlineStr">
        <is>
          <t>New Deal</t>
        </is>
      </c>
      <c r="O328" s="19" t="n">
        <v>1.499</v>
      </c>
      <c r="P328" s="20" t="n">
        <v>7000</v>
      </c>
      <c r="Q328" s="20" t="n">
        <v>0</v>
      </c>
      <c r="R328" s="20" t="n">
        <v>10493</v>
      </c>
      <c r="S328" s="20" t="n">
        <v>0</v>
      </c>
      <c r="T328" s="20" t="n">
        <v>10493</v>
      </c>
      <c r="U328" s="21" t="n">
        <v>0</v>
      </c>
      <c r="V328" s="22" t="n">
        <v>2.787</v>
      </c>
      <c r="W328" s="17" t="n">
        <v>289</v>
      </c>
      <c r="X328" s="17" t="n">
        <v>3</v>
      </c>
      <c r="Y328" s="20" t="n">
        <v>34054.45</v>
      </c>
      <c r="Z328" s="21" t="n">
        <v>0.0756</v>
      </c>
      <c r="AA328" s="16" t="n">
        <v>42917</v>
      </c>
      <c r="AB328" s="5">
        <f>IF(V328="","",IF(V328&lt;12,"Months","Weeks"))</f>
        <v/>
      </c>
      <c r="AC328" s="5">
        <f>IF(AB328="","",IF(AB328="Months","Daily","Weekly"))</f>
        <v/>
      </c>
      <c r="AD328" s="17">
        <f>IF(V328="","",IF(AC328="Daily",V328*Controls!$B$13,V328))</f>
        <v/>
      </c>
      <c r="AE328" s="17">
        <f>IF(V328="","",IF(AC328="Daily",V328*Controls!$B$13,V328*Controls!$B$12))</f>
        <v/>
      </c>
      <c r="AF328" s="17">
        <f>IF(OR(E328="",F328=""),"",F328-E328)</f>
        <v/>
      </c>
      <c r="AG328" s="17">
        <f>IF(OR(E328="",F328=""),"",NETWORKDAYS(E328,F328,Ref!$F$4:$F$47))</f>
        <v/>
      </c>
      <c r="AH328" s="39">
        <f>IF(IFERROR(VLOOKUP(D328,Controls!$A$25:$D$35,2,FALSE()),"No")="Yes",1,0)</f>
        <v/>
      </c>
      <c r="AI328" s="39">
        <f>IF(IFERROR(VLOOKUP(D328,Controls!$A$25:$D$35,3,FALSE()),"No")="Yes",1,0)</f>
        <v/>
      </c>
      <c r="AJ328" s="39">
        <f>IF(IFERROR(VLOOKUP(D328,Controls!$A$25:$D$35,4,FALSE()),"No")="Yes",1,0)</f>
        <v/>
      </c>
      <c r="AK328" s="96">
        <f>IF(AND($E328&gt;=Controls!$B$5,$E328&lt;=Controls!$B$6,OR(Controls!$E$9&lt;&gt;"Y",$BE328=1)),1,0)</f>
        <v/>
      </c>
      <c r="AL328" s="39">
        <f>1</f>
        <v/>
      </c>
      <c r="AM328" s="20">
        <f>S328-P328</f>
        <v/>
      </c>
      <c r="AN328" s="20">
        <f>IF(AH328=1,MAX(0,P328-S328),0)</f>
        <v/>
      </c>
      <c r="AO328" s="21">
        <f>IFERROR(S328/P328,"")</f>
        <v/>
      </c>
      <c r="AP328" s="22">
        <f>IF(Y328="","",P328/Y328)</f>
        <v/>
      </c>
      <c r="AQ328" s="39">
        <f>IF(Y328="",0,1)</f>
        <v/>
      </c>
      <c r="AR328" s="39">
        <f>IF(S328&lt;=0,1,0)</f>
        <v/>
      </c>
      <c r="AS328" s="17">
        <f>IF(AH328=1,AG328,"")</f>
        <v/>
      </c>
      <c r="AT328" s="17">
        <f>IF(AND(AH328=0,AJ328=1),AG328,"")</f>
        <v/>
      </c>
      <c r="AU328" s="5">
        <f>IF(P328&lt;10000,"Under $10K",IF(P328&lt;20000,"$10-20K",IF(P328&lt;30000,"$20-30K",IF(P328&lt;50000,"$30-50K",IF(P328&lt;100000,"$50-100K","$100K+")))))</f>
        <v/>
      </c>
      <c r="AV328" s="5">
        <f>IF(O328&lt;=1.35,"1.35 and under",IF(O328&lt;=1.42,"1.36-1.42",IF(O328&lt;=1.45,"1.43-1.45",IF(O328&lt;1.49,"1.46-1.48",IF(O328&lt;=1.49,"1.49","Above 1.49")))))</f>
        <v/>
      </c>
      <c r="AW328" s="5">
        <f>IF(AE328="","",IF(AE328&lt;60,"Under 60",IF(AE328&lt;90,"60-89",IF(AE328&lt;120,"90-119",IF(AE328&lt;150,"120-149","150+")))))</f>
        <v/>
      </c>
      <c r="AX328" s="5">
        <f>IF(AP328="","No revenue data",IF(AP328&lt;0.15,"Under 0.15x",IF(AP328&lt;0.3,"0.15-0.30x",IF(AP328&lt;0.5,"0.30-0.50x",IF(AP328&lt;1,"0.50-1.00x","1.00x+")))))</f>
        <v/>
      </c>
      <c r="AY328" s="5">
        <f>IF(J328="","No SIC",IFERROR(VLOOKUP(J328,Ref!$A$4:$C$67,2,FALSE()),"Unclassified"))</f>
        <v/>
      </c>
      <c r="AZ328" s="5">
        <f>IF(E328="","",TEXT(E328,"YYYY")&amp;"-Q"&amp;ROUNDUP(MONTH(E328)/3,0))</f>
        <v/>
      </c>
      <c r="BA328" s="5">
        <f>IF(E328="","",TEXT(E328,"YYYY-MM"))</f>
        <v/>
      </c>
      <c r="BB328" s="5">
        <f>IF(E328="","",TEXT(E328,"YYYY"))</f>
        <v/>
      </c>
      <c r="BC328" s="92">
        <f>IF($E328="","",NETWORKDAYS($E328,Controls!$B$9,Ref!$F$4:$F$47))</f>
        <v/>
      </c>
      <c r="BD328" s="92">
        <f>IF(OR($AH328=1,$AJ328=1),1,0)</f>
        <v/>
      </c>
      <c r="BE328" s="95">
        <f>IF(OR($BD328=1,AND($AE328&lt;&gt;"",$BC328&gt;=Controls!$B$10*$AE328)),1,0)</f>
        <v/>
      </c>
    </row>
    <row r="329" ht="15.75" customHeight="1" s="79">
      <c r="A329" s="5" t="inlineStr">
        <is>
          <t>5674169783</t>
        </is>
      </c>
      <c r="B329" s="5" t="inlineStr">
        <is>
          <t>JUST YOU AN EXCL STYLING N COLOR SALON</t>
        </is>
      </c>
      <c r="C329" s="5" t="inlineStr">
        <is>
          <t>JUST YOU AN EXCL STYLING N COLOR SALON</t>
        </is>
      </c>
      <c r="D329" s="5" t="inlineStr">
        <is>
          <t>In House Collection</t>
        </is>
      </c>
      <c r="E329" s="16" t="n">
        <v>45964</v>
      </c>
      <c r="F329" s="16" t="n">
        <v>46247</v>
      </c>
      <c r="G329" s="17" t="n">
        <v>2</v>
      </c>
      <c r="H329" s="5" t="inlineStr">
        <is>
          <t>7231</t>
        </is>
      </c>
      <c r="I329" s="5" t="inlineStr">
        <is>
          <t>Beauty Salons</t>
        </is>
      </c>
      <c r="J329" s="5" t="inlineStr">
        <is>
          <t>72</t>
        </is>
      </c>
      <c r="K329" s="5" t="n">
        <v>7230</v>
      </c>
      <c r="L329" s="5" t="inlineStr">
        <is>
          <t>PA</t>
        </is>
      </c>
      <c r="M329" s="5" t="inlineStr">
        <is>
          <t>United Secured Capital 8</t>
        </is>
      </c>
      <c r="N329" s="5" t="inlineStr">
        <is>
          <t>New Deal</t>
        </is>
      </c>
      <c r="O329" s="19" t="n">
        <v>1.49</v>
      </c>
      <c r="P329" s="20" t="n">
        <v>15000</v>
      </c>
      <c r="Q329" s="20" t="n">
        <v>2100</v>
      </c>
      <c r="R329" s="20" t="n">
        <v>22350</v>
      </c>
      <c r="S329" s="20" t="n">
        <v>7011.92</v>
      </c>
      <c r="T329" s="20" t="n">
        <v>15338.08</v>
      </c>
      <c r="U329" s="21" t="n">
        <v>0.313732438478747</v>
      </c>
      <c r="V329" s="22" t="n">
        <v>3.934</v>
      </c>
      <c r="W329" s="17" t="n">
        <v>23</v>
      </c>
      <c r="X329" s="17" t="n">
        <v>2</v>
      </c>
      <c r="Y329" s="20" t="n">
        <v>29212.74</v>
      </c>
      <c r="Z329" s="21" t="n">
        <v>0.1303</v>
      </c>
      <c r="AA329" s="16" t="n">
        <v>45220</v>
      </c>
      <c r="AB329" s="5">
        <f>IF(V329="","",IF(V329&lt;12,"Months","Weeks"))</f>
        <v/>
      </c>
      <c r="AC329" s="5">
        <f>IF(AB329="","",IF(AB329="Months","Daily","Weekly"))</f>
        <v/>
      </c>
      <c r="AD329" s="17">
        <f>IF(V329="","",IF(AC329="Daily",V329*Controls!$B$13,V329))</f>
        <v/>
      </c>
      <c r="AE329" s="17">
        <f>IF(V329="","",IF(AC329="Daily",V329*Controls!$B$13,V329*Controls!$B$12))</f>
        <v/>
      </c>
      <c r="AF329" s="17">
        <f>IF(OR(E329="",F329=""),"",F329-E329)</f>
        <v/>
      </c>
      <c r="AG329" s="17">
        <f>IF(OR(E329="",F329=""),"",NETWORKDAYS(E329,F329,Ref!$F$4:$F$47))</f>
        <v/>
      </c>
      <c r="AH329" s="39">
        <f>IF(IFERROR(VLOOKUP(D329,Controls!$A$25:$D$35,2,FALSE()),"No")="Yes",1,0)</f>
        <v/>
      </c>
      <c r="AI329" s="39">
        <f>IF(IFERROR(VLOOKUP(D329,Controls!$A$25:$D$35,3,FALSE()),"No")="Yes",1,0)</f>
        <v/>
      </c>
      <c r="AJ329" s="39">
        <f>IF(IFERROR(VLOOKUP(D329,Controls!$A$25:$D$35,4,FALSE()),"No")="Yes",1,0)</f>
        <v/>
      </c>
      <c r="AK329" s="96">
        <f>IF(AND($E329&gt;=Controls!$B$5,$E329&lt;=Controls!$B$6,OR(Controls!$E$9&lt;&gt;"Y",$BE329=1)),1,0)</f>
        <v/>
      </c>
      <c r="AL329" s="39">
        <f>1</f>
        <v/>
      </c>
      <c r="AM329" s="20">
        <f>S329-P329</f>
        <v/>
      </c>
      <c r="AN329" s="20">
        <f>IF(AH329=1,MAX(0,P329-S329),0)</f>
        <v/>
      </c>
      <c r="AO329" s="21">
        <f>IFERROR(S329/P329,"")</f>
        <v/>
      </c>
      <c r="AP329" s="22">
        <f>IF(Y329="","",P329/Y329)</f>
        <v/>
      </c>
      <c r="AQ329" s="39">
        <f>IF(Y329="",0,1)</f>
        <v/>
      </c>
      <c r="AR329" s="39">
        <f>IF(S329&lt;=0,1,0)</f>
        <v/>
      </c>
      <c r="AS329" s="17">
        <f>IF(AH329=1,AG329,"")</f>
        <v/>
      </c>
      <c r="AT329" s="17">
        <f>IF(AND(AH329=0,AJ329=1),AG329,"")</f>
        <v/>
      </c>
      <c r="AU329" s="5">
        <f>IF(P329&lt;10000,"Under $10K",IF(P329&lt;20000,"$10-20K",IF(P329&lt;30000,"$20-30K",IF(P329&lt;50000,"$30-50K",IF(P329&lt;100000,"$50-100K","$100K+")))))</f>
        <v/>
      </c>
      <c r="AV329" s="5">
        <f>IF(O329&lt;=1.35,"1.35 and under",IF(O329&lt;=1.42,"1.36-1.42",IF(O329&lt;=1.45,"1.43-1.45",IF(O329&lt;1.49,"1.46-1.48",IF(O329&lt;=1.49,"1.49","Above 1.49")))))</f>
        <v/>
      </c>
      <c r="AW329" s="5">
        <f>IF(AE329="","",IF(AE329&lt;60,"Under 60",IF(AE329&lt;90,"60-89",IF(AE329&lt;120,"90-119",IF(AE329&lt;150,"120-149","150+")))))</f>
        <v/>
      </c>
      <c r="AX329" s="5">
        <f>IF(AP329="","No revenue data",IF(AP329&lt;0.15,"Under 0.15x",IF(AP329&lt;0.3,"0.15-0.30x",IF(AP329&lt;0.5,"0.30-0.50x",IF(AP329&lt;1,"0.50-1.00x","1.00x+")))))</f>
        <v/>
      </c>
      <c r="AY329" s="5">
        <f>IF(J329="","No SIC",IFERROR(VLOOKUP(J329,Ref!$A$4:$C$67,2,FALSE()),"Unclassified"))</f>
        <v/>
      </c>
      <c r="AZ329" s="5">
        <f>IF(E329="","",TEXT(E329,"YYYY")&amp;"-Q"&amp;ROUNDUP(MONTH(E329)/3,0))</f>
        <v/>
      </c>
      <c r="BA329" s="5">
        <f>IF(E329="","",TEXT(E329,"YYYY-MM"))</f>
        <v/>
      </c>
      <c r="BB329" s="5">
        <f>IF(E329="","",TEXT(E329,"YYYY"))</f>
        <v/>
      </c>
      <c r="BC329" s="92">
        <f>IF($E329="","",NETWORKDAYS($E329,Controls!$B$9,Ref!$F$4:$F$47))</f>
        <v/>
      </c>
      <c r="BD329" s="92">
        <f>IF(OR($AH329=1,$AJ329=1),1,0)</f>
        <v/>
      </c>
      <c r="BE329" s="95">
        <f>IF(OR($BD329=1,AND($AE329&lt;&gt;"",$BC329&gt;=Controls!$B$10*$AE329)),1,0)</f>
        <v/>
      </c>
    </row>
    <row r="330" ht="15.75" customHeight="1" s="79">
      <c r="A330" s="5" t="inlineStr">
        <is>
          <t>5674170631</t>
        </is>
      </c>
      <c r="B330" s="5" t="inlineStr">
        <is>
          <t>DISMAR LOGISTICS GROUP</t>
        </is>
      </c>
      <c r="C330" s="5" t="inlineStr">
        <is>
          <t>DISMAR LOGISTICS GROUP</t>
        </is>
      </c>
      <c r="D330" s="5" t="inlineStr">
        <is>
          <t>Legal</t>
        </is>
      </c>
      <c r="E330" s="16" t="n">
        <v>45965</v>
      </c>
      <c r="F330" s="16" t="n">
        <v>46031</v>
      </c>
      <c r="G330" s="17" t="n">
        <v>3</v>
      </c>
      <c r="H330" s="5" t="inlineStr">
        <is>
          <t>4212</t>
        </is>
      </c>
      <c r="I330" s="5" t="inlineStr">
        <is>
          <t>Specialized Freight (Except Used Goods) Trucking, Local</t>
        </is>
      </c>
      <c r="J330" s="5" t="inlineStr">
        <is>
          <t>42</t>
        </is>
      </c>
      <c r="K330" s="5" t="n">
        <v>4214</v>
      </c>
      <c r="L330" s="5" t="inlineStr">
        <is>
          <t>No state</t>
        </is>
      </c>
      <c r="M330" s="5" t="inlineStr">
        <is>
          <t>FundFlex</t>
        </is>
      </c>
      <c r="N330" s="5" t="inlineStr">
        <is>
          <t>New Deal</t>
        </is>
      </c>
      <c r="O330" s="19" t="n">
        <v>1.499</v>
      </c>
      <c r="P330" s="20" t="n">
        <v>5000</v>
      </c>
      <c r="Q330" s="20" t="n">
        <v>700</v>
      </c>
      <c r="R330" s="20" t="n">
        <v>7495</v>
      </c>
      <c r="S330" s="20" t="n">
        <v>319.17</v>
      </c>
      <c r="T330" s="20" t="n">
        <v>7175.83</v>
      </c>
      <c r="U330" s="21" t="n">
        <v>0.042584389593062</v>
      </c>
      <c r="V330" s="22" t="n">
        <v>2.295</v>
      </c>
      <c r="W330" s="17" t="n">
        <v>286</v>
      </c>
      <c r="X330" s="17" t="n">
        <v>15</v>
      </c>
      <c r="Y330" s="20" t="n">
        <v>110057.44</v>
      </c>
      <c r="Z330" s="21" t="n">
        <v>0.0203</v>
      </c>
      <c r="AA330" s="16" t="n">
        <v>45323</v>
      </c>
      <c r="AB330" s="5">
        <f>IF(V330="","",IF(V330&lt;12,"Months","Weeks"))</f>
        <v/>
      </c>
      <c r="AC330" s="5">
        <f>IF(AB330="","",IF(AB330="Months","Daily","Weekly"))</f>
        <v/>
      </c>
      <c r="AD330" s="17">
        <f>IF(V330="","",IF(AC330="Daily",V330*Controls!$B$13,V330))</f>
        <v/>
      </c>
      <c r="AE330" s="17">
        <f>IF(V330="","",IF(AC330="Daily",V330*Controls!$B$13,V330*Controls!$B$12))</f>
        <v/>
      </c>
      <c r="AF330" s="17">
        <f>IF(OR(E330="",F330=""),"",F330-E330)</f>
        <v/>
      </c>
      <c r="AG330" s="17">
        <f>IF(OR(E330="",F330=""),"",NETWORKDAYS(E330,F330,Ref!$F$4:$F$47))</f>
        <v/>
      </c>
      <c r="AH330" s="39">
        <f>IF(IFERROR(VLOOKUP(D330,Controls!$A$25:$D$35,2,FALSE()),"No")="Yes",1,0)</f>
        <v/>
      </c>
      <c r="AI330" s="39">
        <f>IF(IFERROR(VLOOKUP(D330,Controls!$A$25:$D$35,3,FALSE()),"No")="Yes",1,0)</f>
        <v/>
      </c>
      <c r="AJ330" s="39">
        <f>IF(IFERROR(VLOOKUP(D330,Controls!$A$25:$D$35,4,FALSE()),"No")="Yes",1,0)</f>
        <v/>
      </c>
      <c r="AK330" s="96">
        <f>IF(AND($E330&gt;=Controls!$B$5,$E330&lt;=Controls!$B$6,OR(Controls!$E$9&lt;&gt;"Y",$BE330=1)),1,0)</f>
        <v/>
      </c>
      <c r="AL330" s="39">
        <f>1</f>
        <v/>
      </c>
      <c r="AM330" s="20">
        <f>S330-P330</f>
        <v/>
      </c>
      <c r="AN330" s="20">
        <f>IF(AH330=1,MAX(0,P330-S330),0)</f>
        <v/>
      </c>
      <c r="AO330" s="21">
        <f>IFERROR(S330/P330,"")</f>
        <v/>
      </c>
      <c r="AP330" s="22">
        <f>IF(Y330="","",P330/Y330)</f>
        <v/>
      </c>
      <c r="AQ330" s="39">
        <f>IF(Y330="",0,1)</f>
        <v/>
      </c>
      <c r="AR330" s="39">
        <f>IF(S330&lt;=0,1,0)</f>
        <v/>
      </c>
      <c r="AS330" s="17">
        <f>IF(AH330=1,AG330,"")</f>
        <v/>
      </c>
      <c r="AT330" s="17">
        <f>IF(AND(AH330=0,AJ330=1),AG330,"")</f>
        <v/>
      </c>
      <c r="AU330" s="5">
        <f>IF(P330&lt;10000,"Under $10K",IF(P330&lt;20000,"$10-20K",IF(P330&lt;30000,"$20-30K",IF(P330&lt;50000,"$30-50K",IF(P330&lt;100000,"$50-100K","$100K+")))))</f>
        <v/>
      </c>
      <c r="AV330" s="5">
        <f>IF(O330&lt;=1.35,"1.35 and under",IF(O330&lt;=1.42,"1.36-1.42",IF(O330&lt;=1.45,"1.43-1.45",IF(O330&lt;1.49,"1.46-1.48",IF(O330&lt;=1.49,"1.49","Above 1.49")))))</f>
        <v/>
      </c>
      <c r="AW330" s="5">
        <f>IF(AE330="","",IF(AE330&lt;60,"Under 60",IF(AE330&lt;90,"60-89",IF(AE330&lt;120,"90-119",IF(AE330&lt;150,"120-149","150+")))))</f>
        <v/>
      </c>
      <c r="AX330" s="5">
        <f>IF(AP330="","No revenue data",IF(AP330&lt;0.15,"Under 0.15x",IF(AP330&lt;0.3,"0.15-0.30x",IF(AP330&lt;0.5,"0.30-0.50x",IF(AP330&lt;1,"0.50-1.00x","1.00x+")))))</f>
        <v/>
      </c>
      <c r="AY330" s="5">
        <f>IF(J330="","No SIC",IFERROR(VLOOKUP(J330,Ref!$A$4:$C$67,2,FALSE()),"Unclassified"))</f>
        <v/>
      </c>
      <c r="AZ330" s="5">
        <f>IF(E330="","",TEXT(E330,"YYYY")&amp;"-Q"&amp;ROUNDUP(MONTH(E330)/3,0))</f>
        <v/>
      </c>
      <c r="BA330" s="5">
        <f>IF(E330="","",TEXT(E330,"YYYY-MM"))</f>
        <v/>
      </c>
      <c r="BB330" s="5">
        <f>IF(E330="","",TEXT(E330,"YYYY"))</f>
        <v/>
      </c>
      <c r="BC330" s="92">
        <f>IF($E330="","",NETWORKDAYS($E330,Controls!$B$9,Ref!$F$4:$F$47))</f>
        <v/>
      </c>
      <c r="BD330" s="92">
        <f>IF(OR($AH330=1,$AJ330=1),1,0)</f>
        <v/>
      </c>
      <c r="BE330" s="95">
        <f>IF(OR($BD330=1,AND($AE330&lt;&gt;"",$BC330&gt;=Controls!$B$10*$AE330)),1,0)</f>
        <v/>
      </c>
    </row>
    <row r="331" ht="15.75" customHeight="1" s="79">
      <c r="A331" s="5" t="inlineStr">
        <is>
          <t>5674170648</t>
        </is>
      </c>
      <c r="B331" s="5" t="inlineStr">
        <is>
          <t>MICHELLE BABIN TRANCHINA DBA ST. MICHELLE DAY SPA</t>
        </is>
      </c>
      <c r="C331" s="5" t="inlineStr">
        <is>
          <t>St. Michel Day Spa</t>
        </is>
      </c>
      <c r="D331" s="5" t="inlineStr">
        <is>
          <t>Closed</t>
        </is>
      </c>
      <c r="E331" s="16" t="n">
        <v>45965</v>
      </c>
      <c r="F331" s="16" t="n">
        <v>46051</v>
      </c>
      <c r="G331" s="17" t="n">
        <v>4</v>
      </c>
      <c r="H331" s="5" t="inlineStr">
        <is>
          <t>7231</t>
        </is>
      </c>
      <c r="I331" s="5" t="inlineStr">
        <is>
          <t>Beauty Salons</t>
        </is>
      </c>
      <c r="J331" s="5" t="inlineStr">
        <is>
          <t>72</t>
        </is>
      </c>
      <c r="K331" s="5" t="n">
        <v>7230</v>
      </c>
      <c r="L331" s="5" t="inlineStr">
        <is>
          <t>No state</t>
        </is>
      </c>
      <c r="M331" s="5" t="inlineStr">
        <is>
          <t>Streamline Funding LLC</t>
        </is>
      </c>
      <c r="N331" s="5" t="inlineStr">
        <is>
          <t>New Deal</t>
        </is>
      </c>
      <c r="O331" s="19" t="n">
        <v>1.499</v>
      </c>
      <c r="P331" s="20" t="n">
        <v>5000</v>
      </c>
      <c r="Q331" s="20" t="n">
        <v>700</v>
      </c>
      <c r="R331" s="20" t="n">
        <v>7495</v>
      </c>
      <c r="S331" s="20" t="n">
        <v>7495</v>
      </c>
      <c r="T331" s="20" t="n">
        <v>9.09494701772928e-13</v>
      </c>
      <c r="U331" s="21" t="n">
        <v>1</v>
      </c>
      <c r="V331" s="22" t="n">
        <v>1.639</v>
      </c>
      <c r="W331" s="17" t="n">
        <v>202</v>
      </c>
      <c r="X331" s="17" t="n">
        <v>7</v>
      </c>
      <c r="Y331" s="5" t="n"/>
      <c r="Z331" s="21" t="n">
        <v>0.065</v>
      </c>
      <c r="AA331" s="16" t="n">
        <v>36557</v>
      </c>
      <c r="AB331" s="5">
        <f>IF(V331="","",IF(V331&lt;12,"Months","Weeks"))</f>
        <v/>
      </c>
      <c r="AC331" s="5">
        <f>IF(AB331="","",IF(AB331="Months","Daily","Weekly"))</f>
        <v/>
      </c>
      <c r="AD331" s="17">
        <f>IF(V331="","",IF(AC331="Daily",V331*Controls!$B$13,V331))</f>
        <v/>
      </c>
      <c r="AE331" s="17">
        <f>IF(V331="","",IF(AC331="Daily",V331*Controls!$B$13,V331*Controls!$B$12))</f>
        <v/>
      </c>
      <c r="AF331" s="17">
        <f>IF(OR(E331="",F331=""),"",F331-E331)</f>
        <v/>
      </c>
      <c r="AG331" s="17">
        <f>IF(OR(E331="",F331=""),"",NETWORKDAYS(E331,F331,Ref!$F$4:$F$47))</f>
        <v/>
      </c>
      <c r="AH331" s="39">
        <f>IF(IFERROR(VLOOKUP(D331,Controls!$A$25:$D$35,2,FALSE()),"No")="Yes",1,0)</f>
        <v/>
      </c>
      <c r="AI331" s="39">
        <f>IF(IFERROR(VLOOKUP(D331,Controls!$A$25:$D$35,3,FALSE()),"No")="Yes",1,0)</f>
        <v/>
      </c>
      <c r="AJ331" s="39">
        <f>IF(IFERROR(VLOOKUP(D331,Controls!$A$25:$D$35,4,FALSE()),"No")="Yes",1,0)</f>
        <v/>
      </c>
      <c r="AK331" s="96">
        <f>IF(AND($E331&gt;=Controls!$B$5,$E331&lt;=Controls!$B$6,OR(Controls!$E$9&lt;&gt;"Y",$BE331=1)),1,0)</f>
        <v/>
      </c>
      <c r="AL331" s="39">
        <f>1</f>
        <v/>
      </c>
      <c r="AM331" s="20">
        <f>S331-P331</f>
        <v/>
      </c>
      <c r="AN331" s="20">
        <f>IF(AH331=1,MAX(0,P331-S331),0)</f>
        <v/>
      </c>
      <c r="AO331" s="21">
        <f>IFERROR(S331/P331,"")</f>
        <v/>
      </c>
      <c r="AP331" s="22">
        <f>IF(Y331="","",P331/Y331)</f>
        <v/>
      </c>
      <c r="AQ331" s="39">
        <f>IF(Y331="",0,1)</f>
        <v/>
      </c>
      <c r="AR331" s="39">
        <f>IF(S331&lt;=0,1,0)</f>
        <v/>
      </c>
      <c r="AS331" s="17">
        <f>IF(AH331=1,AG331,"")</f>
        <v/>
      </c>
      <c r="AT331" s="17">
        <f>IF(AND(AH331=0,AJ331=1),AG331,"")</f>
        <v/>
      </c>
      <c r="AU331" s="5">
        <f>IF(P331&lt;10000,"Under $10K",IF(P331&lt;20000,"$10-20K",IF(P331&lt;30000,"$20-30K",IF(P331&lt;50000,"$30-50K",IF(P331&lt;100000,"$50-100K","$100K+")))))</f>
        <v/>
      </c>
      <c r="AV331" s="5">
        <f>IF(O331&lt;=1.35,"1.35 and under",IF(O331&lt;=1.42,"1.36-1.42",IF(O331&lt;=1.45,"1.43-1.45",IF(O331&lt;1.49,"1.46-1.48",IF(O331&lt;=1.49,"1.49","Above 1.49")))))</f>
        <v/>
      </c>
      <c r="AW331" s="5">
        <f>IF(AE331="","",IF(AE331&lt;60,"Under 60",IF(AE331&lt;90,"60-89",IF(AE331&lt;120,"90-119",IF(AE331&lt;150,"120-149","150+")))))</f>
        <v/>
      </c>
      <c r="AX331" s="5">
        <f>IF(AP331="","No revenue data",IF(AP331&lt;0.15,"Under 0.15x",IF(AP331&lt;0.3,"0.15-0.30x",IF(AP331&lt;0.5,"0.30-0.50x",IF(AP331&lt;1,"0.50-1.00x","1.00x+")))))</f>
        <v/>
      </c>
      <c r="AY331" s="5">
        <f>IF(J331="","No SIC",IFERROR(VLOOKUP(J331,Ref!$A$4:$C$67,2,FALSE()),"Unclassified"))</f>
        <v/>
      </c>
      <c r="AZ331" s="5">
        <f>IF(E331="","",TEXT(E331,"YYYY")&amp;"-Q"&amp;ROUNDUP(MONTH(E331)/3,0))</f>
        <v/>
      </c>
      <c r="BA331" s="5">
        <f>IF(E331="","",TEXT(E331,"YYYY-MM"))</f>
        <v/>
      </c>
      <c r="BB331" s="5">
        <f>IF(E331="","",TEXT(E331,"YYYY"))</f>
        <v/>
      </c>
      <c r="BC331" s="92">
        <f>IF($E331="","",NETWORKDAYS($E331,Controls!$B$9,Ref!$F$4:$F$47))</f>
        <v/>
      </c>
      <c r="BD331" s="92">
        <f>IF(OR($AH331=1,$AJ331=1),1,0)</f>
        <v/>
      </c>
      <c r="BE331" s="95">
        <f>IF(OR($BD331=1,AND($AE331&lt;&gt;"",$BC331&gt;=Controls!$B$10*$AE331)),1,0)</f>
        <v/>
      </c>
    </row>
    <row r="332" ht="15.75" customHeight="1" s="79">
      <c r="A332" s="5" t="inlineStr">
        <is>
          <t>5674170697</t>
        </is>
      </c>
      <c r="B332" s="5" t="inlineStr">
        <is>
          <t>The Blueprint</t>
        </is>
      </c>
      <c r="C332" s="5" t="inlineStr">
        <is>
          <t>ARCS Enterprises LLC</t>
        </is>
      </c>
      <c r="D332" s="5" t="inlineStr">
        <is>
          <t>Written-Off</t>
        </is>
      </c>
      <c r="E332" s="16" t="n">
        <v>45966</v>
      </c>
      <c r="F332" s="16" t="n">
        <v>46071</v>
      </c>
      <c r="G332" s="17" t="n">
        <v>1</v>
      </c>
      <c r="H332" s="5" t="inlineStr">
        <is>
          <t>5961</t>
        </is>
      </c>
      <c r="I332" s="5" t="inlineStr">
        <is>
          <t>Mail Order Houses</t>
        </is>
      </c>
      <c r="J332" s="5" t="inlineStr">
        <is>
          <t>59</t>
        </is>
      </c>
      <c r="K332" s="5" t="n">
        <v>5961</v>
      </c>
      <c r="L332" s="5" t="inlineStr">
        <is>
          <t>CA</t>
        </is>
      </c>
      <c r="M332" s="5" t="inlineStr">
        <is>
          <t>Fundwell</t>
        </is>
      </c>
      <c r="N332" s="5" t="inlineStr">
        <is>
          <t>New Deal</t>
        </is>
      </c>
      <c r="O332" s="19" t="n">
        <v>1.38</v>
      </c>
      <c r="P332" s="20" t="n">
        <v>5000</v>
      </c>
      <c r="Q332" s="20" t="n">
        <v>600</v>
      </c>
      <c r="R332" s="20" t="n">
        <v>6900</v>
      </c>
      <c r="S332" s="20" t="n">
        <v>6585.61</v>
      </c>
      <c r="T332" s="20" t="n">
        <v>314.389999999999</v>
      </c>
      <c r="U332" s="21" t="n">
        <v>0.954436231884058</v>
      </c>
      <c r="V332" s="22" t="n">
        <v>24</v>
      </c>
      <c r="W332" s="17" t="n">
        <v>182</v>
      </c>
      <c r="X332" s="17" t="n">
        <v>1</v>
      </c>
      <c r="Y332" s="20" t="n">
        <v>17464.36</v>
      </c>
      <c r="Z332" s="21" t="n">
        <v>0.0658</v>
      </c>
      <c r="AA332" s="16" t="n">
        <v>44777</v>
      </c>
      <c r="AB332" s="5">
        <f>IF(V332="","",IF(V332&lt;12,"Months","Weeks"))</f>
        <v/>
      </c>
      <c r="AC332" s="5">
        <f>IF(AB332="","",IF(AB332="Months","Daily","Weekly"))</f>
        <v/>
      </c>
      <c r="AD332" s="17">
        <f>IF(V332="","",IF(AC332="Daily",V332*Controls!$B$13,V332))</f>
        <v/>
      </c>
      <c r="AE332" s="17">
        <f>IF(V332="","",IF(AC332="Daily",V332*Controls!$B$13,V332*Controls!$B$12))</f>
        <v/>
      </c>
      <c r="AF332" s="17">
        <f>IF(OR(E332="",F332=""),"",F332-E332)</f>
        <v/>
      </c>
      <c r="AG332" s="17">
        <f>IF(OR(E332="",F332=""),"",NETWORKDAYS(E332,F332,Ref!$F$4:$F$47))</f>
        <v/>
      </c>
      <c r="AH332" s="39">
        <f>IF(IFERROR(VLOOKUP(D332,Controls!$A$25:$D$35,2,FALSE()),"No")="Yes",1,0)</f>
        <v/>
      </c>
      <c r="AI332" s="39">
        <f>IF(IFERROR(VLOOKUP(D332,Controls!$A$25:$D$35,3,FALSE()),"No")="Yes",1,0)</f>
        <v/>
      </c>
      <c r="AJ332" s="39">
        <f>IF(IFERROR(VLOOKUP(D332,Controls!$A$25:$D$35,4,FALSE()),"No")="Yes",1,0)</f>
        <v/>
      </c>
      <c r="AK332" s="96">
        <f>IF(AND($E332&gt;=Controls!$B$5,$E332&lt;=Controls!$B$6,OR(Controls!$E$9&lt;&gt;"Y",$BE332=1)),1,0)</f>
        <v/>
      </c>
      <c r="AL332" s="39">
        <f>1</f>
        <v/>
      </c>
      <c r="AM332" s="20">
        <f>S332-P332</f>
        <v/>
      </c>
      <c r="AN332" s="20">
        <f>IF(AH332=1,MAX(0,P332-S332),0)</f>
        <v/>
      </c>
      <c r="AO332" s="21">
        <f>IFERROR(S332/P332,"")</f>
        <v/>
      </c>
      <c r="AP332" s="22">
        <f>IF(Y332="","",P332/Y332)</f>
        <v/>
      </c>
      <c r="AQ332" s="39">
        <f>IF(Y332="",0,1)</f>
        <v/>
      </c>
      <c r="AR332" s="39">
        <f>IF(S332&lt;=0,1,0)</f>
        <v/>
      </c>
      <c r="AS332" s="17">
        <f>IF(AH332=1,AG332,"")</f>
        <v/>
      </c>
      <c r="AT332" s="17">
        <f>IF(AND(AH332=0,AJ332=1),AG332,"")</f>
        <v/>
      </c>
      <c r="AU332" s="5">
        <f>IF(P332&lt;10000,"Under $10K",IF(P332&lt;20000,"$10-20K",IF(P332&lt;30000,"$20-30K",IF(P332&lt;50000,"$30-50K",IF(P332&lt;100000,"$50-100K","$100K+")))))</f>
        <v/>
      </c>
      <c r="AV332" s="5">
        <f>IF(O332&lt;=1.35,"1.35 and under",IF(O332&lt;=1.42,"1.36-1.42",IF(O332&lt;=1.45,"1.43-1.45",IF(O332&lt;1.49,"1.46-1.48",IF(O332&lt;=1.49,"1.49","Above 1.49")))))</f>
        <v/>
      </c>
      <c r="AW332" s="5">
        <f>IF(AE332="","",IF(AE332&lt;60,"Under 60",IF(AE332&lt;90,"60-89",IF(AE332&lt;120,"90-119",IF(AE332&lt;150,"120-149","150+")))))</f>
        <v/>
      </c>
      <c r="AX332" s="5">
        <f>IF(AP332="","No revenue data",IF(AP332&lt;0.15,"Under 0.15x",IF(AP332&lt;0.3,"0.15-0.30x",IF(AP332&lt;0.5,"0.30-0.50x",IF(AP332&lt;1,"0.50-1.00x","1.00x+")))))</f>
        <v/>
      </c>
      <c r="AY332" s="5">
        <f>IF(J332="","No SIC",IFERROR(VLOOKUP(J332,Ref!$A$4:$C$67,2,FALSE()),"Unclassified"))</f>
        <v/>
      </c>
      <c r="AZ332" s="5">
        <f>IF(E332="","",TEXT(E332,"YYYY")&amp;"-Q"&amp;ROUNDUP(MONTH(E332)/3,0))</f>
        <v/>
      </c>
      <c r="BA332" s="5">
        <f>IF(E332="","",TEXT(E332,"YYYY-MM"))</f>
        <v/>
      </c>
      <c r="BB332" s="5">
        <f>IF(E332="","",TEXT(E332,"YYYY"))</f>
        <v/>
      </c>
      <c r="BC332" s="92">
        <f>IF($E332="","",NETWORKDAYS($E332,Controls!$B$9,Ref!$F$4:$F$47))</f>
        <v/>
      </c>
      <c r="BD332" s="92">
        <f>IF(OR($AH332=1,$AJ332=1),1,0)</f>
        <v/>
      </c>
      <c r="BE332" s="95">
        <f>IF(OR($BD332=1,AND($AE332&lt;&gt;"",$BC332&gt;=Controls!$B$10*$AE332)),1,0)</f>
        <v/>
      </c>
    </row>
    <row r="333" ht="15.75" customHeight="1" s="79">
      <c r="A333" s="5" t="inlineStr">
        <is>
          <t>5674170744</t>
        </is>
      </c>
      <c r="B333" s="5" t="inlineStr">
        <is>
          <t>MMA Trading Consultancy LLC</t>
        </is>
      </c>
      <c r="C333" s="5" t="inlineStr">
        <is>
          <t>MMA Trading Consultancy LLC</t>
        </is>
      </c>
      <c r="D333" s="5" t="inlineStr">
        <is>
          <t>Closed</t>
        </is>
      </c>
      <c r="E333" s="16" t="n">
        <v>45966</v>
      </c>
      <c r="F333" s="16" t="n">
        <v>46225</v>
      </c>
      <c r="G333" s="17" t="n">
        <v>3</v>
      </c>
      <c r="H333" s="5" t="inlineStr">
        <is>
          <t>8748</t>
        </is>
      </c>
      <c r="I333" s="5" t="inlineStr">
        <is>
          <t>Other Management Consulting Services</t>
        </is>
      </c>
      <c r="J333" s="5" t="inlineStr">
        <is>
          <t>87</t>
        </is>
      </c>
      <c r="K333" s="5" t="n">
        <v>7392</v>
      </c>
      <c r="L333" s="5" t="inlineStr">
        <is>
          <t>IL</t>
        </is>
      </c>
      <c r="M333" s="5" t="inlineStr">
        <is>
          <t>Fundwell</t>
        </is>
      </c>
      <c r="N333" s="5" t="inlineStr">
        <is>
          <t>New Deal</t>
        </is>
      </c>
      <c r="O333" s="19" t="n">
        <v>1.36</v>
      </c>
      <c r="P333" s="20" t="n">
        <v>65000</v>
      </c>
      <c r="Q333" s="20" t="n">
        <v>5850</v>
      </c>
      <c r="R333" s="20" t="n">
        <v>88400</v>
      </c>
      <c r="S333" s="20" t="n">
        <v>88400</v>
      </c>
      <c r="T333" s="20" t="n">
        <v>0</v>
      </c>
      <c r="U333" s="21" t="n">
        <v>1</v>
      </c>
      <c r="V333" s="22" t="n">
        <v>36</v>
      </c>
      <c r="W333" s="17" t="n">
        <v>28</v>
      </c>
      <c r="X333" s="17" t="n">
        <v>0</v>
      </c>
      <c r="Y333" s="20" t="n">
        <v>145421.7</v>
      </c>
      <c r="Z333" s="21" t="n">
        <v>0.0675</v>
      </c>
      <c r="AA333" s="16" t="n">
        <v>42526</v>
      </c>
      <c r="AB333" s="5">
        <f>IF(V333="","",IF(V333&lt;12,"Months","Weeks"))</f>
        <v/>
      </c>
      <c r="AC333" s="5">
        <f>IF(AB333="","",IF(AB333="Months","Daily","Weekly"))</f>
        <v/>
      </c>
      <c r="AD333" s="17">
        <f>IF(V333="","",IF(AC333="Daily",V333*Controls!$B$13,V333))</f>
        <v/>
      </c>
      <c r="AE333" s="17">
        <f>IF(V333="","",IF(AC333="Daily",V333*Controls!$B$13,V333*Controls!$B$12))</f>
        <v/>
      </c>
      <c r="AF333" s="17">
        <f>IF(OR(E333="",F333=""),"",F333-E333)</f>
        <v/>
      </c>
      <c r="AG333" s="17">
        <f>IF(OR(E333="",F333=""),"",NETWORKDAYS(E333,F333,Ref!$F$4:$F$47))</f>
        <v/>
      </c>
      <c r="AH333" s="39">
        <f>IF(IFERROR(VLOOKUP(D333,Controls!$A$25:$D$35,2,FALSE()),"No")="Yes",1,0)</f>
        <v/>
      </c>
      <c r="AI333" s="39">
        <f>IF(IFERROR(VLOOKUP(D333,Controls!$A$25:$D$35,3,FALSE()),"No")="Yes",1,0)</f>
        <v/>
      </c>
      <c r="AJ333" s="39">
        <f>IF(IFERROR(VLOOKUP(D333,Controls!$A$25:$D$35,4,FALSE()),"No")="Yes",1,0)</f>
        <v/>
      </c>
      <c r="AK333" s="96">
        <f>IF(AND($E333&gt;=Controls!$B$5,$E333&lt;=Controls!$B$6,OR(Controls!$E$9&lt;&gt;"Y",$BE333=1)),1,0)</f>
        <v/>
      </c>
      <c r="AL333" s="39">
        <f>1</f>
        <v/>
      </c>
      <c r="AM333" s="20">
        <f>S333-P333</f>
        <v/>
      </c>
      <c r="AN333" s="20">
        <f>IF(AH333=1,MAX(0,P333-S333),0)</f>
        <v/>
      </c>
      <c r="AO333" s="21">
        <f>IFERROR(S333/P333,"")</f>
        <v/>
      </c>
      <c r="AP333" s="22">
        <f>IF(Y333="","",P333/Y333)</f>
        <v/>
      </c>
      <c r="AQ333" s="39">
        <f>IF(Y333="",0,1)</f>
        <v/>
      </c>
      <c r="AR333" s="39">
        <f>IF(S333&lt;=0,1,0)</f>
        <v/>
      </c>
      <c r="AS333" s="17">
        <f>IF(AH333=1,AG333,"")</f>
        <v/>
      </c>
      <c r="AT333" s="17">
        <f>IF(AND(AH333=0,AJ333=1),AG333,"")</f>
        <v/>
      </c>
      <c r="AU333" s="5">
        <f>IF(P333&lt;10000,"Under $10K",IF(P333&lt;20000,"$10-20K",IF(P333&lt;30000,"$20-30K",IF(P333&lt;50000,"$30-50K",IF(P333&lt;100000,"$50-100K","$100K+")))))</f>
        <v/>
      </c>
      <c r="AV333" s="5">
        <f>IF(O333&lt;=1.35,"1.35 and under",IF(O333&lt;=1.42,"1.36-1.42",IF(O333&lt;=1.45,"1.43-1.45",IF(O333&lt;1.49,"1.46-1.48",IF(O333&lt;=1.49,"1.49","Above 1.49")))))</f>
        <v/>
      </c>
      <c r="AW333" s="5">
        <f>IF(AE333="","",IF(AE333&lt;60,"Under 60",IF(AE333&lt;90,"60-89",IF(AE333&lt;120,"90-119",IF(AE333&lt;150,"120-149","150+")))))</f>
        <v/>
      </c>
      <c r="AX333" s="5">
        <f>IF(AP333="","No revenue data",IF(AP333&lt;0.15,"Under 0.15x",IF(AP333&lt;0.3,"0.15-0.30x",IF(AP333&lt;0.5,"0.30-0.50x",IF(AP333&lt;1,"0.50-1.00x","1.00x+")))))</f>
        <v/>
      </c>
      <c r="AY333" s="5">
        <f>IF(J333="","No SIC",IFERROR(VLOOKUP(J333,Ref!$A$4:$C$67,2,FALSE()),"Unclassified"))</f>
        <v/>
      </c>
      <c r="AZ333" s="5">
        <f>IF(E333="","",TEXT(E333,"YYYY")&amp;"-Q"&amp;ROUNDUP(MONTH(E333)/3,0))</f>
        <v/>
      </c>
      <c r="BA333" s="5">
        <f>IF(E333="","",TEXT(E333,"YYYY-MM"))</f>
        <v/>
      </c>
      <c r="BB333" s="5">
        <f>IF(E333="","",TEXT(E333,"YYYY"))</f>
        <v/>
      </c>
      <c r="BC333" s="92">
        <f>IF($E333="","",NETWORKDAYS($E333,Controls!$B$9,Ref!$F$4:$F$47))</f>
        <v/>
      </c>
      <c r="BD333" s="92">
        <f>IF(OR($AH333=1,$AJ333=1),1,0)</f>
        <v/>
      </c>
      <c r="BE333" s="95">
        <f>IF(OR($BD333=1,AND($AE333&lt;&gt;"",$BC333&gt;=Controls!$B$10*$AE333)),1,0)</f>
        <v/>
      </c>
    </row>
    <row r="334" ht="15.75" customHeight="1" s="79">
      <c r="A334" s="5" t="inlineStr">
        <is>
          <t>5674170753</t>
        </is>
      </c>
      <c r="B334" s="5" t="inlineStr">
        <is>
          <t>STARLIGHT</t>
        </is>
      </c>
      <c r="C334" s="5" t="inlineStr">
        <is>
          <t>MIGUEL A BERDIEL TORRES</t>
        </is>
      </c>
      <c r="D334" s="5" t="inlineStr">
        <is>
          <t>Closed</t>
        </is>
      </c>
      <c r="E334" s="16" t="n">
        <v>45966</v>
      </c>
      <c r="F334" s="16" t="n">
        <v>46139</v>
      </c>
      <c r="G334" s="17" t="n">
        <v>1</v>
      </c>
      <c r="H334" s="5" t="inlineStr">
        <is>
          <t>5812</t>
        </is>
      </c>
      <c r="I334" s="5" t="inlineStr">
        <is>
          <t>Snack and Nonalcoholic Beverage Bars</t>
        </is>
      </c>
      <c r="J334" s="5" t="inlineStr">
        <is>
          <t>58</t>
        </is>
      </c>
      <c r="K334" s="5" t="n">
        <v>5812</v>
      </c>
      <c r="L334" s="5" t="inlineStr">
        <is>
          <t>PR</t>
        </is>
      </c>
      <c r="M334" s="5" t="inlineStr">
        <is>
          <t>United Secured Capital 8</t>
        </is>
      </c>
      <c r="N334" s="5" t="inlineStr">
        <is>
          <t>New Deal</t>
        </is>
      </c>
      <c r="O334" s="19" t="n">
        <v>1.499</v>
      </c>
      <c r="P334" s="20" t="n">
        <v>10000</v>
      </c>
      <c r="Q334" s="20" t="n">
        <v>1400</v>
      </c>
      <c r="R334" s="20" t="n">
        <v>14990</v>
      </c>
      <c r="S334" s="20" t="n">
        <v>14990</v>
      </c>
      <c r="T334" s="20" t="n">
        <v>1.81898940354586e-12</v>
      </c>
      <c r="U334" s="21" t="n">
        <v>1</v>
      </c>
      <c r="V334" s="22" t="n">
        <v>2.623</v>
      </c>
      <c r="W334" s="17" t="n">
        <v>114</v>
      </c>
      <c r="X334" s="17" t="n">
        <v>36</v>
      </c>
      <c r="Y334" s="20" t="n">
        <v>40000</v>
      </c>
      <c r="Z334" s="21" t="n">
        <v>0.08690000000000001</v>
      </c>
      <c r="AA334" s="5" t="n"/>
      <c r="AB334" s="5">
        <f>IF(V334="","",IF(V334&lt;12,"Months","Weeks"))</f>
        <v/>
      </c>
      <c r="AC334" s="5">
        <f>IF(AB334="","",IF(AB334="Months","Daily","Weekly"))</f>
        <v/>
      </c>
      <c r="AD334" s="17">
        <f>IF(V334="","",IF(AC334="Daily",V334*Controls!$B$13,V334))</f>
        <v/>
      </c>
      <c r="AE334" s="17">
        <f>IF(V334="","",IF(AC334="Daily",V334*Controls!$B$13,V334*Controls!$B$12))</f>
        <v/>
      </c>
      <c r="AF334" s="17">
        <f>IF(OR(E334="",F334=""),"",F334-E334)</f>
        <v/>
      </c>
      <c r="AG334" s="17">
        <f>IF(OR(E334="",F334=""),"",NETWORKDAYS(E334,F334,Ref!$F$4:$F$47))</f>
        <v/>
      </c>
      <c r="AH334" s="39">
        <f>IF(IFERROR(VLOOKUP(D334,Controls!$A$25:$D$35,2,FALSE()),"No")="Yes",1,0)</f>
        <v/>
      </c>
      <c r="AI334" s="39">
        <f>IF(IFERROR(VLOOKUP(D334,Controls!$A$25:$D$35,3,FALSE()),"No")="Yes",1,0)</f>
        <v/>
      </c>
      <c r="AJ334" s="39">
        <f>IF(IFERROR(VLOOKUP(D334,Controls!$A$25:$D$35,4,FALSE()),"No")="Yes",1,0)</f>
        <v/>
      </c>
      <c r="AK334" s="96">
        <f>IF(AND($E334&gt;=Controls!$B$5,$E334&lt;=Controls!$B$6,OR(Controls!$E$9&lt;&gt;"Y",$BE334=1)),1,0)</f>
        <v/>
      </c>
      <c r="AL334" s="39">
        <f>1</f>
        <v/>
      </c>
      <c r="AM334" s="20">
        <f>S334-P334</f>
        <v/>
      </c>
      <c r="AN334" s="20">
        <f>IF(AH334=1,MAX(0,P334-S334),0)</f>
        <v/>
      </c>
      <c r="AO334" s="21">
        <f>IFERROR(S334/P334,"")</f>
        <v/>
      </c>
      <c r="AP334" s="22">
        <f>IF(Y334="","",P334/Y334)</f>
        <v/>
      </c>
      <c r="AQ334" s="39">
        <f>IF(Y334="",0,1)</f>
        <v/>
      </c>
      <c r="AR334" s="39">
        <f>IF(S334&lt;=0,1,0)</f>
        <v/>
      </c>
      <c r="AS334" s="17">
        <f>IF(AH334=1,AG334,"")</f>
        <v/>
      </c>
      <c r="AT334" s="17">
        <f>IF(AND(AH334=0,AJ334=1),AG334,"")</f>
        <v/>
      </c>
      <c r="AU334" s="5">
        <f>IF(P334&lt;10000,"Under $10K",IF(P334&lt;20000,"$10-20K",IF(P334&lt;30000,"$20-30K",IF(P334&lt;50000,"$30-50K",IF(P334&lt;100000,"$50-100K","$100K+")))))</f>
        <v/>
      </c>
      <c r="AV334" s="5">
        <f>IF(O334&lt;=1.35,"1.35 and under",IF(O334&lt;=1.42,"1.36-1.42",IF(O334&lt;=1.45,"1.43-1.45",IF(O334&lt;1.49,"1.46-1.48",IF(O334&lt;=1.49,"1.49","Above 1.49")))))</f>
        <v/>
      </c>
      <c r="AW334" s="5">
        <f>IF(AE334="","",IF(AE334&lt;60,"Under 60",IF(AE334&lt;90,"60-89",IF(AE334&lt;120,"90-119",IF(AE334&lt;150,"120-149","150+")))))</f>
        <v/>
      </c>
      <c r="AX334" s="5">
        <f>IF(AP334="","No revenue data",IF(AP334&lt;0.15,"Under 0.15x",IF(AP334&lt;0.3,"0.15-0.30x",IF(AP334&lt;0.5,"0.30-0.50x",IF(AP334&lt;1,"0.50-1.00x","1.00x+")))))</f>
        <v/>
      </c>
      <c r="AY334" s="5">
        <f>IF(J334="","No SIC",IFERROR(VLOOKUP(J334,Ref!$A$4:$C$67,2,FALSE()),"Unclassified"))</f>
        <v/>
      </c>
      <c r="AZ334" s="5">
        <f>IF(E334="","",TEXT(E334,"YYYY")&amp;"-Q"&amp;ROUNDUP(MONTH(E334)/3,0))</f>
        <v/>
      </c>
      <c r="BA334" s="5">
        <f>IF(E334="","",TEXT(E334,"YYYY-MM"))</f>
        <v/>
      </c>
      <c r="BB334" s="5">
        <f>IF(E334="","",TEXT(E334,"YYYY"))</f>
        <v/>
      </c>
      <c r="BC334" s="92">
        <f>IF($E334="","",NETWORKDAYS($E334,Controls!$B$9,Ref!$F$4:$F$47))</f>
        <v/>
      </c>
      <c r="BD334" s="92">
        <f>IF(OR($AH334=1,$AJ334=1),1,0)</f>
        <v/>
      </c>
      <c r="BE334" s="95">
        <f>IF(OR($BD334=1,AND($AE334&lt;&gt;"",$BC334&gt;=Controls!$B$10*$AE334)),1,0)</f>
        <v/>
      </c>
    </row>
    <row r="335" ht="15.75" customHeight="1" s="79">
      <c r="A335" s="5" t="inlineStr">
        <is>
          <t>5674170785</t>
        </is>
      </c>
      <c r="B335" s="5" t="inlineStr">
        <is>
          <t>ALG LUXURY CHARTER SERVICES INC</t>
        </is>
      </c>
      <c r="C335" s="5" t="inlineStr">
        <is>
          <t>ALG LUXURY CHARTER SERVICES INC</t>
        </is>
      </c>
      <c r="D335" s="5" t="inlineStr">
        <is>
          <t>Lowered Payments</t>
        </is>
      </c>
      <c r="E335" s="16" t="n">
        <v>45966</v>
      </c>
      <c r="F335" s="16" t="n">
        <v>46248</v>
      </c>
      <c r="G335" s="17" t="n">
        <v>2</v>
      </c>
      <c r="H335" s="5" t="inlineStr">
        <is>
          <t>4119</t>
        </is>
      </c>
      <c r="I335" s="5" t="inlineStr">
        <is>
          <t>Limousine Service</t>
        </is>
      </c>
      <c r="J335" s="5" t="inlineStr">
        <is>
          <t>41</t>
        </is>
      </c>
      <c r="K335" s="5" t="n">
        <v>4119</v>
      </c>
      <c r="L335" s="5" t="inlineStr">
        <is>
          <t>LA</t>
        </is>
      </c>
      <c r="M335" s="5" t="inlineStr">
        <is>
          <t>United Secured Capital 8</t>
        </is>
      </c>
      <c r="N335" s="5" t="inlineStr">
        <is>
          <t>New Deal</t>
        </is>
      </c>
      <c r="O335" s="19" t="n">
        <v>1.49</v>
      </c>
      <c r="P335" s="20" t="n">
        <v>12500</v>
      </c>
      <c r="Q335" s="20" t="n">
        <v>1750</v>
      </c>
      <c r="R335" s="20" t="n">
        <v>18625</v>
      </c>
      <c r="S335" s="20" t="n">
        <v>17104.94</v>
      </c>
      <c r="T335" s="20" t="n">
        <v>1520.06</v>
      </c>
      <c r="U335" s="21" t="n">
        <v>0.918386040268456</v>
      </c>
      <c r="V335" s="22" t="n">
        <v>18</v>
      </c>
      <c r="W335" s="17" t="n">
        <v>5</v>
      </c>
      <c r="X335" s="17" t="n">
        <v>9</v>
      </c>
      <c r="Y335" s="20" t="n">
        <v>25151.5</v>
      </c>
      <c r="Z335" s="21" t="n">
        <v>0.1646</v>
      </c>
      <c r="AA335" s="5" t="n"/>
      <c r="AB335" s="5">
        <f>IF(V335="","",IF(V335&lt;12,"Months","Weeks"))</f>
        <v/>
      </c>
      <c r="AC335" s="5">
        <f>IF(AB335="","",IF(AB335="Months","Daily","Weekly"))</f>
        <v/>
      </c>
      <c r="AD335" s="17">
        <f>IF(V335="","",IF(AC335="Daily",V335*Controls!$B$13,V335))</f>
        <v/>
      </c>
      <c r="AE335" s="17">
        <f>IF(V335="","",IF(AC335="Daily",V335*Controls!$B$13,V335*Controls!$B$12))</f>
        <v/>
      </c>
      <c r="AF335" s="17">
        <f>IF(OR(E335="",F335=""),"",F335-E335)</f>
        <v/>
      </c>
      <c r="AG335" s="17">
        <f>IF(OR(E335="",F335=""),"",NETWORKDAYS(E335,F335,Ref!$F$4:$F$47))</f>
        <v/>
      </c>
      <c r="AH335" s="39">
        <f>IF(IFERROR(VLOOKUP(D335,Controls!$A$25:$D$35,2,FALSE()),"No")="Yes",1,0)</f>
        <v/>
      </c>
      <c r="AI335" s="39">
        <f>IF(IFERROR(VLOOKUP(D335,Controls!$A$25:$D$35,3,FALSE()),"No")="Yes",1,0)</f>
        <v/>
      </c>
      <c r="AJ335" s="39">
        <f>IF(IFERROR(VLOOKUP(D335,Controls!$A$25:$D$35,4,FALSE()),"No")="Yes",1,0)</f>
        <v/>
      </c>
      <c r="AK335" s="96">
        <f>IF(AND($E335&gt;=Controls!$B$5,$E335&lt;=Controls!$B$6,OR(Controls!$E$9&lt;&gt;"Y",$BE335=1)),1,0)</f>
        <v/>
      </c>
      <c r="AL335" s="39">
        <f>1</f>
        <v/>
      </c>
      <c r="AM335" s="20">
        <f>S335-P335</f>
        <v/>
      </c>
      <c r="AN335" s="20">
        <f>IF(AH335=1,MAX(0,P335-S335),0)</f>
        <v/>
      </c>
      <c r="AO335" s="21">
        <f>IFERROR(S335/P335,"")</f>
        <v/>
      </c>
      <c r="AP335" s="22">
        <f>IF(Y335="","",P335/Y335)</f>
        <v/>
      </c>
      <c r="AQ335" s="39">
        <f>IF(Y335="",0,1)</f>
        <v/>
      </c>
      <c r="AR335" s="39">
        <f>IF(S335&lt;=0,1,0)</f>
        <v/>
      </c>
      <c r="AS335" s="17">
        <f>IF(AH335=1,AG335,"")</f>
        <v/>
      </c>
      <c r="AT335" s="17">
        <f>IF(AND(AH335=0,AJ335=1),AG335,"")</f>
        <v/>
      </c>
      <c r="AU335" s="5">
        <f>IF(P335&lt;10000,"Under $10K",IF(P335&lt;20000,"$10-20K",IF(P335&lt;30000,"$20-30K",IF(P335&lt;50000,"$30-50K",IF(P335&lt;100000,"$50-100K","$100K+")))))</f>
        <v/>
      </c>
      <c r="AV335" s="5">
        <f>IF(O335&lt;=1.35,"1.35 and under",IF(O335&lt;=1.42,"1.36-1.42",IF(O335&lt;=1.45,"1.43-1.45",IF(O335&lt;1.49,"1.46-1.48",IF(O335&lt;=1.49,"1.49","Above 1.49")))))</f>
        <v/>
      </c>
      <c r="AW335" s="5">
        <f>IF(AE335="","",IF(AE335&lt;60,"Under 60",IF(AE335&lt;90,"60-89",IF(AE335&lt;120,"90-119",IF(AE335&lt;150,"120-149","150+")))))</f>
        <v/>
      </c>
      <c r="AX335" s="5">
        <f>IF(AP335="","No revenue data",IF(AP335&lt;0.15,"Under 0.15x",IF(AP335&lt;0.3,"0.15-0.30x",IF(AP335&lt;0.5,"0.30-0.50x",IF(AP335&lt;1,"0.50-1.00x","1.00x+")))))</f>
        <v/>
      </c>
      <c r="AY335" s="5">
        <f>IF(J335="","No SIC",IFERROR(VLOOKUP(J335,Ref!$A$4:$C$67,2,FALSE()),"Unclassified"))</f>
        <v/>
      </c>
      <c r="AZ335" s="5">
        <f>IF(E335="","",TEXT(E335,"YYYY")&amp;"-Q"&amp;ROUNDUP(MONTH(E335)/3,0))</f>
        <v/>
      </c>
      <c r="BA335" s="5">
        <f>IF(E335="","",TEXT(E335,"YYYY-MM"))</f>
        <v/>
      </c>
      <c r="BB335" s="5">
        <f>IF(E335="","",TEXT(E335,"YYYY"))</f>
        <v/>
      </c>
      <c r="BC335" s="92">
        <f>IF($E335="","",NETWORKDAYS($E335,Controls!$B$9,Ref!$F$4:$F$47))</f>
        <v/>
      </c>
      <c r="BD335" s="92">
        <f>IF(OR($AH335=1,$AJ335=1),1,0)</f>
        <v/>
      </c>
      <c r="BE335" s="95">
        <f>IF(OR($BD335=1,AND($AE335&lt;&gt;"",$BC335&gt;=Controls!$B$10*$AE335)),1,0)</f>
        <v/>
      </c>
    </row>
    <row r="336" ht="15.75" customHeight="1" s="79">
      <c r="A336" s="5" t="inlineStr">
        <is>
          <t>5674170833</t>
        </is>
      </c>
      <c r="B336" s="5" t="inlineStr">
        <is>
          <t>TWILIGHT ANESTHETICS, PLLC</t>
        </is>
      </c>
      <c r="C336" s="5" t="inlineStr">
        <is>
          <t>TWILIGHT ANESTHETICS, PLLC</t>
        </is>
      </c>
      <c r="D336" s="5" t="inlineStr">
        <is>
          <t>Closed</t>
        </is>
      </c>
      <c r="E336" s="16" t="n">
        <v>45967</v>
      </c>
      <c r="F336" s="16" t="n">
        <v>46013</v>
      </c>
      <c r="G336" s="17" t="n">
        <v>3</v>
      </c>
      <c r="H336" s="5" t="inlineStr">
        <is>
          <t>8059</t>
        </is>
      </c>
      <c r="I336" s="5" t="inlineStr">
        <is>
          <t>Nursing Care Facilities (Skilled Nursing Facilities)</t>
        </is>
      </c>
      <c r="J336" s="5" t="inlineStr">
        <is>
          <t>80</t>
        </is>
      </c>
      <c r="K336" s="5" t="n">
        <v>8050</v>
      </c>
      <c r="L336" s="5" t="inlineStr">
        <is>
          <t>TX</t>
        </is>
      </c>
      <c r="M336" s="5" t="inlineStr">
        <is>
          <t>Fundwell</t>
        </is>
      </c>
      <c r="N336" s="5" t="inlineStr">
        <is>
          <t>New Deal</t>
        </is>
      </c>
      <c r="O336" s="19" t="n">
        <v>1.38</v>
      </c>
      <c r="P336" s="20" t="n">
        <v>20000</v>
      </c>
      <c r="Q336" s="20" t="n">
        <v>2400</v>
      </c>
      <c r="R336" s="20" t="n">
        <v>27600</v>
      </c>
      <c r="S336" s="20" t="n">
        <v>27600</v>
      </c>
      <c r="T336" s="20" t="n">
        <v>-3.63797880709171e-12</v>
      </c>
      <c r="U336" s="21" t="n">
        <v>1</v>
      </c>
      <c r="V336" s="22" t="n">
        <v>28</v>
      </c>
      <c r="W336" s="17" t="n">
        <v>240</v>
      </c>
      <c r="X336" s="17" t="n">
        <v>1</v>
      </c>
      <c r="Y336" s="20" t="n">
        <v>38940.09</v>
      </c>
      <c r="Z336" s="21" t="n">
        <v>0.1013</v>
      </c>
      <c r="AA336" s="16" t="n">
        <v>44574</v>
      </c>
      <c r="AB336" s="5">
        <f>IF(V336="","",IF(V336&lt;12,"Months","Weeks"))</f>
        <v/>
      </c>
      <c r="AC336" s="5">
        <f>IF(AB336="","",IF(AB336="Months","Daily","Weekly"))</f>
        <v/>
      </c>
      <c r="AD336" s="17">
        <f>IF(V336="","",IF(AC336="Daily",V336*Controls!$B$13,V336))</f>
        <v/>
      </c>
      <c r="AE336" s="17">
        <f>IF(V336="","",IF(AC336="Daily",V336*Controls!$B$13,V336*Controls!$B$12))</f>
        <v/>
      </c>
      <c r="AF336" s="17">
        <f>IF(OR(E336="",F336=""),"",F336-E336)</f>
        <v/>
      </c>
      <c r="AG336" s="17">
        <f>IF(OR(E336="",F336=""),"",NETWORKDAYS(E336,F336,Ref!$F$4:$F$47))</f>
        <v/>
      </c>
      <c r="AH336" s="39">
        <f>IF(IFERROR(VLOOKUP(D336,Controls!$A$25:$D$35,2,FALSE()),"No")="Yes",1,0)</f>
        <v/>
      </c>
      <c r="AI336" s="39">
        <f>IF(IFERROR(VLOOKUP(D336,Controls!$A$25:$D$35,3,FALSE()),"No")="Yes",1,0)</f>
        <v/>
      </c>
      <c r="AJ336" s="39">
        <f>IF(IFERROR(VLOOKUP(D336,Controls!$A$25:$D$35,4,FALSE()),"No")="Yes",1,0)</f>
        <v/>
      </c>
      <c r="AK336" s="96">
        <f>IF(AND($E336&gt;=Controls!$B$5,$E336&lt;=Controls!$B$6,OR(Controls!$E$9&lt;&gt;"Y",$BE336=1)),1,0)</f>
        <v/>
      </c>
      <c r="AL336" s="39">
        <f>1</f>
        <v/>
      </c>
      <c r="AM336" s="20">
        <f>S336-P336</f>
        <v/>
      </c>
      <c r="AN336" s="20">
        <f>IF(AH336=1,MAX(0,P336-S336),0)</f>
        <v/>
      </c>
      <c r="AO336" s="21">
        <f>IFERROR(S336/P336,"")</f>
        <v/>
      </c>
      <c r="AP336" s="22">
        <f>IF(Y336="","",P336/Y336)</f>
        <v/>
      </c>
      <c r="AQ336" s="39">
        <f>IF(Y336="",0,1)</f>
        <v/>
      </c>
      <c r="AR336" s="39">
        <f>IF(S336&lt;=0,1,0)</f>
        <v/>
      </c>
      <c r="AS336" s="17">
        <f>IF(AH336=1,AG336,"")</f>
        <v/>
      </c>
      <c r="AT336" s="17">
        <f>IF(AND(AH336=0,AJ336=1),AG336,"")</f>
        <v/>
      </c>
      <c r="AU336" s="5">
        <f>IF(P336&lt;10000,"Under $10K",IF(P336&lt;20000,"$10-20K",IF(P336&lt;30000,"$20-30K",IF(P336&lt;50000,"$30-50K",IF(P336&lt;100000,"$50-100K","$100K+")))))</f>
        <v/>
      </c>
      <c r="AV336" s="5">
        <f>IF(O336&lt;=1.35,"1.35 and under",IF(O336&lt;=1.42,"1.36-1.42",IF(O336&lt;=1.45,"1.43-1.45",IF(O336&lt;1.49,"1.46-1.48",IF(O336&lt;=1.49,"1.49","Above 1.49")))))</f>
        <v/>
      </c>
      <c r="AW336" s="5">
        <f>IF(AE336="","",IF(AE336&lt;60,"Under 60",IF(AE336&lt;90,"60-89",IF(AE336&lt;120,"90-119",IF(AE336&lt;150,"120-149","150+")))))</f>
        <v/>
      </c>
      <c r="AX336" s="5">
        <f>IF(AP336="","No revenue data",IF(AP336&lt;0.15,"Under 0.15x",IF(AP336&lt;0.3,"0.15-0.30x",IF(AP336&lt;0.5,"0.30-0.50x",IF(AP336&lt;1,"0.50-1.00x","1.00x+")))))</f>
        <v/>
      </c>
      <c r="AY336" s="5">
        <f>IF(J336="","No SIC",IFERROR(VLOOKUP(J336,Ref!$A$4:$C$67,2,FALSE()),"Unclassified"))</f>
        <v/>
      </c>
      <c r="AZ336" s="5">
        <f>IF(E336="","",TEXT(E336,"YYYY")&amp;"-Q"&amp;ROUNDUP(MONTH(E336)/3,0))</f>
        <v/>
      </c>
      <c r="BA336" s="5">
        <f>IF(E336="","",TEXT(E336,"YYYY-MM"))</f>
        <v/>
      </c>
      <c r="BB336" s="5">
        <f>IF(E336="","",TEXT(E336,"YYYY"))</f>
        <v/>
      </c>
      <c r="BC336" s="92">
        <f>IF($E336="","",NETWORKDAYS($E336,Controls!$B$9,Ref!$F$4:$F$47))</f>
        <v/>
      </c>
      <c r="BD336" s="92">
        <f>IF(OR($AH336=1,$AJ336=1),1,0)</f>
        <v/>
      </c>
      <c r="BE336" s="95">
        <f>IF(OR($BD336=1,AND($AE336&lt;&gt;"",$BC336&gt;=Controls!$B$10*$AE336)),1,0)</f>
        <v/>
      </c>
    </row>
    <row r="337" ht="15.75" customHeight="1" s="79">
      <c r="A337" s="5" t="inlineStr">
        <is>
          <t>5674170835</t>
        </is>
      </c>
      <c r="B337" s="5" t="inlineStr">
        <is>
          <t>Medina And Associates PC</t>
        </is>
      </c>
      <c r="C337" s="5" t="inlineStr">
        <is>
          <t>Medina And Associates PC</t>
        </is>
      </c>
      <c r="D337" s="5" t="inlineStr">
        <is>
          <t>Closed</t>
        </is>
      </c>
      <c r="E337" s="16" t="n">
        <v>45967</v>
      </c>
      <c r="F337" s="16" t="n">
        <v>46035</v>
      </c>
      <c r="G337" s="17" t="n">
        <v>6</v>
      </c>
      <c r="H337" s="5" t="inlineStr">
        <is>
          <t>8021</t>
        </is>
      </c>
      <c r="I337" s="5" t="inlineStr">
        <is>
          <t>Offices of Dentists</t>
        </is>
      </c>
      <c r="J337" s="5" t="inlineStr">
        <is>
          <t>80</t>
        </is>
      </c>
      <c r="K337" s="5" t="n">
        <v>8021</v>
      </c>
      <c r="L337" s="5" t="inlineStr">
        <is>
          <t>MD</t>
        </is>
      </c>
      <c r="M337" s="5" t="inlineStr">
        <is>
          <t>Premium Capital (AMRK)</t>
        </is>
      </c>
      <c r="N337" s="5" t="inlineStr">
        <is>
          <t>Renewal</t>
        </is>
      </c>
      <c r="O337" s="19" t="n">
        <v>1.5</v>
      </c>
      <c r="P337" s="20" t="n">
        <v>40000</v>
      </c>
      <c r="Q337" s="20" t="n">
        <v>5600</v>
      </c>
      <c r="R337" s="20" t="n">
        <v>60000</v>
      </c>
      <c r="S337" s="20" t="n">
        <v>60000</v>
      </c>
      <c r="T337" s="20" t="n">
        <v>0</v>
      </c>
      <c r="U337" s="21" t="n">
        <v>1</v>
      </c>
      <c r="V337" s="22" t="n">
        <v>20</v>
      </c>
      <c r="W337" s="17" t="n">
        <v>218</v>
      </c>
      <c r="X337" s="17" t="n">
        <v>1</v>
      </c>
      <c r="Y337" s="20" t="n">
        <v>122458.04</v>
      </c>
      <c r="Z337" s="21" t="n">
        <v>0.1025</v>
      </c>
      <c r="AA337" s="5" t="n"/>
      <c r="AB337" s="5">
        <f>IF(V337="","",IF(V337&lt;12,"Months","Weeks"))</f>
        <v/>
      </c>
      <c r="AC337" s="5">
        <f>IF(AB337="","",IF(AB337="Months","Daily","Weekly"))</f>
        <v/>
      </c>
      <c r="AD337" s="17">
        <f>IF(V337="","",IF(AC337="Daily",V337*Controls!$B$13,V337))</f>
        <v/>
      </c>
      <c r="AE337" s="17">
        <f>IF(V337="","",IF(AC337="Daily",V337*Controls!$B$13,V337*Controls!$B$12))</f>
        <v/>
      </c>
      <c r="AF337" s="17">
        <f>IF(OR(E337="",F337=""),"",F337-E337)</f>
        <v/>
      </c>
      <c r="AG337" s="17">
        <f>IF(OR(E337="",F337=""),"",NETWORKDAYS(E337,F337,Ref!$F$4:$F$47))</f>
        <v/>
      </c>
      <c r="AH337" s="39">
        <f>IF(IFERROR(VLOOKUP(D337,Controls!$A$25:$D$35,2,FALSE()),"No")="Yes",1,0)</f>
        <v/>
      </c>
      <c r="AI337" s="39">
        <f>IF(IFERROR(VLOOKUP(D337,Controls!$A$25:$D$35,3,FALSE()),"No")="Yes",1,0)</f>
        <v/>
      </c>
      <c r="AJ337" s="39">
        <f>IF(IFERROR(VLOOKUP(D337,Controls!$A$25:$D$35,4,FALSE()),"No")="Yes",1,0)</f>
        <v/>
      </c>
      <c r="AK337" s="96">
        <f>IF(AND($E337&gt;=Controls!$B$5,$E337&lt;=Controls!$B$6,OR(Controls!$E$9&lt;&gt;"Y",$BE337=1)),1,0)</f>
        <v/>
      </c>
      <c r="AL337" s="39">
        <f>1</f>
        <v/>
      </c>
      <c r="AM337" s="20">
        <f>S337-P337</f>
        <v/>
      </c>
      <c r="AN337" s="20">
        <f>IF(AH337=1,MAX(0,P337-S337),0)</f>
        <v/>
      </c>
      <c r="AO337" s="21">
        <f>IFERROR(S337/P337,"")</f>
        <v/>
      </c>
      <c r="AP337" s="22">
        <f>IF(Y337="","",P337/Y337)</f>
        <v/>
      </c>
      <c r="AQ337" s="39">
        <f>IF(Y337="",0,1)</f>
        <v/>
      </c>
      <c r="AR337" s="39">
        <f>IF(S337&lt;=0,1,0)</f>
        <v/>
      </c>
      <c r="AS337" s="17">
        <f>IF(AH337=1,AG337,"")</f>
        <v/>
      </c>
      <c r="AT337" s="17">
        <f>IF(AND(AH337=0,AJ337=1),AG337,"")</f>
        <v/>
      </c>
      <c r="AU337" s="5">
        <f>IF(P337&lt;10000,"Under $10K",IF(P337&lt;20000,"$10-20K",IF(P337&lt;30000,"$20-30K",IF(P337&lt;50000,"$30-50K",IF(P337&lt;100000,"$50-100K","$100K+")))))</f>
        <v/>
      </c>
      <c r="AV337" s="5">
        <f>IF(O337&lt;=1.35,"1.35 and under",IF(O337&lt;=1.42,"1.36-1.42",IF(O337&lt;=1.45,"1.43-1.45",IF(O337&lt;1.49,"1.46-1.48",IF(O337&lt;=1.49,"1.49","Above 1.49")))))</f>
        <v/>
      </c>
      <c r="AW337" s="5">
        <f>IF(AE337="","",IF(AE337&lt;60,"Under 60",IF(AE337&lt;90,"60-89",IF(AE337&lt;120,"90-119",IF(AE337&lt;150,"120-149","150+")))))</f>
        <v/>
      </c>
      <c r="AX337" s="5">
        <f>IF(AP337="","No revenue data",IF(AP337&lt;0.15,"Under 0.15x",IF(AP337&lt;0.3,"0.15-0.30x",IF(AP337&lt;0.5,"0.30-0.50x",IF(AP337&lt;1,"0.50-1.00x","1.00x+")))))</f>
        <v/>
      </c>
      <c r="AY337" s="5">
        <f>IF(J337="","No SIC",IFERROR(VLOOKUP(J337,Ref!$A$4:$C$67,2,FALSE()),"Unclassified"))</f>
        <v/>
      </c>
      <c r="AZ337" s="5">
        <f>IF(E337="","",TEXT(E337,"YYYY")&amp;"-Q"&amp;ROUNDUP(MONTH(E337)/3,0))</f>
        <v/>
      </c>
      <c r="BA337" s="5">
        <f>IF(E337="","",TEXT(E337,"YYYY-MM"))</f>
        <v/>
      </c>
      <c r="BB337" s="5">
        <f>IF(E337="","",TEXT(E337,"YYYY"))</f>
        <v/>
      </c>
      <c r="BC337" s="92">
        <f>IF($E337="","",NETWORKDAYS($E337,Controls!$B$9,Ref!$F$4:$F$47))</f>
        <v/>
      </c>
      <c r="BD337" s="92">
        <f>IF(OR($AH337=1,$AJ337=1),1,0)</f>
        <v/>
      </c>
      <c r="BE337" s="95">
        <f>IF(OR($BD337=1,AND($AE337&lt;&gt;"",$BC337&gt;=Controls!$B$10*$AE337)),1,0)</f>
        <v/>
      </c>
    </row>
    <row r="338" ht="15.75" customHeight="1" s="79">
      <c r="A338" s="5" t="inlineStr">
        <is>
          <t>5674170855</t>
        </is>
      </c>
      <c r="B338" s="5" t="inlineStr">
        <is>
          <t>SR UNBOUNDED</t>
        </is>
      </c>
      <c r="C338" s="5" t="inlineStr">
        <is>
          <t>SR UNBOUNDED</t>
        </is>
      </c>
      <c r="D338" s="5" t="inlineStr">
        <is>
          <t>Closed</t>
        </is>
      </c>
      <c r="E338" s="16" t="n">
        <v>45967</v>
      </c>
      <c r="F338" s="16" t="n">
        <v>46030</v>
      </c>
      <c r="G338" s="17" t="n">
        <v>6</v>
      </c>
      <c r="H338" s="5" t="inlineStr">
        <is>
          <t>7922</t>
        </is>
      </c>
      <c r="I338" s="5" t="inlineStr">
        <is>
          <t>Theater Cos. and Dinner Theaters</t>
        </is>
      </c>
      <c r="J338" s="5" t="inlineStr">
        <is>
          <t>79</t>
        </is>
      </c>
      <c r="K338" s="5" t="n">
        <v>7929</v>
      </c>
      <c r="L338" s="5" t="inlineStr">
        <is>
          <t>CA</t>
        </is>
      </c>
      <c r="M338" s="5" t="inlineStr">
        <is>
          <t>Shore Funding USA</t>
        </is>
      </c>
      <c r="N338" s="5" t="inlineStr">
        <is>
          <t>Renewal</t>
        </is>
      </c>
      <c r="O338" s="19" t="n">
        <v>1.49</v>
      </c>
      <c r="P338" s="20" t="n">
        <v>7500</v>
      </c>
      <c r="Q338" s="20" t="n">
        <v>1050</v>
      </c>
      <c r="R338" s="20" t="n">
        <v>11175</v>
      </c>
      <c r="S338" s="20" t="n">
        <v>11175</v>
      </c>
      <c r="T338" s="20" t="n">
        <v>0</v>
      </c>
      <c r="U338" s="21" t="n">
        <v>1</v>
      </c>
      <c r="V338" s="22" t="n">
        <v>2.295</v>
      </c>
      <c r="W338" s="17" t="n">
        <v>223</v>
      </c>
      <c r="X338" s="17" t="n">
        <v>4</v>
      </c>
      <c r="Y338" s="20" t="n">
        <v>15635.79</v>
      </c>
      <c r="Z338" s="21" t="n">
        <v>0.2144</v>
      </c>
      <c r="AA338" s="16" t="n">
        <v>43863</v>
      </c>
      <c r="AB338" s="5">
        <f>IF(V338="","",IF(V338&lt;12,"Months","Weeks"))</f>
        <v/>
      </c>
      <c r="AC338" s="5">
        <f>IF(AB338="","",IF(AB338="Months","Daily","Weekly"))</f>
        <v/>
      </c>
      <c r="AD338" s="17">
        <f>IF(V338="","",IF(AC338="Daily",V338*Controls!$B$13,V338))</f>
        <v/>
      </c>
      <c r="AE338" s="17">
        <f>IF(V338="","",IF(AC338="Daily",V338*Controls!$B$13,V338*Controls!$B$12))</f>
        <v/>
      </c>
      <c r="AF338" s="17">
        <f>IF(OR(E338="",F338=""),"",F338-E338)</f>
        <v/>
      </c>
      <c r="AG338" s="17">
        <f>IF(OR(E338="",F338=""),"",NETWORKDAYS(E338,F338,Ref!$F$4:$F$47))</f>
        <v/>
      </c>
      <c r="AH338" s="39">
        <f>IF(IFERROR(VLOOKUP(D338,Controls!$A$25:$D$35,2,FALSE()),"No")="Yes",1,0)</f>
        <v/>
      </c>
      <c r="AI338" s="39">
        <f>IF(IFERROR(VLOOKUP(D338,Controls!$A$25:$D$35,3,FALSE()),"No")="Yes",1,0)</f>
        <v/>
      </c>
      <c r="AJ338" s="39">
        <f>IF(IFERROR(VLOOKUP(D338,Controls!$A$25:$D$35,4,FALSE()),"No")="Yes",1,0)</f>
        <v/>
      </c>
      <c r="AK338" s="96">
        <f>IF(AND($E338&gt;=Controls!$B$5,$E338&lt;=Controls!$B$6,OR(Controls!$E$9&lt;&gt;"Y",$BE338=1)),1,0)</f>
        <v/>
      </c>
      <c r="AL338" s="39">
        <f>1</f>
        <v/>
      </c>
      <c r="AM338" s="20">
        <f>S338-P338</f>
        <v/>
      </c>
      <c r="AN338" s="20">
        <f>IF(AH338=1,MAX(0,P338-S338),0)</f>
        <v/>
      </c>
      <c r="AO338" s="21">
        <f>IFERROR(S338/P338,"")</f>
        <v/>
      </c>
      <c r="AP338" s="22">
        <f>IF(Y338="","",P338/Y338)</f>
        <v/>
      </c>
      <c r="AQ338" s="39">
        <f>IF(Y338="",0,1)</f>
        <v/>
      </c>
      <c r="AR338" s="39">
        <f>IF(S338&lt;=0,1,0)</f>
        <v/>
      </c>
      <c r="AS338" s="17">
        <f>IF(AH338=1,AG338,"")</f>
        <v/>
      </c>
      <c r="AT338" s="17">
        <f>IF(AND(AH338=0,AJ338=1),AG338,"")</f>
        <v/>
      </c>
      <c r="AU338" s="5">
        <f>IF(P338&lt;10000,"Under $10K",IF(P338&lt;20000,"$10-20K",IF(P338&lt;30000,"$20-30K",IF(P338&lt;50000,"$30-50K",IF(P338&lt;100000,"$50-100K","$100K+")))))</f>
        <v/>
      </c>
      <c r="AV338" s="5">
        <f>IF(O338&lt;=1.35,"1.35 and under",IF(O338&lt;=1.42,"1.36-1.42",IF(O338&lt;=1.45,"1.43-1.45",IF(O338&lt;1.49,"1.46-1.48",IF(O338&lt;=1.49,"1.49","Above 1.49")))))</f>
        <v/>
      </c>
      <c r="AW338" s="5">
        <f>IF(AE338="","",IF(AE338&lt;60,"Under 60",IF(AE338&lt;90,"60-89",IF(AE338&lt;120,"90-119",IF(AE338&lt;150,"120-149","150+")))))</f>
        <v/>
      </c>
      <c r="AX338" s="5">
        <f>IF(AP338="","No revenue data",IF(AP338&lt;0.15,"Under 0.15x",IF(AP338&lt;0.3,"0.15-0.30x",IF(AP338&lt;0.5,"0.30-0.50x",IF(AP338&lt;1,"0.50-1.00x","1.00x+")))))</f>
        <v/>
      </c>
      <c r="AY338" s="5">
        <f>IF(J338="","No SIC",IFERROR(VLOOKUP(J338,Ref!$A$4:$C$67,2,FALSE()),"Unclassified"))</f>
        <v/>
      </c>
      <c r="AZ338" s="5">
        <f>IF(E338="","",TEXT(E338,"YYYY")&amp;"-Q"&amp;ROUNDUP(MONTH(E338)/3,0))</f>
        <v/>
      </c>
      <c r="BA338" s="5">
        <f>IF(E338="","",TEXT(E338,"YYYY-MM"))</f>
        <v/>
      </c>
      <c r="BB338" s="5">
        <f>IF(E338="","",TEXT(E338,"YYYY"))</f>
        <v/>
      </c>
      <c r="BC338" s="92">
        <f>IF($E338="","",NETWORKDAYS($E338,Controls!$B$9,Ref!$F$4:$F$47))</f>
        <v/>
      </c>
      <c r="BD338" s="92">
        <f>IF(OR($AH338=1,$AJ338=1),1,0)</f>
        <v/>
      </c>
      <c r="BE338" s="95">
        <f>IF(OR($BD338=1,AND($AE338&lt;&gt;"",$BC338&gt;=Controls!$B$10*$AE338)),1,0)</f>
        <v/>
      </c>
    </row>
    <row r="339" ht="15.75" customHeight="1" s="79">
      <c r="A339" s="5" t="inlineStr">
        <is>
          <t>5674170899</t>
        </is>
      </c>
      <c r="B339" s="5" t="inlineStr">
        <is>
          <t>INSPIRED BY SPIRITS DISTILLING COMPANY</t>
        </is>
      </c>
      <c r="C339" s="5" t="inlineStr">
        <is>
          <t>INSPIRED BY SPIRITS DISTILLING COMPANY LLC</t>
        </is>
      </c>
      <c r="D339" s="5" t="inlineStr">
        <is>
          <t>Closed</t>
        </is>
      </c>
      <c r="E339" s="16" t="n">
        <v>45967</v>
      </c>
      <c r="F339" s="16" t="n">
        <v>46133</v>
      </c>
      <c r="G339" s="17" t="n">
        <v>2</v>
      </c>
      <c r="H339" s="5" t="inlineStr">
        <is>
          <t>2084</t>
        </is>
      </c>
      <c r="I339" s="5" t="inlineStr">
        <is>
          <t>Wineries</t>
        </is>
      </c>
      <c r="J339" s="5" t="inlineStr">
        <is>
          <t>20</t>
        </is>
      </c>
      <c r="K339" s="5" t="n">
        <v>5921</v>
      </c>
      <c r="L339" s="5" t="inlineStr">
        <is>
          <t>PA</t>
        </is>
      </c>
      <c r="M339" s="5" t="inlineStr">
        <is>
          <t>Fundwell</t>
        </is>
      </c>
      <c r="N339" s="5" t="inlineStr">
        <is>
          <t>New Deal</t>
        </is>
      </c>
      <c r="O339" s="19" t="n">
        <v>1.4</v>
      </c>
      <c r="P339" s="20" t="n">
        <v>20000</v>
      </c>
      <c r="Q339" s="20" t="n">
        <v>2600</v>
      </c>
      <c r="R339" s="20" t="n">
        <v>28000</v>
      </c>
      <c r="S339" s="20" t="n">
        <v>28000</v>
      </c>
      <c r="T339" s="20" t="n">
        <v>0</v>
      </c>
      <c r="U339" s="21" t="n">
        <v>1</v>
      </c>
      <c r="V339" s="22" t="n">
        <v>32</v>
      </c>
      <c r="W339" s="17" t="n">
        <v>120</v>
      </c>
      <c r="X339" s="17" t="n">
        <v>0</v>
      </c>
      <c r="Y339" s="20" t="n">
        <v>33287.84</v>
      </c>
      <c r="Z339" s="21" t="n">
        <v>0.1051</v>
      </c>
      <c r="AA339" s="16" t="n">
        <v>43518</v>
      </c>
      <c r="AB339" s="5">
        <f>IF(V339="","",IF(V339&lt;12,"Months","Weeks"))</f>
        <v/>
      </c>
      <c r="AC339" s="5">
        <f>IF(AB339="","",IF(AB339="Months","Daily","Weekly"))</f>
        <v/>
      </c>
      <c r="AD339" s="17">
        <f>IF(V339="","",IF(AC339="Daily",V339*Controls!$B$13,V339))</f>
        <v/>
      </c>
      <c r="AE339" s="17">
        <f>IF(V339="","",IF(AC339="Daily",V339*Controls!$B$13,V339*Controls!$B$12))</f>
        <v/>
      </c>
      <c r="AF339" s="17">
        <f>IF(OR(E339="",F339=""),"",F339-E339)</f>
        <v/>
      </c>
      <c r="AG339" s="17">
        <f>IF(OR(E339="",F339=""),"",NETWORKDAYS(E339,F339,Ref!$F$4:$F$47))</f>
        <v/>
      </c>
      <c r="AH339" s="39">
        <f>IF(IFERROR(VLOOKUP(D339,Controls!$A$25:$D$35,2,FALSE()),"No")="Yes",1,0)</f>
        <v/>
      </c>
      <c r="AI339" s="39">
        <f>IF(IFERROR(VLOOKUP(D339,Controls!$A$25:$D$35,3,FALSE()),"No")="Yes",1,0)</f>
        <v/>
      </c>
      <c r="AJ339" s="39">
        <f>IF(IFERROR(VLOOKUP(D339,Controls!$A$25:$D$35,4,FALSE()),"No")="Yes",1,0)</f>
        <v/>
      </c>
      <c r="AK339" s="96">
        <f>IF(AND($E339&gt;=Controls!$B$5,$E339&lt;=Controls!$B$6,OR(Controls!$E$9&lt;&gt;"Y",$BE339=1)),1,0)</f>
        <v/>
      </c>
      <c r="AL339" s="39">
        <f>1</f>
        <v/>
      </c>
      <c r="AM339" s="20">
        <f>S339-P339</f>
        <v/>
      </c>
      <c r="AN339" s="20">
        <f>IF(AH339=1,MAX(0,P339-S339),0)</f>
        <v/>
      </c>
      <c r="AO339" s="21">
        <f>IFERROR(S339/P339,"")</f>
        <v/>
      </c>
      <c r="AP339" s="22">
        <f>IF(Y339="","",P339/Y339)</f>
        <v/>
      </c>
      <c r="AQ339" s="39">
        <f>IF(Y339="",0,1)</f>
        <v/>
      </c>
      <c r="AR339" s="39">
        <f>IF(S339&lt;=0,1,0)</f>
        <v/>
      </c>
      <c r="AS339" s="17">
        <f>IF(AH339=1,AG339,"")</f>
        <v/>
      </c>
      <c r="AT339" s="17">
        <f>IF(AND(AH339=0,AJ339=1),AG339,"")</f>
        <v/>
      </c>
      <c r="AU339" s="5">
        <f>IF(P339&lt;10000,"Under $10K",IF(P339&lt;20000,"$10-20K",IF(P339&lt;30000,"$20-30K",IF(P339&lt;50000,"$30-50K",IF(P339&lt;100000,"$50-100K","$100K+")))))</f>
        <v/>
      </c>
      <c r="AV339" s="5">
        <f>IF(O339&lt;=1.35,"1.35 and under",IF(O339&lt;=1.42,"1.36-1.42",IF(O339&lt;=1.45,"1.43-1.45",IF(O339&lt;1.49,"1.46-1.48",IF(O339&lt;=1.49,"1.49","Above 1.49")))))</f>
        <v/>
      </c>
      <c r="AW339" s="5">
        <f>IF(AE339="","",IF(AE339&lt;60,"Under 60",IF(AE339&lt;90,"60-89",IF(AE339&lt;120,"90-119",IF(AE339&lt;150,"120-149","150+")))))</f>
        <v/>
      </c>
      <c r="AX339" s="5">
        <f>IF(AP339="","No revenue data",IF(AP339&lt;0.15,"Under 0.15x",IF(AP339&lt;0.3,"0.15-0.30x",IF(AP339&lt;0.5,"0.30-0.50x",IF(AP339&lt;1,"0.50-1.00x","1.00x+")))))</f>
        <v/>
      </c>
      <c r="AY339" s="5">
        <f>IF(J339="","No SIC",IFERROR(VLOOKUP(J339,Ref!$A$4:$C$67,2,FALSE()),"Unclassified"))</f>
        <v/>
      </c>
      <c r="AZ339" s="5">
        <f>IF(E339="","",TEXT(E339,"YYYY")&amp;"-Q"&amp;ROUNDUP(MONTH(E339)/3,0))</f>
        <v/>
      </c>
      <c r="BA339" s="5">
        <f>IF(E339="","",TEXT(E339,"YYYY-MM"))</f>
        <v/>
      </c>
      <c r="BB339" s="5">
        <f>IF(E339="","",TEXT(E339,"YYYY"))</f>
        <v/>
      </c>
      <c r="BC339" s="92">
        <f>IF($E339="","",NETWORKDAYS($E339,Controls!$B$9,Ref!$F$4:$F$47))</f>
        <v/>
      </c>
      <c r="BD339" s="92">
        <f>IF(OR($AH339=1,$AJ339=1),1,0)</f>
        <v/>
      </c>
      <c r="BE339" s="95">
        <f>IF(OR($BD339=1,AND($AE339&lt;&gt;"",$BC339&gt;=Controls!$B$10*$AE339)),1,0)</f>
        <v/>
      </c>
    </row>
    <row r="340" ht="15.75" customHeight="1" s="79">
      <c r="A340" s="5" t="inlineStr">
        <is>
          <t>5674170968</t>
        </is>
      </c>
      <c r="B340" s="5" t="inlineStr">
        <is>
          <t>Preferred Nation Inc.</t>
        </is>
      </c>
      <c r="C340" s="5" t="inlineStr">
        <is>
          <t>Preferred Nation Inc.</t>
        </is>
      </c>
      <c r="D340" s="5" t="inlineStr">
        <is>
          <t>Bankruptcy</t>
        </is>
      </c>
      <c r="E340" s="16" t="n">
        <v>45968</v>
      </c>
      <c r="F340" s="16" t="n">
        <v>46162</v>
      </c>
      <c r="G340" s="17" t="n">
        <v>5</v>
      </c>
      <c r="H340" s="5" t="inlineStr">
        <is>
          <t>3999</t>
        </is>
      </c>
      <c r="I340" s="5" t="inlineStr">
        <is>
          <t>All Other Misc. Mfg.</t>
        </is>
      </c>
      <c r="J340" s="5" t="inlineStr">
        <is>
          <t>39</t>
        </is>
      </c>
      <c r="K340" s="5" t="n">
        <v>5085</v>
      </c>
      <c r="L340" s="5" t="inlineStr">
        <is>
          <t>CA</t>
        </is>
      </c>
      <c r="M340" s="5" t="inlineStr">
        <is>
          <t>Fundwell</t>
        </is>
      </c>
      <c r="N340" s="5" t="inlineStr">
        <is>
          <t>New Deal</t>
        </is>
      </c>
      <c r="O340" s="19" t="n">
        <v>1.34</v>
      </c>
      <c r="P340" s="20" t="n">
        <v>40000</v>
      </c>
      <c r="Q340" s="20" t="n">
        <v>3200</v>
      </c>
      <c r="R340" s="20" t="n">
        <v>53600</v>
      </c>
      <c r="S340" s="20" t="n">
        <v>37374.46</v>
      </c>
      <c r="T340" s="20" t="n">
        <v>16225.54</v>
      </c>
      <c r="U340" s="21" t="n">
        <v>0.697284701492537</v>
      </c>
      <c r="V340" s="22" t="n">
        <v>26</v>
      </c>
      <c r="W340" s="17" t="n">
        <v>91</v>
      </c>
      <c r="X340" s="17" t="n">
        <v>2</v>
      </c>
      <c r="Y340" s="20" t="n">
        <v>180238.59</v>
      </c>
      <c r="Z340" s="21" t="n">
        <v>0.0641</v>
      </c>
      <c r="AA340" s="16" t="n">
        <v>40299</v>
      </c>
      <c r="AB340" s="5">
        <f>IF(V340="","",IF(V340&lt;12,"Months","Weeks"))</f>
        <v/>
      </c>
      <c r="AC340" s="5">
        <f>IF(AB340="","",IF(AB340="Months","Daily","Weekly"))</f>
        <v/>
      </c>
      <c r="AD340" s="17">
        <f>IF(V340="","",IF(AC340="Daily",V340*Controls!$B$13,V340))</f>
        <v/>
      </c>
      <c r="AE340" s="17">
        <f>IF(V340="","",IF(AC340="Daily",V340*Controls!$B$13,V340*Controls!$B$12))</f>
        <v/>
      </c>
      <c r="AF340" s="17">
        <f>IF(OR(E340="",F340=""),"",F340-E340)</f>
        <v/>
      </c>
      <c r="AG340" s="17">
        <f>IF(OR(E340="",F340=""),"",NETWORKDAYS(E340,F340,Ref!$F$4:$F$47))</f>
        <v/>
      </c>
      <c r="AH340" s="39">
        <f>IF(IFERROR(VLOOKUP(D340,Controls!$A$25:$D$35,2,FALSE()),"No")="Yes",1,0)</f>
        <v/>
      </c>
      <c r="AI340" s="39">
        <f>IF(IFERROR(VLOOKUP(D340,Controls!$A$25:$D$35,3,FALSE()),"No")="Yes",1,0)</f>
        <v/>
      </c>
      <c r="AJ340" s="39">
        <f>IF(IFERROR(VLOOKUP(D340,Controls!$A$25:$D$35,4,FALSE()),"No")="Yes",1,0)</f>
        <v/>
      </c>
      <c r="AK340" s="96">
        <f>IF(AND($E340&gt;=Controls!$B$5,$E340&lt;=Controls!$B$6,OR(Controls!$E$9&lt;&gt;"Y",$BE340=1)),1,0)</f>
        <v/>
      </c>
      <c r="AL340" s="39">
        <f>1</f>
        <v/>
      </c>
      <c r="AM340" s="20">
        <f>S340-P340</f>
        <v/>
      </c>
      <c r="AN340" s="20">
        <f>IF(AH340=1,MAX(0,P340-S340),0)</f>
        <v/>
      </c>
      <c r="AO340" s="21">
        <f>IFERROR(S340/P340,"")</f>
        <v/>
      </c>
      <c r="AP340" s="22">
        <f>IF(Y340="","",P340/Y340)</f>
        <v/>
      </c>
      <c r="AQ340" s="39">
        <f>IF(Y340="",0,1)</f>
        <v/>
      </c>
      <c r="AR340" s="39">
        <f>IF(S340&lt;=0,1,0)</f>
        <v/>
      </c>
      <c r="AS340" s="17">
        <f>IF(AH340=1,AG340,"")</f>
        <v/>
      </c>
      <c r="AT340" s="17">
        <f>IF(AND(AH340=0,AJ340=1),AG340,"")</f>
        <v/>
      </c>
      <c r="AU340" s="5">
        <f>IF(P340&lt;10000,"Under $10K",IF(P340&lt;20000,"$10-20K",IF(P340&lt;30000,"$20-30K",IF(P340&lt;50000,"$30-50K",IF(P340&lt;100000,"$50-100K","$100K+")))))</f>
        <v/>
      </c>
      <c r="AV340" s="5">
        <f>IF(O340&lt;=1.35,"1.35 and under",IF(O340&lt;=1.42,"1.36-1.42",IF(O340&lt;=1.45,"1.43-1.45",IF(O340&lt;1.49,"1.46-1.48",IF(O340&lt;=1.49,"1.49","Above 1.49")))))</f>
        <v/>
      </c>
      <c r="AW340" s="5">
        <f>IF(AE340="","",IF(AE340&lt;60,"Under 60",IF(AE340&lt;90,"60-89",IF(AE340&lt;120,"90-119",IF(AE340&lt;150,"120-149","150+")))))</f>
        <v/>
      </c>
      <c r="AX340" s="5">
        <f>IF(AP340="","No revenue data",IF(AP340&lt;0.15,"Under 0.15x",IF(AP340&lt;0.3,"0.15-0.30x",IF(AP340&lt;0.5,"0.30-0.50x",IF(AP340&lt;1,"0.50-1.00x","1.00x+")))))</f>
        <v/>
      </c>
      <c r="AY340" s="5">
        <f>IF(J340="","No SIC",IFERROR(VLOOKUP(J340,Ref!$A$4:$C$67,2,FALSE()),"Unclassified"))</f>
        <v/>
      </c>
      <c r="AZ340" s="5">
        <f>IF(E340="","",TEXT(E340,"YYYY")&amp;"-Q"&amp;ROUNDUP(MONTH(E340)/3,0))</f>
        <v/>
      </c>
      <c r="BA340" s="5">
        <f>IF(E340="","",TEXT(E340,"YYYY-MM"))</f>
        <v/>
      </c>
      <c r="BB340" s="5">
        <f>IF(E340="","",TEXT(E340,"YYYY"))</f>
        <v/>
      </c>
      <c r="BC340" s="92">
        <f>IF($E340="","",NETWORKDAYS($E340,Controls!$B$9,Ref!$F$4:$F$47))</f>
        <v/>
      </c>
      <c r="BD340" s="92">
        <f>IF(OR($AH340=1,$AJ340=1),1,0)</f>
        <v/>
      </c>
      <c r="BE340" s="95">
        <f>IF(OR($BD340=1,AND($AE340&lt;&gt;"",$BC340&gt;=Controls!$B$10*$AE340)),1,0)</f>
        <v/>
      </c>
    </row>
    <row r="341" ht="15.75" customHeight="1" s="79">
      <c r="A341" s="5" t="inlineStr">
        <is>
          <t>5674170970</t>
        </is>
      </c>
      <c r="B341" s="5" t="inlineStr">
        <is>
          <t>New Litttle Thai Chef, LLC</t>
        </is>
      </c>
      <c r="C341" s="5" t="inlineStr">
        <is>
          <t>New Litttle Thai Chef, LLC</t>
        </is>
      </c>
      <c r="D341" s="5" t="inlineStr">
        <is>
          <t>Closed</t>
        </is>
      </c>
      <c r="E341" s="16" t="n">
        <v>45968</v>
      </c>
      <c r="F341" s="16" t="n">
        <v>46083</v>
      </c>
      <c r="G341" s="17" t="n">
        <v>6</v>
      </c>
      <c r="H341" s="5" t="inlineStr">
        <is>
          <t>5812</t>
        </is>
      </c>
      <c r="I341" s="5" t="inlineStr">
        <is>
          <t>Snack and Nonalcoholic Beverage Bars</t>
        </is>
      </c>
      <c r="J341" s="5" t="inlineStr">
        <is>
          <t>58</t>
        </is>
      </c>
      <c r="K341" s="5" t="n">
        <v>5812</v>
      </c>
      <c r="L341" s="5" t="inlineStr">
        <is>
          <t>TX</t>
        </is>
      </c>
      <c r="M341" s="5" t="inlineStr">
        <is>
          <t>Westwood</t>
        </is>
      </c>
      <c r="N341" s="5" t="inlineStr">
        <is>
          <t>New Deal</t>
        </is>
      </c>
      <c r="O341" s="19" t="n">
        <v>1.49</v>
      </c>
      <c r="P341" s="20" t="n">
        <v>5000</v>
      </c>
      <c r="Q341" s="20" t="n">
        <v>700</v>
      </c>
      <c r="R341" s="20" t="n">
        <v>7450</v>
      </c>
      <c r="S341" s="20" t="n">
        <v>7450</v>
      </c>
      <c r="T341" s="20" t="n">
        <v>0</v>
      </c>
      <c r="U341" s="21" t="n">
        <v>1</v>
      </c>
      <c r="V341" s="22" t="n">
        <v>2.459</v>
      </c>
      <c r="W341" s="17" t="n">
        <v>170</v>
      </c>
      <c r="X341" s="17" t="n">
        <v>0</v>
      </c>
      <c r="Y341" s="20" t="n">
        <v>16177.88</v>
      </c>
      <c r="Z341" s="21" t="n">
        <v>0.1289</v>
      </c>
      <c r="AA341" s="16" t="n">
        <v>44593</v>
      </c>
      <c r="AB341" s="5">
        <f>IF(V341="","",IF(V341&lt;12,"Months","Weeks"))</f>
        <v/>
      </c>
      <c r="AC341" s="5">
        <f>IF(AB341="","",IF(AB341="Months","Daily","Weekly"))</f>
        <v/>
      </c>
      <c r="AD341" s="17">
        <f>IF(V341="","",IF(AC341="Daily",V341*Controls!$B$13,V341))</f>
        <v/>
      </c>
      <c r="AE341" s="17">
        <f>IF(V341="","",IF(AC341="Daily",V341*Controls!$B$13,V341*Controls!$B$12))</f>
        <v/>
      </c>
      <c r="AF341" s="17">
        <f>IF(OR(E341="",F341=""),"",F341-E341)</f>
        <v/>
      </c>
      <c r="AG341" s="17">
        <f>IF(OR(E341="",F341=""),"",NETWORKDAYS(E341,F341,Ref!$F$4:$F$47))</f>
        <v/>
      </c>
      <c r="AH341" s="39">
        <f>IF(IFERROR(VLOOKUP(D341,Controls!$A$25:$D$35,2,FALSE()),"No")="Yes",1,0)</f>
        <v/>
      </c>
      <c r="AI341" s="39">
        <f>IF(IFERROR(VLOOKUP(D341,Controls!$A$25:$D$35,3,FALSE()),"No")="Yes",1,0)</f>
        <v/>
      </c>
      <c r="AJ341" s="39">
        <f>IF(IFERROR(VLOOKUP(D341,Controls!$A$25:$D$35,4,FALSE()),"No")="Yes",1,0)</f>
        <v/>
      </c>
      <c r="AK341" s="96">
        <f>IF(AND($E341&gt;=Controls!$B$5,$E341&lt;=Controls!$B$6,OR(Controls!$E$9&lt;&gt;"Y",$BE341=1)),1,0)</f>
        <v/>
      </c>
      <c r="AL341" s="39">
        <f>1</f>
        <v/>
      </c>
      <c r="AM341" s="20">
        <f>S341-P341</f>
        <v/>
      </c>
      <c r="AN341" s="20">
        <f>IF(AH341=1,MAX(0,P341-S341),0)</f>
        <v/>
      </c>
      <c r="AO341" s="21">
        <f>IFERROR(S341/P341,"")</f>
        <v/>
      </c>
      <c r="AP341" s="22">
        <f>IF(Y341="","",P341/Y341)</f>
        <v/>
      </c>
      <c r="AQ341" s="39">
        <f>IF(Y341="",0,1)</f>
        <v/>
      </c>
      <c r="AR341" s="39">
        <f>IF(S341&lt;=0,1,0)</f>
        <v/>
      </c>
      <c r="AS341" s="17">
        <f>IF(AH341=1,AG341,"")</f>
        <v/>
      </c>
      <c r="AT341" s="17">
        <f>IF(AND(AH341=0,AJ341=1),AG341,"")</f>
        <v/>
      </c>
      <c r="AU341" s="5">
        <f>IF(P341&lt;10000,"Under $10K",IF(P341&lt;20000,"$10-20K",IF(P341&lt;30000,"$20-30K",IF(P341&lt;50000,"$30-50K",IF(P341&lt;100000,"$50-100K","$100K+")))))</f>
        <v/>
      </c>
      <c r="AV341" s="5">
        <f>IF(O341&lt;=1.35,"1.35 and under",IF(O341&lt;=1.42,"1.36-1.42",IF(O341&lt;=1.45,"1.43-1.45",IF(O341&lt;1.49,"1.46-1.48",IF(O341&lt;=1.49,"1.49","Above 1.49")))))</f>
        <v/>
      </c>
      <c r="AW341" s="5">
        <f>IF(AE341="","",IF(AE341&lt;60,"Under 60",IF(AE341&lt;90,"60-89",IF(AE341&lt;120,"90-119",IF(AE341&lt;150,"120-149","150+")))))</f>
        <v/>
      </c>
      <c r="AX341" s="5">
        <f>IF(AP341="","No revenue data",IF(AP341&lt;0.15,"Under 0.15x",IF(AP341&lt;0.3,"0.15-0.30x",IF(AP341&lt;0.5,"0.30-0.50x",IF(AP341&lt;1,"0.50-1.00x","1.00x+")))))</f>
        <v/>
      </c>
      <c r="AY341" s="5">
        <f>IF(J341="","No SIC",IFERROR(VLOOKUP(J341,Ref!$A$4:$C$67,2,FALSE()),"Unclassified"))</f>
        <v/>
      </c>
      <c r="AZ341" s="5">
        <f>IF(E341="","",TEXT(E341,"YYYY")&amp;"-Q"&amp;ROUNDUP(MONTH(E341)/3,0))</f>
        <v/>
      </c>
      <c r="BA341" s="5">
        <f>IF(E341="","",TEXT(E341,"YYYY-MM"))</f>
        <v/>
      </c>
      <c r="BB341" s="5">
        <f>IF(E341="","",TEXT(E341,"YYYY"))</f>
        <v/>
      </c>
      <c r="BC341" s="92">
        <f>IF($E341="","",NETWORKDAYS($E341,Controls!$B$9,Ref!$F$4:$F$47))</f>
        <v/>
      </c>
      <c r="BD341" s="92">
        <f>IF(OR($AH341=1,$AJ341=1),1,0)</f>
        <v/>
      </c>
      <c r="BE341" s="95">
        <f>IF(OR($BD341=1,AND($AE341&lt;&gt;"",$BC341&gt;=Controls!$B$10*$AE341)),1,0)</f>
        <v/>
      </c>
    </row>
    <row r="342" ht="15.75" customHeight="1" s="79">
      <c r="A342" s="5" t="inlineStr">
        <is>
          <t>5674170978</t>
        </is>
      </c>
      <c r="B342" s="5" t="inlineStr">
        <is>
          <t>Banks Chiropractic and Medical</t>
        </is>
      </c>
      <c r="C342" s="5" t="inlineStr">
        <is>
          <t>Banks Chiropractic and Medical</t>
        </is>
      </c>
      <c r="D342" s="5" t="inlineStr">
        <is>
          <t>Legal</t>
        </is>
      </c>
      <c r="E342" s="16" t="n">
        <v>45968</v>
      </c>
      <c r="F342" s="16" t="n">
        <v>46176</v>
      </c>
      <c r="G342" s="17" t="n">
        <v>4</v>
      </c>
      <c r="H342" s="5" t="inlineStr">
        <is>
          <t>8041</t>
        </is>
      </c>
      <c r="I342" s="5" t="inlineStr">
        <is>
          <t>Offices of Chiropractors</t>
        </is>
      </c>
      <c r="J342" s="5" t="inlineStr">
        <is>
          <t>80</t>
        </is>
      </c>
      <c r="K342" s="5" t="n">
        <v>8041</v>
      </c>
      <c r="L342" s="5" t="inlineStr">
        <is>
          <t>HI</t>
        </is>
      </c>
      <c r="M342" s="5" t="inlineStr">
        <is>
          <t>Platform Funding</t>
        </is>
      </c>
      <c r="N342" s="5" t="inlineStr">
        <is>
          <t>New Deal</t>
        </is>
      </c>
      <c r="O342" s="19" t="n">
        <v>1.49</v>
      </c>
      <c r="P342" s="20" t="n">
        <v>20000</v>
      </c>
      <c r="Q342" s="20" t="n">
        <v>2800</v>
      </c>
      <c r="R342" s="20" t="n">
        <v>29800</v>
      </c>
      <c r="S342" s="20" t="n">
        <v>6228.63</v>
      </c>
      <c r="T342" s="20" t="n">
        <v>23571.37</v>
      </c>
      <c r="U342" s="21" t="n">
        <v>0.209014429530201</v>
      </c>
      <c r="V342" s="22" t="n">
        <v>3.607</v>
      </c>
      <c r="W342" s="17" t="n">
        <v>251</v>
      </c>
      <c r="X342" s="17" t="n">
        <v>20</v>
      </c>
      <c r="Y342" s="20" t="n">
        <v>57041.39</v>
      </c>
      <c r="Z342" s="21" t="n">
        <v>0.0997</v>
      </c>
      <c r="AA342" s="16" t="n">
        <v>43800</v>
      </c>
      <c r="AB342" s="5">
        <f>IF(V342="","",IF(V342&lt;12,"Months","Weeks"))</f>
        <v/>
      </c>
      <c r="AC342" s="5">
        <f>IF(AB342="","",IF(AB342="Months","Daily","Weekly"))</f>
        <v/>
      </c>
      <c r="AD342" s="17">
        <f>IF(V342="","",IF(AC342="Daily",V342*Controls!$B$13,V342))</f>
        <v/>
      </c>
      <c r="AE342" s="17">
        <f>IF(V342="","",IF(AC342="Daily",V342*Controls!$B$13,V342*Controls!$B$12))</f>
        <v/>
      </c>
      <c r="AF342" s="17">
        <f>IF(OR(E342="",F342=""),"",F342-E342)</f>
        <v/>
      </c>
      <c r="AG342" s="17">
        <f>IF(OR(E342="",F342=""),"",NETWORKDAYS(E342,F342,Ref!$F$4:$F$47))</f>
        <v/>
      </c>
      <c r="AH342" s="39">
        <f>IF(IFERROR(VLOOKUP(D342,Controls!$A$25:$D$35,2,FALSE()),"No")="Yes",1,0)</f>
        <v/>
      </c>
      <c r="AI342" s="39">
        <f>IF(IFERROR(VLOOKUP(D342,Controls!$A$25:$D$35,3,FALSE()),"No")="Yes",1,0)</f>
        <v/>
      </c>
      <c r="AJ342" s="39">
        <f>IF(IFERROR(VLOOKUP(D342,Controls!$A$25:$D$35,4,FALSE()),"No")="Yes",1,0)</f>
        <v/>
      </c>
      <c r="AK342" s="96">
        <f>IF(AND($E342&gt;=Controls!$B$5,$E342&lt;=Controls!$B$6,OR(Controls!$E$9&lt;&gt;"Y",$BE342=1)),1,0)</f>
        <v/>
      </c>
      <c r="AL342" s="39">
        <f>1</f>
        <v/>
      </c>
      <c r="AM342" s="20">
        <f>S342-P342</f>
        <v/>
      </c>
      <c r="AN342" s="20">
        <f>IF(AH342=1,MAX(0,P342-S342),0)</f>
        <v/>
      </c>
      <c r="AO342" s="21">
        <f>IFERROR(S342/P342,"")</f>
        <v/>
      </c>
      <c r="AP342" s="22">
        <f>IF(Y342="","",P342/Y342)</f>
        <v/>
      </c>
      <c r="AQ342" s="39">
        <f>IF(Y342="",0,1)</f>
        <v/>
      </c>
      <c r="AR342" s="39">
        <f>IF(S342&lt;=0,1,0)</f>
        <v/>
      </c>
      <c r="AS342" s="17">
        <f>IF(AH342=1,AG342,"")</f>
        <v/>
      </c>
      <c r="AT342" s="17">
        <f>IF(AND(AH342=0,AJ342=1),AG342,"")</f>
        <v/>
      </c>
      <c r="AU342" s="5">
        <f>IF(P342&lt;10000,"Under $10K",IF(P342&lt;20000,"$10-20K",IF(P342&lt;30000,"$20-30K",IF(P342&lt;50000,"$30-50K",IF(P342&lt;100000,"$50-100K","$100K+")))))</f>
        <v/>
      </c>
      <c r="AV342" s="5">
        <f>IF(O342&lt;=1.35,"1.35 and under",IF(O342&lt;=1.42,"1.36-1.42",IF(O342&lt;=1.45,"1.43-1.45",IF(O342&lt;1.49,"1.46-1.48",IF(O342&lt;=1.49,"1.49","Above 1.49")))))</f>
        <v/>
      </c>
      <c r="AW342" s="5">
        <f>IF(AE342="","",IF(AE342&lt;60,"Under 60",IF(AE342&lt;90,"60-89",IF(AE342&lt;120,"90-119",IF(AE342&lt;150,"120-149","150+")))))</f>
        <v/>
      </c>
      <c r="AX342" s="5">
        <f>IF(AP342="","No revenue data",IF(AP342&lt;0.15,"Under 0.15x",IF(AP342&lt;0.3,"0.15-0.30x",IF(AP342&lt;0.5,"0.30-0.50x",IF(AP342&lt;1,"0.50-1.00x","1.00x+")))))</f>
        <v/>
      </c>
      <c r="AY342" s="5">
        <f>IF(J342="","No SIC",IFERROR(VLOOKUP(J342,Ref!$A$4:$C$67,2,FALSE()),"Unclassified"))</f>
        <v/>
      </c>
      <c r="AZ342" s="5">
        <f>IF(E342="","",TEXT(E342,"YYYY")&amp;"-Q"&amp;ROUNDUP(MONTH(E342)/3,0))</f>
        <v/>
      </c>
      <c r="BA342" s="5">
        <f>IF(E342="","",TEXT(E342,"YYYY-MM"))</f>
        <v/>
      </c>
      <c r="BB342" s="5">
        <f>IF(E342="","",TEXT(E342,"YYYY"))</f>
        <v/>
      </c>
      <c r="BC342" s="92">
        <f>IF($E342="","",NETWORKDAYS($E342,Controls!$B$9,Ref!$F$4:$F$47))</f>
        <v/>
      </c>
      <c r="BD342" s="92">
        <f>IF(OR($AH342=1,$AJ342=1),1,0)</f>
        <v/>
      </c>
      <c r="BE342" s="95">
        <f>IF(OR($BD342=1,AND($AE342&lt;&gt;"",$BC342&gt;=Controls!$B$10*$AE342)),1,0)</f>
        <v/>
      </c>
    </row>
    <row r="343" ht="15.75" customHeight="1" s="79">
      <c r="A343" s="5" t="inlineStr">
        <is>
          <t>5674171028</t>
        </is>
      </c>
      <c r="B343" s="5" t="inlineStr">
        <is>
          <t>ValuCompass</t>
        </is>
      </c>
      <c r="C343" s="5" t="inlineStr">
        <is>
          <t>ValuCompass, LLC</t>
        </is>
      </c>
      <c r="D343" s="5" t="inlineStr">
        <is>
          <t>In House Collection</t>
        </is>
      </c>
      <c r="E343" s="16" t="n">
        <v>45971</v>
      </c>
      <c r="F343" s="16" t="n">
        <v>46253</v>
      </c>
      <c r="G343" s="17" t="n">
        <v>6</v>
      </c>
      <c r="H343" s="5" t="inlineStr">
        <is>
          <t>7372</t>
        </is>
      </c>
      <c r="I343" s="5" t="inlineStr">
        <is>
          <t>Software and Other Prerecorded Compact Disc, Tape, and Record Reproducing</t>
        </is>
      </c>
      <c r="J343" s="5" t="inlineStr">
        <is>
          <t>73</t>
        </is>
      </c>
      <c r="K343" s="5" t="n">
        <v>7372</v>
      </c>
      <c r="L343" s="5" t="inlineStr">
        <is>
          <t>VT</t>
        </is>
      </c>
      <c r="M343" s="5" t="inlineStr">
        <is>
          <t>National Business Capital</t>
        </is>
      </c>
      <c r="N343" s="5" t="inlineStr">
        <is>
          <t>New Deal</t>
        </is>
      </c>
      <c r="O343" s="19" t="n">
        <v>1.499</v>
      </c>
      <c r="P343" s="20" t="n">
        <v>20000</v>
      </c>
      <c r="Q343" s="20" t="n">
        <v>2800</v>
      </c>
      <c r="R343" s="20" t="n">
        <v>29980</v>
      </c>
      <c r="S343" s="20" t="n">
        <v>8202.1</v>
      </c>
      <c r="T343" s="20" t="n">
        <v>21777.9</v>
      </c>
      <c r="U343" s="21" t="n">
        <v>0.273585723815877</v>
      </c>
      <c r="V343" s="22" t="n">
        <v>16</v>
      </c>
      <c r="W343" s="17" t="n">
        <v>0</v>
      </c>
      <c r="X343" s="17" t="n">
        <v>29</v>
      </c>
      <c r="Y343" s="20" t="n">
        <v>197275.44</v>
      </c>
      <c r="Z343" s="21" t="n">
        <v>0.0378</v>
      </c>
      <c r="AA343" s="5" t="n"/>
      <c r="AB343" s="5">
        <f>IF(V343="","",IF(V343&lt;12,"Months","Weeks"))</f>
        <v/>
      </c>
      <c r="AC343" s="5">
        <f>IF(AB343="","",IF(AB343="Months","Daily","Weekly"))</f>
        <v/>
      </c>
      <c r="AD343" s="17">
        <f>IF(V343="","",IF(AC343="Daily",V343*Controls!$B$13,V343))</f>
        <v/>
      </c>
      <c r="AE343" s="17">
        <f>IF(V343="","",IF(AC343="Daily",V343*Controls!$B$13,V343*Controls!$B$12))</f>
        <v/>
      </c>
      <c r="AF343" s="17">
        <f>IF(OR(E343="",F343=""),"",F343-E343)</f>
        <v/>
      </c>
      <c r="AG343" s="17">
        <f>IF(OR(E343="",F343=""),"",NETWORKDAYS(E343,F343,Ref!$F$4:$F$47))</f>
        <v/>
      </c>
      <c r="AH343" s="39">
        <f>IF(IFERROR(VLOOKUP(D343,Controls!$A$25:$D$35,2,FALSE()),"No")="Yes",1,0)</f>
        <v/>
      </c>
      <c r="AI343" s="39">
        <f>IF(IFERROR(VLOOKUP(D343,Controls!$A$25:$D$35,3,FALSE()),"No")="Yes",1,0)</f>
        <v/>
      </c>
      <c r="AJ343" s="39">
        <f>IF(IFERROR(VLOOKUP(D343,Controls!$A$25:$D$35,4,FALSE()),"No")="Yes",1,0)</f>
        <v/>
      </c>
      <c r="AK343" s="96">
        <f>IF(AND($E343&gt;=Controls!$B$5,$E343&lt;=Controls!$B$6,OR(Controls!$E$9&lt;&gt;"Y",$BE343=1)),1,0)</f>
        <v/>
      </c>
      <c r="AL343" s="39">
        <f>1</f>
        <v/>
      </c>
      <c r="AM343" s="20">
        <f>S343-P343</f>
        <v/>
      </c>
      <c r="AN343" s="20">
        <f>IF(AH343=1,MAX(0,P343-S343),0)</f>
        <v/>
      </c>
      <c r="AO343" s="21">
        <f>IFERROR(S343/P343,"")</f>
        <v/>
      </c>
      <c r="AP343" s="22">
        <f>IF(Y343="","",P343/Y343)</f>
        <v/>
      </c>
      <c r="AQ343" s="39">
        <f>IF(Y343="",0,1)</f>
        <v/>
      </c>
      <c r="AR343" s="39">
        <f>IF(S343&lt;=0,1,0)</f>
        <v/>
      </c>
      <c r="AS343" s="17">
        <f>IF(AH343=1,AG343,"")</f>
        <v/>
      </c>
      <c r="AT343" s="17">
        <f>IF(AND(AH343=0,AJ343=1),AG343,"")</f>
        <v/>
      </c>
      <c r="AU343" s="5">
        <f>IF(P343&lt;10000,"Under $10K",IF(P343&lt;20000,"$10-20K",IF(P343&lt;30000,"$20-30K",IF(P343&lt;50000,"$30-50K",IF(P343&lt;100000,"$50-100K","$100K+")))))</f>
        <v/>
      </c>
      <c r="AV343" s="5">
        <f>IF(O343&lt;=1.35,"1.35 and under",IF(O343&lt;=1.42,"1.36-1.42",IF(O343&lt;=1.45,"1.43-1.45",IF(O343&lt;1.49,"1.46-1.48",IF(O343&lt;=1.49,"1.49","Above 1.49")))))</f>
        <v/>
      </c>
      <c r="AW343" s="5">
        <f>IF(AE343="","",IF(AE343&lt;60,"Under 60",IF(AE343&lt;90,"60-89",IF(AE343&lt;120,"90-119",IF(AE343&lt;150,"120-149","150+")))))</f>
        <v/>
      </c>
      <c r="AX343" s="5">
        <f>IF(AP343="","No revenue data",IF(AP343&lt;0.15,"Under 0.15x",IF(AP343&lt;0.3,"0.15-0.30x",IF(AP343&lt;0.5,"0.30-0.50x",IF(AP343&lt;1,"0.50-1.00x","1.00x+")))))</f>
        <v/>
      </c>
      <c r="AY343" s="5">
        <f>IF(J343="","No SIC",IFERROR(VLOOKUP(J343,Ref!$A$4:$C$67,2,FALSE()),"Unclassified"))</f>
        <v/>
      </c>
      <c r="AZ343" s="5">
        <f>IF(E343="","",TEXT(E343,"YYYY")&amp;"-Q"&amp;ROUNDUP(MONTH(E343)/3,0))</f>
        <v/>
      </c>
      <c r="BA343" s="5">
        <f>IF(E343="","",TEXT(E343,"YYYY-MM"))</f>
        <v/>
      </c>
      <c r="BB343" s="5">
        <f>IF(E343="","",TEXT(E343,"YYYY"))</f>
        <v/>
      </c>
      <c r="BC343" s="92">
        <f>IF($E343="","",NETWORKDAYS($E343,Controls!$B$9,Ref!$F$4:$F$47))</f>
        <v/>
      </c>
      <c r="BD343" s="92">
        <f>IF(OR($AH343=1,$AJ343=1),1,0)</f>
        <v/>
      </c>
      <c r="BE343" s="95">
        <f>IF(OR($BD343=1,AND($AE343&lt;&gt;"",$BC343&gt;=Controls!$B$10*$AE343)),1,0)</f>
        <v/>
      </c>
    </row>
    <row r="344" ht="15.75" customHeight="1" s="79">
      <c r="A344" s="5" t="inlineStr">
        <is>
          <t>5674171103</t>
        </is>
      </c>
      <c r="B344" s="5" t="inlineStr">
        <is>
          <t>SM &amp; SONS INC</t>
        </is>
      </c>
      <c r="C344" s="5" t="inlineStr">
        <is>
          <t>SM &amp; SONS INC</t>
        </is>
      </c>
      <c r="D344" s="5" t="inlineStr">
        <is>
          <t>Legal</t>
        </is>
      </c>
      <c r="E344" s="16" t="n">
        <v>45971</v>
      </c>
      <c r="F344" s="16" t="n">
        <v>46210</v>
      </c>
      <c r="G344" s="17" t="n">
        <v>5</v>
      </c>
      <c r="H344" s="5" t="inlineStr">
        <is>
          <t>1521</t>
        </is>
      </c>
      <c r="I344" s="5" t="inlineStr">
        <is>
          <t>New Single-Family Housing Construction (Except For-Sale Builders)</t>
        </is>
      </c>
      <c r="J344" s="5" t="inlineStr">
        <is>
          <t>15</t>
        </is>
      </c>
      <c r="K344" s="5" t="n">
        <v>1520</v>
      </c>
      <c r="L344" s="5" t="inlineStr">
        <is>
          <t>IA</t>
        </is>
      </c>
      <c r="M344" s="5" t="inlineStr">
        <is>
          <t>United Secured Capital 8</t>
        </is>
      </c>
      <c r="N344" s="5" t="inlineStr">
        <is>
          <t>New Deal</t>
        </is>
      </c>
      <c r="O344" s="19" t="n">
        <v>1.49</v>
      </c>
      <c r="P344" s="20" t="n">
        <v>10000</v>
      </c>
      <c r="Q344" s="20" t="n">
        <v>1400</v>
      </c>
      <c r="R344" s="20" t="n">
        <v>14900</v>
      </c>
      <c r="S344" s="20" t="n">
        <v>366.17</v>
      </c>
      <c r="T344" s="20" t="n">
        <v>14533.83</v>
      </c>
      <c r="U344" s="21" t="n">
        <v>0.0245751677852349</v>
      </c>
      <c r="V344" s="22" t="n">
        <v>2.623</v>
      </c>
      <c r="W344" s="17" t="n">
        <v>280</v>
      </c>
      <c r="X344" s="17" t="n">
        <v>8</v>
      </c>
      <c r="Y344" s="20" t="n">
        <v>61143.08</v>
      </c>
      <c r="Z344" s="21" t="n">
        <v>0.064</v>
      </c>
      <c r="AA344" s="5" t="n"/>
      <c r="AB344" s="5">
        <f>IF(V344="","",IF(V344&lt;12,"Months","Weeks"))</f>
        <v/>
      </c>
      <c r="AC344" s="5">
        <f>IF(AB344="","",IF(AB344="Months","Daily","Weekly"))</f>
        <v/>
      </c>
      <c r="AD344" s="17">
        <f>IF(V344="","",IF(AC344="Daily",V344*Controls!$B$13,V344))</f>
        <v/>
      </c>
      <c r="AE344" s="17">
        <f>IF(V344="","",IF(AC344="Daily",V344*Controls!$B$13,V344*Controls!$B$12))</f>
        <v/>
      </c>
      <c r="AF344" s="17">
        <f>IF(OR(E344="",F344=""),"",F344-E344)</f>
        <v/>
      </c>
      <c r="AG344" s="17">
        <f>IF(OR(E344="",F344=""),"",NETWORKDAYS(E344,F344,Ref!$F$4:$F$47))</f>
        <v/>
      </c>
      <c r="AH344" s="39">
        <f>IF(IFERROR(VLOOKUP(D344,Controls!$A$25:$D$35,2,FALSE()),"No")="Yes",1,0)</f>
        <v/>
      </c>
      <c r="AI344" s="39">
        <f>IF(IFERROR(VLOOKUP(D344,Controls!$A$25:$D$35,3,FALSE()),"No")="Yes",1,0)</f>
        <v/>
      </c>
      <c r="AJ344" s="39">
        <f>IF(IFERROR(VLOOKUP(D344,Controls!$A$25:$D$35,4,FALSE()),"No")="Yes",1,0)</f>
        <v/>
      </c>
      <c r="AK344" s="96">
        <f>IF(AND($E344&gt;=Controls!$B$5,$E344&lt;=Controls!$B$6,OR(Controls!$E$9&lt;&gt;"Y",$BE344=1)),1,0)</f>
        <v/>
      </c>
      <c r="AL344" s="39">
        <f>1</f>
        <v/>
      </c>
      <c r="AM344" s="20">
        <f>S344-P344</f>
        <v/>
      </c>
      <c r="AN344" s="20">
        <f>IF(AH344=1,MAX(0,P344-S344),0)</f>
        <v/>
      </c>
      <c r="AO344" s="21">
        <f>IFERROR(S344/P344,"")</f>
        <v/>
      </c>
      <c r="AP344" s="22">
        <f>IF(Y344="","",P344/Y344)</f>
        <v/>
      </c>
      <c r="AQ344" s="39">
        <f>IF(Y344="",0,1)</f>
        <v/>
      </c>
      <c r="AR344" s="39">
        <f>IF(S344&lt;=0,1,0)</f>
        <v/>
      </c>
      <c r="AS344" s="17">
        <f>IF(AH344=1,AG344,"")</f>
        <v/>
      </c>
      <c r="AT344" s="17">
        <f>IF(AND(AH344=0,AJ344=1),AG344,"")</f>
        <v/>
      </c>
      <c r="AU344" s="5">
        <f>IF(P344&lt;10000,"Under $10K",IF(P344&lt;20000,"$10-20K",IF(P344&lt;30000,"$20-30K",IF(P344&lt;50000,"$30-50K",IF(P344&lt;100000,"$50-100K","$100K+")))))</f>
        <v/>
      </c>
      <c r="AV344" s="5">
        <f>IF(O344&lt;=1.35,"1.35 and under",IF(O344&lt;=1.42,"1.36-1.42",IF(O344&lt;=1.45,"1.43-1.45",IF(O344&lt;1.49,"1.46-1.48",IF(O344&lt;=1.49,"1.49","Above 1.49")))))</f>
        <v/>
      </c>
      <c r="AW344" s="5">
        <f>IF(AE344="","",IF(AE344&lt;60,"Under 60",IF(AE344&lt;90,"60-89",IF(AE344&lt;120,"90-119",IF(AE344&lt;150,"120-149","150+")))))</f>
        <v/>
      </c>
      <c r="AX344" s="5">
        <f>IF(AP344="","No revenue data",IF(AP344&lt;0.15,"Under 0.15x",IF(AP344&lt;0.3,"0.15-0.30x",IF(AP344&lt;0.5,"0.30-0.50x",IF(AP344&lt;1,"0.50-1.00x","1.00x+")))))</f>
        <v/>
      </c>
      <c r="AY344" s="5">
        <f>IF(J344="","No SIC",IFERROR(VLOOKUP(J344,Ref!$A$4:$C$67,2,FALSE()),"Unclassified"))</f>
        <v/>
      </c>
      <c r="AZ344" s="5">
        <f>IF(E344="","",TEXT(E344,"YYYY")&amp;"-Q"&amp;ROUNDUP(MONTH(E344)/3,0))</f>
        <v/>
      </c>
      <c r="BA344" s="5">
        <f>IF(E344="","",TEXT(E344,"YYYY-MM"))</f>
        <v/>
      </c>
      <c r="BB344" s="5">
        <f>IF(E344="","",TEXT(E344,"YYYY"))</f>
        <v/>
      </c>
      <c r="BC344" s="92">
        <f>IF($E344="","",NETWORKDAYS($E344,Controls!$B$9,Ref!$F$4:$F$47))</f>
        <v/>
      </c>
      <c r="BD344" s="92">
        <f>IF(OR($AH344=1,$AJ344=1),1,0)</f>
        <v/>
      </c>
      <c r="BE344" s="95">
        <f>IF(OR($BD344=1,AND($AE344&lt;&gt;"",$BC344&gt;=Controls!$B$10*$AE344)),1,0)</f>
        <v/>
      </c>
    </row>
    <row r="345" ht="15.75" customHeight="1" s="79">
      <c r="A345" s="5" t="inlineStr">
        <is>
          <t>5674171153</t>
        </is>
      </c>
      <c r="B345" s="5" t="inlineStr">
        <is>
          <t>THE HOUSE OF JIREH MINISTRIES</t>
        </is>
      </c>
      <c r="C345" s="5" t="inlineStr">
        <is>
          <t>THE HOUSE OF JIREH MINISTRIES, INC.</t>
        </is>
      </c>
      <c r="D345" s="5" t="inlineStr">
        <is>
          <t>Closed</t>
        </is>
      </c>
      <c r="E345" s="16" t="n">
        <v>45973</v>
      </c>
      <c r="F345" s="16" t="n">
        <v>46051</v>
      </c>
      <c r="G345" s="17" t="n">
        <v>2</v>
      </c>
      <c r="H345" s="5" t="inlineStr">
        <is>
          <t>8661</t>
        </is>
      </c>
      <c r="I345" s="5" t="inlineStr">
        <is>
          <t>Religious Organizations</t>
        </is>
      </c>
      <c r="J345" s="5" t="inlineStr">
        <is>
          <t>86</t>
        </is>
      </c>
      <c r="K345" s="5" t="n">
        <v>8661</v>
      </c>
      <c r="L345" s="5" t="inlineStr">
        <is>
          <t>TX</t>
        </is>
      </c>
      <c r="M345" s="5" t="inlineStr">
        <is>
          <t>United Secured Capital 8</t>
        </is>
      </c>
      <c r="N345" s="5" t="inlineStr">
        <is>
          <t>New Deal</t>
        </is>
      </c>
      <c r="O345" s="19" t="n">
        <v>1.49</v>
      </c>
      <c r="P345" s="20" t="n">
        <v>15000</v>
      </c>
      <c r="Q345" s="20" t="n">
        <v>2100</v>
      </c>
      <c r="R345" s="20" t="n">
        <v>22350</v>
      </c>
      <c r="S345" s="20" t="n">
        <v>22350</v>
      </c>
      <c r="T345" s="20" t="n">
        <v>0</v>
      </c>
      <c r="U345" s="21" t="n">
        <v>1</v>
      </c>
      <c r="V345" s="22" t="n">
        <v>3.607</v>
      </c>
      <c r="W345" s="17" t="n">
        <v>202</v>
      </c>
      <c r="X345" s="17" t="n">
        <v>0</v>
      </c>
      <c r="Y345" s="20" t="n">
        <v>57074.76</v>
      </c>
      <c r="Z345" s="21" t="n">
        <v>0.07480000000000001</v>
      </c>
      <c r="AA345" s="5" t="n"/>
      <c r="AB345" s="5">
        <f>IF(V345="","",IF(V345&lt;12,"Months","Weeks"))</f>
        <v/>
      </c>
      <c r="AC345" s="5">
        <f>IF(AB345="","",IF(AB345="Months","Daily","Weekly"))</f>
        <v/>
      </c>
      <c r="AD345" s="17">
        <f>IF(V345="","",IF(AC345="Daily",V345*Controls!$B$13,V345))</f>
        <v/>
      </c>
      <c r="AE345" s="17">
        <f>IF(V345="","",IF(AC345="Daily",V345*Controls!$B$13,V345*Controls!$B$12))</f>
        <v/>
      </c>
      <c r="AF345" s="17">
        <f>IF(OR(E345="",F345=""),"",F345-E345)</f>
        <v/>
      </c>
      <c r="AG345" s="17">
        <f>IF(OR(E345="",F345=""),"",NETWORKDAYS(E345,F345,Ref!$F$4:$F$47))</f>
        <v/>
      </c>
      <c r="AH345" s="39">
        <f>IF(IFERROR(VLOOKUP(D345,Controls!$A$25:$D$35,2,FALSE()),"No")="Yes",1,0)</f>
        <v/>
      </c>
      <c r="AI345" s="39">
        <f>IF(IFERROR(VLOOKUP(D345,Controls!$A$25:$D$35,3,FALSE()),"No")="Yes",1,0)</f>
        <v/>
      </c>
      <c r="AJ345" s="39">
        <f>IF(IFERROR(VLOOKUP(D345,Controls!$A$25:$D$35,4,FALSE()),"No")="Yes",1,0)</f>
        <v/>
      </c>
      <c r="AK345" s="96">
        <f>IF(AND($E345&gt;=Controls!$B$5,$E345&lt;=Controls!$B$6,OR(Controls!$E$9&lt;&gt;"Y",$BE345=1)),1,0)</f>
        <v/>
      </c>
      <c r="AL345" s="39">
        <f>1</f>
        <v/>
      </c>
      <c r="AM345" s="20">
        <f>S345-P345</f>
        <v/>
      </c>
      <c r="AN345" s="20">
        <f>IF(AH345=1,MAX(0,P345-S345),0)</f>
        <v/>
      </c>
      <c r="AO345" s="21">
        <f>IFERROR(S345/P345,"")</f>
        <v/>
      </c>
      <c r="AP345" s="22">
        <f>IF(Y345="","",P345/Y345)</f>
        <v/>
      </c>
      <c r="AQ345" s="39">
        <f>IF(Y345="",0,1)</f>
        <v/>
      </c>
      <c r="AR345" s="39">
        <f>IF(S345&lt;=0,1,0)</f>
        <v/>
      </c>
      <c r="AS345" s="17">
        <f>IF(AH345=1,AG345,"")</f>
        <v/>
      </c>
      <c r="AT345" s="17">
        <f>IF(AND(AH345=0,AJ345=1),AG345,"")</f>
        <v/>
      </c>
      <c r="AU345" s="5">
        <f>IF(P345&lt;10000,"Under $10K",IF(P345&lt;20000,"$10-20K",IF(P345&lt;30000,"$20-30K",IF(P345&lt;50000,"$30-50K",IF(P345&lt;100000,"$50-100K","$100K+")))))</f>
        <v/>
      </c>
      <c r="AV345" s="5">
        <f>IF(O345&lt;=1.35,"1.35 and under",IF(O345&lt;=1.42,"1.36-1.42",IF(O345&lt;=1.45,"1.43-1.45",IF(O345&lt;1.49,"1.46-1.48",IF(O345&lt;=1.49,"1.49","Above 1.49")))))</f>
        <v/>
      </c>
      <c r="AW345" s="5">
        <f>IF(AE345="","",IF(AE345&lt;60,"Under 60",IF(AE345&lt;90,"60-89",IF(AE345&lt;120,"90-119",IF(AE345&lt;150,"120-149","150+")))))</f>
        <v/>
      </c>
      <c r="AX345" s="5">
        <f>IF(AP345="","No revenue data",IF(AP345&lt;0.15,"Under 0.15x",IF(AP345&lt;0.3,"0.15-0.30x",IF(AP345&lt;0.5,"0.30-0.50x",IF(AP345&lt;1,"0.50-1.00x","1.00x+")))))</f>
        <v/>
      </c>
      <c r="AY345" s="5">
        <f>IF(J345="","No SIC",IFERROR(VLOOKUP(J345,Ref!$A$4:$C$67,2,FALSE()),"Unclassified"))</f>
        <v/>
      </c>
      <c r="AZ345" s="5">
        <f>IF(E345="","",TEXT(E345,"YYYY")&amp;"-Q"&amp;ROUNDUP(MONTH(E345)/3,0))</f>
        <v/>
      </c>
      <c r="BA345" s="5">
        <f>IF(E345="","",TEXT(E345,"YYYY-MM"))</f>
        <v/>
      </c>
      <c r="BB345" s="5">
        <f>IF(E345="","",TEXT(E345,"YYYY"))</f>
        <v/>
      </c>
      <c r="BC345" s="92">
        <f>IF($E345="","",NETWORKDAYS($E345,Controls!$B$9,Ref!$F$4:$F$47))</f>
        <v/>
      </c>
      <c r="BD345" s="92">
        <f>IF(OR($AH345=1,$AJ345=1),1,0)</f>
        <v/>
      </c>
      <c r="BE345" s="95">
        <f>IF(OR($BD345=1,AND($AE345&lt;&gt;"",$BC345&gt;=Controls!$B$10*$AE345)),1,0)</f>
        <v/>
      </c>
    </row>
    <row r="346" ht="15.75" customHeight="1" s="79">
      <c r="A346" s="5" t="inlineStr">
        <is>
          <t>5674171177</t>
        </is>
      </c>
      <c r="B346" s="5" t="inlineStr">
        <is>
          <t>Quality NE</t>
        </is>
      </c>
      <c r="C346" s="5" t="inlineStr">
        <is>
          <t>Quality New England Construction Inc</t>
        </is>
      </c>
      <c r="D346" s="5" t="inlineStr">
        <is>
          <t>Legal</t>
        </is>
      </c>
      <c r="E346" s="16" t="n">
        <v>45973</v>
      </c>
      <c r="F346" s="16" t="n">
        <v>46048</v>
      </c>
      <c r="G346" s="17" t="n">
        <v>2</v>
      </c>
      <c r="H346" s="5" t="inlineStr">
        <is>
          <t>1521</t>
        </is>
      </c>
      <c r="I346" s="5" t="inlineStr">
        <is>
          <t>New Single-Family Housing Construction (Except For-Sale Builders)</t>
        </is>
      </c>
      <c r="J346" s="5" t="inlineStr">
        <is>
          <t>15</t>
        </is>
      </c>
      <c r="K346" s="5" t="n">
        <v>1520</v>
      </c>
      <c r="L346" s="5" t="inlineStr">
        <is>
          <t>RI</t>
        </is>
      </c>
      <c r="M346" s="5" t="inlineStr">
        <is>
          <t>Shore Funding USA</t>
        </is>
      </c>
      <c r="N346" s="5" t="inlineStr">
        <is>
          <t>New Deal</t>
        </is>
      </c>
      <c r="O346" s="19" t="n">
        <v>1.49</v>
      </c>
      <c r="P346" s="20" t="n">
        <v>20000</v>
      </c>
      <c r="Q346" s="20" t="n">
        <v>0</v>
      </c>
      <c r="R346" s="20" t="n">
        <v>29800</v>
      </c>
      <c r="S346" s="20" t="n">
        <v>0</v>
      </c>
      <c r="T346" s="20" t="n">
        <v>29800</v>
      </c>
      <c r="U346" s="21" t="n">
        <v>0</v>
      </c>
      <c r="V346" s="22" t="n">
        <v>20</v>
      </c>
      <c r="W346" s="17" t="n">
        <v>280</v>
      </c>
      <c r="X346" s="17" t="n">
        <v>11</v>
      </c>
      <c r="Y346" s="20" t="n">
        <v>71311.88</v>
      </c>
      <c r="Z346" s="21" t="n">
        <v>0.08359999999999999</v>
      </c>
      <c r="AA346" s="16" t="n">
        <v>44774</v>
      </c>
      <c r="AB346" s="5">
        <f>IF(V346="","",IF(V346&lt;12,"Months","Weeks"))</f>
        <v/>
      </c>
      <c r="AC346" s="5">
        <f>IF(AB346="","",IF(AB346="Months","Daily","Weekly"))</f>
        <v/>
      </c>
      <c r="AD346" s="17">
        <f>IF(V346="","",IF(AC346="Daily",V346*Controls!$B$13,V346))</f>
        <v/>
      </c>
      <c r="AE346" s="17">
        <f>IF(V346="","",IF(AC346="Daily",V346*Controls!$B$13,V346*Controls!$B$12))</f>
        <v/>
      </c>
      <c r="AF346" s="17">
        <f>IF(OR(E346="",F346=""),"",F346-E346)</f>
        <v/>
      </c>
      <c r="AG346" s="17">
        <f>IF(OR(E346="",F346=""),"",NETWORKDAYS(E346,F346,Ref!$F$4:$F$47))</f>
        <v/>
      </c>
      <c r="AH346" s="39">
        <f>IF(IFERROR(VLOOKUP(D346,Controls!$A$25:$D$35,2,FALSE()),"No")="Yes",1,0)</f>
        <v/>
      </c>
      <c r="AI346" s="39">
        <f>IF(IFERROR(VLOOKUP(D346,Controls!$A$25:$D$35,3,FALSE()),"No")="Yes",1,0)</f>
        <v/>
      </c>
      <c r="AJ346" s="39">
        <f>IF(IFERROR(VLOOKUP(D346,Controls!$A$25:$D$35,4,FALSE()),"No")="Yes",1,0)</f>
        <v/>
      </c>
      <c r="AK346" s="96">
        <f>IF(AND($E346&gt;=Controls!$B$5,$E346&lt;=Controls!$B$6,OR(Controls!$E$9&lt;&gt;"Y",$BE346=1)),1,0)</f>
        <v/>
      </c>
      <c r="AL346" s="39">
        <f>1</f>
        <v/>
      </c>
      <c r="AM346" s="20">
        <f>S346-P346</f>
        <v/>
      </c>
      <c r="AN346" s="20">
        <f>IF(AH346=1,MAX(0,P346-S346),0)</f>
        <v/>
      </c>
      <c r="AO346" s="21">
        <f>IFERROR(S346/P346,"")</f>
        <v/>
      </c>
      <c r="AP346" s="22">
        <f>IF(Y346="","",P346/Y346)</f>
        <v/>
      </c>
      <c r="AQ346" s="39">
        <f>IF(Y346="",0,1)</f>
        <v/>
      </c>
      <c r="AR346" s="39">
        <f>IF(S346&lt;=0,1,0)</f>
        <v/>
      </c>
      <c r="AS346" s="17">
        <f>IF(AH346=1,AG346,"")</f>
        <v/>
      </c>
      <c r="AT346" s="17">
        <f>IF(AND(AH346=0,AJ346=1),AG346,"")</f>
        <v/>
      </c>
      <c r="AU346" s="5">
        <f>IF(P346&lt;10000,"Under $10K",IF(P346&lt;20000,"$10-20K",IF(P346&lt;30000,"$20-30K",IF(P346&lt;50000,"$30-50K",IF(P346&lt;100000,"$50-100K","$100K+")))))</f>
        <v/>
      </c>
      <c r="AV346" s="5">
        <f>IF(O346&lt;=1.35,"1.35 and under",IF(O346&lt;=1.42,"1.36-1.42",IF(O346&lt;=1.45,"1.43-1.45",IF(O346&lt;1.49,"1.46-1.48",IF(O346&lt;=1.49,"1.49","Above 1.49")))))</f>
        <v/>
      </c>
      <c r="AW346" s="5">
        <f>IF(AE346="","",IF(AE346&lt;60,"Under 60",IF(AE346&lt;90,"60-89",IF(AE346&lt;120,"90-119",IF(AE346&lt;150,"120-149","150+")))))</f>
        <v/>
      </c>
      <c r="AX346" s="5">
        <f>IF(AP346="","No revenue data",IF(AP346&lt;0.15,"Under 0.15x",IF(AP346&lt;0.3,"0.15-0.30x",IF(AP346&lt;0.5,"0.30-0.50x",IF(AP346&lt;1,"0.50-1.00x","1.00x+")))))</f>
        <v/>
      </c>
      <c r="AY346" s="5">
        <f>IF(J346="","No SIC",IFERROR(VLOOKUP(J346,Ref!$A$4:$C$67,2,FALSE()),"Unclassified"))</f>
        <v/>
      </c>
      <c r="AZ346" s="5">
        <f>IF(E346="","",TEXT(E346,"YYYY")&amp;"-Q"&amp;ROUNDUP(MONTH(E346)/3,0))</f>
        <v/>
      </c>
      <c r="BA346" s="5">
        <f>IF(E346="","",TEXT(E346,"YYYY-MM"))</f>
        <v/>
      </c>
      <c r="BB346" s="5">
        <f>IF(E346="","",TEXT(E346,"YYYY"))</f>
        <v/>
      </c>
      <c r="BC346" s="92">
        <f>IF($E346="","",NETWORKDAYS($E346,Controls!$B$9,Ref!$F$4:$F$47))</f>
        <v/>
      </c>
      <c r="BD346" s="92">
        <f>IF(OR($AH346=1,$AJ346=1),1,0)</f>
        <v/>
      </c>
      <c r="BE346" s="95">
        <f>IF(OR($BD346=1,AND($AE346&lt;&gt;"",$BC346&gt;=Controls!$B$10*$AE346)),1,0)</f>
        <v/>
      </c>
    </row>
    <row r="347" ht="15.75" customHeight="1" s="79">
      <c r="A347" s="5" t="inlineStr">
        <is>
          <t>5674171180</t>
        </is>
      </c>
      <c r="B347" s="5" t="inlineStr">
        <is>
          <t>MOOR HERBS MARKETPLACE</t>
        </is>
      </c>
      <c r="C347" s="5" t="inlineStr">
        <is>
          <t>THE MOORISH SCIENCE - TEMPLE THE DIVINE AND NATIONAL MOVEMENT OF NORTH AMERICA INC</t>
        </is>
      </c>
      <c r="D347" s="5" t="inlineStr">
        <is>
          <t>Closed</t>
        </is>
      </c>
      <c r="E347" s="16" t="n">
        <v>45973</v>
      </c>
      <c r="F347" s="16" t="n">
        <v>46059</v>
      </c>
      <c r="G347" s="17" t="n">
        <v>4</v>
      </c>
      <c r="H347" s="5" t="inlineStr">
        <is>
          <t>5999</t>
        </is>
      </c>
      <c r="I347" s="5" t="inlineStr">
        <is>
          <t>All Other Misc. Store Retailers (Except Tobacco Stores)</t>
        </is>
      </c>
      <c r="J347" s="5" t="inlineStr">
        <is>
          <t>59</t>
        </is>
      </c>
      <c r="K347" s="5" t="n">
        <v>5999</v>
      </c>
      <c r="L347" s="5" t="inlineStr">
        <is>
          <t>MI</t>
        </is>
      </c>
      <c r="M347" s="5" t="inlineStr">
        <is>
          <t>United Secured Capital 8</t>
        </is>
      </c>
      <c r="N347" s="5" t="inlineStr">
        <is>
          <t>Renewal</t>
        </is>
      </c>
      <c r="O347" s="19" t="n">
        <v>1.49</v>
      </c>
      <c r="P347" s="20" t="n">
        <v>35000</v>
      </c>
      <c r="Q347" s="20" t="n">
        <v>4900</v>
      </c>
      <c r="R347" s="20" t="n">
        <v>52150</v>
      </c>
      <c r="S347" s="20" t="n">
        <v>52150</v>
      </c>
      <c r="T347" s="20" t="n">
        <v>0</v>
      </c>
      <c r="U347" s="21" t="n">
        <v>1</v>
      </c>
      <c r="V347" s="22" t="n">
        <v>3.279</v>
      </c>
      <c r="W347" s="17" t="n">
        <v>194</v>
      </c>
      <c r="X347" s="17" t="n">
        <v>0</v>
      </c>
      <c r="Y347" s="20" t="n">
        <v>104379.99</v>
      </c>
      <c r="Z347" s="21" t="n">
        <v>0.155</v>
      </c>
      <c r="AA347" s="16" t="n">
        <v>43221</v>
      </c>
      <c r="AB347" s="5">
        <f>IF(V347="","",IF(V347&lt;12,"Months","Weeks"))</f>
        <v/>
      </c>
      <c r="AC347" s="5">
        <f>IF(AB347="","",IF(AB347="Months","Daily","Weekly"))</f>
        <v/>
      </c>
      <c r="AD347" s="17">
        <f>IF(V347="","",IF(AC347="Daily",V347*Controls!$B$13,V347))</f>
        <v/>
      </c>
      <c r="AE347" s="17">
        <f>IF(V347="","",IF(AC347="Daily",V347*Controls!$B$13,V347*Controls!$B$12))</f>
        <v/>
      </c>
      <c r="AF347" s="17">
        <f>IF(OR(E347="",F347=""),"",F347-E347)</f>
        <v/>
      </c>
      <c r="AG347" s="17">
        <f>IF(OR(E347="",F347=""),"",NETWORKDAYS(E347,F347,Ref!$F$4:$F$47))</f>
        <v/>
      </c>
      <c r="AH347" s="39">
        <f>IF(IFERROR(VLOOKUP(D347,Controls!$A$25:$D$35,2,FALSE()),"No")="Yes",1,0)</f>
        <v/>
      </c>
      <c r="AI347" s="39">
        <f>IF(IFERROR(VLOOKUP(D347,Controls!$A$25:$D$35,3,FALSE()),"No")="Yes",1,0)</f>
        <v/>
      </c>
      <c r="AJ347" s="39">
        <f>IF(IFERROR(VLOOKUP(D347,Controls!$A$25:$D$35,4,FALSE()),"No")="Yes",1,0)</f>
        <v/>
      </c>
      <c r="AK347" s="96">
        <f>IF(AND($E347&gt;=Controls!$B$5,$E347&lt;=Controls!$B$6,OR(Controls!$E$9&lt;&gt;"Y",$BE347=1)),1,0)</f>
        <v/>
      </c>
      <c r="AL347" s="39">
        <f>1</f>
        <v/>
      </c>
      <c r="AM347" s="20">
        <f>S347-P347</f>
        <v/>
      </c>
      <c r="AN347" s="20">
        <f>IF(AH347=1,MAX(0,P347-S347),0)</f>
        <v/>
      </c>
      <c r="AO347" s="21">
        <f>IFERROR(S347/P347,"")</f>
        <v/>
      </c>
      <c r="AP347" s="22">
        <f>IF(Y347="","",P347/Y347)</f>
        <v/>
      </c>
      <c r="AQ347" s="39">
        <f>IF(Y347="",0,1)</f>
        <v/>
      </c>
      <c r="AR347" s="39">
        <f>IF(S347&lt;=0,1,0)</f>
        <v/>
      </c>
      <c r="AS347" s="17">
        <f>IF(AH347=1,AG347,"")</f>
        <v/>
      </c>
      <c r="AT347" s="17">
        <f>IF(AND(AH347=0,AJ347=1),AG347,"")</f>
        <v/>
      </c>
      <c r="AU347" s="5">
        <f>IF(P347&lt;10000,"Under $10K",IF(P347&lt;20000,"$10-20K",IF(P347&lt;30000,"$20-30K",IF(P347&lt;50000,"$30-50K",IF(P347&lt;100000,"$50-100K","$100K+")))))</f>
        <v/>
      </c>
      <c r="AV347" s="5">
        <f>IF(O347&lt;=1.35,"1.35 and under",IF(O347&lt;=1.42,"1.36-1.42",IF(O347&lt;=1.45,"1.43-1.45",IF(O347&lt;1.49,"1.46-1.48",IF(O347&lt;=1.49,"1.49","Above 1.49")))))</f>
        <v/>
      </c>
      <c r="AW347" s="5">
        <f>IF(AE347="","",IF(AE347&lt;60,"Under 60",IF(AE347&lt;90,"60-89",IF(AE347&lt;120,"90-119",IF(AE347&lt;150,"120-149","150+")))))</f>
        <v/>
      </c>
      <c r="AX347" s="5">
        <f>IF(AP347="","No revenue data",IF(AP347&lt;0.15,"Under 0.15x",IF(AP347&lt;0.3,"0.15-0.30x",IF(AP347&lt;0.5,"0.30-0.50x",IF(AP347&lt;1,"0.50-1.00x","1.00x+")))))</f>
        <v/>
      </c>
      <c r="AY347" s="5">
        <f>IF(J347="","No SIC",IFERROR(VLOOKUP(J347,Ref!$A$4:$C$67,2,FALSE()),"Unclassified"))</f>
        <v/>
      </c>
      <c r="AZ347" s="5">
        <f>IF(E347="","",TEXT(E347,"YYYY")&amp;"-Q"&amp;ROUNDUP(MONTH(E347)/3,0))</f>
        <v/>
      </c>
      <c r="BA347" s="5">
        <f>IF(E347="","",TEXT(E347,"YYYY-MM"))</f>
        <v/>
      </c>
      <c r="BB347" s="5">
        <f>IF(E347="","",TEXT(E347,"YYYY"))</f>
        <v/>
      </c>
      <c r="BC347" s="92">
        <f>IF($E347="","",NETWORKDAYS($E347,Controls!$B$9,Ref!$F$4:$F$47))</f>
        <v/>
      </c>
      <c r="BD347" s="92">
        <f>IF(OR($AH347=1,$AJ347=1),1,0)</f>
        <v/>
      </c>
      <c r="BE347" s="95">
        <f>IF(OR($BD347=1,AND($AE347&lt;&gt;"",$BC347&gt;=Controls!$B$10*$AE347)),1,0)</f>
        <v/>
      </c>
    </row>
    <row r="348" ht="15.75" customHeight="1" s="79">
      <c r="A348" s="5" t="inlineStr">
        <is>
          <t>5674171206</t>
        </is>
      </c>
      <c r="B348" s="5" t="inlineStr">
        <is>
          <t>FiberCom Engineering</t>
        </is>
      </c>
      <c r="C348" s="5" t="inlineStr">
        <is>
          <t>FiberCom Engineering LLC</t>
        </is>
      </c>
      <c r="D348" s="5" t="inlineStr">
        <is>
          <t>Lowered Payments</t>
        </is>
      </c>
      <c r="E348" s="16" t="n">
        <v>45973</v>
      </c>
      <c r="F348" s="16" t="n">
        <v>46252</v>
      </c>
      <c r="G348" s="17" t="n">
        <v>3</v>
      </c>
      <c r="H348" s="5" t="inlineStr">
        <is>
          <t>1731</t>
        </is>
      </c>
      <c r="I348" s="5" t="inlineStr">
        <is>
          <t>Electrical Contractors and Other Wiring Installation Contractors</t>
        </is>
      </c>
      <c r="J348" s="5" t="inlineStr">
        <is>
          <t>17</t>
        </is>
      </c>
      <c r="K348" s="5" t="n">
        <v>1731</v>
      </c>
      <c r="L348" s="5" t="inlineStr">
        <is>
          <t>GA</t>
        </is>
      </c>
      <c r="M348" s="5" t="inlineStr">
        <is>
          <t>Fundwell</t>
        </is>
      </c>
      <c r="N348" s="5" t="inlineStr">
        <is>
          <t>New Deal</t>
        </is>
      </c>
      <c r="O348" s="19" t="n">
        <v>1.42</v>
      </c>
      <c r="P348" s="20" t="n">
        <v>70000</v>
      </c>
      <c r="Q348" s="20" t="n">
        <v>9800</v>
      </c>
      <c r="R348" s="20" t="n">
        <v>99400</v>
      </c>
      <c r="S348" s="20" t="n">
        <v>81587.49000000001</v>
      </c>
      <c r="T348" s="20" t="n">
        <v>17812.51</v>
      </c>
      <c r="U348" s="21" t="n">
        <v>0.820799698189135</v>
      </c>
      <c r="V348" s="22" t="n">
        <v>33</v>
      </c>
      <c r="W348" s="17" t="n">
        <v>1</v>
      </c>
      <c r="X348" s="17" t="n">
        <v>0</v>
      </c>
      <c r="Y348" s="20" t="n">
        <v>163465.58</v>
      </c>
      <c r="Z348" s="21" t="n">
        <v>0.0737</v>
      </c>
      <c r="AA348" s="16" t="n">
        <v>45478</v>
      </c>
      <c r="AB348" s="5">
        <f>IF(V348="","",IF(V348&lt;12,"Months","Weeks"))</f>
        <v/>
      </c>
      <c r="AC348" s="5">
        <f>IF(AB348="","",IF(AB348="Months","Daily","Weekly"))</f>
        <v/>
      </c>
      <c r="AD348" s="17">
        <f>IF(V348="","",IF(AC348="Daily",V348*Controls!$B$13,V348))</f>
        <v/>
      </c>
      <c r="AE348" s="17">
        <f>IF(V348="","",IF(AC348="Daily",V348*Controls!$B$13,V348*Controls!$B$12))</f>
        <v/>
      </c>
      <c r="AF348" s="17">
        <f>IF(OR(E348="",F348=""),"",F348-E348)</f>
        <v/>
      </c>
      <c r="AG348" s="17">
        <f>IF(OR(E348="",F348=""),"",NETWORKDAYS(E348,F348,Ref!$F$4:$F$47))</f>
        <v/>
      </c>
      <c r="AH348" s="39">
        <f>IF(IFERROR(VLOOKUP(D348,Controls!$A$25:$D$35,2,FALSE()),"No")="Yes",1,0)</f>
        <v/>
      </c>
      <c r="AI348" s="39">
        <f>IF(IFERROR(VLOOKUP(D348,Controls!$A$25:$D$35,3,FALSE()),"No")="Yes",1,0)</f>
        <v/>
      </c>
      <c r="AJ348" s="39">
        <f>IF(IFERROR(VLOOKUP(D348,Controls!$A$25:$D$35,4,FALSE()),"No")="Yes",1,0)</f>
        <v/>
      </c>
      <c r="AK348" s="96">
        <f>IF(AND($E348&gt;=Controls!$B$5,$E348&lt;=Controls!$B$6,OR(Controls!$E$9&lt;&gt;"Y",$BE348=1)),1,0)</f>
        <v/>
      </c>
      <c r="AL348" s="39">
        <f>1</f>
        <v/>
      </c>
      <c r="AM348" s="20">
        <f>S348-P348</f>
        <v/>
      </c>
      <c r="AN348" s="20">
        <f>IF(AH348=1,MAX(0,P348-S348),0)</f>
        <v/>
      </c>
      <c r="AO348" s="21">
        <f>IFERROR(S348/P348,"")</f>
        <v/>
      </c>
      <c r="AP348" s="22">
        <f>IF(Y348="","",P348/Y348)</f>
        <v/>
      </c>
      <c r="AQ348" s="39">
        <f>IF(Y348="",0,1)</f>
        <v/>
      </c>
      <c r="AR348" s="39">
        <f>IF(S348&lt;=0,1,0)</f>
        <v/>
      </c>
      <c r="AS348" s="17">
        <f>IF(AH348=1,AG348,"")</f>
        <v/>
      </c>
      <c r="AT348" s="17">
        <f>IF(AND(AH348=0,AJ348=1),AG348,"")</f>
        <v/>
      </c>
      <c r="AU348" s="5">
        <f>IF(P348&lt;10000,"Under $10K",IF(P348&lt;20000,"$10-20K",IF(P348&lt;30000,"$20-30K",IF(P348&lt;50000,"$30-50K",IF(P348&lt;100000,"$50-100K","$100K+")))))</f>
        <v/>
      </c>
      <c r="AV348" s="5">
        <f>IF(O348&lt;=1.35,"1.35 and under",IF(O348&lt;=1.42,"1.36-1.42",IF(O348&lt;=1.45,"1.43-1.45",IF(O348&lt;1.49,"1.46-1.48",IF(O348&lt;=1.49,"1.49","Above 1.49")))))</f>
        <v/>
      </c>
      <c r="AW348" s="5">
        <f>IF(AE348="","",IF(AE348&lt;60,"Under 60",IF(AE348&lt;90,"60-89",IF(AE348&lt;120,"90-119",IF(AE348&lt;150,"120-149","150+")))))</f>
        <v/>
      </c>
      <c r="AX348" s="5">
        <f>IF(AP348="","No revenue data",IF(AP348&lt;0.15,"Under 0.15x",IF(AP348&lt;0.3,"0.15-0.30x",IF(AP348&lt;0.5,"0.30-0.50x",IF(AP348&lt;1,"0.50-1.00x","1.00x+")))))</f>
        <v/>
      </c>
      <c r="AY348" s="5">
        <f>IF(J348="","No SIC",IFERROR(VLOOKUP(J348,Ref!$A$4:$C$67,2,FALSE()),"Unclassified"))</f>
        <v/>
      </c>
      <c r="AZ348" s="5">
        <f>IF(E348="","",TEXT(E348,"YYYY")&amp;"-Q"&amp;ROUNDUP(MONTH(E348)/3,0))</f>
        <v/>
      </c>
      <c r="BA348" s="5">
        <f>IF(E348="","",TEXT(E348,"YYYY-MM"))</f>
        <v/>
      </c>
      <c r="BB348" s="5">
        <f>IF(E348="","",TEXT(E348,"YYYY"))</f>
        <v/>
      </c>
      <c r="BC348" s="92">
        <f>IF($E348="","",NETWORKDAYS($E348,Controls!$B$9,Ref!$F$4:$F$47))</f>
        <v/>
      </c>
      <c r="BD348" s="92">
        <f>IF(OR($AH348=1,$AJ348=1),1,0)</f>
        <v/>
      </c>
      <c r="BE348" s="95">
        <f>IF(OR($BD348=1,AND($AE348&lt;&gt;"",$BC348&gt;=Controls!$B$10*$AE348)),1,0)</f>
        <v/>
      </c>
    </row>
    <row r="349" ht="15.75" customHeight="1" s="79">
      <c r="A349" s="5" t="inlineStr">
        <is>
          <t>5674171233</t>
        </is>
      </c>
      <c r="B349" s="5" t="inlineStr">
        <is>
          <t>ICE COLD AIR</t>
        </is>
      </c>
      <c r="C349" s="5" t="inlineStr">
        <is>
          <t>CAMPBELL AUTOMOTIVE 730 LLC</t>
        </is>
      </c>
      <c r="D349" s="5" t="inlineStr">
        <is>
          <t>Open</t>
        </is>
      </c>
      <c r="E349" s="16" t="n">
        <v>45973</v>
      </c>
      <c r="F349" s="16" t="n">
        <v>46253</v>
      </c>
      <c r="G349" s="17" t="n">
        <v>3</v>
      </c>
      <c r="H349" s="5" t="inlineStr">
        <is>
          <t>2396</t>
        </is>
      </c>
      <c r="I349" s="5" t="inlineStr">
        <is>
          <t>Apparel Accessories and Other Apparel Mfg.</t>
        </is>
      </c>
      <c r="J349" s="5" t="inlineStr">
        <is>
          <t>23</t>
        </is>
      </c>
      <c r="K349" s="5" t="n">
        <v>5533</v>
      </c>
      <c r="L349" s="5" t="inlineStr">
        <is>
          <t>FL</t>
        </is>
      </c>
      <c r="M349" s="5" t="inlineStr">
        <is>
          <t>Fundwell</t>
        </is>
      </c>
      <c r="N349" s="5" t="inlineStr">
        <is>
          <t>New Deal</t>
        </is>
      </c>
      <c r="O349" s="19" t="n">
        <v>1.36</v>
      </c>
      <c r="P349" s="20" t="n">
        <v>75000</v>
      </c>
      <c r="Q349" s="20" t="n">
        <v>7500</v>
      </c>
      <c r="R349" s="20" t="n">
        <v>102000</v>
      </c>
      <c r="S349" s="20" t="n">
        <v>85018.39999999999</v>
      </c>
      <c r="T349" s="20" t="n">
        <v>16981.6</v>
      </c>
      <c r="U349" s="21" t="n">
        <v>0.833513725490196</v>
      </c>
      <c r="V349" s="22" t="n">
        <v>48</v>
      </c>
      <c r="W349" s="17" t="n">
        <v>0</v>
      </c>
      <c r="X349" s="17" t="n">
        <v>0</v>
      </c>
      <c r="Y349" s="20" t="n">
        <v>92411.35000000001</v>
      </c>
      <c r="Z349" s="21" t="n">
        <v>0.092</v>
      </c>
      <c r="AA349" s="16" t="n">
        <v>43221</v>
      </c>
      <c r="AB349" s="5">
        <f>IF(V349="","",IF(V349&lt;12,"Months","Weeks"))</f>
        <v/>
      </c>
      <c r="AC349" s="5">
        <f>IF(AB349="","",IF(AB349="Months","Daily","Weekly"))</f>
        <v/>
      </c>
      <c r="AD349" s="17">
        <f>IF(V349="","",IF(AC349="Daily",V349*Controls!$B$13,V349))</f>
        <v/>
      </c>
      <c r="AE349" s="17">
        <f>IF(V349="","",IF(AC349="Daily",V349*Controls!$B$13,V349*Controls!$B$12))</f>
        <v/>
      </c>
      <c r="AF349" s="17">
        <f>IF(OR(E349="",F349=""),"",F349-E349)</f>
        <v/>
      </c>
      <c r="AG349" s="17">
        <f>IF(OR(E349="",F349=""),"",NETWORKDAYS(E349,F349,Ref!$F$4:$F$47))</f>
        <v/>
      </c>
      <c r="AH349" s="39">
        <f>IF(IFERROR(VLOOKUP(D349,Controls!$A$25:$D$35,2,FALSE()),"No")="Yes",1,0)</f>
        <v/>
      </c>
      <c r="AI349" s="39">
        <f>IF(IFERROR(VLOOKUP(D349,Controls!$A$25:$D$35,3,FALSE()),"No")="Yes",1,0)</f>
        <v/>
      </c>
      <c r="AJ349" s="39">
        <f>IF(IFERROR(VLOOKUP(D349,Controls!$A$25:$D$35,4,FALSE()),"No")="Yes",1,0)</f>
        <v/>
      </c>
      <c r="AK349" s="96">
        <f>IF(AND($E349&gt;=Controls!$B$5,$E349&lt;=Controls!$B$6,OR(Controls!$E$9&lt;&gt;"Y",$BE349=1)),1,0)</f>
        <v/>
      </c>
      <c r="AL349" s="39">
        <f>1</f>
        <v/>
      </c>
      <c r="AM349" s="20">
        <f>S349-P349</f>
        <v/>
      </c>
      <c r="AN349" s="20">
        <f>IF(AH349=1,MAX(0,P349-S349),0)</f>
        <v/>
      </c>
      <c r="AO349" s="21">
        <f>IFERROR(S349/P349,"")</f>
        <v/>
      </c>
      <c r="AP349" s="22">
        <f>IF(Y349="","",P349/Y349)</f>
        <v/>
      </c>
      <c r="AQ349" s="39">
        <f>IF(Y349="",0,1)</f>
        <v/>
      </c>
      <c r="AR349" s="39">
        <f>IF(S349&lt;=0,1,0)</f>
        <v/>
      </c>
      <c r="AS349" s="17">
        <f>IF(AH349=1,AG349,"")</f>
        <v/>
      </c>
      <c r="AT349" s="17">
        <f>IF(AND(AH349=0,AJ349=1),AG349,"")</f>
        <v/>
      </c>
      <c r="AU349" s="5">
        <f>IF(P349&lt;10000,"Under $10K",IF(P349&lt;20000,"$10-20K",IF(P349&lt;30000,"$20-30K",IF(P349&lt;50000,"$30-50K",IF(P349&lt;100000,"$50-100K","$100K+")))))</f>
        <v/>
      </c>
      <c r="AV349" s="5">
        <f>IF(O349&lt;=1.35,"1.35 and under",IF(O349&lt;=1.42,"1.36-1.42",IF(O349&lt;=1.45,"1.43-1.45",IF(O349&lt;1.49,"1.46-1.48",IF(O349&lt;=1.49,"1.49","Above 1.49")))))</f>
        <v/>
      </c>
      <c r="AW349" s="5">
        <f>IF(AE349="","",IF(AE349&lt;60,"Under 60",IF(AE349&lt;90,"60-89",IF(AE349&lt;120,"90-119",IF(AE349&lt;150,"120-149","150+")))))</f>
        <v/>
      </c>
      <c r="AX349" s="5">
        <f>IF(AP349="","No revenue data",IF(AP349&lt;0.15,"Under 0.15x",IF(AP349&lt;0.3,"0.15-0.30x",IF(AP349&lt;0.5,"0.30-0.50x",IF(AP349&lt;1,"0.50-1.00x","1.00x+")))))</f>
        <v/>
      </c>
      <c r="AY349" s="5">
        <f>IF(J349="","No SIC",IFERROR(VLOOKUP(J349,Ref!$A$4:$C$67,2,FALSE()),"Unclassified"))</f>
        <v/>
      </c>
      <c r="AZ349" s="5">
        <f>IF(E349="","",TEXT(E349,"YYYY")&amp;"-Q"&amp;ROUNDUP(MONTH(E349)/3,0))</f>
        <v/>
      </c>
      <c r="BA349" s="5">
        <f>IF(E349="","",TEXT(E349,"YYYY-MM"))</f>
        <v/>
      </c>
      <c r="BB349" s="5">
        <f>IF(E349="","",TEXT(E349,"YYYY"))</f>
        <v/>
      </c>
      <c r="BC349" s="92">
        <f>IF($E349="","",NETWORKDAYS($E349,Controls!$B$9,Ref!$F$4:$F$47))</f>
        <v/>
      </c>
      <c r="BD349" s="92">
        <f>IF(OR($AH349=1,$AJ349=1),1,0)</f>
        <v/>
      </c>
      <c r="BE349" s="95">
        <f>IF(OR($BD349=1,AND($AE349&lt;&gt;"",$BC349&gt;=Controls!$B$10*$AE349)),1,0)</f>
        <v/>
      </c>
    </row>
    <row r="350" ht="15.75" customHeight="1" s="79">
      <c r="A350" s="5" t="inlineStr">
        <is>
          <t>5674171266</t>
        </is>
      </c>
      <c r="B350" s="5" t="inlineStr">
        <is>
          <t>EMPIRE DENTAL SUPPLIES &amp; SERVICE</t>
        </is>
      </c>
      <c r="C350" s="5" t="inlineStr">
        <is>
          <t>EMPIRE DENTAL SUPPLIES &amp; SERVICE</t>
        </is>
      </c>
      <c r="D350" s="5" t="inlineStr">
        <is>
          <t>Closed</t>
        </is>
      </c>
      <c r="E350" s="16" t="n">
        <v>45974</v>
      </c>
      <c r="F350" s="16" t="n">
        <v>46043</v>
      </c>
      <c r="G350" s="17" t="n">
        <v>3</v>
      </c>
      <c r="H350" s="5" t="inlineStr">
        <is>
          <t>3845</t>
        </is>
      </c>
      <c r="I350" s="5" t="inlineStr">
        <is>
          <t>Dental Equipment and Supplies Mfg.</t>
        </is>
      </c>
      <c r="J350" s="5" t="inlineStr">
        <is>
          <t>38</t>
        </is>
      </c>
      <c r="K350" s="5" t="n">
        <v>5047</v>
      </c>
      <c r="L350" s="5" t="inlineStr">
        <is>
          <t>CA</t>
        </is>
      </c>
      <c r="M350" s="5" t="inlineStr">
        <is>
          <t>Fundwell</t>
        </is>
      </c>
      <c r="N350" s="5" t="inlineStr">
        <is>
          <t>New Deal</t>
        </is>
      </c>
      <c r="O350" s="19" t="n">
        <v>1.4</v>
      </c>
      <c r="P350" s="20" t="n">
        <v>20000</v>
      </c>
      <c r="Q350" s="20" t="n">
        <v>2600</v>
      </c>
      <c r="R350" s="20" t="n">
        <v>28000</v>
      </c>
      <c r="S350" s="20" t="n">
        <v>28000</v>
      </c>
      <c r="T350" s="20" t="n">
        <v>0</v>
      </c>
      <c r="U350" s="21" t="n">
        <v>1</v>
      </c>
      <c r="V350" s="22" t="n">
        <v>2.623</v>
      </c>
      <c r="W350" s="17" t="n">
        <v>210</v>
      </c>
      <c r="X350" s="17" t="n">
        <v>1</v>
      </c>
      <c r="Y350" s="20" t="n">
        <v>136915.86</v>
      </c>
      <c r="Z350" s="21" t="n">
        <v>0.0537</v>
      </c>
      <c r="AA350" s="5" t="n"/>
      <c r="AB350" s="5">
        <f>IF(V350="","",IF(V350&lt;12,"Months","Weeks"))</f>
        <v/>
      </c>
      <c r="AC350" s="5">
        <f>IF(AB350="","",IF(AB350="Months","Daily","Weekly"))</f>
        <v/>
      </c>
      <c r="AD350" s="17">
        <f>IF(V350="","",IF(AC350="Daily",V350*Controls!$B$13,V350))</f>
        <v/>
      </c>
      <c r="AE350" s="17">
        <f>IF(V350="","",IF(AC350="Daily",V350*Controls!$B$13,V350*Controls!$B$12))</f>
        <v/>
      </c>
      <c r="AF350" s="17">
        <f>IF(OR(E350="",F350=""),"",F350-E350)</f>
        <v/>
      </c>
      <c r="AG350" s="17">
        <f>IF(OR(E350="",F350=""),"",NETWORKDAYS(E350,F350,Ref!$F$4:$F$47))</f>
        <v/>
      </c>
      <c r="AH350" s="39">
        <f>IF(IFERROR(VLOOKUP(D350,Controls!$A$25:$D$35,2,FALSE()),"No")="Yes",1,0)</f>
        <v/>
      </c>
      <c r="AI350" s="39">
        <f>IF(IFERROR(VLOOKUP(D350,Controls!$A$25:$D$35,3,FALSE()),"No")="Yes",1,0)</f>
        <v/>
      </c>
      <c r="AJ350" s="39">
        <f>IF(IFERROR(VLOOKUP(D350,Controls!$A$25:$D$35,4,FALSE()),"No")="Yes",1,0)</f>
        <v/>
      </c>
      <c r="AK350" s="96">
        <f>IF(AND($E350&gt;=Controls!$B$5,$E350&lt;=Controls!$B$6,OR(Controls!$E$9&lt;&gt;"Y",$BE350=1)),1,0)</f>
        <v/>
      </c>
      <c r="AL350" s="39">
        <f>1</f>
        <v/>
      </c>
      <c r="AM350" s="20">
        <f>S350-P350</f>
        <v/>
      </c>
      <c r="AN350" s="20">
        <f>IF(AH350=1,MAX(0,P350-S350),0)</f>
        <v/>
      </c>
      <c r="AO350" s="21">
        <f>IFERROR(S350/P350,"")</f>
        <v/>
      </c>
      <c r="AP350" s="22">
        <f>IF(Y350="","",P350/Y350)</f>
        <v/>
      </c>
      <c r="AQ350" s="39">
        <f>IF(Y350="",0,1)</f>
        <v/>
      </c>
      <c r="AR350" s="39">
        <f>IF(S350&lt;=0,1,0)</f>
        <v/>
      </c>
      <c r="AS350" s="17">
        <f>IF(AH350=1,AG350,"")</f>
        <v/>
      </c>
      <c r="AT350" s="17">
        <f>IF(AND(AH350=0,AJ350=1),AG350,"")</f>
        <v/>
      </c>
      <c r="AU350" s="5">
        <f>IF(P350&lt;10000,"Under $10K",IF(P350&lt;20000,"$10-20K",IF(P350&lt;30000,"$20-30K",IF(P350&lt;50000,"$30-50K",IF(P350&lt;100000,"$50-100K","$100K+")))))</f>
        <v/>
      </c>
      <c r="AV350" s="5">
        <f>IF(O350&lt;=1.35,"1.35 and under",IF(O350&lt;=1.42,"1.36-1.42",IF(O350&lt;=1.45,"1.43-1.45",IF(O350&lt;1.49,"1.46-1.48",IF(O350&lt;=1.49,"1.49","Above 1.49")))))</f>
        <v/>
      </c>
      <c r="AW350" s="5">
        <f>IF(AE350="","",IF(AE350&lt;60,"Under 60",IF(AE350&lt;90,"60-89",IF(AE350&lt;120,"90-119",IF(AE350&lt;150,"120-149","150+")))))</f>
        <v/>
      </c>
      <c r="AX350" s="5">
        <f>IF(AP350="","No revenue data",IF(AP350&lt;0.15,"Under 0.15x",IF(AP350&lt;0.3,"0.15-0.30x",IF(AP350&lt;0.5,"0.30-0.50x",IF(AP350&lt;1,"0.50-1.00x","1.00x+")))))</f>
        <v/>
      </c>
      <c r="AY350" s="5">
        <f>IF(J350="","No SIC",IFERROR(VLOOKUP(J350,Ref!$A$4:$C$67,2,FALSE()),"Unclassified"))</f>
        <v/>
      </c>
      <c r="AZ350" s="5">
        <f>IF(E350="","",TEXT(E350,"YYYY")&amp;"-Q"&amp;ROUNDUP(MONTH(E350)/3,0))</f>
        <v/>
      </c>
      <c r="BA350" s="5">
        <f>IF(E350="","",TEXT(E350,"YYYY-MM"))</f>
        <v/>
      </c>
      <c r="BB350" s="5">
        <f>IF(E350="","",TEXT(E350,"YYYY"))</f>
        <v/>
      </c>
      <c r="BC350" s="92">
        <f>IF($E350="","",NETWORKDAYS($E350,Controls!$B$9,Ref!$F$4:$F$47))</f>
        <v/>
      </c>
      <c r="BD350" s="92">
        <f>IF(OR($AH350=1,$AJ350=1),1,0)</f>
        <v/>
      </c>
      <c r="BE350" s="95">
        <f>IF(OR($BD350=1,AND($AE350&lt;&gt;"",$BC350&gt;=Controls!$B$10*$AE350)),1,0)</f>
        <v/>
      </c>
    </row>
    <row r="351" ht="15.75" customHeight="1" s="79">
      <c r="A351" s="5" t="inlineStr">
        <is>
          <t>5674171326</t>
        </is>
      </c>
      <c r="B351" s="5" t="inlineStr">
        <is>
          <t>V&amp;P Express LLC</t>
        </is>
      </c>
      <c r="C351" s="5" t="inlineStr">
        <is>
          <t>V&amp;P Express LLC</t>
        </is>
      </c>
      <c r="D351" s="5" t="inlineStr">
        <is>
          <t>Legal</t>
        </is>
      </c>
      <c r="E351" s="16" t="n">
        <v>45974</v>
      </c>
      <c r="F351" s="16" t="n">
        <v>46048</v>
      </c>
      <c r="G351" s="17" t="n">
        <v>3</v>
      </c>
      <c r="H351" s="5" t="inlineStr">
        <is>
          <t>4212</t>
        </is>
      </c>
      <c r="I351" s="5" t="inlineStr">
        <is>
          <t>Specialized Freight (Except Used Goods) Trucking, Local</t>
        </is>
      </c>
      <c r="J351" s="5" t="inlineStr">
        <is>
          <t>42</t>
        </is>
      </c>
      <c r="K351" s="5" t="n">
        <v>4214</v>
      </c>
      <c r="L351" s="5" t="inlineStr">
        <is>
          <t>GA</t>
        </is>
      </c>
      <c r="M351" s="5" t="inlineStr">
        <is>
          <t>ROK</t>
        </is>
      </c>
      <c r="N351" s="5" t="inlineStr">
        <is>
          <t>New Deal</t>
        </is>
      </c>
      <c r="O351" s="19" t="n">
        <v>1.5</v>
      </c>
      <c r="P351" s="20" t="n">
        <v>5000</v>
      </c>
      <c r="Q351" s="20" t="n">
        <v>700</v>
      </c>
      <c r="R351" s="20" t="n">
        <v>7500</v>
      </c>
      <c r="S351" s="20" t="n">
        <v>3095.74</v>
      </c>
      <c r="T351" s="20" t="n">
        <v>4404.26</v>
      </c>
      <c r="U351" s="21" t="n">
        <v>0.412765333333333</v>
      </c>
      <c r="V351" s="22" t="n">
        <v>1.967</v>
      </c>
      <c r="W351" s="17" t="n">
        <v>223</v>
      </c>
      <c r="X351" s="17" t="n">
        <v>23</v>
      </c>
      <c r="Y351" s="20" t="n">
        <v>20583.2</v>
      </c>
      <c r="Z351" s="21" t="n">
        <v>0.1266</v>
      </c>
      <c r="AA351" s="16" t="n">
        <v>44911</v>
      </c>
      <c r="AB351" s="5">
        <f>IF(V351="","",IF(V351&lt;12,"Months","Weeks"))</f>
        <v/>
      </c>
      <c r="AC351" s="5">
        <f>IF(AB351="","",IF(AB351="Months","Daily","Weekly"))</f>
        <v/>
      </c>
      <c r="AD351" s="17">
        <f>IF(V351="","",IF(AC351="Daily",V351*Controls!$B$13,V351))</f>
        <v/>
      </c>
      <c r="AE351" s="17">
        <f>IF(V351="","",IF(AC351="Daily",V351*Controls!$B$13,V351*Controls!$B$12))</f>
        <v/>
      </c>
      <c r="AF351" s="17">
        <f>IF(OR(E351="",F351=""),"",F351-E351)</f>
        <v/>
      </c>
      <c r="AG351" s="17">
        <f>IF(OR(E351="",F351=""),"",NETWORKDAYS(E351,F351,Ref!$F$4:$F$47))</f>
        <v/>
      </c>
      <c r="AH351" s="39">
        <f>IF(IFERROR(VLOOKUP(D351,Controls!$A$25:$D$35,2,FALSE()),"No")="Yes",1,0)</f>
        <v/>
      </c>
      <c r="AI351" s="39">
        <f>IF(IFERROR(VLOOKUP(D351,Controls!$A$25:$D$35,3,FALSE()),"No")="Yes",1,0)</f>
        <v/>
      </c>
      <c r="AJ351" s="39">
        <f>IF(IFERROR(VLOOKUP(D351,Controls!$A$25:$D$35,4,FALSE()),"No")="Yes",1,0)</f>
        <v/>
      </c>
      <c r="AK351" s="96">
        <f>IF(AND($E351&gt;=Controls!$B$5,$E351&lt;=Controls!$B$6,OR(Controls!$E$9&lt;&gt;"Y",$BE351=1)),1,0)</f>
        <v/>
      </c>
      <c r="AL351" s="39">
        <f>1</f>
        <v/>
      </c>
      <c r="AM351" s="20">
        <f>S351-P351</f>
        <v/>
      </c>
      <c r="AN351" s="20">
        <f>IF(AH351=1,MAX(0,P351-S351),0)</f>
        <v/>
      </c>
      <c r="AO351" s="21">
        <f>IFERROR(S351/P351,"")</f>
        <v/>
      </c>
      <c r="AP351" s="22">
        <f>IF(Y351="","",P351/Y351)</f>
        <v/>
      </c>
      <c r="AQ351" s="39">
        <f>IF(Y351="",0,1)</f>
        <v/>
      </c>
      <c r="AR351" s="39">
        <f>IF(S351&lt;=0,1,0)</f>
        <v/>
      </c>
      <c r="AS351" s="17">
        <f>IF(AH351=1,AG351,"")</f>
        <v/>
      </c>
      <c r="AT351" s="17">
        <f>IF(AND(AH351=0,AJ351=1),AG351,"")</f>
        <v/>
      </c>
      <c r="AU351" s="5">
        <f>IF(P351&lt;10000,"Under $10K",IF(P351&lt;20000,"$10-20K",IF(P351&lt;30000,"$20-30K",IF(P351&lt;50000,"$30-50K",IF(P351&lt;100000,"$50-100K","$100K+")))))</f>
        <v/>
      </c>
      <c r="AV351" s="5">
        <f>IF(O351&lt;=1.35,"1.35 and under",IF(O351&lt;=1.42,"1.36-1.42",IF(O351&lt;=1.45,"1.43-1.45",IF(O351&lt;1.49,"1.46-1.48",IF(O351&lt;=1.49,"1.49","Above 1.49")))))</f>
        <v/>
      </c>
      <c r="AW351" s="5">
        <f>IF(AE351="","",IF(AE351&lt;60,"Under 60",IF(AE351&lt;90,"60-89",IF(AE351&lt;120,"90-119",IF(AE351&lt;150,"120-149","150+")))))</f>
        <v/>
      </c>
      <c r="AX351" s="5">
        <f>IF(AP351="","No revenue data",IF(AP351&lt;0.15,"Under 0.15x",IF(AP351&lt;0.3,"0.15-0.30x",IF(AP351&lt;0.5,"0.30-0.50x",IF(AP351&lt;1,"0.50-1.00x","1.00x+")))))</f>
        <v/>
      </c>
      <c r="AY351" s="5">
        <f>IF(J351="","No SIC",IFERROR(VLOOKUP(J351,Ref!$A$4:$C$67,2,FALSE()),"Unclassified"))</f>
        <v/>
      </c>
      <c r="AZ351" s="5">
        <f>IF(E351="","",TEXT(E351,"YYYY")&amp;"-Q"&amp;ROUNDUP(MONTH(E351)/3,0))</f>
        <v/>
      </c>
      <c r="BA351" s="5">
        <f>IF(E351="","",TEXT(E351,"YYYY-MM"))</f>
        <v/>
      </c>
      <c r="BB351" s="5">
        <f>IF(E351="","",TEXT(E351,"YYYY"))</f>
        <v/>
      </c>
      <c r="BC351" s="92">
        <f>IF($E351="","",NETWORKDAYS($E351,Controls!$B$9,Ref!$F$4:$F$47))</f>
        <v/>
      </c>
      <c r="BD351" s="92">
        <f>IF(OR($AH351=1,$AJ351=1),1,0)</f>
        <v/>
      </c>
      <c r="BE351" s="95">
        <f>IF(OR($BD351=1,AND($AE351&lt;&gt;"",$BC351&gt;=Controls!$B$10*$AE351)),1,0)</f>
        <v/>
      </c>
    </row>
    <row r="352" ht="15.75" customHeight="1" s="79">
      <c r="A352" s="5" t="inlineStr">
        <is>
          <t>5674171417</t>
        </is>
      </c>
      <c r="B352" s="5" t="inlineStr">
        <is>
          <t>CIMIKOSKI STEM CELLS</t>
        </is>
      </c>
      <c r="C352" s="5" t="inlineStr">
        <is>
          <t>CIMIKOSKI STEM CELLS</t>
        </is>
      </c>
      <c r="D352" s="5" t="inlineStr">
        <is>
          <t>Legal</t>
        </is>
      </c>
      <c r="E352" s="16" t="n">
        <v>45975</v>
      </c>
      <c r="F352" s="16" t="n">
        <v>46237</v>
      </c>
      <c r="G352" s="17" t="n">
        <v>1</v>
      </c>
      <c r="H352" s="5" t="inlineStr">
        <is>
          <t>8011</t>
        </is>
      </c>
      <c r="I352" s="5" t="inlineStr">
        <is>
          <t>Offices of Physicians (Except Mental Health Specialists)</t>
        </is>
      </c>
      <c r="J352" s="5" t="inlineStr">
        <is>
          <t>80</t>
        </is>
      </c>
      <c r="K352" s="5" t="n">
        <v>8011</v>
      </c>
      <c r="L352" s="5" t="inlineStr">
        <is>
          <t>UT</t>
        </is>
      </c>
      <c r="M352" s="5" t="inlineStr">
        <is>
          <t>EZ ADVANCE LLC</t>
        </is>
      </c>
      <c r="N352" s="5" t="inlineStr">
        <is>
          <t>New Deal</t>
        </is>
      </c>
      <c r="O352" s="19" t="n">
        <v>1.499</v>
      </c>
      <c r="P352" s="20" t="n">
        <v>30000</v>
      </c>
      <c r="Q352" s="20" t="n">
        <v>4200</v>
      </c>
      <c r="R352" s="20" t="n">
        <v>44970</v>
      </c>
      <c r="S352" s="20" t="n">
        <v>32790.72</v>
      </c>
      <c r="T352" s="20" t="n">
        <v>12179.28</v>
      </c>
      <c r="U352" s="21" t="n">
        <v>0.729168779186124</v>
      </c>
      <c r="V352" s="22" t="n">
        <v>2.951</v>
      </c>
      <c r="W352" s="17" t="n">
        <v>16</v>
      </c>
      <c r="X352" s="17" t="n">
        <v>3</v>
      </c>
      <c r="Y352" s="5" t="n"/>
      <c r="Z352" s="21" t="n">
        <v>0.095</v>
      </c>
      <c r="AA352" s="16" t="n">
        <v>45420</v>
      </c>
      <c r="AB352" s="5">
        <f>IF(V352="","",IF(V352&lt;12,"Months","Weeks"))</f>
        <v/>
      </c>
      <c r="AC352" s="5">
        <f>IF(AB352="","",IF(AB352="Months","Daily","Weekly"))</f>
        <v/>
      </c>
      <c r="AD352" s="17">
        <f>IF(V352="","",IF(AC352="Daily",V352*Controls!$B$13,V352))</f>
        <v/>
      </c>
      <c r="AE352" s="17">
        <f>IF(V352="","",IF(AC352="Daily",V352*Controls!$B$13,V352*Controls!$B$12))</f>
        <v/>
      </c>
      <c r="AF352" s="17">
        <f>IF(OR(E352="",F352=""),"",F352-E352)</f>
        <v/>
      </c>
      <c r="AG352" s="17">
        <f>IF(OR(E352="",F352=""),"",NETWORKDAYS(E352,F352,Ref!$F$4:$F$47))</f>
        <v/>
      </c>
      <c r="AH352" s="39">
        <f>IF(IFERROR(VLOOKUP(D352,Controls!$A$25:$D$35,2,FALSE()),"No")="Yes",1,0)</f>
        <v/>
      </c>
      <c r="AI352" s="39">
        <f>IF(IFERROR(VLOOKUP(D352,Controls!$A$25:$D$35,3,FALSE()),"No")="Yes",1,0)</f>
        <v/>
      </c>
      <c r="AJ352" s="39">
        <f>IF(IFERROR(VLOOKUP(D352,Controls!$A$25:$D$35,4,FALSE()),"No")="Yes",1,0)</f>
        <v/>
      </c>
      <c r="AK352" s="96">
        <f>IF(AND($E352&gt;=Controls!$B$5,$E352&lt;=Controls!$B$6,OR(Controls!$E$9&lt;&gt;"Y",$BE352=1)),1,0)</f>
        <v/>
      </c>
      <c r="AL352" s="39">
        <f>1</f>
        <v/>
      </c>
      <c r="AM352" s="20">
        <f>S352-P352</f>
        <v/>
      </c>
      <c r="AN352" s="20">
        <f>IF(AH352=1,MAX(0,P352-S352),0)</f>
        <v/>
      </c>
      <c r="AO352" s="21">
        <f>IFERROR(S352/P352,"")</f>
        <v/>
      </c>
      <c r="AP352" s="22">
        <f>IF(Y352="","",P352/Y352)</f>
        <v/>
      </c>
      <c r="AQ352" s="39">
        <f>IF(Y352="",0,1)</f>
        <v/>
      </c>
      <c r="AR352" s="39">
        <f>IF(S352&lt;=0,1,0)</f>
        <v/>
      </c>
      <c r="AS352" s="17">
        <f>IF(AH352=1,AG352,"")</f>
        <v/>
      </c>
      <c r="AT352" s="17">
        <f>IF(AND(AH352=0,AJ352=1),AG352,"")</f>
        <v/>
      </c>
      <c r="AU352" s="5">
        <f>IF(P352&lt;10000,"Under $10K",IF(P352&lt;20000,"$10-20K",IF(P352&lt;30000,"$20-30K",IF(P352&lt;50000,"$30-50K",IF(P352&lt;100000,"$50-100K","$100K+")))))</f>
        <v/>
      </c>
      <c r="AV352" s="5">
        <f>IF(O352&lt;=1.35,"1.35 and under",IF(O352&lt;=1.42,"1.36-1.42",IF(O352&lt;=1.45,"1.43-1.45",IF(O352&lt;1.49,"1.46-1.48",IF(O352&lt;=1.49,"1.49","Above 1.49")))))</f>
        <v/>
      </c>
      <c r="AW352" s="5">
        <f>IF(AE352="","",IF(AE352&lt;60,"Under 60",IF(AE352&lt;90,"60-89",IF(AE352&lt;120,"90-119",IF(AE352&lt;150,"120-149","150+")))))</f>
        <v/>
      </c>
      <c r="AX352" s="5">
        <f>IF(AP352="","No revenue data",IF(AP352&lt;0.15,"Under 0.15x",IF(AP352&lt;0.3,"0.15-0.30x",IF(AP352&lt;0.5,"0.30-0.50x",IF(AP352&lt;1,"0.50-1.00x","1.00x+")))))</f>
        <v/>
      </c>
      <c r="AY352" s="5">
        <f>IF(J352="","No SIC",IFERROR(VLOOKUP(J352,Ref!$A$4:$C$67,2,FALSE()),"Unclassified"))</f>
        <v/>
      </c>
      <c r="AZ352" s="5">
        <f>IF(E352="","",TEXT(E352,"YYYY")&amp;"-Q"&amp;ROUNDUP(MONTH(E352)/3,0))</f>
        <v/>
      </c>
      <c r="BA352" s="5">
        <f>IF(E352="","",TEXT(E352,"YYYY-MM"))</f>
        <v/>
      </c>
      <c r="BB352" s="5">
        <f>IF(E352="","",TEXT(E352,"YYYY"))</f>
        <v/>
      </c>
      <c r="BC352" s="92">
        <f>IF($E352="","",NETWORKDAYS($E352,Controls!$B$9,Ref!$F$4:$F$47))</f>
        <v/>
      </c>
      <c r="BD352" s="92">
        <f>IF(OR($AH352=1,$AJ352=1),1,0)</f>
        <v/>
      </c>
      <c r="BE352" s="95">
        <f>IF(OR($BD352=1,AND($AE352&lt;&gt;"",$BC352&gt;=Controls!$B$10*$AE352)),1,0)</f>
        <v/>
      </c>
    </row>
    <row r="353" ht="15.75" customHeight="1" s="79">
      <c r="A353" s="5" t="inlineStr">
        <is>
          <t>5674171445</t>
        </is>
      </c>
      <c r="B353" s="5" t="inlineStr">
        <is>
          <t>TONA PROPERTY MANAGEMENT</t>
        </is>
      </c>
      <c r="C353" s="5" t="inlineStr">
        <is>
          <t>TONA PROPERTY MANAGEMENT LLC</t>
        </is>
      </c>
      <c r="D353" s="5" t="inlineStr">
        <is>
          <t>Legal</t>
        </is>
      </c>
      <c r="E353" s="16" t="n">
        <v>45975</v>
      </c>
      <c r="F353" s="16" t="n">
        <v>46080</v>
      </c>
      <c r="G353" s="17" t="n">
        <v>2</v>
      </c>
      <c r="H353" s="5" t="inlineStr">
        <is>
          <t>6531</t>
        </is>
      </c>
      <c r="I353" s="5" t="inlineStr">
        <is>
          <t>Offices of Real Estate Agents and Brokerages</t>
        </is>
      </c>
      <c r="J353" s="5" t="inlineStr">
        <is>
          <t>65</t>
        </is>
      </c>
      <c r="K353" s="5" t="n">
        <v>6513</v>
      </c>
      <c r="L353" s="5" t="inlineStr">
        <is>
          <t>NJ</t>
        </is>
      </c>
      <c r="M353" s="5" t="inlineStr">
        <is>
          <t>EZ ADVANCE LLC</t>
        </is>
      </c>
      <c r="N353" s="5" t="inlineStr">
        <is>
          <t>New Deal</t>
        </is>
      </c>
      <c r="O353" s="19" t="n">
        <v>1.37</v>
      </c>
      <c r="P353" s="20" t="n">
        <v>175000</v>
      </c>
      <c r="Q353" s="20" t="n">
        <v>15750</v>
      </c>
      <c r="R353" s="20" t="n">
        <v>239750</v>
      </c>
      <c r="S353" s="20" t="n">
        <v>77278.03999999999</v>
      </c>
      <c r="T353" s="20" t="n">
        <v>162471.96</v>
      </c>
      <c r="U353" s="21" t="n">
        <v>0.322327591240876</v>
      </c>
      <c r="V353" s="22" t="n">
        <v>36</v>
      </c>
      <c r="W353" s="17" t="n">
        <v>176</v>
      </c>
      <c r="X353" s="17" t="n">
        <v>7</v>
      </c>
      <c r="Y353" s="20" t="n">
        <v>383970.98</v>
      </c>
      <c r="Z353" s="21" t="n">
        <v>0.0694</v>
      </c>
      <c r="AA353" s="16" t="n">
        <v>39625</v>
      </c>
      <c r="AB353" s="5">
        <f>IF(V353="","",IF(V353&lt;12,"Months","Weeks"))</f>
        <v/>
      </c>
      <c r="AC353" s="5">
        <f>IF(AB353="","",IF(AB353="Months","Daily","Weekly"))</f>
        <v/>
      </c>
      <c r="AD353" s="17">
        <f>IF(V353="","",IF(AC353="Daily",V353*Controls!$B$13,V353))</f>
        <v/>
      </c>
      <c r="AE353" s="17">
        <f>IF(V353="","",IF(AC353="Daily",V353*Controls!$B$13,V353*Controls!$B$12))</f>
        <v/>
      </c>
      <c r="AF353" s="17">
        <f>IF(OR(E353="",F353=""),"",F353-E353)</f>
        <v/>
      </c>
      <c r="AG353" s="17">
        <f>IF(OR(E353="",F353=""),"",NETWORKDAYS(E353,F353,Ref!$F$4:$F$47))</f>
        <v/>
      </c>
      <c r="AH353" s="39">
        <f>IF(IFERROR(VLOOKUP(D353,Controls!$A$25:$D$35,2,FALSE()),"No")="Yes",1,0)</f>
        <v/>
      </c>
      <c r="AI353" s="39">
        <f>IF(IFERROR(VLOOKUP(D353,Controls!$A$25:$D$35,3,FALSE()),"No")="Yes",1,0)</f>
        <v/>
      </c>
      <c r="AJ353" s="39">
        <f>IF(IFERROR(VLOOKUP(D353,Controls!$A$25:$D$35,4,FALSE()),"No")="Yes",1,0)</f>
        <v/>
      </c>
      <c r="AK353" s="96">
        <f>IF(AND($E353&gt;=Controls!$B$5,$E353&lt;=Controls!$B$6,OR(Controls!$E$9&lt;&gt;"Y",$BE353=1)),1,0)</f>
        <v/>
      </c>
      <c r="AL353" s="39">
        <f>1</f>
        <v/>
      </c>
      <c r="AM353" s="20">
        <f>S353-P353</f>
        <v/>
      </c>
      <c r="AN353" s="20">
        <f>IF(AH353=1,MAX(0,P353-S353),0)</f>
        <v/>
      </c>
      <c r="AO353" s="21">
        <f>IFERROR(S353/P353,"")</f>
        <v/>
      </c>
      <c r="AP353" s="22">
        <f>IF(Y353="","",P353/Y353)</f>
        <v/>
      </c>
      <c r="AQ353" s="39">
        <f>IF(Y353="",0,1)</f>
        <v/>
      </c>
      <c r="AR353" s="39">
        <f>IF(S353&lt;=0,1,0)</f>
        <v/>
      </c>
      <c r="AS353" s="17">
        <f>IF(AH353=1,AG353,"")</f>
        <v/>
      </c>
      <c r="AT353" s="17">
        <f>IF(AND(AH353=0,AJ353=1),AG353,"")</f>
        <v/>
      </c>
      <c r="AU353" s="5">
        <f>IF(P353&lt;10000,"Under $10K",IF(P353&lt;20000,"$10-20K",IF(P353&lt;30000,"$20-30K",IF(P353&lt;50000,"$30-50K",IF(P353&lt;100000,"$50-100K","$100K+")))))</f>
        <v/>
      </c>
      <c r="AV353" s="5">
        <f>IF(O353&lt;=1.35,"1.35 and under",IF(O353&lt;=1.42,"1.36-1.42",IF(O353&lt;=1.45,"1.43-1.45",IF(O353&lt;1.49,"1.46-1.48",IF(O353&lt;=1.49,"1.49","Above 1.49")))))</f>
        <v/>
      </c>
      <c r="AW353" s="5">
        <f>IF(AE353="","",IF(AE353&lt;60,"Under 60",IF(AE353&lt;90,"60-89",IF(AE353&lt;120,"90-119",IF(AE353&lt;150,"120-149","150+")))))</f>
        <v/>
      </c>
      <c r="AX353" s="5">
        <f>IF(AP353="","No revenue data",IF(AP353&lt;0.15,"Under 0.15x",IF(AP353&lt;0.3,"0.15-0.30x",IF(AP353&lt;0.5,"0.30-0.50x",IF(AP353&lt;1,"0.50-1.00x","1.00x+")))))</f>
        <v/>
      </c>
      <c r="AY353" s="5">
        <f>IF(J353="","No SIC",IFERROR(VLOOKUP(J353,Ref!$A$4:$C$67,2,FALSE()),"Unclassified"))</f>
        <v/>
      </c>
      <c r="AZ353" s="5">
        <f>IF(E353="","",TEXT(E353,"YYYY")&amp;"-Q"&amp;ROUNDUP(MONTH(E353)/3,0))</f>
        <v/>
      </c>
      <c r="BA353" s="5">
        <f>IF(E353="","",TEXT(E353,"YYYY-MM"))</f>
        <v/>
      </c>
      <c r="BB353" s="5">
        <f>IF(E353="","",TEXT(E353,"YYYY"))</f>
        <v/>
      </c>
      <c r="BC353" s="92">
        <f>IF($E353="","",NETWORKDAYS($E353,Controls!$B$9,Ref!$F$4:$F$47))</f>
        <v/>
      </c>
      <c r="BD353" s="92">
        <f>IF(OR($AH353=1,$AJ353=1),1,0)</f>
        <v/>
      </c>
      <c r="BE353" s="95">
        <f>IF(OR($BD353=1,AND($AE353&lt;&gt;"",$BC353&gt;=Controls!$B$10*$AE353)),1,0)</f>
        <v/>
      </c>
    </row>
    <row r="354" ht="15.75" customHeight="1" s="79">
      <c r="A354" s="5" t="inlineStr">
        <is>
          <t>5674171469</t>
        </is>
      </c>
      <c r="B354" s="5" t="inlineStr">
        <is>
          <t>BEST MOVERS FALLS CHURCH VA</t>
        </is>
      </c>
      <c r="C354" s="5" t="inlineStr">
        <is>
          <t>PIECE OF CAKE LLC,  LOCAL BEST MOVERS LLC</t>
        </is>
      </c>
      <c r="D354" s="5" t="inlineStr">
        <is>
          <t>Closed/NSF</t>
        </is>
      </c>
      <c r="E354" s="16" t="n">
        <v>45978</v>
      </c>
      <c r="F354" s="16" t="n">
        <v>46245</v>
      </c>
      <c r="G354" s="17" t="n">
        <v>2</v>
      </c>
      <c r="H354" s="5" t="inlineStr">
        <is>
          <t>4212</t>
        </is>
      </c>
      <c r="I354" s="5" t="inlineStr">
        <is>
          <t>Specialized Freight (Except Used Goods) Trucking, Local</t>
        </is>
      </c>
      <c r="J354" s="5" t="inlineStr">
        <is>
          <t>42</t>
        </is>
      </c>
      <c r="K354" s="5" t="n">
        <v>4214</v>
      </c>
      <c r="L354" s="5" t="inlineStr">
        <is>
          <t>VA</t>
        </is>
      </c>
      <c r="M354" s="5" t="inlineStr">
        <is>
          <t>Shore Funding USA</t>
        </is>
      </c>
      <c r="N354" s="5" t="inlineStr">
        <is>
          <t>New Deal</t>
        </is>
      </c>
      <c r="O354" s="19" t="n">
        <v>1.49</v>
      </c>
      <c r="P354" s="20" t="n">
        <v>32000</v>
      </c>
      <c r="Q354" s="20" t="n">
        <v>4480</v>
      </c>
      <c r="R354" s="20" t="n">
        <v>47680</v>
      </c>
      <c r="S354" s="20" t="n">
        <v>47680</v>
      </c>
      <c r="T354" s="20" t="n">
        <v>0</v>
      </c>
      <c r="U354" s="21" t="n">
        <v>1</v>
      </c>
      <c r="V354" s="22" t="n">
        <v>24</v>
      </c>
      <c r="W354" s="17" t="n">
        <v>8</v>
      </c>
      <c r="X354" s="17" t="n">
        <v>35</v>
      </c>
      <c r="Y354" s="20" t="n">
        <v>53092.66</v>
      </c>
      <c r="Z354" s="21" t="n">
        <v>0.1497</v>
      </c>
      <c r="AA354" s="16" t="n">
        <v>43466</v>
      </c>
      <c r="AB354" s="5">
        <f>IF(V354="","",IF(V354&lt;12,"Months","Weeks"))</f>
        <v/>
      </c>
      <c r="AC354" s="5">
        <f>IF(AB354="","",IF(AB354="Months","Daily","Weekly"))</f>
        <v/>
      </c>
      <c r="AD354" s="17">
        <f>IF(V354="","",IF(AC354="Daily",V354*Controls!$B$13,V354))</f>
        <v/>
      </c>
      <c r="AE354" s="17">
        <f>IF(V354="","",IF(AC354="Daily",V354*Controls!$B$13,V354*Controls!$B$12))</f>
        <v/>
      </c>
      <c r="AF354" s="17">
        <f>IF(OR(E354="",F354=""),"",F354-E354)</f>
        <v/>
      </c>
      <c r="AG354" s="17">
        <f>IF(OR(E354="",F354=""),"",NETWORKDAYS(E354,F354,Ref!$F$4:$F$47))</f>
        <v/>
      </c>
      <c r="AH354" s="39">
        <f>IF(IFERROR(VLOOKUP(D354,Controls!$A$25:$D$35,2,FALSE()),"No")="Yes",1,0)</f>
        <v/>
      </c>
      <c r="AI354" s="39">
        <f>IF(IFERROR(VLOOKUP(D354,Controls!$A$25:$D$35,3,FALSE()),"No")="Yes",1,0)</f>
        <v/>
      </c>
      <c r="AJ354" s="39">
        <f>IF(IFERROR(VLOOKUP(D354,Controls!$A$25:$D$35,4,FALSE()),"No")="Yes",1,0)</f>
        <v/>
      </c>
      <c r="AK354" s="96">
        <f>IF(AND($E354&gt;=Controls!$B$5,$E354&lt;=Controls!$B$6,OR(Controls!$E$9&lt;&gt;"Y",$BE354=1)),1,0)</f>
        <v/>
      </c>
      <c r="AL354" s="39">
        <f>1</f>
        <v/>
      </c>
      <c r="AM354" s="20">
        <f>S354-P354</f>
        <v/>
      </c>
      <c r="AN354" s="20">
        <f>IF(AH354=1,MAX(0,P354-S354),0)</f>
        <v/>
      </c>
      <c r="AO354" s="21">
        <f>IFERROR(S354/P354,"")</f>
        <v/>
      </c>
      <c r="AP354" s="22">
        <f>IF(Y354="","",P354/Y354)</f>
        <v/>
      </c>
      <c r="AQ354" s="39">
        <f>IF(Y354="",0,1)</f>
        <v/>
      </c>
      <c r="AR354" s="39">
        <f>IF(S354&lt;=0,1,0)</f>
        <v/>
      </c>
      <c r="AS354" s="17">
        <f>IF(AH354=1,AG354,"")</f>
        <v/>
      </c>
      <c r="AT354" s="17">
        <f>IF(AND(AH354=0,AJ354=1),AG354,"")</f>
        <v/>
      </c>
      <c r="AU354" s="5">
        <f>IF(P354&lt;10000,"Under $10K",IF(P354&lt;20000,"$10-20K",IF(P354&lt;30000,"$20-30K",IF(P354&lt;50000,"$30-50K",IF(P354&lt;100000,"$50-100K","$100K+")))))</f>
        <v/>
      </c>
      <c r="AV354" s="5">
        <f>IF(O354&lt;=1.35,"1.35 and under",IF(O354&lt;=1.42,"1.36-1.42",IF(O354&lt;=1.45,"1.43-1.45",IF(O354&lt;1.49,"1.46-1.48",IF(O354&lt;=1.49,"1.49","Above 1.49")))))</f>
        <v/>
      </c>
      <c r="AW354" s="5">
        <f>IF(AE354="","",IF(AE354&lt;60,"Under 60",IF(AE354&lt;90,"60-89",IF(AE354&lt;120,"90-119",IF(AE354&lt;150,"120-149","150+")))))</f>
        <v/>
      </c>
      <c r="AX354" s="5">
        <f>IF(AP354="","No revenue data",IF(AP354&lt;0.15,"Under 0.15x",IF(AP354&lt;0.3,"0.15-0.30x",IF(AP354&lt;0.5,"0.30-0.50x",IF(AP354&lt;1,"0.50-1.00x","1.00x+")))))</f>
        <v/>
      </c>
      <c r="AY354" s="5">
        <f>IF(J354="","No SIC",IFERROR(VLOOKUP(J354,Ref!$A$4:$C$67,2,FALSE()),"Unclassified"))</f>
        <v/>
      </c>
      <c r="AZ354" s="5">
        <f>IF(E354="","",TEXT(E354,"YYYY")&amp;"-Q"&amp;ROUNDUP(MONTH(E354)/3,0))</f>
        <v/>
      </c>
      <c r="BA354" s="5">
        <f>IF(E354="","",TEXT(E354,"YYYY-MM"))</f>
        <v/>
      </c>
      <c r="BB354" s="5">
        <f>IF(E354="","",TEXT(E354,"YYYY"))</f>
        <v/>
      </c>
      <c r="BC354" s="92">
        <f>IF($E354="","",NETWORKDAYS($E354,Controls!$B$9,Ref!$F$4:$F$47))</f>
        <v/>
      </c>
      <c r="BD354" s="92">
        <f>IF(OR($AH354=1,$AJ354=1),1,0)</f>
        <v/>
      </c>
      <c r="BE354" s="95">
        <f>IF(OR($BD354=1,AND($AE354&lt;&gt;"",$BC354&gt;=Controls!$B$10*$AE354)),1,0)</f>
        <v/>
      </c>
    </row>
    <row r="355" ht="15.75" customHeight="1" s="79">
      <c r="A355" s="5" t="inlineStr">
        <is>
          <t>5674171571</t>
        </is>
      </c>
      <c r="B355" s="5" t="inlineStr">
        <is>
          <t>Antique Kitchen Family</t>
        </is>
      </c>
      <c r="C355" s="5" t="inlineStr">
        <is>
          <t>G.A.J. INC</t>
        </is>
      </c>
      <c r="D355" s="5" t="inlineStr">
        <is>
          <t>Legal</t>
        </is>
      </c>
      <c r="E355" s="16" t="n">
        <v>45979</v>
      </c>
      <c r="F355" s="16" t="n">
        <v>46044</v>
      </c>
      <c r="G355" s="17" t="n">
        <v>3</v>
      </c>
      <c r="H355" s="5" t="inlineStr">
        <is>
          <t>5812</t>
        </is>
      </c>
      <c r="I355" s="5" t="inlineStr">
        <is>
          <t>Snack and Nonalcoholic Beverage Bars</t>
        </is>
      </c>
      <c r="J355" s="5" t="inlineStr">
        <is>
          <t>58</t>
        </is>
      </c>
      <c r="K355" s="5" t="n">
        <v>5812</v>
      </c>
      <c r="L355" s="5" t="inlineStr">
        <is>
          <t>MI</t>
        </is>
      </c>
      <c r="M355" s="5" t="inlineStr">
        <is>
          <t>level 3 funding</t>
        </is>
      </c>
      <c r="N355" s="5" t="inlineStr">
        <is>
          <t>New Deal</t>
        </is>
      </c>
      <c r="O355" s="19" t="n">
        <v>1.49</v>
      </c>
      <c r="P355" s="20" t="n">
        <v>20000</v>
      </c>
      <c r="Q355" s="20" t="n">
        <v>2800</v>
      </c>
      <c r="R355" s="20" t="n">
        <v>29800</v>
      </c>
      <c r="S355" s="20" t="n">
        <v>9396.799999999999</v>
      </c>
      <c r="T355" s="20" t="n">
        <v>20403.2</v>
      </c>
      <c r="U355" s="21" t="n">
        <v>0.315328859060403</v>
      </c>
      <c r="V355" s="22" t="n">
        <v>3.934</v>
      </c>
      <c r="W355" s="17" t="n">
        <v>216</v>
      </c>
      <c r="X355" s="17" t="n">
        <v>4</v>
      </c>
      <c r="Y355" s="20" t="n">
        <v>52818.19</v>
      </c>
      <c r="Z355" s="21" t="n">
        <v>0.0934</v>
      </c>
      <c r="AA355" s="16" t="n">
        <v>45047</v>
      </c>
      <c r="AB355" s="5">
        <f>IF(V355="","",IF(V355&lt;12,"Months","Weeks"))</f>
        <v/>
      </c>
      <c r="AC355" s="5">
        <f>IF(AB355="","",IF(AB355="Months","Daily","Weekly"))</f>
        <v/>
      </c>
      <c r="AD355" s="17">
        <f>IF(V355="","",IF(AC355="Daily",V355*Controls!$B$13,V355))</f>
        <v/>
      </c>
      <c r="AE355" s="17">
        <f>IF(V355="","",IF(AC355="Daily",V355*Controls!$B$13,V355*Controls!$B$12))</f>
        <v/>
      </c>
      <c r="AF355" s="17">
        <f>IF(OR(E355="",F355=""),"",F355-E355)</f>
        <v/>
      </c>
      <c r="AG355" s="17">
        <f>IF(OR(E355="",F355=""),"",NETWORKDAYS(E355,F355,Ref!$F$4:$F$47))</f>
        <v/>
      </c>
      <c r="AH355" s="39">
        <f>IF(IFERROR(VLOOKUP(D355,Controls!$A$25:$D$35,2,FALSE()),"No")="Yes",1,0)</f>
        <v/>
      </c>
      <c r="AI355" s="39">
        <f>IF(IFERROR(VLOOKUP(D355,Controls!$A$25:$D$35,3,FALSE()),"No")="Yes",1,0)</f>
        <v/>
      </c>
      <c r="AJ355" s="39">
        <f>IF(IFERROR(VLOOKUP(D355,Controls!$A$25:$D$35,4,FALSE()),"No")="Yes",1,0)</f>
        <v/>
      </c>
      <c r="AK355" s="96">
        <f>IF(AND($E355&gt;=Controls!$B$5,$E355&lt;=Controls!$B$6,OR(Controls!$E$9&lt;&gt;"Y",$BE355=1)),1,0)</f>
        <v/>
      </c>
      <c r="AL355" s="39">
        <f>1</f>
        <v/>
      </c>
      <c r="AM355" s="20">
        <f>S355-P355</f>
        <v/>
      </c>
      <c r="AN355" s="20">
        <f>IF(AH355=1,MAX(0,P355-S355),0)</f>
        <v/>
      </c>
      <c r="AO355" s="21">
        <f>IFERROR(S355/P355,"")</f>
        <v/>
      </c>
      <c r="AP355" s="22">
        <f>IF(Y355="","",P355/Y355)</f>
        <v/>
      </c>
      <c r="AQ355" s="39">
        <f>IF(Y355="",0,1)</f>
        <v/>
      </c>
      <c r="AR355" s="39">
        <f>IF(S355&lt;=0,1,0)</f>
        <v/>
      </c>
      <c r="AS355" s="17">
        <f>IF(AH355=1,AG355,"")</f>
        <v/>
      </c>
      <c r="AT355" s="17">
        <f>IF(AND(AH355=0,AJ355=1),AG355,"")</f>
        <v/>
      </c>
      <c r="AU355" s="5">
        <f>IF(P355&lt;10000,"Under $10K",IF(P355&lt;20000,"$10-20K",IF(P355&lt;30000,"$20-30K",IF(P355&lt;50000,"$30-50K",IF(P355&lt;100000,"$50-100K","$100K+")))))</f>
        <v/>
      </c>
      <c r="AV355" s="5">
        <f>IF(O355&lt;=1.35,"1.35 and under",IF(O355&lt;=1.42,"1.36-1.42",IF(O355&lt;=1.45,"1.43-1.45",IF(O355&lt;1.49,"1.46-1.48",IF(O355&lt;=1.49,"1.49","Above 1.49")))))</f>
        <v/>
      </c>
      <c r="AW355" s="5">
        <f>IF(AE355="","",IF(AE355&lt;60,"Under 60",IF(AE355&lt;90,"60-89",IF(AE355&lt;120,"90-119",IF(AE355&lt;150,"120-149","150+")))))</f>
        <v/>
      </c>
      <c r="AX355" s="5">
        <f>IF(AP355="","No revenue data",IF(AP355&lt;0.15,"Under 0.15x",IF(AP355&lt;0.3,"0.15-0.30x",IF(AP355&lt;0.5,"0.30-0.50x",IF(AP355&lt;1,"0.50-1.00x","1.00x+")))))</f>
        <v/>
      </c>
      <c r="AY355" s="5">
        <f>IF(J355="","No SIC",IFERROR(VLOOKUP(J355,Ref!$A$4:$C$67,2,FALSE()),"Unclassified"))</f>
        <v/>
      </c>
      <c r="AZ355" s="5">
        <f>IF(E355="","",TEXT(E355,"YYYY")&amp;"-Q"&amp;ROUNDUP(MONTH(E355)/3,0))</f>
        <v/>
      </c>
      <c r="BA355" s="5">
        <f>IF(E355="","",TEXT(E355,"YYYY-MM"))</f>
        <v/>
      </c>
      <c r="BB355" s="5">
        <f>IF(E355="","",TEXT(E355,"YYYY"))</f>
        <v/>
      </c>
      <c r="BC355" s="92">
        <f>IF($E355="","",NETWORKDAYS($E355,Controls!$B$9,Ref!$F$4:$F$47))</f>
        <v/>
      </c>
      <c r="BD355" s="92">
        <f>IF(OR($AH355=1,$AJ355=1),1,0)</f>
        <v/>
      </c>
      <c r="BE355" s="95">
        <f>IF(OR($BD355=1,AND($AE355&lt;&gt;"",$BC355&gt;=Controls!$B$10*$AE355)),1,0)</f>
        <v/>
      </c>
    </row>
    <row r="356" ht="15.75" customHeight="1" s="79">
      <c r="A356" s="5" t="inlineStr">
        <is>
          <t>5674171580</t>
        </is>
      </c>
      <c r="B356" s="5" t="inlineStr">
        <is>
          <t>J&amp;S ENTERPRISES UNLIMITED LLC</t>
        </is>
      </c>
      <c r="C356" s="5" t="inlineStr">
        <is>
          <t>J&amp;S ENTERPRISES UNLIMITED LLC</t>
        </is>
      </c>
      <c r="D356" s="5" t="inlineStr">
        <is>
          <t>Legal</t>
        </is>
      </c>
      <c r="E356" s="16" t="n">
        <v>45979</v>
      </c>
      <c r="F356" s="16" t="n">
        <v>46045</v>
      </c>
      <c r="G356" s="17" t="n">
        <v>4</v>
      </c>
      <c r="H356" s="5" t="inlineStr">
        <is>
          <t>4212</t>
        </is>
      </c>
      <c r="I356" s="5" t="inlineStr">
        <is>
          <t>Specialized Freight (Except Used Goods) Trucking, Local</t>
        </is>
      </c>
      <c r="J356" s="5" t="inlineStr">
        <is>
          <t>42</t>
        </is>
      </c>
      <c r="K356" s="5" t="n">
        <v>4214</v>
      </c>
      <c r="L356" s="5" t="inlineStr">
        <is>
          <t>TX</t>
        </is>
      </c>
      <c r="M356" s="5" t="inlineStr">
        <is>
          <t>legacy funding llc</t>
        </is>
      </c>
      <c r="N356" s="5" t="inlineStr">
        <is>
          <t>New Deal</t>
        </is>
      </c>
      <c r="O356" s="19" t="n">
        <v>1.499</v>
      </c>
      <c r="P356" s="20" t="n">
        <v>10000</v>
      </c>
      <c r="Q356" s="20" t="n">
        <v>1400</v>
      </c>
      <c r="R356" s="20" t="n">
        <v>14990</v>
      </c>
      <c r="S356" s="20" t="n">
        <v>2513.2</v>
      </c>
      <c r="T356" s="20" t="n">
        <v>12476.8</v>
      </c>
      <c r="U356" s="21" t="n">
        <v>0.167658438959306</v>
      </c>
      <c r="V356" s="22" t="n">
        <v>2.623</v>
      </c>
      <c r="W356" s="17" t="n">
        <v>238</v>
      </c>
      <c r="X356" s="17" t="n">
        <v>20</v>
      </c>
      <c r="Y356" s="20" t="n">
        <v>66037.17</v>
      </c>
      <c r="Z356" s="21" t="n">
        <v>0.0592</v>
      </c>
      <c r="AA356" s="5" t="n"/>
      <c r="AB356" s="5">
        <f>IF(V356="","",IF(V356&lt;12,"Months","Weeks"))</f>
        <v/>
      </c>
      <c r="AC356" s="5">
        <f>IF(AB356="","",IF(AB356="Months","Daily","Weekly"))</f>
        <v/>
      </c>
      <c r="AD356" s="17">
        <f>IF(V356="","",IF(AC356="Daily",V356*Controls!$B$13,V356))</f>
        <v/>
      </c>
      <c r="AE356" s="17">
        <f>IF(V356="","",IF(AC356="Daily",V356*Controls!$B$13,V356*Controls!$B$12))</f>
        <v/>
      </c>
      <c r="AF356" s="17">
        <f>IF(OR(E356="",F356=""),"",F356-E356)</f>
        <v/>
      </c>
      <c r="AG356" s="17">
        <f>IF(OR(E356="",F356=""),"",NETWORKDAYS(E356,F356,Ref!$F$4:$F$47))</f>
        <v/>
      </c>
      <c r="AH356" s="39">
        <f>IF(IFERROR(VLOOKUP(D356,Controls!$A$25:$D$35,2,FALSE()),"No")="Yes",1,0)</f>
        <v/>
      </c>
      <c r="AI356" s="39">
        <f>IF(IFERROR(VLOOKUP(D356,Controls!$A$25:$D$35,3,FALSE()),"No")="Yes",1,0)</f>
        <v/>
      </c>
      <c r="AJ356" s="39">
        <f>IF(IFERROR(VLOOKUP(D356,Controls!$A$25:$D$35,4,FALSE()),"No")="Yes",1,0)</f>
        <v/>
      </c>
      <c r="AK356" s="96">
        <f>IF(AND($E356&gt;=Controls!$B$5,$E356&lt;=Controls!$B$6,OR(Controls!$E$9&lt;&gt;"Y",$BE356=1)),1,0)</f>
        <v/>
      </c>
      <c r="AL356" s="39">
        <f>1</f>
        <v/>
      </c>
      <c r="AM356" s="20">
        <f>S356-P356</f>
        <v/>
      </c>
      <c r="AN356" s="20">
        <f>IF(AH356=1,MAX(0,P356-S356),0)</f>
        <v/>
      </c>
      <c r="AO356" s="21">
        <f>IFERROR(S356/P356,"")</f>
        <v/>
      </c>
      <c r="AP356" s="22">
        <f>IF(Y356="","",P356/Y356)</f>
        <v/>
      </c>
      <c r="AQ356" s="39">
        <f>IF(Y356="",0,1)</f>
        <v/>
      </c>
      <c r="AR356" s="39">
        <f>IF(S356&lt;=0,1,0)</f>
        <v/>
      </c>
      <c r="AS356" s="17">
        <f>IF(AH356=1,AG356,"")</f>
        <v/>
      </c>
      <c r="AT356" s="17">
        <f>IF(AND(AH356=0,AJ356=1),AG356,"")</f>
        <v/>
      </c>
      <c r="AU356" s="5">
        <f>IF(P356&lt;10000,"Under $10K",IF(P356&lt;20000,"$10-20K",IF(P356&lt;30000,"$20-30K",IF(P356&lt;50000,"$30-50K",IF(P356&lt;100000,"$50-100K","$100K+")))))</f>
        <v/>
      </c>
      <c r="AV356" s="5">
        <f>IF(O356&lt;=1.35,"1.35 and under",IF(O356&lt;=1.42,"1.36-1.42",IF(O356&lt;=1.45,"1.43-1.45",IF(O356&lt;1.49,"1.46-1.48",IF(O356&lt;=1.49,"1.49","Above 1.49")))))</f>
        <v/>
      </c>
      <c r="AW356" s="5">
        <f>IF(AE356="","",IF(AE356&lt;60,"Under 60",IF(AE356&lt;90,"60-89",IF(AE356&lt;120,"90-119",IF(AE356&lt;150,"120-149","150+")))))</f>
        <v/>
      </c>
      <c r="AX356" s="5">
        <f>IF(AP356="","No revenue data",IF(AP356&lt;0.15,"Under 0.15x",IF(AP356&lt;0.3,"0.15-0.30x",IF(AP356&lt;0.5,"0.30-0.50x",IF(AP356&lt;1,"0.50-1.00x","1.00x+")))))</f>
        <v/>
      </c>
      <c r="AY356" s="5">
        <f>IF(J356="","No SIC",IFERROR(VLOOKUP(J356,Ref!$A$4:$C$67,2,FALSE()),"Unclassified"))</f>
        <v/>
      </c>
      <c r="AZ356" s="5">
        <f>IF(E356="","",TEXT(E356,"YYYY")&amp;"-Q"&amp;ROUNDUP(MONTH(E356)/3,0))</f>
        <v/>
      </c>
      <c r="BA356" s="5">
        <f>IF(E356="","",TEXT(E356,"YYYY-MM"))</f>
        <v/>
      </c>
      <c r="BB356" s="5">
        <f>IF(E356="","",TEXT(E356,"YYYY"))</f>
        <v/>
      </c>
      <c r="BC356" s="92">
        <f>IF($E356="","",NETWORKDAYS($E356,Controls!$B$9,Ref!$F$4:$F$47))</f>
        <v/>
      </c>
      <c r="BD356" s="92">
        <f>IF(OR($AH356=1,$AJ356=1),1,0)</f>
        <v/>
      </c>
      <c r="BE356" s="95">
        <f>IF(OR($BD356=1,AND($AE356&lt;&gt;"",$BC356&gt;=Controls!$B$10*$AE356)),1,0)</f>
        <v/>
      </c>
    </row>
    <row r="357" ht="15.75" customHeight="1" s="79">
      <c r="A357" s="5" t="inlineStr">
        <is>
          <t>5674171592</t>
        </is>
      </c>
      <c r="B357" s="5" t="inlineStr">
        <is>
          <t>Mamaw's Cafe &amp; Catering</t>
        </is>
      </c>
      <c r="C357" s="5" t="inlineStr">
        <is>
          <t>Mamaw's Cafe &amp; Catering</t>
        </is>
      </c>
      <c r="D357" s="5" t="inlineStr">
        <is>
          <t>Settlement Agreement</t>
        </is>
      </c>
      <c r="E357" s="16" t="n">
        <v>45979</v>
      </c>
      <c r="F357" s="16" t="n">
        <v>46251</v>
      </c>
      <c r="G357" s="17" t="n">
        <v>4</v>
      </c>
      <c r="H357" s="5" t="inlineStr">
        <is>
          <t>5812</t>
        </is>
      </c>
      <c r="I357" s="5" t="inlineStr">
        <is>
          <t>Snack and Nonalcoholic Beverage Bars</t>
        </is>
      </c>
      <c r="J357" s="5" t="inlineStr">
        <is>
          <t>58</t>
        </is>
      </c>
      <c r="K357" s="5" t="n">
        <v>5812</v>
      </c>
      <c r="L357" s="5" t="inlineStr">
        <is>
          <t>OK</t>
        </is>
      </c>
      <c r="M357" s="5" t="inlineStr">
        <is>
          <t>FundFlex</t>
        </is>
      </c>
      <c r="N357" s="5" t="inlineStr">
        <is>
          <t>New Deal</t>
        </is>
      </c>
      <c r="O357" s="19" t="n">
        <v>1.49</v>
      </c>
      <c r="P357" s="20" t="n">
        <v>22000</v>
      </c>
      <c r="Q357" s="20" t="n">
        <v>3080</v>
      </c>
      <c r="R357" s="20" t="n">
        <v>32780</v>
      </c>
      <c r="S357" s="20" t="n">
        <v>24449.85</v>
      </c>
      <c r="T357" s="20" t="n">
        <v>8330.15</v>
      </c>
      <c r="U357" s="21" t="n">
        <v>0.745877059182428</v>
      </c>
      <c r="V357" s="22" t="n">
        <v>2.951</v>
      </c>
      <c r="W357" s="17" t="n">
        <v>2</v>
      </c>
      <c r="X357" s="17" t="n">
        <v>24</v>
      </c>
      <c r="Y357" s="20" t="n">
        <v>101663.55</v>
      </c>
      <c r="Z357" s="21" t="n">
        <v>0.0752</v>
      </c>
      <c r="AA357" s="16" t="n">
        <v>45456</v>
      </c>
      <c r="AB357" s="5">
        <f>IF(V357="","",IF(V357&lt;12,"Months","Weeks"))</f>
        <v/>
      </c>
      <c r="AC357" s="5">
        <f>IF(AB357="","",IF(AB357="Months","Daily","Weekly"))</f>
        <v/>
      </c>
      <c r="AD357" s="17">
        <f>IF(V357="","",IF(AC357="Daily",V357*Controls!$B$13,V357))</f>
        <v/>
      </c>
      <c r="AE357" s="17">
        <f>IF(V357="","",IF(AC357="Daily",V357*Controls!$B$13,V357*Controls!$B$12))</f>
        <v/>
      </c>
      <c r="AF357" s="17">
        <f>IF(OR(E357="",F357=""),"",F357-E357)</f>
        <v/>
      </c>
      <c r="AG357" s="17">
        <f>IF(OR(E357="",F357=""),"",NETWORKDAYS(E357,F357,Ref!$F$4:$F$47))</f>
        <v/>
      </c>
      <c r="AH357" s="39">
        <f>IF(IFERROR(VLOOKUP(D357,Controls!$A$25:$D$35,2,FALSE()),"No")="Yes",1,0)</f>
        <v/>
      </c>
      <c r="AI357" s="39">
        <f>IF(IFERROR(VLOOKUP(D357,Controls!$A$25:$D$35,3,FALSE()),"No")="Yes",1,0)</f>
        <v/>
      </c>
      <c r="AJ357" s="39">
        <f>IF(IFERROR(VLOOKUP(D357,Controls!$A$25:$D$35,4,FALSE()),"No")="Yes",1,0)</f>
        <v/>
      </c>
      <c r="AK357" s="96">
        <f>IF(AND($E357&gt;=Controls!$B$5,$E357&lt;=Controls!$B$6,OR(Controls!$E$9&lt;&gt;"Y",$BE357=1)),1,0)</f>
        <v/>
      </c>
      <c r="AL357" s="39">
        <f>1</f>
        <v/>
      </c>
      <c r="AM357" s="20">
        <f>S357-P357</f>
        <v/>
      </c>
      <c r="AN357" s="20">
        <f>IF(AH357=1,MAX(0,P357-S357),0)</f>
        <v/>
      </c>
      <c r="AO357" s="21">
        <f>IFERROR(S357/P357,"")</f>
        <v/>
      </c>
      <c r="AP357" s="22">
        <f>IF(Y357="","",P357/Y357)</f>
        <v/>
      </c>
      <c r="AQ357" s="39">
        <f>IF(Y357="",0,1)</f>
        <v/>
      </c>
      <c r="AR357" s="39">
        <f>IF(S357&lt;=0,1,0)</f>
        <v/>
      </c>
      <c r="AS357" s="17">
        <f>IF(AH357=1,AG357,"")</f>
        <v/>
      </c>
      <c r="AT357" s="17">
        <f>IF(AND(AH357=0,AJ357=1),AG357,"")</f>
        <v/>
      </c>
      <c r="AU357" s="5">
        <f>IF(P357&lt;10000,"Under $10K",IF(P357&lt;20000,"$10-20K",IF(P357&lt;30000,"$20-30K",IF(P357&lt;50000,"$30-50K",IF(P357&lt;100000,"$50-100K","$100K+")))))</f>
        <v/>
      </c>
      <c r="AV357" s="5">
        <f>IF(O357&lt;=1.35,"1.35 and under",IF(O357&lt;=1.42,"1.36-1.42",IF(O357&lt;=1.45,"1.43-1.45",IF(O357&lt;1.49,"1.46-1.48",IF(O357&lt;=1.49,"1.49","Above 1.49")))))</f>
        <v/>
      </c>
      <c r="AW357" s="5">
        <f>IF(AE357="","",IF(AE357&lt;60,"Under 60",IF(AE357&lt;90,"60-89",IF(AE357&lt;120,"90-119",IF(AE357&lt;150,"120-149","150+")))))</f>
        <v/>
      </c>
      <c r="AX357" s="5">
        <f>IF(AP357="","No revenue data",IF(AP357&lt;0.15,"Under 0.15x",IF(AP357&lt;0.3,"0.15-0.30x",IF(AP357&lt;0.5,"0.30-0.50x",IF(AP357&lt;1,"0.50-1.00x","1.00x+")))))</f>
        <v/>
      </c>
      <c r="AY357" s="5">
        <f>IF(J357="","No SIC",IFERROR(VLOOKUP(J357,Ref!$A$4:$C$67,2,FALSE()),"Unclassified"))</f>
        <v/>
      </c>
      <c r="AZ357" s="5">
        <f>IF(E357="","",TEXT(E357,"YYYY")&amp;"-Q"&amp;ROUNDUP(MONTH(E357)/3,0))</f>
        <v/>
      </c>
      <c r="BA357" s="5">
        <f>IF(E357="","",TEXT(E357,"YYYY-MM"))</f>
        <v/>
      </c>
      <c r="BB357" s="5">
        <f>IF(E357="","",TEXT(E357,"YYYY"))</f>
        <v/>
      </c>
      <c r="BC357" s="92">
        <f>IF($E357="","",NETWORKDAYS($E357,Controls!$B$9,Ref!$F$4:$F$47))</f>
        <v/>
      </c>
      <c r="BD357" s="92">
        <f>IF(OR($AH357=1,$AJ357=1),1,0)</f>
        <v/>
      </c>
      <c r="BE357" s="95">
        <f>IF(OR($BD357=1,AND($AE357&lt;&gt;"",$BC357&gt;=Controls!$B$10*$AE357)),1,0)</f>
        <v/>
      </c>
    </row>
    <row r="358" ht="15.75" customHeight="1" s="79">
      <c r="A358" s="5" t="inlineStr">
        <is>
          <t>5674171596</t>
        </is>
      </c>
      <c r="B358" s="5" t="inlineStr">
        <is>
          <t>T AND T IRRIGATION</t>
        </is>
      </c>
      <c r="C358" s="5" t="inlineStr">
        <is>
          <t>EQUIPMENT AND ENGINEERING CORPORATION</t>
        </is>
      </c>
      <c r="D358" s="5" t="inlineStr">
        <is>
          <t>Legal</t>
        </is>
      </c>
      <c r="E358" s="16" t="n">
        <v>45979</v>
      </c>
      <c r="F358" s="16" t="n">
        <v>46202</v>
      </c>
      <c r="G358" s="17" t="n">
        <v>3</v>
      </c>
      <c r="H358" s="5" t="inlineStr">
        <is>
          <t>4971</t>
        </is>
      </c>
      <c r="I358" s="5" t="inlineStr">
        <is>
          <t>Water Supply and Irrigation Systems</t>
        </is>
      </c>
      <c r="J358" s="5" t="inlineStr">
        <is>
          <t>49</t>
        </is>
      </c>
      <c r="K358" s="5" t="n">
        <v>763</v>
      </c>
      <c r="L358" s="5" t="inlineStr">
        <is>
          <t>FL</t>
        </is>
      </c>
      <c r="M358" s="5" t="inlineStr">
        <is>
          <t>Fundwell</t>
        </is>
      </c>
      <c r="N358" s="5" t="inlineStr">
        <is>
          <t>New Deal</t>
        </is>
      </c>
      <c r="O358" s="19" t="n">
        <v>1.42</v>
      </c>
      <c r="P358" s="20" t="n">
        <v>150000</v>
      </c>
      <c r="Q358" s="20" t="n">
        <v>21000</v>
      </c>
      <c r="R358" s="20" t="n">
        <v>213000</v>
      </c>
      <c r="S358" s="20" t="n">
        <v>146909.96</v>
      </c>
      <c r="T358" s="20" t="n">
        <v>66090.03999999999</v>
      </c>
      <c r="U358" s="21" t="n">
        <v>0.689718122065728</v>
      </c>
      <c r="V358" s="22" t="n">
        <v>36</v>
      </c>
      <c r="W358" s="17" t="n">
        <v>51</v>
      </c>
      <c r="X358" s="17" t="n">
        <v>1</v>
      </c>
      <c r="Y358" s="20" t="n">
        <v>301146.98</v>
      </c>
      <c r="Z358" s="21" t="n">
        <v>0.0786</v>
      </c>
      <c r="AA358" s="5" t="n"/>
      <c r="AB358" s="5">
        <f>IF(V358="","",IF(V358&lt;12,"Months","Weeks"))</f>
        <v/>
      </c>
      <c r="AC358" s="5">
        <f>IF(AB358="","",IF(AB358="Months","Daily","Weekly"))</f>
        <v/>
      </c>
      <c r="AD358" s="17">
        <f>IF(V358="","",IF(AC358="Daily",V358*Controls!$B$13,V358))</f>
        <v/>
      </c>
      <c r="AE358" s="17">
        <f>IF(V358="","",IF(AC358="Daily",V358*Controls!$B$13,V358*Controls!$B$12))</f>
        <v/>
      </c>
      <c r="AF358" s="17">
        <f>IF(OR(E358="",F358=""),"",F358-E358)</f>
        <v/>
      </c>
      <c r="AG358" s="17">
        <f>IF(OR(E358="",F358=""),"",NETWORKDAYS(E358,F358,Ref!$F$4:$F$47))</f>
        <v/>
      </c>
      <c r="AH358" s="39">
        <f>IF(IFERROR(VLOOKUP(D358,Controls!$A$25:$D$35,2,FALSE()),"No")="Yes",1,0)</f>
        <v/>
      </c>
      <c r="AI358" s="39">
        <f>IF(IFERROR(VLOOKUP(D358,Controls!$A$25:$D$35,3,FALSE()),"No")="Yes",1,0)</f>
        <v/>
      </c>
      <c r="AJ358" s="39">
        <f>IF(IFERROR(VLOOKUP(D358,Controls!$A$25:$D$35,4,FALSE()),"No")="Yes",1,0)</f>
        <v/>
      </c>
      <c r="AK358" s="96">
        <f>IF(AND($E358&gt;=Controls!$B$5,$E358&lt;=Controls!$B$6,OR(Controls!$E$9&lt;&gt;"Y",$BE358=1)),1,0)</f>
        <v/>
      </c>
      <c r="AL358" s="39">
        <f>1</f>
        <v/>
      </c>
      <c r="AM358" s="20">
        <f>S358-P358</f>
        <v/>
      </c>
      <c r="AN358" s="20">
        <f>IF(AH358=1,MAX(0,P358-S358),0)</f>
        <v/>
      </c>
      <c r="AO358" s="21">
        <f>IFERROR(S358/P358,"")</f>
        <v/>
      </c>
      <c r="AP358" s="22">
        <f>IF(Y358="","",P358/Y358)</f>
        <v/>
      </c>
      <c r="AQ358" s="39">
        <f>IF(Y358="",0,1)</f>
        <v/>
      </c>
      <c r="AR358" s="39">
        <f>IF(S358&lt;=0,1,0)</f>
        <v/>
      </c>
      <c r="AS358" s="17">
        <f>IF(AH358=1,AG358,"")</f>
        <v/>
      </c>
      <c r="AT358" s="17">
        <f>IF(AND(AH358=0,AJ358=1),AG358,"")</f>
        <v/>
      </c>
      <c r="AU358" s="5">
        <f>IF(P358&lt;10000,"Under $10K",IF(P358&lt;20000,"$10-20K",IF(P358&lt;30000,"$20-30K",IF(P358&lt;50000,"$30-50K",IF(P358&lt;100000,"$50-100K","$100K+")))))</f>
        <v/>
      </c>
      <c r="AV358" s="5">
        <f>IF(O358&lt;=1.35,"1.35 and under",IF(O358&lt;=1.42,"1.36-1.42",IF(O358&lt;=1.45,"1.43-1.45",IF(O358&lt;1.49,"1.46-1.48",IF(O358&lt;=1.49,"1.49","Above 1.49")))))</f>
        <v/>
      </c>
      <c r="AW358" s="5">
        <f>IF(AE358="","",IF(AE358&lt;60,"Under 60",IF(AE358&lt;90,"60-89",IF(AE358&lt;120,"90-119",IF(AE358&lt;150,"120-149","150+")))))</f>
        <v/>
      </c>
      <c r="AX358" s="5">
        <f>IF(AP358="","No revenue data",IF(AP358&lt;0.15,"Under 0.15x",IF(AP358&lt;0.3,"0.15-0.30x",IF(AP358&lt;0.5,"0.30-0.50x",IF(AP358&lt;1,"0.50-1.00x","1.00x+")))))</f>
        <v/>
      </c>
      <c r="AY358" s="5">
        <f>IF(J358="","No SIC",IFERROR(VLOOKUP(J358,Ref!$A$4:$C$67,2,FALSE()),"Unclassified"))</f>
        <v/>
      </c>
      <c r="AZ358" s="5">
        <f>IF(E358="","",TEXT(E358,"YYYY")&amp;"-Q"&amp;ROUNDUP(MONTH(E358)/3,0))</f>
        <v/>
      </c>
      <c r="BA358" s="5">
        <f>IF(E358="","",TEXT(E358,"YYYY-MM"))</f>
        <v/>
      </c>
      <c r="BB358" s="5">
        <f>IF(E358="","",TEXT(E358,"YYYY"))</f>
        <v/>
      </c>
      <c r="BC358" s="92">
        <f>IF($E358="","",NETWORKDAYS($E358,Controls!$B$9,Ref!$F$4:$F$47))</f>
        <v/>
      </c>
      <c r="BD358" s="92">
        <f>IF(OR($AH358=1,$AJ358=1),1,0)</f>
        <v/>
      </c>
      <c r="BE358" s="95">
        <f>IF(OR($BD358=1,AND($AE358&lt;&gt;"",$BC358&gt;=Controls!$B$10*$AE358)),1,0)</f>
        <v/>
      </c>
    </row>
    <row r="359" ht="15.75" customHeight="1" s="79">
      <c r="A359" s="5" t="inlineStr">
        <is>
          <t>5674171598</t>
        </is>
      </c>
      <c r="B359" s="5" t="inlineStr">
        <is>
          <t>FOOTS CONSTRUCTION</t>
        </is>
      </c>
      <c r="C359" s="5" t="inlineStr">
        <is>
          <t>FOOTS CONSTRUCTION</t>
        </is>
      </c>
      <c r="D359" s="5" t="inlineStr">
        <is>
          <t>Legal</t>
        </is>
      </c>
      <c r="E359" s="16" t="n">
        <v>45979</v>
      </c>
      <c r="F359" s="16" t="n">
        <v>46036</v>
      </c>
      <c r="G359" s="17" t="n">
        <v>2</v>
      </c>
      <c r="H359" s="5" t="inlineStr">
        <is>
          <t>1521</t>
        </is>
      </c>
      <c r="I359" s="5" t="inlineStr">
        <is>
          <t>Residential Remodelers</t>
        </is>
      </c>
      <c r="J359" s="5" t="inlineStr">
        <is>
          <t>15</t>
        </is>
      </c>
      <c r="K359" s="5" t="n">
        <v>1520</v>
      </c>
      <c r="L359" s="5" t="inlineStr">
        <is>
          <t>GA</t>
        </is>
      </c>
      <c r="M359" s="5" t="inlineStr">
        <is>
          <t>Secure Capital Solutions 7</t>
        </is>
      </c>
      <c r="N359" s="5" t="inlineStr">
        <is>
          <t>New Deal</t>
        </is>
      </c>
      <c r="O359" s="19" t="n">
        <v>1.499</v>
      </c>
      <c r="P359" s="20" t="n">
        <v>5000</v>
      </c>
      <c r="Q359" s="20" t="n">
        <v>700</v>
      </c>
      <c r="R359" s="20" t="n">
        <v>7495</v>
      </c>
      <c r="S359" s="20" t="n">
        <v>653.52</v>
      </c>
      <c r="T359" s="20" t="n">
        <v>6841.48</v>
      </c>
      <c r="U359" s="21" t="n">
        <v>0.0871941294196131</v>
      </c>
      <c r="V359" s="22" t="n">
        <v>2.623</v>
      </c>
      <c r="W359" s="17" t="n">
        <v>260</v>
      </c>
      <c r="X359" s="17" t="n">
        <v>24</v>
      </c>
      <c r="Y359" s="20" t="n">
        <v>20088.64</v>
      </c>
      <c r="Z359" s="21" t="n">
        <v>0.09760000000000001</v>
      </c>
      <c r="AA359" s="16" t="n">
        <v>42401</v>
      </c>
      <c r="AB359" s="5">
        <f>IF(V359="","",IF(V359&lt;12,"Months","Weeks"))</f>
        <v/>
      </c>
      <c r="AC359" s="5">
        <f>IF(AB359="","",IF(AB359="Months","Daily","Weekly"))</f>
        <v/>
      </c>
      <c r="AD359" s="17">
        <f>IF(V359="","",IF(AC359="Daily",V359*Controls!$B$13,V359))</f>
        <v/>
      </c>
      <c r="AE359" s="17">
        <f>IF(V359="","",IF(AC359="Daily",V359*Controls!$B$13,V359*Controls!$B$12))</f>
        <v/>
      </c>
      <c r="AF359" s="17">
        <f>IF(OR(E359="",F359=""),"",F359-E359)</f>
        <v/>
      </c>
      <c r="AG359" s="17">
        <f>IF(OR(E359="",F359=""),"",NETWORKDAYS(E359,F359,Ref!$F$4:$F$47))</f>
        <v/>
      </c>
      <c r="AH359" s="39">
        <f>IF(IFERROR(VLOOKUP(D359,Controls!$A$25:$D$35,2,FALSE()),"No")="Yes",1,0)</f>
        <v/>
      </c>
      <c r="AI359" s="39">
        <f>IF(IFERROR(VLOOKUP(D359,Controls!$A$25:$D$35,3,FALSE()),"No")="Yes",1,0)</f>
        <v/>
      </c>
      <c r="AJ359" s="39">
        <f>IF(IFERROR(VLOOKUP(D359,Controls!$A$25:$D$35,4,FALSE()),"No")="Yes",1,0)</f>
        <v/>
      </c>
      <c r="AK359" s="96">
        <f>IF(AND($E359&gt;=Controls!$B$5,$E359&lt;=Controls!$B$6,OR(Controls!$E$9&lt;&gt;"Y",$BE359=1)),1,0)</f>
        <v/>
      </c>
      <c r="AL359" s="39">
        <f>1</f>
        <v/>
      </c>
      <c r="AM359" s="20">
        <f>S359-P359</f>
        <v/>
      </c>
      <c r="AN359" s="20">
        <f>IF(AH359=1,MAX(0,P359-S359),0)</f>
        <v/>
      </c>
      <c r="AO359" s="21">
        <f>IFERROR(S359/P359,"")</f>
        <v/>
      </c>
      <c r="AP359" s="22">
        <f>IF(Y359="","",P359/Y359)</f>
        <v/>
      </c>
      <c r="AQ359" s="39">
        <f>IF(Y359="",0,1)</f>
        <v/>
      </c>
      <c r="AR359" s="39">
        <f>IF(S359&lt;=0,1,0)</f>
        <v/>
      </c>
      <c r="AS359" s="17">
        <f>IF(AH359=1,AG359,"")</f>
        <v/>
      </c>
      <c r="AT359" s="17">
        <f>IF(AND(AH359=0,AJ359=1),AG359,"")</f>
        <v/>
      </c>
      <c r="AU359" s="5">
        <f>IF(P359&lt;10000,"Under $10K",IF(P359&lt;20000,"$10-20K",IF(P359&lt;30000,"$20-30K",IF(P359&lt;50000,"$30-50K",IF(P359&lt;100000,"$50-100K","$100K+")))))</f>
        <v/>
      </c>
      <c r="AV359" s="5">
        <f>IF(O359&lt;=1.35,"1.35 and under",IF(O359&lt;=1.42,"1.36-1.42",IF(O359&lt;=1.45,"1.43-1.45",IF(O359&lt;1.49,"1.46-1.48",IF(O359&lt;=1.49,"1.49","Above 1.49")))))</f>
        <v/>
      </c>
      <c r="AW359" s="5">
        <f>IF(AE359="","",IF(AE359&lt;60,"Under 60",IF(AE359&lt;90,"60-89",IF(AE359&lt;120,"90-119",IF(AE359&lt;150,"120-149","150+")))))</f>
        <v/>
      </c>
      <c r="AX359" s="5">
        <f>IF(AP359="","No revenue data",IF(AP359&lt;0.15,"Under 0.15x",IF(AP359&lt;0.3,"0.15-0.30x",IF(AP359&lt;0.5,"0.30-0.50x",IF(AP359&lt;1,"0.50-1.00x","1.00x+")))))</f>
        <v/>
      </c>
      <c r="AY359" s="5">
        <f>IF(J359="","No SIC",IFERROR(VLOOKUP(J359,Ref!$A$4:$C$67,2,FALSE()),"Unclassified"))</f>
        <v/>
      </c>
      <c r="AZ359" s="5">
        <f>IF(E359="","",TEXT(E359,"YYYY")&amp;"-Q"&amp;ROUNDUP(MONTH(E359)/3,0))</f>
        <v/>
      </c>
      <c r="BA359" s="5">
        <f>IF(E359="","",TEXT(E359,"YYYY-MM"))</f>
        <v/>
      </c>
      <c r="BB359" s="5">
        <f>IF(E359="","",TEXT(E359,"YYYY"))</f>
        <v/>
      </c>
      <c r="BC359" s="92">
        <f>IF($E359="","",NETWORKDAYS($E359,Controls!$B$9,Ref!$F$4:$F$47))</f>
        <v/>
      </c>
      <c r="BD359" s="92">
        <f>IF(OR($AH359=1,$AJ359=1),1,0)</f>
        <v/>
      </c>
      <c r="BE359" s="95">
        <f>IF(OR($BD359=1,AND($AE359&lt;&gt;"",$BC359&gt;=Controls!$B$10*$AE359)),1,0)</f>
        <v/>
      </c>
    </row>
    <row r="360" ht="15.75" customHeight="1" s="79">
      <c r="A360" s="5" t="inlineStr">
        <is>
          <t>5674171618</t>
        </is>
      </c>
      <c r="B360" s="5" t="inlineStr">
        <is>
          <t>BCD ACADEMY</t>
        </is>
      </c>
      <c r="C360" s="5" t="inlineStr">
        <is>
          <t>B.C.D ACADEMY LLC</t>
        </is>
      </c>
      <c r="D360" s="5" t="inlineStr">
        <is>
          <t>Closed</t>
        </is>
      </c>
      <c r="E360" s="16" t="n">
        <v>45979</v>
      </c>
      <c r="F360" s="16" t="n">
        <v>46050</v>
      </c>
      <c r="G360" s="17" t="n">
        <v>3</v>
      </c>
      <c r="H360" s="5" t="inlineStr">
        <is>
          <t>8211</t>
        </is>
      </c>
      <c r="I360" s="5" t="inlineStr">
        <is>
          <t>Elementary and Secondary Schools</t>
        </is>
      </c>
      <c r="J360" s="5" t="inlineStr">
        <is>
          <t>82</t>
        </is>
      </c>
      <c r="K360" s="5" t="n">
        <v>8211</v>
      </c>
      <c r="L360" s="5" t="inlineStr">
        <is>
          <t>CA</t>
        </is>
      </c>
      <c r="M360" s="5" t="inlineStr">
        <is>
          <t>Fundwell</t>
        </is>
      </c>
      <c r="N360" s="5" t="inlineStr">
        <is>
          <t>New Deal</t>
        </is>
      </c>
      <c r="O360" s="19" t="n">
        <v>1.4</v>
      </c>
      <c r="P360" s="20" t="n">
        <v>20000</v>
      </c>
      <c r="Q360" s="20" t="n">
        <v>2500</v>
      </c>
      <c r="R360" s="20" t="n">
        <v>28000</v>
      </c>
      <c r="S360" s="20" t="n">
        <v>28000</v>
      </c>
      <c r="T360" s="20" t="n">
        <v>0</v>
      </c>
      <c r="U360" s="21" t="n">
        <v>1</v>
      </c>
      <c r="V360" s="22" t="n">
        <v>20</v>
      </c>
      <c r="W360" s="17" t="n">
        <v>203</v>
      </c>
      <c r="X360" s="17" t="n">
        <v>0</v>
      </c>
      <c r="Y360" s="20" t="n">
        <v>37366.03</v>
      </c>
      <c r="Z360" s="21" t="n">
        <v>0.1499</v>
      </c>
      <c r="AA360" s="16" t="n">
        <v>45170</v>
      </c>
      <c r="AB360" s="5">
        <f>IF(V360="","",IF(V360&lt;12,"Months","Weeks"))</f>
        <v/>
      </c>
      <c r="AC360" s="5">
        <f>IF(AB360="","",IF(AB360="Months","Daily","Weekly"))</f>
        <v/>
      </c>
      <c r="AD360" s="17">
        <f>IF(V360="","",IF(AC360="Daily",V360*Controls!$B$13,V360))</f>
        <v/>
      </c>
      <c r="AE360" s="17">
        <f>IF(V360="","",IF(AC360="Daily",V360*Controls!$B$13,V360*Controls!$B$12))</f>
        <v/>
      </c>
      <c r="AF360" s="17">
        <f>IF(OR(E360="",F360=""),"",F360-E360)</f>
        <v/>
      </c>
      <c r="AG360" s="17">
        <f>IF(OR(E360="",F360=""),"",NETWORKDAYS(E360,F360,Ref!$F$4:$F$47))</f>
        <v/>
      </c>
      <c r="AH360" s="39">
        <f>IF(IFERROR(VLOOKUP(D360,Controls!$A$25:$D$35,2,FALSE()),"No")="Yes",1,0)</f>
        <v/>
      </c>
      <c r="AI360" s="39">
        <f>IF(IFERROR(VLOOKUP(D360,Controls!$A$25:$D$35,3,FALSE()),"No")="Yes",1,0)</f>
        <v/>
      </c>
      <c r="AJ360" s="39">
        <f>IF(IFERROR(VLOOKUP(D360,Controls!$A$25:$D$35,4,FALSE()),"No")="Yes",1,0)</f>
        <v/>
      </c>
      <c r="AK360" s="96">
        <f>IF(AND($E360&gt;=Controls!$B$5,$E360&lt;=Controls!$B$6,OR(Controls!$E$9&lt;&gt;"Y",$BE360=1)),1,0)</f>
        <v/>
      </c>
      <c r="AL360" s="39">
        <f>1</f>
        <v/>
      </c>
      <c r="AM360" s="20">
        <f>S360-P360</f>
        <v/>
      </c>
      <c r="AN360" s="20">
        <f>IF(AH360=1,MAX(0,P360-S360),0)</f>
        <v/>
      </c>
      <c r="AO360" s="21">
        <f>IFERROR(S360/P360,"")</f>
        <v/>
      </c>
      <c r="AP360" s="22">
        <f>IF(Y360="","",P360/Y360)</f>
        <v/>
      </c>
      <c r="AQ360" s="39">
        <f>IF(Y360="",0,1)</f>
        <v/>
      </c>
      <c r="AR360" s="39">
        <f>IF(S360&lt;=0,1,0)</f>
        <v/>
      </c>
      <c r="AS360" s="17">
        <f>IF(AH360=1,AG360,"")</f>
        <v/>
      </c>
      <c r="AT360" s="17">
        <f>IF(AND(AH360=0,AJ360=1),AG360,"")</f>
        <v/>
      </c>
      <c r="AU360" s="5">
        <f>IF(P360&lt;10000,"Under $10K",IF(P360&lt;20000,"$10-20K",IF(P360&lt;30000,"$20-30K",IF(P360&lt;50000,"$30-50K",IF(P360&lt;100000,"$50-100K","$100K+")))))</f>
        <v/>
      </c>
      <c r="AV360" s="5">
        <f>IF(O360&lt;=1.35,"1.35 and under",IF(O360&lt;=1.42,"1.36-1.42",IF(O360&lt;=1.45,"1.43-1.45",IF(O360&lt;1.49,"1.46-1.48",IF(O360&lt;=1.49,"1.49","Above 1.49")))))</f>
        <v/>
      </c>
      <c r="AW360" s="5">
        <f>IF(AE360="","",IF(AE360&lt;60,"Under 60",IF(AE360&lt;90,"60-89",IF(AE360&lt;120,"90-119",IF(AE360&lt;150,"120-149","150+")))))</f>
        <v/>
      </c>
      <c r="AX360" s="5">
        <f>IF(AP360="","No revenue data",IF(AP360&lt;0.15,"Under 0.15x",IF(AP360&lt;0.3,"0.15-0.30x",IF(AP360&lt;0.5,"0.30-0.50x",IF(AP360&lt;1,"0.50-1.00x","1.00x+")))))</f>
        <v/>
      </c>
      <c r="AY360" s="5">
        <f>IF(J360="","No SIC",IFERROR(VLOOKUP(J360,Ref!$A$4:$C$67,2,FALSE()),"Unclassified"))</f>
        <v/>
      </c>
      <c r="AZ360" s="5">
        <f>IF(E360="","",TEXT(E360,"YYYY")&amp;"-Q"&amp;ROUNDUP(MONTH(E360)/3,0))</f>
        <v/>
      </c>
      <c r="BA360" s="5">
        <f>IF(E360="","",TEXT(E360,"YYYY-MM"))</f>
        <v/>
      </c>
      <c r="BB360" s="5">
        <f>IF(E360="","",TEXT(E360,"YYYY"))</f>
        <v/>
      </c>
      <c r="BC360" s="92">
        <f>IF($E360="","",NETWORKDAYS($E360,Controls!$B$9,Ref!$F$4:$F$47))</f>
        <v/>
      </c>
      <c r="BD360" s="92">
        <f>IF(OR($AH360=1,$AJ360=1),1,0)</f>
        <v/>
      </c>
      <c r="BE360" s="95">
        <f>IF(OR($BD360=1,AND($AE360&lt;&gt;"",$BC360&gt;=Controls!$B$10*$AE360)),1,0)</f>
        <v/>
      </c>
    </row>
    <row r="361" ht="15.75" customHeight="1" s="79">
      <c r="A361" s="5" t="inlineStr">
        <is>
          <t>5674171654</t>
        </is>
      </c>
      <c r="B361" s="5" t="inlineStr">
        <is>
          <t>Humble Baron</t>
        </is>
      </c>
      <c r="C361" s="5" t="inlineStr">
        <is>
          <t>HUMBLE BARON INC</t>
        </is>
      </c>
      <c r="D361" s="5" t="inlineStr">
        <is>
          <t>Bankruptcy</t>
        </is>
      </c>
      <c r="E361" s="16" t="n">
        <v>45980</v>
      </c>
      <c r="F361" s="16" t="n">
        <v>46168</v>
      </c>
      <c r="G361" s="17" t="n">
        <v>1</v>
      </c>
      <c r="H361" s="5" t="inlineStr">
        <is>
          <t>5813</t>
        </is>
      </c>
      <c r="I361" s="5" t="inlineStr">
        <is>
          <t>Drinking Places (Alcoholic Beverages)</t>
        </is>
      </c>
      <c r="J361" s="5" t="inlineStr">
        <is>
          <t>58</t>
        </is>
      </c>
      <c r="K361" s="5" t="n">
        <v>5813</v>
      </c>
      <c r="L361" s="5" t="inlineStr">
        <is>
          <t>TN</t>
        </is>
      </c>
      <c r="M361" s="5" t="inlineStr">
        <is>
          <t>Advance Consolidations</t>
        </is>
      </c>
      <c r="N361" s="5" t="inlineStr">
        <is>
          <t>New Deal</t>
        </is>
      </c>
      <c r="O361" s="19" t="n">
        <v>1.41</v>
      </c>
      <c r="P361" s="20" t="n">
        <v>100000</v>
      </c>
      <c r="Q361" s="20" t="n">
        <v>10000</v>
      </c>
      <c r="R361" s="20" t="n">
        <v>141000</v>
      </c>
      <c r="S361" s="20" t="n">
        <v>47517.15</v>
      </c>
      <c r="T361" s="20" t="n">
        <v>93482.85000000001</v>
      </c>
      <c r="U361" s="21" t="n">
        <v>0.337001063829787</v>
      </c>
      <c r="V361" s="22" t="n">
        <v>35</v>
      </c>
      <c r="W361" s="17" t="n">
        <v>134</v>
      </c>
      <c r="X361" s="17" t="n">
        <v>64</v>
      </c>
      <c r="Y361" s="20" t="n">
        <v>309166.2</v>
      </c>
      <c r="Z361" s="21" t="n">
        <v>0.0521</v>
      </c>
      <c r="AA361" s="16" t="n">
        <v>44256</v>
      </c>
      <c r="AB361" s="5">
        <f>IF(V361="","",IF(V361&lt;12,"Months","Weeks"))</f>
        <v/>
      </c>
      <c r="AC361" s="5">
        <f>IF(AB361="","",IF(AB361="Months","Daily","Weekly"))</f>
        <v/>
      </c>
      <c r="AD361" s="17">
        <f>IF(V361="","",IF(AC361="Daily",V361*Controls!$B$13,V361))</f>
        <v/>
      </c>
      <c r="AE361" s="17">
        <f>IF(V361="","",IF(AC361="Daily",V361*Controls!$B$13,V361*Controls!$B$12))</f>
        <v/>
      </c>
      <c r="AF361" s="17">
        <f>IF(OR(E361="",F361=""),"",F361-E361)</f>
        <v/>
      </c>
      <c r="AG361" s="17">
        <f>IF(OR(E361="",F361=""),"",NETWORKDAYS(E361,F361,Ref!$F$4:$F$47))</f>
        <v/>
      </c>
      <c r="AH361" s="39">
        <f>IF(IFERROR(VLOOKUP(D361,Controls!$A$25:$D$35,2,FALSE()),"No")="Yes",1,0)</f>
        <v/>
      </c>
      <c r="AI361" s="39">
        <f>IF(IFERROR(VLOOKUP(D361,Controls!$A$25:$D$35,3,FALSE()),"No")="Yes",1,0)</f>
        <v/>
      </c>
      <c r="AJ361" s="39">
        <f>IF(IFERROR(VLOOKUP(D361,Controls!$A$25:$D$35,4,FALSE()),"No")="Yes",1,0)</f>
        <v/>
      </c>
      <c r="AK361" s="96">
        <f>IF(AND($E361&gt;=Controls!$B$5,$E361&lt;=Controls!$B$6,OR(Controls!$E$9&lt;&gt;"Y",$BE361=1)),1,0)</f>
        <v/>
      </c>
      <c r="AL361" s="39">
        <f>1</f>
        <v/>
      </c>
      <c r="AM361" s="20">
        <f>S361-P361</f>
        <v/>
      </c>
      <c r="AN361" s="20">
        <f>IF(AH361=1,MAX(0,P361-S361),0)</f>
        <v/>
      </c>
      <c r="AO361" s="21">
        <f>IFERROR(S361/P361,"")</f>
        <v/>
      </c>
      <c r="AP361" s="22">
        <f>IF(Y361="","",P361/Y361)</f>
        <v/>
      </c>
      <c r="AQ361" s="39">
        <f>IF(Y361="",0,1)</f>
        <v/>
      </c>
      <c r="AR361" s="39">
        <f>IF(S361&lt;=0,1,0)</f>
        <v/>
      </c>
      <c r="AS361" s="17">
        <f>IF(AH361=1,AG361,"")</f>
        <v/>
      </c>
      <c r="AT361" s="17">
        <f>IF(AND(AH361=0,AJ361=1),AG361,"")</f>
        <v/>
      </c>
      <c r="AU361" s="5">
        <f>IF(P361&lt;10000,"Under $10K",IF(P361&lt;20000,"$10-20K",IF(P361&lt;30000,"$20-30K",IF(P361&lt;50000,"$30-50K",IF(P361&lt;100000,"$50-100K","$100K+")))))</f>
        <v/>
      </c>
      <c r="AV361" s="5">
        <f>IF(O361&lt;=1.35,"1.35 and under",IF(O361&lt;=1.42,"1.36-1.42",IF(O361&lt;=1.45,"1.43-1.45",IF(O361&lt;1.49,"1.46-1.48",IF(O361&lt;=1.49,"1.49","Above 1.49")))))</f>
        <v/>
      </c>
      <c r="AW361" s="5">
        <f>IF(AE361="","",IF(AE361&lt;60,"Under 60",IF(AE361&lt;90,"60-89",IF(AE361&lt;120,"90-119",IF(AE361&lt;150,"120-149","150+")))))</f>
        <v/>
      </c>
      <c r="AX361" s="5">
        <f>IF(AP361="","No revenue data",IF(AP361&lt;0.15,"Under 0.15x",IF(AP361&lt;0.3,"0.15-0.30x",IF(AP361&lt;0.5,"0.30-0.50x",IF(AP361&lt;1,"0.50-1.00x","1.00x+")))))</f>
        <v/>
      </c>
      <c r="AY361" s="5">
        <f>IF(J361="","No SIC",IFERROR(VLOOKUP(J361,Ref!$A$4:$C$67,2,FALSE()),"Unclassified"))</f>
        <v/>
      </c>
      <c r="AZ361" s="5">
        <f>IF(E361="","",TEXT(E361,"YYYY")&amp;"-Q"&amp;ROUNDUP(MONTH(E361)/3,0))</f>
        <v/>
      </c>
      <c r="BA361" s="5">
        <f>IF(E361="","",TEXT(E361,"YYYY-MM"))</f>
        <v/>
      </c>
      <c r="BB361" s="5">
        <f>IF(E361="","",TEXT(E361,"YYYY"))</f>
        <v/>
      </c>
      <c r="BC361" s="92">
        <f>IF($E361="","",NETWORKDAYS($E361,Controls!$B$9,Ref!$F$4:$F$47))</f>
        <v/>
      </c>
      <c r="BD361" s="92">
        <f>IF(OR($AH361=1,$AJ361=1),1,0)</f>
        <v/>
      </c>
      <c r="BE361" s="95">
        <f>IF(OR($BD361=1,AND($AE361&lt;&gt;"",$BC361&gt;=Controls!$B$10*$AE361)),1,0)</f>
        <v/>
      </c>
    </row>
    <row r="362" ht="15.75" customHeight="1" s="79">
      <c r="A362" s="5" t="inlineStr">
        <is>
          <t>5674171672</t>
        </is>
      </c>
      <c r="B362" s="5" t="inlineStr">
        <is>
          <t>Exquisite Bride, LLC</t>
        </is>
      </c>
      <c r="C362" s="5" t="inlineStr">
        <is>
          <t>Exquisite Bride, LLC</t>
        </is>
      </c>
      <c r="D362" s="5" t="inlineStr">
        <is>
          <t>Closed</t>
        </is>
      </c>
      <c r="E362" s="16" t="n">
        <v>45980</v>
      </c>
      <c r="F362" s="16" t="n">
        <v>46029</v>
      </c>
      <c r="G362" s="17" t="n">
        <v>1</v>
      </c>
      <c r="H362" s="5" t="inlineStr">
        <is>
          <t>5999</t>
        </is>
      </c>
      <c r="I362" s="5" t="inlineStr">
        <is>
          <t>All Other Misc. Store Retailers (Except Tobacco Stores)</t>
        </is>
      </c>
      <c r="J362" s="5" t="inlineStr">
        <is>
          <t>59</t>
        </is>
      </c>
      <c r="K362" s="5" t="n">
        <v>5999</v>
      </c>
      <c r="L362" s="5" t="inlineStr">
        <is>
          <t>TX</t>
        </is>
      </c>
      <c r="M362" s="5" t="inlineStr">
        <is>
          <t>Viking Funding LLC</t>
        </is>
      </c>
      <c r="N362" s="5" t="inlineStr">
        <is>
          <t>New Deal</t>
        </is>
      </c>
      <c r="O362" s="19" t="n">
        <v>1.499</v>
      </c>
      <c r="P362" s="20" t="n">
        <v>10000</v>
      </c>
      <c r="Q362" s="20" t="n">
        <v>1400</v>
      </c>
      <c r="R362" s="20" t="n">
        <v>14990</v>
      </c>
      <c r="S362" s="20" t="n">
        <v>14990</v>
      </c>
      <c r="T362" s="20" t="n">
        <v>1.81898940354586e-12</v>
      </c>
      <c r="U362" s="21" t="n">
        <v>1</v>
      </c>
      <c r="V362" s="22" t="n">
        <v>2.951</v>
      </c>
      <c r="W362" s="17" t="n">
        <v>224</v>
      </c>
      <c r="X362" s="17" t="n">
        <v>8</v>
      </c>
      <c r="Y362" s="20" t="n">
        <v>38438.18</v>
      </c>
      <c r="Z362" s="21" t="n">
        <v>0.0905</v>
      </c>
      <c r="AA362" s="16" t="n">
        <v>44562</v>
      </c>
      <c r="AB362" s="5">
        <f>IF(V362="","",IF(V362&lt;12,"Months","Weeks"))</f>
        <v/>
      </c>
      <c r="AC362" s="5">
        <f>IF(AB362="","",IF(AB362="Months","Daily","Weekly"))</f>
        <v/>
      </c>
      <c r="AD362" s="17">
        <f>IF(V362="","",IF(AC362="Daily",V362*Controls!$B$13,V362))</f>
        <v/>
      </c>
      <c r="AE362" s="17">
        <f>IF(V362="","",IF(AC362="Daily",V362*Controls!$B$13,V362*Controls!$B$12))</f>
        <v/>
      </c>
      <c r="AF362" s="17">
        <f>IF(OR(E362="",F362=""),"",F362-E362)</f>
        <v/>
      </c>
      <c r="AG362" s="17">
        <f>IF(OR(E362="",F362=""),"",NETWORKDAYS(E362,F362,Ref!$F$4:$F$47))</f>
        <v/>
      </c>
      <c r="AH362" s="39">
        <f>IF(IFERROR(VLOOKUP(D362,Controls!$A$25:$D$35,2,FALSE()),"No")="Yes",1,0)</f>
        <v/>
      </c>
      <c r="AI362" s="39">
        <f>IF(IFERROR(VLOOKUP(D362,Controls!$A$25:$D$35,3,FALSE()),"No")="Yes",1,0)</f>
        <v/>
      </c>
      <c r="AJ362" s="39">
        <f>IF(IFERROR(VLOOKUP(D362,Controls!$A$25:$D$35,4,FALSE()),"No")="Yes",1,0)</f>
        <v/>
      </c>
      <c r="AK362" s="96">
        <f>IF(AND($E362&gt;=Controls!$B$5,$E362&lt;=Controls!$B$6,OR(Controls!$E$9&lt;&gt;"Y",$BE362=1)),1,0)</f>
        <v/>
      </c>
      <c r="AL362" s="39">
        <f>1</f>
        <v/>
      </c>
      <c r="AM362" s="20">
        <f>S362-P362</f>
        <v/>
      </c>
      <c r="AN362" s="20">
        <f>IF(AH362=1,MAX(0,P362-S362),0)</f>
        <v/>
      </c>
      <c r="AO362" s="21">
        <f>IFERROR(S362/P362,"")</f>
        <v/>
      </c>
      <c r="AP362" s="22">
        <f>IF(Y362="","",P362/Y362)</f>
        <v/>
      </c>
      <c r="AQ362" s="39">
        <f>IF(Y362="",0,1)</f>
        <v/>
      </c>
      <c r="AR362" s="39">
        <f>IF(S362&lt;=0,1,0)</f>
        <v/>
      </c>
      <c r="AS362" s="17">
        <f>IF(AH362=1,AG362,"")</f>
        <v/>
      </c>
      <c r="AT362" s="17">
        <f>IF(AND(AH362=0,AJ362=1),AG362,"")</f>
        <v/>
      </c>
      <c r="AU362" s="5">
        <f>IF(P362&lt;10000,"Under $10K",IF(P362&lt;20000,"$10-20K",IF(P362&lt;30000,"$20-30K",IF(P362&lt;50000,"$30-50K",IF(P362&lt;100000,"$50-100K","$100K+")))))</f>
        <v/>
      </c>
      <c r="AV362" s="5">
        <f>IF(O362&lt;=1.35,"1.35 and under",IF(O362&lt;=1.42,"1.36-1.42",IF(O362&lt;=1.45,"1.43-1.45",IF(O362&lt;1.49,"1.46-1.48",IF(O362&lt;=1.49,"1.49","Above 1.49")))))</f>
        <v/>
      </c>
      <c r="AW362" s="5">
        <f>IF(AE362="","",IF(AE362&lt;60,"Under 60",IF(AE362&lt;90,"60-89",IF(AE362&lt;120,"90-119",IF(AE362&lt;150,"120-149","150+")))))</f>
        <v/>
      </c>
      <c r="AX362" s="5">
        <f>IF(AP362="","No revenue data",IF(AP362&lt;0.15,"Under 0.15x",IF(AP362&lt;0.3,"0.15-0.30x",IF(AP362&lt;0.5,"0.30-0.50x",IF(AP362&lt;1,"0.50-1.00x","1.00x+")))))</f>
        <v/>
      </c>
      <c r="AY362" s="5">
        <f>IF(J362="","No SIC",IFERROR(VLOOKUP(J362,Ref!$A$4:$C$67,2,FALSE()),"Unclassified"))</f>
        <v/>
      </c>
      <c r="AZ362" s="5">
        <f>IF(E362="","",TEXT(E362,"YYYY")&amp;"-Q"&amp;ROUNDUP(MONTH(E362)/3,0))</f>
        <v/>
      </c>
      <c r="BA362" s="5">
        <f>IF(E362="","",TEXT(E362,"YYYY-MM"))</f>
        <v/>
      </c>
      <c r="BB362" s="5">
        <f>IF(E362="","",TEXT(E362,"YYYY"))</f>
        <v/>
      </c>
      <c r="BC362" s="92">
        <f>IF($E362="","",NETWORKDAYS($E362,Controls!$B$9,Ref!$F$4:$F$47))</f>
        <v/>
      </c>
      <c r="BD362" s="92">
        <f>IF(OR($AH362=1,$AJ362=1),1,0)</f>
        <v/>
      </c>
      <c r="BE362" s="95">
        <f>IF(OR($BD362=1,AND($AE362&lt;&gt;"",$BC362&gt;=Controls!$B$10*$AE362)),1,0)</f>
        <v/>
      </c>
    </row>
    <row r="363" ht="15.75" customHeight="1" s="79">
      <c r="A363" s="5" t="inlineStr">
        <is>
          <t>5674171716</t>
        </is>
      </c>
      <c r="B363" s="5" t="inlineStr">
        <is>
          <t>Diamond Painting Llc</t>
        </is>
      </c>
      <c r="C363" s="5" t="inlineStr">
        <is>
          <t>Diamond Painting Llc</t>
        </is>
      </c>
      <c r="D363" s="5" t="inlineStr">
        <is>
          <t>Legal</t>
        </is>
      </c>
      <c r="E363" s="16" t="n">
        <v>45980</v>
      </c>
      <c r="F363" s="16" t="n">
        <v>45995</v>
      </c>
      <c r="G363" s="17" t="n">
        <v>3</v>
      </c>
      <c r="H363" s="5" t="inlineStr">
        <is>
          <t>5399</t>
        </is>
      </c>
      <c r="I363" s="5" t="inlineStr">
        <is>
          <t>All Other General Merchandise Stores</t>
        </is>
      </c>
      <c r="J363" s="5" t="inlineStr">
        <is>
          <t>53</t>
        </is>
      </c>
      <c r="K363" s="5" t="n">
        <v>5399</v>
      </c>
      <c r="L363" s="5" t="inlineStr">
        <is>
          <t>OR</t>
        </is>
      </c>
      <c r="M363" s="5" t="inlineStr">
        <is>
          <t>level 3 funding</t>
        </is>
      </c>
      <c r="N363" s="5" t="inlineStr">
        <is>
          <t>New Deal</t>
        </is>
      </c>
      <c r="O363" s="19" t="n">
        <v>1.5</v>
      </c>
      <c r="P363" s="20" t="n">
        <v>3000</v>
      </c>
      <c r="Q363" s="20" t="n">
        <v>0</v>
      </c>
      <c r="R363" s="20" t="n">
        <v>4500</v>
      </c>
      <c r="S363" s="20" t="n">
        <v>382.8</v>
      </c>
      <c r="T363" s="20" t="n">
        <v>4117.2</v>
      </c>
      <c r="U363" s="21" t="n">
        <v>0.08506666666666669</v>
      </c>
      <c r="V363" s="22" t="n">
        <v>2.295</v>
      </c>
      <c r="W363" s="17" t="n">
        <v>264</v>
      </c>
      <c r="X363" s="17" t="n">
        <v>4</v>
      </c>
      <c r="Y363" s="20" t="n">
        <v>31822.32</v>
      </c>
      <c r="Z363" s="21" t="n">
        <v>0.0421</v>
      </c>
      <c r="AA363" s="16" t="n">
        <v>44719</v>
      </c>
      <c r="AB363" s="5">
        <f>IF(V363="","",IF(V363&lt;12,"Months","Weeks"))</f>
        <v/>
      </c>
      <c r="AC363" s="5">
        <f>IF(AB363="","",IF(AB363="Months","Daily","Weekly"))</f>
        <v/>
      </c>
      <c r="AD363" s="17">
        <f>IF(V363="","",IF(AC363="Daily",V363*Controls!$B$13,V363))</f>
        <v/>
      </c>
      <c r="AE363" s="17">
        <f>IF(V363="","",IF(AC363="Daily",V363*Controls!$B$13,V363*Controls!$B$12))</f>
        <v/>
      </c>
      <c r="AF363" s="17">
        <f>IF(OR(E363="",F363=""),"",F363-E363)</f>
        <v/>
      </c>
      <c r="AG363" s="17">
        <f>IF(OR(E363="",F363=""),"",NETWORKDAYS(E363,F363,Ref!$F$4:$F$47))</f>
        <v/>
      </c>
      <c r="AH363" s="39">
        <f>IF(IFERROR(VLOOKUP(D363,Controls!$A$25:$D$35,2,FALSE()),"No")="Yes",1,0)</f>
        <v/>
      </c>
      <c r="AI363" s="39">
        <f>IF(IFERROR(VLOOKUP(D363,Controls!$A$25:$D$35,3,FALSE()),"No")="Yes",1,0)</f>
        <v/>
      </c>
      <c r="AJ363" s="39">
        <f>IF(IFERROR(VLOOKUP(D363,Controls!$A$25:$D$35,4,FALSE()),"No")="Yes",1,0)</f>
        <v/>
      </c>
      <c r="AK363" s="96">
        <f>IF(AND($E363&gt;=Controls!$B$5,$E363&lt;=Controls!$B$6,OR(Controls!$E$9&lt;&gt;"Y",$BE363=1)),1,0)</f>
        <v/>
      </c>
      <c r="AL363" s="39">
        <f>1</f>
        <v/>
      </c>
      <c r="AM363" s="20">
        <f>S363-P363</f>
        <v/>
      </c>
      <c r="AN363" s="20">
        <f>IF(AH363=1,MAX(0,P363-S363),0)</f>
        <v/>
      </c>
      <c r="AO363" s="21">
        <f>IFERROR(S363/P363,"")</f>
        <v/>
      </c>
      <c r="AP363" s="22">
        <f>IF(Y363="","",P363/Y363)</f>
        <v/>
      </c>
      <c r="AQ363" s="39">
        <f>IF(Y363="",0,1)</f>
        <v/>
      </c>
      <c r="AR363" s="39">
        <f>IF(S363&lt;=0,1,0)</f>
        <v/>
      </c>
      <c r="AS363" s="17">
        <f>IF(AH363=1,AG363,"")</f>
        <v/>
      </c>
      <c r="AT363" s="17">
        <f>IF(AND(AH363=0,AJ363=1),AG363,"")</f>
        <v/>
      </c>
      <c r="AU363" s="5">
        <f>IF(P363&lt;10000,"Under $10K",IF(P363&lt;20000,"$10-20K",IF(P363&lt;30000,"$20-30K",IF(P363&lt;50000,"$30-50K",IF(P363&lt;100000,"$50-100K","$100K+")))))</f>
        <v/>
      </c>
      <c r="AV363" s="5">
        <f>IF(O363&lt;=1.35,"1.35 and under",IF(O363&lt;=1.42,"1.36-1.42",IF(O363&lt;=1.45,"1.43-1.45",IF(O363&lt;1.49,"1.46-1.48",IF(O363&lt;=1.49,"1.49","Above 1.49")))))</f>
        <v/>
      </c>
      <c r="AW363" s="5">
        <f>IF(AE363="","",IF(AE363&lt;60,"Under 60",IF(AE363&lt;90,"60-89",IF(AE363&lt;120,"90-119",IF(AE363&lt;150,"120-149","150+")))))</f>
        <v/>
      </c>
      <c r="AX363" s="5">
        <f>IF(AP363="","No revenue data",IF(AP363&lt;0.15,"Under 0.15x",IF(AP363&lt;0.3,"0.15-0.30x",IF(AP363&lt;0.5,"0.30-0.50x",IF(AP363&lt;1,"0.50-1.00x","1.00x+")))))</f>
        <v/>
      </c>
      <c r="AY363" s="5">
        <f>IF(J363="","No SIC",IFERROR(VLOOKUP(J363,Ref!$A$4:$C$67,2,FALSE()),"Unclassified"))</f>
        <v/>
      </c>
      <c r="AZ363" s="5">
        <f>IF(E363="","",TEXT(E363,"YYYY")&amp;"-Q"&amp;ROUNDUP(MONTH(E363)/3,0))</f>
        <v/>
      </c>
      <c r="BA363" s="5">
        <f>IF(E363="","",TEXT(E363,"YYYY-MM"))</f>
        <v/>
      </c>
      <c r="BB363" s="5">
        <f>IF(E363="","",TEXT(E363,"YYYY"))</f>
        <v/>
      </c>
      <c r="BC363" s="92">
        <f>IF($E363="","",NETWORKDAYS($E363,Controls!$B$9,Ref!$F$4:$F$47))</f>
        <v/>
      </c>
      <c r="BD363" s="92">
        <f>IF(OR($AH363=1,$AJ363=1),1,0)</f>
        <v/>
      </c>
      <c r="BE363" s="95">
        <f>IF(OR($BD363=1,AND($AE363&lt;&gt;"",$BC363&gt;=Controls!$B$10*$AE363)),1,0)</f>
        <v/>
      </c>
    </row>
    <row r="364" ht="15.75" customHeight="1" s="79">
      <c r="A364" s="5" t="inlineStr">
        <is>
          <t>5674172525</t>
        </is>
      </c>
      <c r="B364" s="5" t="inlineStr">
        <is>
          <t>JIU HONG CANYIN YULE, INC</t>
        </is>
      </c>
      <c r="C364" s="5" t="inlineStr">
        <is>
          <t>JIU HONG CANYIN YULE, INC</t>
        </is>
      </c>
      <c r="D364" s="5" t="inlineStr">
        <is>
          <t>Closed</t>
        </is>
      </c>
      <c r="E364" s="16" t="n">
        <v>45981</v>
      </c>
      <c r="F364" s="16" t="n">
        <v>46051</v>
      </c>
      <c r="G364" s="17" t="n">
        <v>7</v>
      </c>
      <c r="H364" s="5" t="inlineStr">
        <is>
          <t>5812</t>
        </is>
      </c>
      <c r="I364" s="5" t="inlineStr">
        <is>
          <t>Snack and Nonalcoholic Beverage Bars</t>
        </is>
      </c>
      <c r="J364" s="5" t="inlineStr">
        <is>
          <t>58</t>
        </is>
      </c>
      <c r="K364" s="5" t="n">
        <v>5812</v>
      </c>
      <c r="L364" s="5" t="inlineStr">
        <is>
          <t>CO</t>
        </is>
      </c>
      <c r="M364" s="5" t="inlineStr">
        <is>
          <t>United Secured Capital 8</t>
        </is>
      </c>
      <c r="N364" s="5" t="inlineStr">
        <is>
          <t>Renewal</t>
        </is>
      </c>
      <c r="O364" s="19" t="n">
        <v>1.499</v>
      </c>
      <c r="P364" s="20" t="n">
        <v>25000</v>
      </c>
      <c r="Q364" s="20" t="n">
        <v>3500</v>
      </c>
      <c r="R364" s="20" t="n">
        <v>37475</v>
      </c>
      <c r="S364" s="20" t="n">
        <v>37475</v>
      </c>
      <c r="T364" s="20" t="n">
        <v>0</v>
      </c>
      <c r="U364" s="21" t="n">
        <v>1</v>
      </c>
      <c r="V364" s="22" t="n">
        <v>3.934</v>
      </c>
      <c r="W364" s="17" t="n">
        <v>202</v>
      </c>
      <c r="X364" s="17" t="n">
        <v>0</v>
      </c>
      <c r="Y364" s="20" t="n">
        <v>42013.9</v>
      </c>
      <c r="Z364" s="21" t="n">
        <v>0.1561</v>
      </c>
      <c r="AA364" s="5" t="n"/>
      <c r="AB364" s="5">
        <f>IF(V364="","",IF(V364&lt;12,"Months","Weeks"))</f>
        <v/>
      </c>
      <c r="AC364" s="5">
        <f>IF(AB364="","",IF(AB364="Months","Daily","Weekly"))</f>
        <v/>
      </c>
      <c r="AD364" s="17">
        <f>IF(V364="","",IF(AC364="Daily",V364*Controls!$B$13,V364))</f>
        <v/>
      </c>
      <c r="AE364" s="17">
        <f>IF(V364="","",IF(AC364="Daily",V364*Controls!$B$13,V364*Controls!$B$12))</f>
        <v/>
      </c>
      <c r="AF364" s="17">
        <f>IF(OR(E364="",F364=""),"",F364-E364)</f>
        <v/>
      </c>
      <c r="AG364" s="17">
        <f>IF(OR(E364="",F364=""),"",NETWORKDAYS(E364,F364,Ref!$F$4:$F$47))</f>
        <v/>
      </c>
      <c r="AH364" s="39">
        <f>IF(IFERROR(VLOOKUP(D364,Controls!$A$25:$D$35,2,FALSE()),"No")="Yes",1,0)</f>
        <v/>
      </c>
      <c r="AI364" s="39">
        <f>IF(IFERROR(VLOOKUP(D364,Controls!$A$25:$D$35,3,FALSE()),"No")="Yes",1,0)</f>
        <v/>
      </c>
      <c r="AJ364" s="39">
        <f>IF(IFERROR(VLOOKUP(D364,Controls!$A$25:$D$35,4,FALSE()),"No")="Yes",1,0)</f>
        <v/>
      </c>
      <c r="AK364" s="96">
        <f>IF(AND($E364&gt;=Controls!$B$5,$E364&lt;=Controls!$B$6,OR(Controls!$E$9&lt;&gt;"Y",$BE364=1)),1,0)</f>
        <v/>
      </c>
      <c r="AL364" s="39">
        <f>1</f>
        <v/>
      </c>
      <c r="AM364" s="20">
        <f>S364-P364</f>
        <v/>
      </c>
      <c r="AN364" s="20">
        <f>IF(AH364=1,MAX(0,P364-S364),0)</f>
        <v/>
      </c>
      <c r="AO364" s="21">
        <f>IFERROR(S364/P364,"")</f>
        <v/>
      </c>
      <c r="AP364" s="22">
        <f>IF(Y364="","",P364/Y364)</f>
        <v/>
      </c>
      <c r="AQ364" s="39">
        <f>IF(Y364="",0,1)</f>
        <v/>
      </c>
      <c r="AR364" s="39">
        <f>IF(S364&lt;=0,1,0)</f>
        <v/>
      </c>
      <c r="AS364" s="17">
        <f>IF(AH364=1,AG364,"")</f>
        <v/>
      </c>
      <c r="AT364" s="17">
        <f>IF(AND(AH364=0,AJ364=1),AG364,"")</f>
        <v/>
      </c>
      <c r="AU364" s="5">
        <f>IF(P364&lt;10000,"Under $10K",IF(P364&lt;20000,"$10-20K",IF(P364&lt;30000,"$20-30K",IF(P364&lt;50000,"$30-50K",IF(P364&lt;100000,"$50-100K","$100K+")))))</f>
        <v/>
      </c>
      <c r="AV364" s="5">
        <f>IF(O364&lt;=1.35,"1.35 and under",IF(O364&lt;=1.42,"1.36-1.42",IF(O364&lt;=1.45,"1.43-1.45",IF(O364&lt;1.49,"1.46-1.48",IF(O364&lt;=1.49,"1.49","Above 1.49")))))</f>
        <v/>
      </c>
      <c r="AW364" s="5">
        <f>IF(AE364="","",IF(AE364&lt;60,"Under 60",IF(AE364&lt;90,"60-89",IF(AE364&lt;120,"90-119",IF(AE364&lt;150,"120-149","150+")))))</f>
        <v/>
      </c>
      <c r="AX364" s="5">
        <f>IF(AP364="","No revenue data",IF(AP364&lt;0.15,"Under 0.15x",IF(AP364&lt;0.3,"0.15-0.30x",IF(AP364&lt;0.5,"0.30-0.50x",IF(AP364&lt;1,"0.50-1.00x","1.00x+")))))</f>
        <v/>
      </c>
      <c r="AY364" s="5">
        <f>IF(J364="","No SIC",IFERROR(VLOOKUP(J364,Ref!$A$4:$C$67,2,FALSE()),"Unclassified"))</f>
        <v/>
      </c>
      <c r="AZ364" s="5">
        <f>IF(E364="","",TEXT(E364,"YYYY")&amp;"-Q"&amp;ROUNDUP(MONTH(E364)/3,0))</f>
        <v/>
      </c>
      <c r="BA364" s="5">
        <f>IF(E364="","",TEXT(E364,"YYYY-MM"))</f>
        <v/>
      </c>
      <c r="BB364" s="5">
        <f>IF(E364="","",TEXT(E364,"YYYY"))</f>
        <v/>
      </c>
      <c r="BC364" s="92">
        <f>IF($E364="","",NETWORKDAYS($E364,Controls!$B$9,Ref!$F$4:$F$47))</f>
        <v/>
      </c>
      <c r="BD364" s="92">
        <f>IF(OR($AH364=1,$AJ364=1),1,0)</f>
        <v/>
      </c>
      <c r="BE364" s="95">
        <f>IF(OR($BD364=1,AND($AE364&lt;&gt;"",$BC364&gt;=Controls!$B$10*$AE364)),1,0)</f>
        <v/>
      </c>
    </row>
    <row r="365" ht="15.75" customHeight="1" s="79">
      <c r="A365" s="5" t="inlineStr">
        <is>
          <t>5674172531</t>
        </is>
      </c>
      <c r="B365" s="5" t="inlineStr">
        <is>
          <t>MANASSES HENRY FURNITURE</t>
        </is>
      </c>
      <c r="C365" s="5" t="inlineStr">
        <is>
          <t>MANASSES HENRY FURNITURE</t>
        </is>
      </c>
      <c r="D365" s="5" t="inlineStr">
        <is>
          <t>Closed</t>
        </is>
      </c>
      <c r="E365" s="16" t="n">
        <v>45981</v>
      </c>
      <c r="F365" s="16" t="n">
        <v>46078</v>
      </c>
      <c r="G365" s="17" t="n">
        <v>3</v>
      </c>
      <c r="H365" s="5" t="inlineStr">
        <is>
          <t>2519</t>
        </is>
      </c>
      <c r="I365" s="5" t="inlineStr">
        <is>
          <t>Household Furniture (Except Wood and Metal) Mfg.</t>
        </is>
      </c>
      <c r="J365" s="5" t="inlineStr">
        <is>
          <t>25</t>
        </is>
      </c>
      <c r="K365" s="5" t="n">
        <v>5712</v>
      </c>
      <c r="L365" s="5" t="inlineStr">
        <is>
          <t>IN</t>
        </is>
      </c>
      <c r="M365" s="5" t="inlineStr">
        <is>
          <t>Shield Funding</t>
        </is>
      </c>
      <c r="N365" s="5" t="inlineStr">
        <is>
          <t>Renewal</t>
        </is>
      </c>
      <c r="O365" s="19" t="n">
        <v>1.45</v>
      </c>
      <c r="P365" s="20" t="n">
        <v>30000</v>
      </c>
      <c r="Q365" s="20" t="n">
        <v>3600</v>
      </c>
      <c r="R365" s="20" t="n">
        <v>43500</v>
      </c>
      <c r="S365" s="20" t="n">
        <v>43500</v>
      </c>
      <c r="T365" s="20" t="n">
        <v>0</v>
      </c>
      <c r="U365" s="21" t="n">
        <v>1</v>
      </c>
      <c r="V365" s="22" t="n">
        <v>34</v>
      </c>
      <c r="W365" s="17" t="n">
        <v>175</v>
      </c>
      <c r="X365" s="17" t="n">
        <v>1</v>
      </c>
      <c r="Y365" s="20" t="n">
        <v>56713.1</v>
      </c>
      <c r="Z365" s="21" t="n">
        <v>0.0902</v>
      </c>
      <c r="AA365" s="16" t="n">
        <v>42308</v>
      </c>
      <c r="AB365" s="5">
        <f>IF(V365="","",IF(V365&lt;12,"Months","Weeks"))</f>
        <v/>
      </c>
      <c r="AC365" s="5">
        <f>IF(AB365="","",IF(AB365="Months","Daily","Weekly"))</f>
        <v/>
      </c>
      <c r="AD365" s="17">
        <f>IF(V365="","",IF(AC365="Daily",V365*Controls!$B$13,V365))</f>
        <v/>
      </c>
      <c r="AE365" s="17">
        <f>IF(V365="","",IF(AC365="Daily",V365*Controls!$B$13,V365*Controls!$B$12))</f>
        <v/>
      </c>
      <c r="AF365" s="17">
        <f>IF(OR(E365="",F365=""),"",F365-E365)</f>
        <v/>
      </c>
      <c r="AG365" s="17">
        <f>IF(OR(E365="",F365=""),"",NETWORKDAYS(E365,F365,Ref!$F$4:$F$47))</f>
        <v/>
      </c>
      <c r="AH365" s="39">
        <f>IF(IFERROR(VLOOKUP(D365,Controls!$A$25:$D$35,2,FALSE()),"No")="Yes",1,0)</f>
        <v/>
      </c>
      <c r="AI365" s="39">
        <f>IF(IFERROR(VLOOKUP(D365,Controls!$A$25:$D$35,3,FALSE()),"No")="Yes",1,0)</f>
        <v/>
      </c>
      <c r="AJ365" s="39">
        <f>IF(IFERROR(VLOOKUP(D365,Controls!$A$25:$D$35,4,FALSE()),"No")="Yes",1,0)</f>
        <v/>
      </c>
      <c r="AK365" s="96">
        <f>IF(AND($E365&gt;=Controls!$B$5,$E365&lt;=Controls!$B$6,OR(Controls!$E$9&lt;&gt;"Y",$BE365=1)),1,0)</f>
        <v/>
      </c>
      <c r="AL365" s="39">
        <f>1</f>
        <v/>
      </c>
      <c r="AM365" s="20">
        <f>S365-P365</f>
        <v/>
      </c>
      <c r="AN365" s="20">
        <f>IF(AH365=1,MAX(0,P365-S365),0)</f>
        <v/>
      </c>
      <c r="AO365" s="21">
        <f>IFERROR(S365/P365,"")</f>
        <v/>
      </c>
      <c r="AP365" s="22">
        <f>IF(Y365="","",P365/Y365)</f>
        <v/>
      </c>
      <c r="AQ365" s="39">
        <f>IF(Y365="",0,1)</f>
        <v/>
      </c>
      <c r="AR365" s="39">
        <f>IF(S365&lt;=0,1,0)</f>
        <v/>
      </c>
      <c r="AS365" s="17">
        <f>IF(AH365=1,AG365,"")</f>
        <v/>
      </c>
      <c r="AT365" s="17">
        <f>IF(AND(AH365=0,AJ365=1),AG365,"")</f>
        <v/>
      </c>
      <c r="AU365" s="5">
        <f>IF(P365&lt;10000,"Under $10K",IF(P365&lt;20000,"$10-20K",IF(P365&lt;30000,"$20-30K",IF(P365&lt;50000,"$30-50K",IF(P365&lt;100000,"$50-100K","$100K+")))))</f>
        <v/>
      </c>
      <c r="AV365" s="5">
        <f>IF(O365&lt;=1.35,"1.35 and under",IF(O365&lt;=1.42,"1.36-1.42",IF(O365&lt;=1.45,"1.43-1.45",IF(O365&lt;1.49,"1.46-1.48",IF(O365&lt;=1.49,"1.49","Above 1.49")))))</f>
        <v/>
      </c>
      <c r="AW365" s="5">
        <f>IF(AE365="","",IF(AE365&lt;60,"Under 60",IF(AE365&lt;90,"60-89",IF(AE365&lt;120,"90-119",IF(AE365&lt;150,"120-149","150+")))))</f>
        <v/>
      </c>
      <c r="AX365" s="5">
        <f>IF(AP365="","No revenue data",IF(AP365&lt;0.15,"Under 0.15x",IF(AP365&lt;0.3,"0.15-0.30x",IF(AP365&lt;0.5,"0.30-0.50x",IF(AP365&lt;1,"0.50-1.00x","1.00x+")))))</f>
        <v/>
      </c>
      <c r="AY365" s="5">
        <f>IF(J365="","No SIC",IFERROR(VLOOKUP(J365,Ref!$A$4:$C$67,2,FALSE()),"Unclassified"))</f>
        <v/>
      </c>
      <c r="AZ365" s="5">
        <f>IF(E365="","",TEXT(E365,"YYYY")&amp;"-Q"&amp;ROUNDUP(MONTH(E365)/3,0))</f>
        <v/>
      </c>
      <c r="BA365" s="5">
        <f>IF(E365="","",TEXT(E365,"YYYY-MM"))</f>
        <v/>
      </c>
      <c r="BB365" s="5">
        <f>IF(E365="","",TEXT(E365,"YYYY"))</f>
        <v/>
      </c>
      <c r="BC365" s="92">
        <f>IF($E365="","",NETWORKDAYS($E365,Controls!$B$9,Ref!$F$4:$F$47))</f>
        <v/>
      </c>
      <c r="BD365" s="92">
        <f>IF(OR($AH365=1,$AJ365=1),1,0)</f>
        <v/>
      </c>
      <c r="BE365" s="95">
        <f>IF(OR($BD365=1,AND($AE365&lt;&gt;"",$BC365&gt;=Controls!$B$10*$AE365)),1,0)</f>
        <v/>
      </c>
    </row>
    <row r="366" ht="15.75" customHeight="1" s="79">
      <c r="A366" s="5" t="inlineStr">
        <is>
          <t>5674172558</t>
        </is>
      </c>
      <c r="B366" s="5" t="inlineStr">
        <is>
          <t>PMG MANAGEMENT  DBA PREMIER POOLS AND SPAS OF MIDLAND/ODESSA DBA JESSICA GAVALDON GEN PTR</t>
        </is>
      </c>
      <c r="C366" s="5" t="inlineStr">
        <is>
          <t>PMG MANAGEMENT LLC</t>
        </is>
      </c>
      <c r="D366" s="5" t="inlineStr">
        <is>
          <t>Legal</t>
        </is>
      </c>
      <c r="E366" s="16" t="n">
        <v>45981</v>
      </c>
      <c r="F366" s="16" t="n">
        <v>46203</v>
      </c>
      <c r="G366" s="17" t="n">
        <v>3</v>
      </c>
      <c r="H366" s="5" t="inlineStr">
        <is>
          <t>8741</t>
        </is>
      </c>
      <c r="I366" s="5" t="inlineStr">
        <is>
          <t>Office Administrative Services</t>
        </is>
      </c>
      <c r="J366" s="5" t="inlineStr">
        <is>
          <t>87</t>
        </is>
      </c>
      <c r="K366" s="5" t="n">
        <v>7392</v>
      </c>
      <c r="L366" s="5" t="inlineStr">
        <is>
          <t>TX</t>
        </is>
      </c>
      <c r="M366" s="5" t="inlineStr">
        <is>
          <t>United Secured Capital 8</t>
        </is>
      </c>
      <c r="N366" s="5" t="inlineStr">
        <is>
          <t>New Deal</t>
        </is>
      </c>
      <c r="O366" s="19" t="n">
        <v>1.45</v>
      </c>
      <c r="P366" s="20" t="n">
        <v>75000</v>
      </c>
      <c r="Q366" s="20" t="n">
        <v>9000</v>
      </c>
      <c r="R366" s="20" t="n">
        <v>108750</v>
      </c>
      <c r="S366" s="20" t="n">
        <v>72422.85000000001</v>
      </c>
      <c r="T366" s="20" t="n">
        <v>36327.15</v>
      </c>
      <c r="U366" s="21" t="n">
        <v>0.66595724137931</v>
      </c>
      <c r="V366" s="22" t="n">
        <v>24</v>
      </c>
      <c r="W366" s="17" t="n">
        <v>50</v>
      </c>
      <c r="X366" s="17" t="n">
        <v>4</v>
      </c>
      <c r="Y366" s="20" t="n">
        <v>570923.3100000001</v>
      </c>
      <c r="Z366" s="21" t="n">
        <v>0.0317</v>
      </c>
      <c r="AA366" s="16" t="n">
        <v>44394</v>
      </c>
      <c r="AB366" s="5">
        <f>IF(V366="","",IF(V366&lt;12,"Months","Weeks"))</f>
        <v/>
      </c>
      <c r="AC366" s="5">
        <f>IF(AB366="","",IF(AB366="Months","Daily","Weekly"))</f>
        <v/>
      </c>
      <c r="AD366" s="17">
        <f>IF(V366="","",IF(AC366="Daily",V366*Controls!$B$13,V366))</f>
        <v/>
      </c>
      <c r="AE366" s="17">
        <f>IF(V366="","",IF(AC366="Daily",V366*Controls!$B$13,V366*Controls!$B$12))</f>
        <v/>
      </c>
      <c r="AF366" s="17">
        <f>IF(OR(E366="",F366=""),"",F366-E366)</f>
        <v/>
      </c>
      <c r="AG366" s="17">
        <f>IF(OR(E366="",F366=""),"",NETWORKDAYS(E366,F366,Ref!$F$4:$F$47))</f>
        <v/>
      </c>
      <c r="AH366" s="39">
        <f>IF(IFERROR(VLOOKUP(D366,Controls!$A$25:$D$35,2,FALSE()),"No")="Yes",1,0)</f>
        <v/>
      </c>
      <c r="AI366" s="39">
        <f>IF(IFERROR(VLOOKUP(D366,Controls!$A$25:$D$35,3,FALSE()),"No")="Yes",1,0)</f>
        <v/>
      </c>
      <c r="AJ366" s="39">
        <f>IF(IFERROR(VLOOKUP(D366,Controls!$A$25:$D$35,4,FALSE()),"No")="Yes",1,0)</f>
        <v/>
      </c>
      <c r="AK366" s="96">
        <f>IF(AND($E366&gt;=Controls!$B$5,$E366&lt;=Controls!$B$6,OR(Controls!$E$9&lt;&gt;"Y",$BE366=1)),1,0)</f>
        <v/>
      </c>
      <c r="AL366" s="39">
        <f>1</f>
        <v/>
      </c>
      <c r="AM366" s="20">
        <f>S366-P366</f>
        <v/>
      </c>
      <c r="AN366" s="20">
        <f>IF(AH366=1,MAX(0,P366-S366),0)</f>
        <v/>
      </c>
      <c r="AO366" s="21">
        <f>IFERROR(S366/P366,"")</f>
        <v/>
      </c>
      <c r="AP366" s="22">
        <f>IF(Y366="","",P366/Y366)</f>
        <v/>
      </c>
      <c r="AQ366" s="39">
        <f>IF(Y366="",0,1)</f>
        <v/>
      </c>
      <c r="AR366" s="39">
        <f>IF(S366&lt;=0,1,0)</f>
        <v/>
      </c>
      <c r="AS366" s="17">
        <f>IF(AH366=1,AG366,"")</f>
        <v/>
      </c>
      <c r="AT366" s="17">
        <f>IF(AND(AH366=0,AJ366=1),AG366,"")</f>
        <v/>
      </c>
      <c r="AU366" s="5">
        <f>IF(P366&lt;10000,"Under $10K",IF(P366&lt;20000,"$10-20K",IF(P366&lt;30000,"$20-30K",IF(P366&lt;50000,"$30-50K",IF(P366&lt;100000,"$50-100K","$100K+")))))</f>
        <v/>
      </c>
      <c r="AV366" s="5">
        <f>IF(O366&lt;=1.35,"1.35 and under",IF(O366&lt;=1.42,"1.36-1.42",IF(O366&lt;=1.45,"1.43-1.45",IF(O366&lt;1.49,"1.46-1.48",IF(O366&lt;=1.49,"1.49","Above 1.49")))))</f>
        <v/>
      </c>
      <c r="AW366" s="5">
        <f>IF(AE366="","",IF(AE366&lt;60,"Under 60",IF(AE366&lt;90,"60-89",IF(AE366&lt;120,"90-119",IF(AE366&lt;150,"120-149","150+")))))</f>
        <v/>
      </c>
      <c r="AX366" s="5">
        <f>IF(AP366="","No revenue data",IF(AP366&lt;0.15,"Under 0.15x",IF(AP366&lt;0.3,"0.15-0.30x",IF(AP366&lt;0.5,"0.30-0.50x",IF(AP366&lt;1,"0.50-1.00x","1.00x+")))))</f>
        <v/>
      </c>
      <c r="AY366" s="5">
        <f>IF(J366="","No SIC",IFERROR(VLOOKUP(J366,Ref!$A$4:$C$67,2,FALSE()),"Unclassified"))</f>
        <v/>
      </c>
      <c r="AZ366" s="5">
        <f>IF(E366="","",TEXT(E366,"YYYY")&amp;"-Q"&amp;ROUNDUP(MONTH(E366)/3,0))</f>
        <v/>
      </c>
      <c r="BA366" s="5">
        <f>IF(E366="","",TEXT(E366,"YYYY-MM"))</f>
        <v/>
      </c>
      <c r="BB366" s="5">
        <f>IF(E366="","",TEXT(E366,"YYYY"))</f>
        <v/>
      </c>
      <c r="BC366" s="92">
        <f>IF($E366="","",NETWORKDAYS($E366,Controls!$B$9,Ref!$F$4:$F$47))</f>
        <v/>
      </c>
      <c r="BD366" s="92">
        <f>IF(OR($AH366=1,$AJ366=1),1,0)</f>
        <v/>
      </c>
      <c r="BE366" s="95">
        <f>IF(OR($BD366=1,AND($AE366&lt;&gt;"",$BC366&gt;=Controls!$B$10*$AE366)),1,0)</f>
        <v/>
      </c>
    </row>
    <row r="367" ht="15.75" customHeight="1" s="79">
      <c r="A367" s="5" t="inlineStr">
        <is>
          <t>5674172559</t>
        </is>
      </c>
      <c r="B367" s="5" t="inlineStr">
        <is>
          <t>Phoenix Commerce LLC</t>
        </is>
      </c>
      <c r="C367" s="5" t="inlineStr">
        <is>
          <t>Phoenix Commerce LLC</t>
        </is>
      </c>
      <c r="D367" s="5" t="inlineStr">
        <is>
          <t>Written-Off</t>
        </is>
      </c>
      <c r="E367" s="16" t="n">
        <v>45981</v>
      </c>
      <c r="F367" s="16" t="n">
        <v>46113</v>
      </c>
      <c r="G367" s="17" t="n">
        <v>3</v>
      </c>
      <c r="H367" s="5" t="inlineStr">
        <is>
          <t>5999</t>
        </is>
      </c>
      <c r="I367" s="5" t="inlineStr">
        <is>
          <t>All Other Misc. Store Retailers (Except Tobacco Stores)</t>
        </is>
      </c>
      <c r="J367" s="5" t="inlineStr">
        <is>
          <t>59</t>
        </is>
      </c>
      <c r="K367" s="5" t="n">
        <v>5999</v>
      </c>
      <c r="L367" s="5" t="inlineStr">
        <is>
          <t>TX</t>
        </is>
      </c>
      <c r="M367" s="5" t="inlineStr">
        <is>
          <t>liquidity lending group</t>
        </is>
      </c>
      <c r="N367" s="5" t="inlineStr">
        <is>
          <t>New Deal</t>
        </is>
      </c>
      <c r="O367" s="19" t="n">
        <v>1.49</v>
      </c>
      <c r="P367" s="20" t="n">
        <v>25000</v>
      </c>
      <c r="Q367" s="20" t="n">
        <v>3500</v>
      </c>
      <c r="R367" s="20" t="n">
        <v>37250</v>
      </c>
      <c r="S367" s="20" t="n">
        <v>27182</v>
      </c>
      <c r="T367" s="20" t="n">
        <v>10068</v>
      </c>
      <c r="U367" s="21" t="n">
        <v>0.729718120805369</v>
      </c>
      <c r="V367" s="22" t="n">
        <v>2.951</v>
      </c>
      <c r="W367" s="17" t="n">
        <v>140</v>
      </c>
      <c r="X367" s="17" t="n">
        <v>6</v>
      </c>
      <c r="Y367" s="20" t="n">
        <v>244687.48</v>
      </c>
      <c r="Z367" s="21" t="n">
        <v>0.0355</v>
      </c>
      <c r="AA367" s="5" t="n"/>
      <c r="AB367" s="5">
        <f>IF(V367="","",IF(V367&lt;12,"Months","Weeks"))</f>
        <v/>
      </c>
      <c r="AC367" s="5">
        <f>IF(AB367="","",IF(AB367="Months","Daily","Weekly"))</f>
        <v/>
      </c>
      <c r="AD367" s="17">
        <f>IF(V367="","",IF(AC367="Daily",V367*Controls!$B$13,V367))</f>
        <v/>
      </c>
      <c r="AE367" s="17">
        <f>IF(V367="","",IF(AC367="Daily",V367*Controls!$B$13,V367*Controls!$B$12))</f>
        <v/>
      </c>
      <c r="AF367" s="17">
        <f>IF(OR(E367="",F367=""),"",F367-E367)</f>
        <v/>
      </c>
      <c r="AG367" s="17">
        <f>IF(OR(E367="",F367=""),"",NETWORKDAYS(E367,F367,Ref!$F$4:$F$47))</f>
        <v/>
      </c>
      <c r="AH367" s="39">
        <f>IF(IFERROR(VLOOKUP(D367,Controls!$A$25:$D$35,2,FALSE()),"No")="Yes",1,0)</f>
        <v/>
      </c>
      <c r="AI367" s="39">
        <f>IF(IFERROR(VLOOKUP(D367,Controls!$A$25:$D$35,3,FALSE()),"No")="Yes",1,0)</f>
        <v/>
      </c>
      <c r="AJ367" s="39">
        <f>IF(IFERROR(VLOOKUP(D367,Controls!$A$25:$D$35,4,FALSE()),"No")="Yes",1,0)</f>
        <v/>
      </c>
      <c r="AK367" s="96">
        <f>IF(AND($E367&gt;=Controls!$B$5,$E367&lt;=Controls!$B$6,OR(Controls!$E$9&lt;&gt;"Y",$BE367=1)),1,0)</f>
        <v/>
      </c>
      <c r="AL367" s="39">
        <f>1</f>
        <v/>
      </c>
      <c r="AM367" s="20">
        <f>S367-P367</f>
        <v/>
      </c>
      <c r="AN367" s="20">
        <f>IF(AH367=1,MAX(0,P367-S367),0)</f>
        <v/>
      </c>
      <c r="AO367" s="21">
        <f>IFERROR(S367/P367,"")</f>
        <v/>
      </c>
      <c r="AP367" s="22">
        <f>IF(Y367="","",P367/Y367)</f>
        <v/>
      </c>
      <c r="AQ367" s="39">
        <f>IF(Y367="",0,1)</f>
        <v/>
      </c>
      <c r="AR367" s="39">
        <f>IF(S367&lt;=0,1,0)</f>
        <v/>
      </c>
      <c r="AS367" s="17">
        <f>IF(AH367=1,AG367,"")</f>
        <v/>
      </c>
      <c r="AT367" s="17">
        <f>IF(AND(AH367=0,AJ367=1),AG367,"")</f>
        <v/>
      </c>
      <c r="AU367" s="5">
        <f>IF(P367&lt;10000,"Under $10K",IF(P367&lt;20000,"$10-20K",IF(P367&lt;30000,"$20-30K",IF(P367&lt;50000,"$30-50K",IF(P367&lt;100000,"$50-100K","$100K+")))))</f>
        <v/>
      </c>
      <c r="AV367" s="5">
        <f>IF(O367&lt;=1.35,"1.35 and under",IF(O367&lt;=1.42,"1.36-1.42",IF(O367&lt;=1.45,"1.43-1.45",IF(O367&lt;1.49,"1.46-1.48",IF(O367&lt;=1.49,"1.49","Above 1.49")))))</f>
        <v/>
      </c>
      <c r="AW367" s="5">
        <f>IF(AE367="","",IF(AE367&lt;60,"Under 60",IF(AE367&lt;90,"60-89",IF(AE367&lt;120,"90-119",IF(AE367&lt;150,"120-149","150+")))))</f>
        <v/>
      </c>
      <c r="AX367" s="5">
        <f>IF(AP367="","No revenue data",IF(AP367&lt;0.15,"Under 0.15x",IF(AP367&lt;0.3,"0.15-0.30x",IF(AP367&lt;0.5,"0.30-0.50x",IF(AP367&lt;1,"0.50-1.00x","1.00x+")))))</f>
        <v/>
      </c>
      <c r="AY367" s="5">
        <f>IF(J367="","No SIC",IFERROR(VLOOKUP(J367,Ref!$A$4:$C$67,2,FALSE()),"Unclassified"))</f>
        <v/>
      </c>
      <c r="AZ367" s="5">
        <f>IF(E367="","",TEXT(E367,"YYYY")&amp;"-Q"&amp;ROUNDUP(MONTH(E367)/3,0))</f>
        <v/>
      </c>
      <c r="BA367" s="5">
        <f>IF(E367="","",TEXT(E367,"YYYY-MM"))</f>
        <v/>
      </c>
      <c r="BB367" s="5">
        <f>IF(E367="","",TEXT(E367,"YYYY"))</f>
        <v/>
      </c>
      <c r="BC367" s="92">
        <f>IF($E367="","",NETWORKDAYS($E367,Controls!$B$9,Ref!$F$4:$F$47))</f>
        <v/>
      </c>
      <c r="BD367" s="92">
        <f>IF(OR($AH367=1,$AJ367=1),1,0)</f>
        <v/>
      </c>
      <c r="BE367" s="95">
        <f>IF(OR($BD367=1,AND($AE367&lt;&gt;"",$BC367&gt;=Controls!$B$10*$AE367)),1,0)</f>
        <v/>
      </c>
    </row>
    <row r="368" ht="15.75" customHeight="1" s="79">
      <c r="A368" s="5" t="inlineStr">
        <is>
          <t>5674172567</t>
        </is>
      </c>
      <c r="B368" s="5" t="inlineStr">
        <is>
          <t>R.A. MASONRY</t>
        </is>
      </c>
      <c r="C368" s="5" t="inlineStr">
        <is>
          <t>R.A. MASONRY, LLC</t>
        </is>
      </c>
      <c r="D368" s="5" t="inlineStr">
        <is>
          <t>In House Collection</t>
        </is>
      </c>
      <c r="E368" s="16" t="n">
        <v>45981</v>
      </c>
      <c r="F368" s="16" t="n">
        <v>46253</v>
      </c>
      <c r="G368" s="17" t="n">
        <v>3</v>
      </c>
      <c r="H368" s="5" t="inlineStr">
        <is>
          <t>1741</t>
        </is>
      </c>
      <c r="I368" s="5" t="inlineStr">
        <is>
          <t>Masonry Contractors</t>
        </is>
      </c>
      <c r="J368" s="5" t="inlineStr">
        <is>
          <t>17</t>
        </is>
      </c>
      <c r="K368" s="5" t="n">
        <v>1520</v>
      </c>
      <c r="L368" s="5" t="inlineStr">
        <is>
          <t>IL</t>
        </is>
      </c>
      <c r="M368" s="5" t="inlineStr">
        <is>
          <t>Shore Funding USA</t>
        </is>
      </c>
      <c r="N368" s="5" t="inlineStr">
        <is>
          <t>New Deal</t>
        </is>
      </c>
      <c r="O368" s="19" t="n">
        <v>1.49</v>
      </c>
      <c r="P368" s="20" t="n">
        <v>30000</v>
      </c>
      <c r="Q368" s="20" t="n">
        <v>4200</v>
      </c>
      <c r="R368" s="20" t="n">
        <v>44700</v>
      </c>
      <c r="S368" s="20" t="n">
        <v>20154.55</v>
      </c>
      <c r="T368" s="20" t="n">
        <v>24545.45</v>
      </c>
      <c r="U368" s="21" t="n">
        <v>0.450884787472036</v>
      </c>
      <c r="V368" s="22" t="n">
        <v>26</v>
      </c>
      <c r="W368" s="17" t="n">
        <v>0</v>
      </c>
      <c r="X368" s="17" t="n">
        <v>22</v>
      </c>
      <c r="Y368" s="20" t="n">
        <v>101173.27</v>
      </c>
      <c r="Z368" s="21" t="n">
        <v>0.068</v>
      </c>
      <c r="AA368" s="16" t="n">
        <v>44470</v>
      </c>
      <c r="AB368" s="5">
        <f>IF(V368="","",IF(V368&lt;12,"Months","Weeks"))</f>
        <v/>
      </c>
      <c r="AC368" s="5">
        <f>IF(AB368="","",IF(AB368="Months","Daily","Weekly"))</f>
        <v/>
      </c>
      <c r="AD368" s="17">
        <f>IF(V368="","",IF(AC368="Daily",V368*Controls!$B$13,V368))</f>
        <v/>
      </c>
      <c r="AE368" s="17">
        <f>IF(V368="","",IF(AC368="Daily",V368*Controls!$B$13,V368*Controls!$B$12))</f>
        <v/>
      </c>
      <c r="AF368" s="17">
        <f>IF(OR(E368="",F368=""),"",F368-E368)</f>
        <v/>
      </c>
      <c r="AG368" s="17">
        <f>IF(OR(E368="",F368=""),"",NETWORKDAYS(E368,F368,Ref!$F$4:$F$47))</f>
        <v/>
      </c>
      <c r="AH368" s="39">
        <f>IF(IFERROR(VLOOKUP(D368,Controls!$A$25:$D$35,2,FALSE()),"No")="Yes",1,0)</f>
        <v/>
      </c>
      <c r="AI368" s="39">
        <f>IF(IFERROR(VLOOKUP(D368,Controls!$A$25:$D$35,3,FALSE()),"No")="Yes",1,0)</f>
        <v/>
      </c>
      <c r="AJ368" s="39">
        <f>IF(IFERROR(VLOOKUP(D368,Controls!$A$25:$D$35,4,FALSE()),"No")="Yes",1,0)</f>
        <v/>
      </c>
      <c r="AK368" s="96">
        <f>IF(AND($E368&gt;=Controls!$B$5,$E368&lt;=Controls!$B$6,OR(Controls!$E$9&lt;&gt;"Y",$BE368=1)),1,0)</f>
        <v/>
      </c>
      <c r="AL368" s="39">
        <f>1</f>
        <v/>
      </c>
      <c r="AM368" s="20">
        <f>S368-P368</f>
        <v/>
      </c>
      <c r="AN368" s="20">
        <f>IF(AH368=1,MAX(0,P368-S368),0)</f>
        <v/>
      </c>
      <c r="AO368" s="21">
        <f>IFERROR(S368/P368,"")</f>
        <v/>
      </c>
      <c r="AP368" s="22">
        <f>IF(Y368="","",P368/Y368)</f>
        <v/>
      </c>
      <c r="AQ368" s="39">
        <f>IF(Y368="",0,1)</f>
        <v/>
      </c>
      <c r="AR368" s="39">
        <f>IF(S368&lt;=0,1,0)</f>
        <v/>
      </c>
      <c r="AS368" s="17">
        <f>IF(AH368=1,AG368,"")</f>
        <v/>
      </c>
      <c r="AT368" s="17">
        <f>IF(AND(AH368=0,AJ368=1),AG368,"")</f>
        <v/>
      </c>
      <c r="AU368" s="5">
        <f>IF(P368&lt;10000,"Under $10K",IF(P368&lt;20000,"$10-20K",IF(P368&lt;30000,"$20-30K",IF(P368&lt;50000,"$30-50K",IF(P368&lt;100000,"$50-100K","$100K+")))))</f>
        <v/>
      </c>
      <c r="AV368" s="5">
        <f>IF(O368&lt;=1.35,"1.35 and under",IF(O368&lt;=1.42,"1.36-1.42",IF(O368&lt;=1.45,"1.43-1.45",IF(O368&lt;1.49,"1.46-1.48",IF(O368&lt;=1.49,"1.49","Above 1.49")))))</f>
        <v/>
      </c>
      <c r="AW368" s="5">
        <f>IF(AE368="","",IF(AE368&lt;60,"Under 60",IF(AE368&lt;90,"60-89",IF(AE368&lt;120,"90-119",IF(AE368&lt;150,"120-149","150+")))))</f>
        <v/>
      </c>
      <c r="AX368" s="5">
        <f>IF(AP368="","No revenue data",IF(AP368&lt;0.15,"Under 0.15x",IF(AP368&lt;0.3,"0.15-0.30x",IF(AP368&lt;0.5,"0.30-0.50x",IF(AP368&lt;1,"0.50-1.00x","1.00x+")))))</f>
        <v/>
      </c>
      <c r="AY368" s="5">
        <f>IF(J368="","No SIC",IFERROR(VLOOKUP(J368,Ref!$A$4:$C$67,2,FALSE()),"Unclassified"))</f>
        <v/>
      </c>
      <c r="AZ368" s="5">
        <f>IF(E368="","",TEXT(E368,"YYYY")&amp;"-Q"&amp;ROUNDUP(MONTH(E368)/3,0))</f>
        <v/>
      </c>
      <c r="BA368" s="5">
        <f>IF(E368="","",TEXT(E368,"YYYY-MM"))</f>
        <v/>
      </c>
      <c r="BB368" s="5">
        <f>IF(E368="","",TEXT(E368,"YYYY"))</f>
        <v/>
      </c>
      <c r="BC368" s="92">
        <f>IF($E368="","",NETWORKDAYS($E368,Controls!$B$9,Ref!$F$4:$F$47))</f>
        <v/>
      </c>
      <c r="BD368" s="92">
        <f>IF(OR($AH368=1,$AJ368=1),1,0)</f>
        <v/>
      </c>
      <c r="BE368" s="95">
        <f>IF(OR($BD368=1,AND($AE368&lt;&gt;"",$BC368&gt;=Controls!$B$10*$AE368)),1,0)</f>
        <v/>
      </c>
    </row>
    <row r="369" ht="15.75" customHeight="1" s="79">
      <c r="A369" s="5" t="inlineStr">
        <is>
          <t>5674172569</t>
        </is>
      </c>
      <c r="B369" s="5" t="inlineStr">
        <is>
          <t>JD HEAT &amp; AIR LLC</t>
        </is>
      </c>
      <c r="C369" s="5" t="inlineStr">
        <is>
          <t>JD HEAT &amp; AIR LLC</t>
        </is>
      </c>
      <c r="D369" s="5" t="inlineStr">
        <is>
          <t>Legal</t>
        </is>
      </c>
      <c r="E369" s="16" t="n">
        <v>45981</v>
      </c>
      <c r="F369" s="16" t="n">
        <v>46048</v>
      </c>
      <c r="G369" s="17" t="n">
        <v>1</v>
      </c>
      <c r="H369" s="5" t="inlineStr">
        <is>
          <t>1711</t>
        </is>
      </c>
      <c r="I369" s="5" t="inlineStr">
        <is>
          <t>Plumbing, Heating, and Air Conditioning Contractors</t>
        </is>
      </c>
      <c r="J369" s="5" t="inlineStr">
        <is>
          <t>17</t>
        </is>
      </c>
      <c r="K369" s="5" t="n">
        <v>1711</v>
      </c>
      <c r="L369" s="5" t="inlineStr">
        <is>
          <t>OK</t>
        </is>
      </c>
      <c r="M369" s="5" t="inlineStr">
        <is>
          <t>United Secured Capital 8</t>
        </is>
      </c>
      <c r="N369" s="5" t="inlineStr">
        <is>
          <t>New Deal</t>
        </is>
      </c>
      <c r="O369" s="19" t="n">
        <v>1.49</v>
      </c>
      <c r="P369" s="20" t="n">
        <v>11500</v>
      </c>
      <c r="Q369" s="20" t="n">
        <v>1610</v>
      </c>
      <c r="R369" s="20" t="n">
        <v>17135</v>
      </c>
      <c r="S369" s="20" t="n">
        <v>7237.1</v>
      </c>
      <c r="T369" s="20" t="n">
        <v>9897.9</v>
      </c>
      <c r="U369" s="21" t="n">
        <v>0.422357747300846</v>
      </c>
      <c r="V369" s="22" t="n">
        <v>2.951</v>
      </c>
      <c r="W369" s="17" t="n">
        <v>215</v>
      </c>
      <c r="X369" s="17" t="n">
        <v>5</v>
      </c>
      <c r="Y369" s="20" t="n">
        <v>46130.09</v>
      </c>
      <c r="Z369" s="21" t="n">
        <v>0.0867</v>
      </c>
      <c r="AA369" s="16" t="n">
        <v>44411</v>
      </c>
      <c r="AB369" s="5">
        <f>IF(V369="","",IF(V369&lt;12,"Months","Weeks"))</f>
        <v/>
      </c>
      <c r="AC369" s="5">
        <f>IF(AB369="","",IF(AB369="Months","Daily","Weekly"))</f>
        <v/>
      </c>
      <c r="AD369" s="17">
        <f>IF(V369="","",IF(AC369="Daily",V369*Controls!$B$13,V369))</f>
        <v/>
      </c>
      <c r="AE369" s="17">
        <f>IF(V369="","",IF(AC369="Daily",V369*Controls!$B$13,V369*Controls!$B$12))</f>
        <v/>
      </c>
      <c r="AF369" s="17">
        <f>IF(OR(E369="",F369=""),"",F369-E369)</f>
        <v/>
      </c>
      <c r="AG369" s="17">
        <f>IF(OR(E369="",F369=""),"",NETWORKDAYS(E369,F369,Ref!$F$4:$F$47))</f>
        <v/>
      </c>
      <c r="AH369" s="39">
        <f>IF(IFERROR(VLOOKUP(D369,Controls!$A$25:$D$35,2,FALSE()),"No")="Yes",1,0)</f>
        <v/>
      </c>
      <c r="AI369" s="39">
        <f>IF(IFERROR(VLOOKUP(D369,Controls!$A$25:$D$35,3,FALSE()),"No")="Yes",1,0)</f>
        <v/>
      </c>
      <c r="AJ369" s="39">
        <f>IF(IFERROR(VLOOKUP(D369,Controls!$A$25:$D$35,4,FALSE()),"No")="Yes",1,0)</f>
        <v/>
      </c>
      <c r="AK369" s="96">
        <f>IF(AND($E369&gt;=Controls!$B$5,$E369&lt;=Controls!$B$6,OR(Controls!$E$9&lt;&gt;"Y",$BE369=1)),1,0)</f>
        <v/>
      </c>
      <c r="AL369" s="39">
        <f>1</f>
        <v/>
      </c>
      <c r="AM369" s="20">
        <f>S369-P369</f>
        <v/>
      </c>
      <c r="AN369" s="20">
        <f>IF(AH369=1,MAX(0,P369-S369),0)</f>
        <v/>
      </c>
      <c r="AO369" s="21">
        <f>IFERROR(S369/P369,"")</f>
        <v/>
      </c>
      <c r="AP369" s="22">
        <f>IF(Y369="","",P369/Y369)</f>
        <v/>
      </c>
      <c r="AQ369" s="39">
        <f>IF(Y369="",0,1)</f>
        <v/>
      </c>
      <c r="AR369" s="39">
        <f>IF(S369&lt;=0,1,0)</f>
        <v/>
      </c>
      <c r="AS369" s="17">
        <f>IF(AH369=1,AG369,"")</f>
        <v/>
      </c>
      <c r="AT369" s="17">
        <f>IF(AND(AH369=0,AJ369=1),AG369,"")</f>
        <v/>
      </c>
      <c r="AU369" s="5">
        <f>IF(P369&lt;10000,"Under $10K",IF(P369&lt;20000,"$10-20K",IF(P369&lt;30000,"$20-30K",IF(P369&lt;50000,"$30-50K",IF(P369&lt;100000,"$50-100K","$100K+")))))</f>
        <v/>
      </c>
      <c r="AV369" s="5">
        <f>IF(O369&lt;=1.35,"1.35 and under",IF(O369&lt;=1.42,"1.36-1.42",IF(O369&lt;=1.45,"1.43-1.45",IF(O369&lt;1.49,"1.46-1.48",IF(O369&lt;=1.49,"1.49","Above 1.49")))))</f>
        <v/>
      </c>
      <c r="AW369" s="5">
        <f>IF(AE369="","",IF(AE369&lt;60,"Under 60",IF(AE369&lt;90,"60-89",IF(AE369&lt;120,"90-119",IF(AE369&lt;150,"120-149","150+")))))</f>
        <v/>
      </c>
      <c r="AX369" s="5">
        <f>IF(AP369="","No revenue data",IF(AP369&lt;0.15,"Under 0.15x",IF(AP369&lt;0.3,"0.15-0.30x",IF(AP369&lt;0.5,"0.30-0.50x",IF(AP369&lt;1,"0.50-1.00x","1.00x+")))))</f>
        <v/>
      </c>
      <c r="AY369" s="5">
        <f>IF(J369="","No SIC",IFERROR(VLOOKUP(J369,Ref!$A$4:$C$67,2,FALSE()),"Unclassified"))</f>
        <v/>
      </c>
      <c r="AZ369" s="5">
        <f>IF(E369="","",TEXT(E369,"YYYY")&amp;"-Q"&amp;ROUNDUP(MONTH(E369)/3,0))</f>
        <v/>
      </c>
      <c r="BA369" s="5">
        <f>IF(E369="","",TEXT(E369,"YYYY-MM"))</f>
        <v/>
      </c>
      <c r="BB369" s="5">
        <f>IF(E369="","",TEXT(E369,"YYYY"))</f>
        <v/>
      </c>
      <c r="BC369" s="92">
        <f>IF($E369="","",NETWORKDAYS($E369,Controls!$B$9,Ref!$F$4:$F$47))</f>
        <v/>
      </c>
      <c r="BD369" s="92">
        <f>IF(OR($AH369=1,$AJ369=1),1,0)</f>
        <v/>
      </c>
      <c r="BE369" s="95">
        <f>IF(OR($BD369=1,AND($AE369&lt;&gt;"",$BC369&gt;=Controls!$B$10*$AE369)),1,0)</f>
        <v/>
      </c>
    </row>
    <row r="370" ht="15.75" customHeight="1" s="79">
      <c r="A370" s="5" t="inlineStr">
        <is>
          <t>5674172606</t>
        </is>
      </c>
      <c r="B370" s="5" t="inlineStr">
        <is>
          <t>GM&amp;I Services LLC</t>
        </is>
      </c>
      <c r="C370" s="5" t="inlineStr">
        <is>
          <t>GM&amp;I Services LLC</t>
        </is>
      </c>
      <c r="D370" s="5" t="inlineStr">
        <is>
          <t>Closed</t>
        </is>
      </c>
      <c r="E370" s="16" t="n">
        <v>45982</v>
      </c>
      <c r="F370" s="16" t="n">
        <v>46178</v>
      </c>
      <c r="G370" s="17" t="n">
        <v>1</v>
      </c>
      <c r="H370" s="5" t="inlineStr">
        <is>
          <t>9511</t>
        </is>
      </c>
      <c r="I370" s="5" t="inlineStr">
        <is>
          <t>Administration of Air and Water Resource and Solid Waste Management Programs</t>
        </is>
      </c>
      <c r="J370" s="5" t="inlineStr">
        <is>
          <t>95</t>
        </is>
      </c>
      <c r="K370" s="5" t="n">
        <v>4900</v>
      </c>
      <c r="L370" s="5" t="inlineStr">
        <is>
          <t>TX</t>
        </is>
      </c>
      <c r="M370" s="5" t="inlineStr">
        <is>
          <t>Fundwell</t>
        </is>
      </c>
      <c r="N370" s="5" t="inlineStr">
        <is>
          <t>New Deal</t>
        </is>
      </c>
      <c r="O370" s="19" t="n">
        <v>1.42</v>
      </c>
      <c r="P370" s="20" t="n">
        <v>85000</v>
      </c>
      <c r="Q370" s="20" t="n">
        <v>11900</v>
      </c>
      <c r="R370" s="20" t="n">
        <v>120700</v>
      </c>
      <c r="S370" s="20" t="n">
        <v>120700</v>
      </c>
      <c r="T370" s="20" t="n">
        <v>0</v>
      </c>
      <c r="U370" s="21" t="n">
        <v>1</v>
      </c>
      <c r="V370" s="22" t="n">
        <v>28</v>
      </c>
      <c r="W370" s="17" t="n">
        <v>75</v>
      </c>
      <c r="X370" s="17" t="n">
        <v>0</v>
      </c>
      <c r="Y370" s="20" t="n">
        <v>128693.84</v>
      </c>
      <c r="Z370" s="21" t="n">
        <v>0.134</v>
      </c>
      <c r="AA370" s="16" t="n">
        <v>45544</v>
      </c>
      <c r="AB370" s="5">
        <f>IF(V370="","",IF(V370&lt;12,"Months","Weeks"))</f>
        <v/>
      </c>
      <c r="AC370" s="5">
        <f>IF(AB370="","",IF(AB370="Months","Daily","Weekly"))</f>
        <v/>
      </c>
      <c r="AD370" s="17">
        <f>IF(V370="","",IF(AC370="Daily",V370*Controls!$B$13,V370))</f>
        <v/>
      </c>
      <c r="AE370" s="17">
        <f>IF(V370="","",IF(AC370="Daily",V370*Controls!$B$13,V370*Controls!$B$12))</f>
        <v/>
      </c>
      <c r="AF370" s="17">
        <f>IF(OR(E370="",F370=""),"",F370-E370)</f>
        <v/>
      </c>
      <c r="AG370" s="17">
        <f>IF(OR(E370="",F370=""),"",NETWORKDAYS(E370,F370,Ref!$F$4:$F$47))</f>
        <v/>
      </c>
      <c r="AH370" s="39">
        <f>IF(IFERROR(VLOOKUP(D370,Controls!$A$25:$D$35,2,FALSE()),"No")="Yes",1,0)</f>
        <v/>
      </c>
      <c r="AI370" s="39">
        <f>IF(IFERROR(VLOOKUP(D370,Controls!$A$25:$D$35,3,FALSE()),"No")="Yes",1,0)</f>
        <v/>
      </c>
      <c r="AJ370" s="39">
        <f>IF(IFERROR(VLOOKUP(D370,Controls!$A$25:$D$35,4,FALSE()),"No")="Yes",1,0)</f>
        <v/>
      </c>
      <c r="AK370" s="96">
        <f>IF(AND($E370&gt;=Controls!$B$5,$E370&lt;=Controls!$B$6,OR(Controls!$E$9&lt;&gt;"Y",$BE370=1)),1,0)</f>
        <v/>
      </c>
      <c r="AL370" s="39">
        <f>1</f>
        <v/>
      </c>
      <c r="AM370" s="20">
        <f>S370-P370</f>
        <v/>
      </c>
      <c r="AN370" s="20">
        <f>IF(AH370=1,MAX(0,P370-S370),0)</f>
        <v/>
      </c>
      <c r="AO370" s="21">
        <f>IFERROR(S370/P370,"")</f>
        <v/>
      </c>
      <c r="AP370" s="22">
        <f>IF(Y370="","",P370/Y370)</f>
        <v/>
      </c>
      <c r="AQ370" s="39">
        <f>IF(Y370="",0,1)</f>
        <v/>
      </c>
      <c r="AR370" s="39">
        <f>IF(S370&lt;=0,1,0)</f>
        <v/>
      </c>
      <c r="AS370" s="17">
        <f>IF(AH370=1,AG370,"")</f>
        <v/>
      </c>
      <c r="AT370" s="17">
        <f>IF(AND(AH370=0,AJ370=1),AG370,"")</f>
        <v/>
      </c>
      <c r="AU370" s="5">
        <f>IF(P370&lt;10000,"Under $10K",IF(P370&lt;20000,"$10-20K",IF(P370&lt;30000,"$20-30K",IF(P370&lt;50000,"$30-50K",IF(P370&lt;100000,"$50-100K","$100K+")))))</f>
        <v/>
      </c>
      <c r="AV370" s="5">
        <f>IF(O370&lt;=1.35,"1.35 and under",IF(O370&lt;=1.42,"1.36-1.42",IF(O370&lt;=1.45,"1.43-1.45",IF(O370&lt;1.49,"1.46-1.48",IF(O370&lt;=1.49,"1.49","Above 1.49")))))</f>
        <v/>
      </c>
      <c r="AW370" s="5">
        <f>IF(AE370="","",IF(AE370&lt;60,"Under 60",IF(AE370&lt;90,"60-89",IF(AE370&lt;120,"90-119",IF(AE370&lt;150,"120-149","150+")))))</f>
        <v/>
      </c>
      <c r="AX370" s="5">
        <f>IF(AP370="","No revenue data",IF(AP370&lt;0.15,"Under 0.15x",IF(AP370&lt;0.3,"0.15-0.30x",IF(AP370&lt;0.5,"0.30-0.50x",IF(AP370&lt;1,"0.50-1.00x","1.00x+")))))</f>
        <v/>
      </c>
      <c r="AY370" s="5">
        <f>IF(J370="","No SIC",IFERROR(VLOOKUP(J370,Ref!$A$4:$C$67,2,FALSE()),"Unclassified"))</f>
        <v/>
      </c>
      <c r="AZ370" s="5">
        <f>IF(E370="","",TEXT(E370,"YYYY")&amp;"-Q"&amp;ROUNDUP(MONTH(E370)/3,0))</f>
        <v/>
      </c>
      <c r="BA370" s="5">
        <f>IF(E370="","",TEXT(E370,"YYYY-MM"))</f>
        <v/>
      </c>
      <c r="BB370" s="5">
        <f>IF(E370="","",TEXT(E370,"YYYY"))</f>
        <v/>
      </c>
      <c r="BC370" s="92">
        <f>IF($E370="","",NETWORKDAYS($E370,Controls!$B$9,Ref!$F$4:$F$47))</f>
        <v/>
      </c>
      <c r="BD370" s="92">
        <f>IF(OR($AH370=1,$AJ370=1),1,0)</f>
        <v/>
      </c>
      <c r="BE370" s="95">
        <f>IF(OR($BD370=1,AND($AE370&lt;&gt;"",$BC370&gt;=Controls!$B$10*$AE370)),1,0)</f>
        <v/>
      </c>
    </row>
    <row r="371" ht="15.75" customHeight="1" s="79">
      <c r="A371" s="5" t="inlineStr">
        <is>
          <t>5674172613</t>
        </is>
      </c>
      <c r="B371" s="5" t="inlineStr">
        <is>
          <t>Craft Roots Vegan Bar and Grill</t>
        </is>
      </c>
      <c r="C371" s="5" t="inlineStr">
        <is>
          <t>Gaich Group LLC</t>
        </is>
      </c>
      <c r="D371" s="5" t="inlineStr">
        <is>
          <t>Closed</t>
        </is>
      </c>
      <c r="E371" s="16" t="n">
        <v>45982</v>
      </c>
      <c r="F371" s="16" t="n">
        <v>46101</v>
      </c>
      <c r="G371" s="17" t="n">
        <v>4</v>
      </c>
      <c r="H371" s="5" t="inlineStr">
        <is>
          <t>5812</t>
        </is>
      </c>
      <c r="I371" s="5" t="inlineStr">
        <is>
          <t>Snack and Nonalcoholic Beverage Bars</t>
        </is>
      </c>
      <c r="J371" s="5" t="inlineStr">
        <is>
          <t>58</t>
        </is>
      </c>
      <c r="K371" s="5" t="n">
        <v>5812</v>
      </c>
      <c r="L371" s="5" t="inlineStr">
        <is>
          <t>CA</t>
        </is>
      </c>
      <c r="M371" s="5" t="inlineStr">
        <is>
          <t>National Business Capital</t>
        </is>
      </c>
      <c r="N371" s="5" t="inlineStr">
        <is>
          <t>New Deal</t>
        </is>
      </c>
      <c r="O371" s="19" t="n">
        <v>1.4</v>
      </c>
      <c r="P371" s="20" t="n">
        <v>20000</v>
      </c>
      <c r="Q371" s="20" t="n">
        <v>1900</v>
      </c>
      <c r="R371" s="20" t="n">
        <v>28000</v>
      </c>
      <c r="S371" s="20" t="n">
        <v>28000</v>
      </c>
      <c r="T371" s="20" t="n">
        <v>0</v>
      </c>
      <c r="U371" s="21" t="n">
        <v>1</v>
      </c>
      <c r="V371" s="22" t="n">
        <v>2.623</v>
      </c>
      <c r="W371" s="17" t="n">
        <v>152</v>
      </c>
      <c r="X371" s="17" t="n">
        <v>0</v>
      </c>
      <c r="Y371" s="20" t="n">
        <v>131910.62</v>
      </c>
      <c r="Z371" s="21" t="n">
        <v>0.0557</v>
      </c>
      <c r="AA371" s="5" t="n"/>
      <c r="AB371" s="5">
        <f>IF(V371="","",IF(V371&lt;12,"Months","Weeks"))</f>
        <v/>
      </c>
      <c r="AC371" s="5">
        <f>IF(AB371="","",IF(AB371="Months","Daily","Weekly"))</f>
        <v/>
      </c>
      <c r="AD371" s="17">
        <f>IF(V371="","",IF(AC371="Daily",V371*Controls!$B$13,V371))</f>
        <v/>
      </c>
      <c r="AE371" s="17">
        <f>IF(V371="","",IF(AC371="Daily",V371*Controls!$B$13,V371*Controls!$B$12))</f>
        <v/>
      </c>
      <c r="AF371" s="17">
        <f>IF(OR(E371="",F371=""),"",F371-E371)</f>
        <v/>
      </c>
      <c r="AG371" s="17">
        <f>IF(OR(E371="",F371=""),"",NETWORKDAYS(E371,F371,Ref!$F$4:$F$47))</f>
        <v/>
      </c>
      <c r="AH371" s="39">
        <f>IF(IFERROR(VLOOKUP(D371,Controls!$A$25:$D$35,2,FALSE()),"No")="Yes",1,0)</f>
        <v/>
      </c>
      <c r="AI371" s="39">
        <f>IF(IFERROR(VLOOKUP(D371,Controls!$A$25:$D$35,3,FALSE()),"No")="Yes",1,0)</f>
        <v/>
      </c>
      <c r="AJ371" s="39">
        <f>IF(IFERROR(VLOOKUP(D371,Controls!$A$25:$D$35,4,FALSE()),"No")="Yes",1,0)</f>
        <v/>
      </c>
      <c r="AK371" s="96">
        <f>IF(AND($E371&gt;=Controls!$B$5,$E371&lt;=Controls!$B$6,OR(Controls!$E$9&lt;&gt;"Y",$BE371=1)),1,0)</f>
        <v/>
      </c>
      <c r="AL371" s="39">
        <f>1</f>
        <v/>
      </c>
      <c r="AM371" s="20">
        <f>S371-P371</f>
        <v/>
      </c>
      <c r="AN371" s="20">
        <f>IF(AH371=1,MAX(0,P371-S371),0)</f>
        <v/>
      </c>
      <c r="AO371" s="21">
        <f>IFERROR(S371/P371,"")</f>
        <v/>
      </c>
      <c r="AP371" s="22">
        <f>IF(Y371="","",P371/Y371)</f>
        <v/>
      </c>
      <c r="AQ371" s="39">
        <f>IF(Y371="",0,1)</f>
        <v/>
      </c>
      <c r="AR371" s="39">
        <f>IF(S371&lt;=0,1,0)</f>
        <v/>
      </c>
      <c r="AS371" s="17">
        <f>IF(AH371=1,AG371,"")</f>
        <v/>
      </c>
      <c r="AT371" s="17">
        <f>IF(AND(AH371=0,AJ371=1),AG371,"")</f>
        <v/>
      </c>
      <c r="AU371" s="5">
        <f>IF(P371&lt;10000,"Under $10K",IF(P371&lt;20000,"$10-20K",IF(P371&lt;30000,"$20-30K",IF(P371&lt;50000,"$30-50K",IF(P371&lt;100000,"$50-100K","$100K+")))))</f>
        <v/>
      </c>
      <c r="AV371" s="5">
        <f>IF(O371&lt;=1.35,"1.35 and under",IF(O371&lt;=1.42,"1.36-1.42",IF(O371&lt;=1.45,"1.43-1.45",IF(O371&lt;1.49,"1.46-1.48",IF(O371&lt;=1.49,"1.49","Above 1.49")))))</f>
        <v/>
      </c>
      <c r="AW371" s="5">
        <f>IF(AE371="","",IF(AE371&lt;60,"Under 60",IF(AE371&lt;90,"60-89",IF(AE371&lt;120,"90-119",IF(AE371&lt;150,"120-149","150+")))))</f>
        <v/>
      </c>
      <c r="AX371" s="5">
        <f>IF(AP371="","No revenue data",IF(AP371&lt;0.15,"Under 0.15x",IF(AP371&lt;0.3,"0.15-0.30x",IF(AP371&lt;0.5,"0.30-0.50x",IF(AP371&lt;1,"0.50-1.00x","1.00x+")))))</f>
        <v/>
      </c>
      <c r="AY371" s="5">
        <f>IF(J371="","No SIC",IFERROR(VLOOKUP(J371,Ref!$A$4:$C$67,2,FALSE()),"Unclassified"))</f>
        <v/>
      </c>
      <c r="AZ371" s="5">
        <f>IF(E371="","",TEXT(E371,"YYYY")&amp;"-Q"&amp;ROUNDUP(MONTH(E371)/3,0))</f>
        <v/>
      </c>
      <c r="BA371" s="5">
        <f>IF(E371="","",TEXT(E371,"YYYY-MM"))</f>
        <v/>
      </c>
      <c r="BB371" s="5">
        <f>IF(E371="","",TEXT(E371,"YYYY"))</f>
        <v/>
      </c>
      <c r="BC371" s="92">
        <f>IF($E371="","",NETWORKDAYS($E371,Controls!$B$9,Ref!$F$4:$F$47))</f>
        <v/>
      </c>
      <c r="BD371" s="92">
        <f>IF(OR($AH371=1,$AJ371=1),1,0)</f>
        <v/>
      </c>
      <c r="BE371" s="95">
        <f>IF(OR($BD371=1,AND($AE371&lt;&gt;"",$BC371&gt;=Controls!$B$10*$AE371)),1,0)</f>
        <v/>
      </c>
    </row>
    <row r="372" ht="15.75" customHeight="1" s="79">
      <c r="A372" s="5" t="inlineStr">
        <is>
          <t>5674172631</t>
        </is>
      </c>
      <c r="B372" s="5" t="inlineStr">
        <is>
          <t>pink rabbit bar and lounge</t>
        </is>
      </c>
      <c r="C372" s="5" t="inlineStr">
        <is>
          <t>PINK RABBIT LLC</t>
        </is>
      </c>
      <c r="D372" s="5" t="inlineStr">
        <is>
          <t>Legal</t>
        </is>
      </c>
      <c r="E372" s="16" t="n">
        <v>45982</v>
      </c>
      <c r="F372" s="16" t="n">
        <v>46050</v>
      </c>
      <c r="G372" s="17" t="n">
        <v>1</v>
      </c>
      <c r="H372" s="5" t="inlineStr">
        <is>
          <t>5812</t>
        </is>
      </c>
      <c r="I372" s="5" t="inlineStr">
        <is>
          <t>Snack and Nonalcoholic Beverage Bars</t>
        </is>
      </c>
      <c r="J372" s="5" t="inlineStr">
        <is>
          <t>58</t>
        </is>
      </c>
      <c r="K372" s="5" t="n">
        <v>5812</v>
      </c>
      <c r="L372" s="5" t="inlineStr">
        <is>
          <t>HI</t>
        </is>
      </c>
      <c r="M372" s="5" t="inlineStr">
        <is>
          <t>PMF</t>
        </is>
      </c>
      <c r="N372" s="5" t="inlineStr">
        <is>
          <t>New Deal</t>
        </is>
      </c>
      <c r="O372" s="19" t="n">
        <v>1.49</v>
      </c>
      <c r="P372" s="20" t="n">
        <v>15000</v>
      </c>
      <c r="Q372" s="20" t="n">
        <v>0</v>
      </c>
      <c r="R372" s="20" t="n">
        <v>22350</v>
      </c>
      <c r="S372" s="20" t="n">
        <v>1015.42</v>
      </c>
      <c r="T372" s="20" t="n">
        <v>21334.58</v>
      </c>
      <c r="U372" s="21" t="n">
        <v>0.0454326621923937</v>
      </c>
      <c r="V372" s="22" t="n">
        <v>22</v>
      </c>
      <c r="W372" s="17" t="n">
        <v>266</v>
      </c>
      <c r="X372" s="17" t="n">
        <v>18</v>
      </c>
      <c r="Y372" s="20" t="n">
        <v>51807.24</v>
      </c>
      <c r="Z372" s="21" t="n">
        <v>0.0784</v>
      </c>
      <c r="AA372" s="16" t="n">
        <v>45642</v>
      </c>
      <c r="AB372" s="5">
        <f>IF(V372="","",IF(V372&lt;12,"Months","Weeks"))</f>
        <v/>
      </c>
      <c r="AC372" s="5">
        <f>IF(AB372="","",IF(AB372="Months","Daily","Weekly"))</f>
        <v/>
      </c>
      <c r="AD372" s="17">
        <f>IF(V372="","",IF(AC372="Daily",V372*Controls!$B$13,V372))</f>
        <v/>
      </c>
      <c r="AE372" s="17">
        <f>IF(V372="","",IF(AC372="Daily",V372*Controls!$B$13,V372*Controls!$B$12))</f>
        <v/>
      </c>
      <c r="AF372" s="17">
        <f>IF(OR(E372="",F372=""),"",F372-E372)</f>
        <v/>
      </c>
      <c r="AG372" s="17">
        <f>IF(OR(E372="",F372=""),"",NETWORKDAYS(E372,F372,Ref!$F$4:$F$47))</f>
        <v/>
      </c>
      <c r="AH372" s="39">
        <f>IF(IFERROR(VLOOKUP(D372,Controls!$A$25:$D$35,2,FALSE()),"No")="Yes",1,0)</f>
        <v/>
      </c>
      <c r="AI372" s="39">
        <f>IF(IFERROR(VLOOKUP(D372,Controls!$A$25:$D$35,3,FALSE()),"No")="Yes",1,0)</f>
        <v/>
      </c>
      <c r="AJ372" s="39">
        <f>IF(IFERROR(VLOOKUP(D372,Controls!$A$25:$D$35,4,FALSE()),"No")="Yes",1,0)</f>
        <v/>
      </c>
      <c r="AK372" s="96">
        <f>IF(AND($E372&gt;=Controls!$B$5,$E372&lt;=Controls!$B$6,OR(Controls!$E$9&lt;&gt;"Y",$BE372=1)),1,0)</f>
        <v/>
      </c>
      <c r="AL372" s="39">
        <f>1</f>
        <v/>
      </c>
      <c r="AM372" s="20">
        <f>S372-P372</f>
        <v/>
      </c>
      <c r="AN372" s="20">
        <f>IF(AH372=1,MAX(0,P372-S372),0)</f>
        <v/>
      </c>
      <c r="AO372" s="21">
        <f>IFERROR(S372/P372,"")</f>
        <v/>
      </c>
      <c r="AP372" s="22">
        <f>IF(Y372="","",P372/Y372)</f>
        <v/>
      </c>
      <c r="AQ372" s="39">
        <f>IF(Y372="",0,1)</f>
        <v/>
      </c>
      <c r="AR372" s="39">
        <f>IF(S372&lt;=0,1,0)</f>
        <v/>
      </c>
      <c r="AS372" s="17">
        <f>IF(AH372=1,AG372,"")</f>
        <v/>
      </c>
      <c r="AT372" s="17">
        <f>IF(AND(AH372=0,AJ372=1),AG372,"")</f>
        <v/>
      </c>
      <c r="AU372" s="5">
        <f>IF(P372&lt;10000,"Under $10K",IF(P372&lt;20000,"$10-20K",IF(P372&lt;30000,"$20-30K",IF(P372&lt;50000,"$30-50K",IF(P372&lt;100000,"$50-100K","$100K+")))))</f>
        <v/>
      </c>
      <c r="AV372" s="5">
        <f>IF(O372&lt;=1.35,"1.35 and under",IF(O372&lt;=1.42,"1.36-1.42",IF(O372&lt;=1.45,"1.43-1.45",IF(O372&lt;1.49,"1.46-1.48",IF(O372&lt;=1.49,"1.49","Above 1.49")))))</f>
        <v/>
      </c>
      <c r="AW372" s="5">
        <f>IF(AE372="","",IF(AE372&lt;60,"Under 60",IF(AE372&lt;90,"60-89",IF(AE372&lt;120,"90-119",IF(AE372&lt;150,"120-149","150+")))))</f>
        <v/>
      </c>
      <c r="AX372" s="5">
        <f>IF(AP372="","No revenue data",IF(AP372&lt;0.15,"Under 0.15x",IF(AP372&lt;0.3,"0.15-0.30x",IF(AP372&lt;0.5,"0.30-0.50x",IF(AP372&lt;1,"0.50-1.00x","1.00x+")))))</f>
        <v/>
      </c>
      <c r="AY372" s="5">
        <f>IF(J372="","No SIC",IFERROR(VLOOKUP(J372,Ref!$A$4:$C$67,2,FALSE()),"Unclassified"))</f>
        <v/>
      </c>
      <c r="AZ372" s="5">
        <f>IF(E372="","",TEXT(E372,"YYYY")&amp;"-Q"&amp;ROUNDUP(MONTH(E372)/3,0))</f>
        <v/>
      </c>
      <c r="BA372" s="5">
        <f>IF(E372="","",TEXT(E372,"YYYY-MM"))</f>
        <v/>
      </c>
      <c r="BB372" s="5">
        <f>IF(E372="","",TEXT(E372,"YYYY"))</f>
        <v/>
      </c>
      <c r="BC372" s="92">
        <f>IF($E372="","",NETWORKDAYS($E372,Controls!$B$9,Ref!$F$4:$F$47))</f>
        <v/>
      </c>
      <c r="BD372" s="92">
        <f>IF(OR($AH372=1,$AJ372=1),1,0)</f>
        <v/>
      </c>
      <c r="BE372" s="95">
        <f>IF(OR($BD372=1,AND($AE372&lt;&gt;"",$BC372&gt;=Controls!$B$10*$AE372)),1,0)</f>
        <v/>
      </c>
    </row>
    <row r="373" ht="15.75" customHeight="1" s="79">
      <c r="A373" s="5" t="inlineStr">
        <is>
          <t>5674172650</t>
        </is>
      </c>
      <c r="B373" s="5" t="inlineStr">
        <is>
          <t>EAGLE MEDICAL MANAGEMENT INC</t>
        </is>
      </c>
      <c r="C373" s="5" t="inlineStr">
        <is>
          <t>EAGLE MEDICAL MANAGEMENT INC</t>
        </is>
      </c>
      <c r="D373" s="5" t="inlineStr">
        <is>
          <t>Closed</t>
        </is>
      </c>
      <c r="E373" s="16" t="n">
        <v>45982</v>
      </c>
      <c r="F373" s="16" t="n">
        <v>46071</v>
      </c>
      <c r="G373" s="17" t="n">
        <v>1</v>
      </c>
      <c r="H373" s="5" t="inlineStr">
        <is>
          <t>8011</t>
        </is>
      </c>
      <c r="I373" s="5" t="inlineStr">
        <is>
          <t>Offices of Physicians (Except Mental Health Specialists)</t>
        </is>
      </c>
      <c r="J373" s="5" t="inlineStr">
        <is>
          <t>80</t>
        </is>
      </c>
      <c r="K373" s="5" t="n">
        <v>8011</v>
      </c>
      <c r="L373" s="5" t="inlineStr">
        <is>
          <t>FL</t>
        </is>
      </c>
      <c r="M373" s="5" t="inlineStr">
        <is>
          <t>United Secured Capital 8</t>
        </is>
      </c>
      <c r="N373" s="5" t="inlineStr">
        <is>
          <t>New Deal</t>
        </is>
      </c>
      <c r="O373" s="19" t="n">
        <v>1.5</v>
      </c>
      <c r="P373" s="20" t="n">
        <v>30000</v>
      </c>
      <c r="Q373" s="20" t="n">
        <v>4200</v>
      </c>
      <c r="R373" s="20" t="n">
        <v>45000</v>
      </c>
      <c r="S373" s="20" t="n">
        <v>45000</v>
      </c>
      <c r="T373" s="20" t="n">
        <v>0</v>
      </c>
      <c r="U373" s="21" t="n">
        <v>1</v>
      </c>
      <c r="V373" s="22" t="n">
        <v>3.934</v>
      </c>
      <c r="W373" s="17" t="n">
        <v>182</v>
      </c>
      <c r="X373" s="17" t="n">
        <v>3</v>
      </c>
      <c r="Y373" s="20" t="n">
        <v>151117.26</v>
      </c>
      <c r="Z373" s="21" t="n">
        <v>0.0518</v>
      </c>
      <c r="AA373" s="16" t="n">
        <v>36749</v>
      </c>
      <c r="AB373" s="5">
        <f>IF(V373="","",IF(V373&lt;12,"Months","Weeks"))</f>
        <v/>
      </c>
      <c r="AC373" s="5">
        <f>IF(AB373="","",IF(AB373="Months","Daily","Weekly"))</f>
        <v/>
      </c>
      <c r="AD373" s="17">
        <f>IF(V373="","",IF(AC373="Daily",V373*Controls!$B$13,V373))</f>
        <v/>
      </c>
      <c r="AE373" s="17">
        <f>IF(V373="","",IF(AC373="Daily",V373*Controls!$B$13,V373*Controls!$B$12))</f>
        <v/>
      </c>
      <c r="AF373" s="17">
        <f>IF(OR(E373="",F373=""),"",F373-E373)</f>
        <v/>
      </c>
      <c r="AG373" s="17">
        <f>IF(OR(E373="",F373=""),"",NETWORKDAYS(E373,F373,Ref!$F$4:$F$47))</f>
        <v/>
      </c>
      <c r="AH373" s="39">
        <f>IF(IFERROR(VLOOKUP(D373,Controls!$A$25:$D$35,2,FALSE()),"No")="Yes",1,0)</f>
        <v/>
      </c>
      <c r="AI373" s="39">
        <f>IF(IFERROR(VLOOKUP(D373,Controls!$A$25:$D$35,3,FALSE()),"No")="Yes",1,0)</f>
        <v/>
      </c>
      <c r="AJ373" s="39">
        <f>IF(IFERROR(VLOOKUP(D373,Controls!$A$25:$D$35,4,FALSE()),"No")="Yes",1,0)</f>
        <v/>
      </c>
      <c r="AK373" s="96">
        <f>IF(AND($E373&gt;=Controls!$B$5,$E373&lt;=Controls!$B$6,OR(Controls!$E$9&lt;&gt;"Y",$BE373=1)),1,0)</f>
        <v/>
      </c>
      <c r="AL373" s="39">
        <f>1</f>
        <v/>
      </c>
      <c r="AM373" s="20">
        <f>S373-P373</f>
        <v/>
      </c>
      <c r="AN373" s="20">
        <f>IF(AH373=1,MAX(0,P373-S373),0)</f>
        <v/>
      </c>
      <c r="AO373" s="21">
        <f>IFERROR(S373/P373,"")</f>
        <v/>
      </c>
      <c r="AP373" s="22">
        <f>IF(Y373="","",P373/Y373)</f>
        <v/>
      </c>
      <c r="AQ373" s="39">
        <f>IF(Y373="",0,1)</f>
        <v/>
      </c>
      <c r="AR373" s="39">
        <f>IF(S373&lt;=0,1,0)</f>
        <v/>
      </c>
      <c r="AS373" s="17">
        <f>IF(AH373=1,AG373,"")</f>
        <v/>
      </c>
      <c r="AT373" s="17">
        <f>IF(AND(AH373=0,AJ373=1),AG373,"")</f>
        <v/>
      </c>
      <c r="AU373" s="5">
        <f>IF(P373&lt;10000,"Under $10K",IF(P373&lt;20000,"$10-20K",IF(P373&lt;30000,"$20-30K",IF(P373&lt;50000,"$30-50K",IF(P373&lt;100000,"$50-100K","$100K+")))))</f>
        <v/>
      </c>
      <c r="AV373" s="5">
        <f>IF(O373&lt;=1.35,"1.35 and under",IF(O373&lt;=1.42,"1.36-1.42",IF(O373&lt;=1.45,"1.43-1.45",IF(O373&lt;1.49,"1.46-1.48",IF(O373&lt;=1.49,"1.49","Above 1.49")))))</f>
        <v/>
      </c>
      <c r="AW373" s="5">
        <f>IF(AE373="","",IF(AE373&lt;60,"Under 60",IF(AE373&lt;90,"60-89",IF(AE373&lt;120,"90-119",IF(AE373&lt;150,"120-149","150+")))))</f>
        <v/>
      </c>
      <c r="AX373" s="5">
        <f>IF(AP373="","No revenue data",IF(AP373&lt;0.15,"Under 0.15x",IF(AP373&lt;0.3,"0.15-0.30x",IF(AP373&lt;0.5,"0.30-0.50x",IF(AP373&lt;1,"0.50-1.00x","1.00x+")))))</f>
        <v/>
      </c>
      <c r="AY373" s="5">
        <f>IF(J373="","No SIC",IFERROR(VLOOKUP(J373,Ref!$A$4:$C$67,2,FALSE()),"Unclassified"))</f>
        <v/>
      </c>
      <c r="AZ373" s="5">
        <f>IF(E373="","",TEXT(E373,"YYYY")&amp;"-Q"&amp;ROUNDUP(MONTH(E373)/3,0))</f>
        <v/>
      </c>
      <c r="BA373" s="5">
        <f>IF(E373="","",TEXT(E373,"YYYY-MM"))</f>
        <v/>
      </c>
      <c r="BB373" s="5">
        <f>IF(E373="","",TEXT(E373,"YYYY"))</f>
        <v/>
      </c>
      <c r="BC373" s="92">
        <f>IF($E373="","",NETWORKDAYS($E373,Controls!$B$9,Ref!$F$4:$F$47))</f>
        <v/>
      </c>
      <c r="BD373" s="92">
        <f>IF(OR($AH373=1,$AJ373=1),1,0)</f>
        <v/>
      </c>
      <c r="BE373" s="95">
        <f>IF(OR($BD373=1,AND($AE373&lt;&gt;"",$BC373&gt;=Controls!$B$10*$AE373)),1,0)</f>
        <v/>
      </c>
    </row>
    <row r="374" ht="15.75" customHeight="1" s="79">
      <c r="A374" s="5" t="inlineStr">
        <is>
          <t>5674172661</t>
        </is>
      </c>
      <c r="B374" s="5" t="inlineStr">
        <is>
          <t>LASHOLOGY</t>
        </is>
      </c>
      <c r="C374" s="5" t="inlineStr">
        <is>
          <t>Iconic Holdings Inc.</t>
        </is>
      </c>
      <c r="D374" s="5" t="inlineStr">
        <is>
          <t>Closed</t>
        </is>
      </c>
      <c r="E374" s="16" t="n">
        <v>45982</v>
      </c>
      <c r="F374" s="16" t="n">
        <v>46080</v>
      </c>
      <c r="G374" s="17" t="n">
        <v>1</v>
      </c>
      <c r="H374" s="5" t="inlineStr">
        <is>
          <t>7231</t>
        </is>
      </c>
      <c r="I374" s="5" t="inlineStr">
        <is>
          <t>Beauty Salons</t>
        </is>
      </c>
      <c r="J374" s="5" t="inlineStr">
        <is>
          <t>72</t>
        </is>
      </c>
      <c r="K374" s="5" t="n">
        <v>7230</v>
      </c>
      <c r="L374" s="5" t="inlineStr">
        <is>
          <t>CO</t>
        </is>
      </c>
      <c r="M374" s="5" t="inlineStr">
        <is>
          <t>Fundwell</t>
        </is>
      </c>
      <c r="N374" s="5" t="inlineStr">
        <is>
          <t>New Deal</t>
        </is>
      </c>
      <c r="O374" s="19" t="n">
        <v>1.39</v>
      </c>
      <c r="P374" s="20" t="n">
        <v>40000</v>
      </c>
      <c r="Q374" s="20" t="n">
        <v>5000</v>
      </c>
      <c r="R374" s="20" t="n">
        <v>55600</v>
      </c>
      <c r="S374" s="20" t="n">
        <v>55600</v>
      </c>
      <c r="T374" s="20" t="n">
        <v>-7.275957614183431e-12</v>
      </c>
      <c r="U374" s="21" t="n">
        <v>1</v>
      </c>
      <c r="V374" s="22" t="n">
        <v>36</v>
      </c>
      <c r="W374" s="17" t="n">
        <v>173</v>
      </c>
      <c r="X374" s="17" t="n">
        <v>0</v>
      </c>
      <c r="Y374" s="20" t="n">
        <v>54378.42</v>
      </c>
      <c r="Z374" s="21" t="n">
        <v>0.169</v>
      </c>
      <c r="AA374" s="16" t="n">
        <v>45191</v>
      </c>
      <c r="AB374" s="5">
        <f>IF(V374="","",IF(V374&lt;12,"Months","Weeks"))</f>
        <v/>
      </c>
      <c r="AC374" s="5">
        <f>IF(AB374="","",IF(AB374="Months","Daily","Weekly"))</f>
        <v/>
      </c>
      <c r="AD374" s="17">
        <f>IF(V374="","",IF(AC374="Daily",V374*Controls!$B$13,V374))</f>
        <v/>
      </c>
      <c r="AE374" s="17">
        <f>IF(V374="","",IF(AC374="Daily",V374*Controls!$B$13,V374*Controls!$B$12))</f>
        <v/>
      </c>
      <c r="AF374" s="17">
        <f>IF(OR(E374="",F374=""),"",F374-E374)</f>
        <v/>
      </c>
      <c r="AG374" s="17">
        <f>IF(OR(E374="",F374=""),"",NETWORKDAYS(E374,F374,Ref!$F$4:$F$47))</f>
        <v/>
      </c>
      <c r="AH374" s="39">
        <f>IF(IFERROR(VLOOKUP(D374,Controls!$A$25:$D$35,2,FALSE()),"No")="Yes",1,0)</f>
        <v/>
      </c>
      <c r="AI374" s="39">
        <f>IF(IFERROR(VLOOKUP(D374,Controls!$A$25:$D$35,3,FALSE()),"No")="Yes",1,0)</f>
        <v/>
      </c>
      <c r="AJ374" s="39">
        <f>IF(IFERROR(VLOOKUP(D374,Controls!$A$25:$D$35,4,FALSE()),"No")="Yes",1,0)</f>
        <v/>
      </c>
      <c r="AK374" s="96">
        <f>IF(AND($E374&gt;=Controls!$B$5,$E374&lt;=Controls!$B$6,OR(Controls!$E$9&lt;&gt;"Y",$BE374=1)),1,0)</f>
        <v/>
      </c>
      <c r="AL374" s="39">
        <f>1</f>
        <v/>
      </c>
      <c r="AM374" s="20">
        <f>S374-P374</f>
        <v/>
      </c>
      <c r="AN374" s="20">
        <f>IF(AH374=1,MAX(0,P374-S374),0)</f>
        <v/>
      </c>
      <c r="AO374" s="21">
        <f>IFERROR(S374/P374,"")</f>
        <v/>
      </c>
      <c r="AP374" s="22">
        <f>IF(Y374="","",P374/Y374)</f>
        <v/>
      </c>
      <c r="AQ374" s="39">
        <f>IF(Y374="",0,1)</f>
        <v/>
      </c>
      <c r="AR374" s="39">
        <f>IF(S374&lt;=0,1,0)</f>
        <v/>
      </c>
      <c r="AS374" s="17">
        <f>IF(AH374=1,AG374,"")</f>
        <v/>
      </c>
      <c r="AT374" s="17">
        <f>IF(AND(AH374=0,AJ374=1),AG374,"")</f>
        <v/>
      </c>
      <c r="AU374" s="5">
        <f>IF(P374&lt;10000,"Under $10K",IF(P374&lt;20000,"$10-20K",IF(P374&lt;30000,"$20-30K",IF(P374&lt;50000,"$30-50K",IF(P374&lt;100000,"$50-100K","$100K+")))))</f>
        <v/>
      </c>
      <c r="AV374" s="5">
        <f>IF(O374&lt;=1.35,"1.35 and under",IF(O374&lt;=1.42,"1.36-1.42",IF(O374&lt;=1.45,"1.43-1.45",IF(O374&lt;1.49,"1.46-1.48",IF(O374&lt;=1.49,"1.49","Above 1.49")))))</f>
        <v/>
      </c>
      <c r="AW374" s="5">
        <f>IF(AE374="","",IF(AE374&lt;60,"Under 60",IF(AE374&lt;90,"60-89",IF(AE374&lt;120,"90-119",IF(AE374&lt;150,"120-149","150+")))))</f>
        <v/>
      </c>
      <c r="AX374" s="5">
        <f>IF(AP374="","No revenue data",IF(AP374&lt;0.15,"Under 0.15x",IF(AP374&lt;0.3,"0.15-0.30x",IF(AP374&lt;0.5,"0.30-0.50x",IF(AP374&lt;1,"0.50-1.00x","1.00x+")))))</f>
        <v/>
      </c>
      <c r="AY374" s="5">
        <f>IF(J374="","No SIC",IFERROR(VLOOKUP(J374,Ref!$A$4:$C$67,2,FALSE()),"Unclassified"))</f>
        <v/>
      </c>
      <c r="AZ374" s="5">
        <f>IF(E374="","",TEXT(E374,"YYYY")&amp;"-Q"&amp;ROUNDUP(MONTH(E374)/3,0))</f>
        <v/>
      </c>
      <c r="BA374" s="5">
        <f>IF(E374="","",TEXT(E374,"YYYY-MM"))</f>
        <v/>
      </c>
      <c r="BB374" s="5">
        <f>IF(E374="","",TEXT(E374,"YYYY"))</f>
        <v/>
      </c>
      <c r="BC374" s="92">
        <f>IF($E374="","",NETWORKDAYS($E374,Controls!$B$9,Ref!$F$4:$F$47))</f>
        <v/>
      </c>
      <c r="BD374" s="92">
        <f>IF(OR($AH374=1,$AJ374=1),1,0)</f>
        <v/>
      </c>
      <c r="BE374" s="95">
        <f>IF(OR($BD374=1,AND($AE374&lt;&gt;"",$BC374&gt;=Controls!$B$10*$AE374)),1,0)</f>
        <v/>
      </c>
    </row>
    <row r="375" ht="15.75" customHeight="1" s="79">
      <c r="A375" s="5" t="inlineStr">
        <is>
          <t>5674172682</t>
        </is>
      </c>
      <c r="B375" s="5" t="inlineStr">
        <is>
          <t>Benjamin's Queens</t>
        </is>
      </c>
      <c r="C375" s="5" t="inlineStr">
        <is>
          <t>Benjamin's Queens LLC</t>
        </is>
      </c>
      <c r="D375" s="5" t="inlineStr">
        <is>
          <t>In House Collection</t>
        </is>
      </c>
      <c r="E375" s="16" t="n">
        <v>45985</v>
      </c>
      <c r="F375" s="16" t="n">
        <v>46203</v>
      </c>
      <c r="G375" s="17" t="n">
        <v>1</v>
      </c>
      <c r="H375" s="5" t="inlineStr">
        <is>
          <t>5023</t>
        </is>
      </c>
      <c r="I375" s="5" t="inlineStr">
        <is>
          <t>Home Furnishing Merchant Wholesalers</t>
        </is>
      </c>
      <c r="J375" s="5" t="inlineStr">
        <is>
          <t>50</t>
        </is>
      </c>
      <c r="K375" s="5" t="n">
        <v>5719</v>
      </c>
      <c r="L375" s="5" t="inlineStr">
        <is>
          <t>NC</t>
        </is>
      </c>
      <c r="M375" s="5" t="inlineStr">
        <is>
          <t>langtech</t>
        </is>
      </c>
      <c r="N375" s="5" t="inlineStr">
        <is>
          <t>New Deal</t>
        </is>
      </c>
      <c r="O375" s="19" t="n">
        <v>1.49</v>
      </c>
      <c r="P375" s="20" t="n">
        <v>3500</v>
      </c>
      <c r="Q375" s="20" t="n">
        <v>490</v>
      </c>
      <c r="R375" s="20" t="n">
        <v>5215</v>
      </c>
      <c r="S375" s="20" t="n">
        <v>325.83</v>
      </c>
      <c r="T375" s="20" t="n">
        <v>4889.17</v>
      </c>
      <c r="U375" s="21" t="n">
        <v>0.0624793863854267</v>
      </c>
      <c r="V375" s="22" t="n">
        <v>16</v>
      </c>
      <c r="W375" s="17" t="n">
        <v>264</v>
      </c>
      <c r="X375" s="17" t="n">
        <v>14</v>
      </c>
      <c r="Y375" s="20" t="n">
        <v>10056.39</v>
      </c>
      <c r="Z375" s="21" t="n">
        <v>0.1296</v>
      </c>
      <c r="AA375" s="16" t="n">
        <v>45788</v>
      </c>
      <c r="AB375" s="5">
        <f>IF(V375="","",IF(V375&lt;12,"Months","Weeks"))</f>
        <v/>
      </c>
      <c r="AC375" s="5">
        <f>IF(AB375="","",IF(AB375="Months","Daily","Weekly"))</f>
        <v/>
      </c>
      <c r="AD375" s="17">
        <f>IF(V375="","",IF(AC375="Daily",V375*Controls!$B$13,V375))</f>
        <v/>
      </c>
      <c r="AE375" s="17">
        <f>IF(V375="","",IF(AC375="Daily",V375*Controls!$B$13,V375*Controls!$B$12))</f>
        <v/>
      </c>
      <c r="AF375" s="17">
        <f>IF(OR(E375="",F375=""),"",F375-E375)</f>
        <v/>
      </c>
      <c r="AG375" s="17">
        <f>IF(OR(E375="",F375=""),"",NETWORKDAYS(E375,F375,Ref!$F$4:$F$47))</f>
        <v/>
      </c>
      <c r="AH375" s="39">
        <f>IF(IFERROR(VLOOKUP(D375,Controls!$A$25:$D$35,2,FALSE()),"No")="Yes",1,0)</f>
        <v/>
      </c>
      <c r="AI375" s="39">
        <f>IF(IFERROR(VLOOKUP(D375,Controls!$A$25:$D$35,3,FALSE()),"No")="Yes",1,0)</f>
        <v/>
      </c>
      <c r="AJ375" s="39">
        <f>IF(IFERROR(VLOOKUP(D375,Controls!$A$25:$D$35,4,FALSE()),"No")="Yes",1,0)</f>
        <v/>
      </c>
      <c r="AK375" s="96">
        <f>IF(AND($E375&gt;=Controls!$B$5,$E375&lt;=Controls!$B$6,OR(Controls!$E$9&lt;&gt;"Y",$BE375=1)),1,0)</f>
        <v/>
      </c>
      <c r="AL375" s="39">
        <f>1</f>
        <v/>
      </c>
      <c r="AM375" s="20">
        <f>S375-P375</f>
        <v/>
      </c>
      <c r="AN375" s="20">
        <f>IF(AH375=1,MAX(0,P375-S375),0)</f>
        <v/>
      </c>
      <c r="AO375" s="21">
        <f>IFERROR(S375/P375,"")</f>
        <v/>
      </c>
      <c r="AP375" s="22">
        <f>IF(Y375="","",P375/Y375)</f>
        <v/>
      </c>
      <c r="AQ375" s="39">
        <f>IF(Y375="",0,1)</f>
        <v/>
      </c>
      <c r="AR375" s="39">
        <f>IF(S375&lt;=0,1,0)</f>
        <v/>
      </c>
      <c r="AS375" s="17">
        <f>IF(AH375=1,AG375,"")</f>
        <v/>
      </c>
      <c r="AT375" s="17">
        <f>IF(AND(AH375=0,AJ375=1),AG375,"")</f>
        <v/>
      </c>
      <c r="AU375" s="5">
        <f>IF(P375&lt;10000,"Under $10K",IF(P375&lt;20000,"$10-20K",IF(P375&lt;30000,"$20-30K",IF(P375&lt;50000,"$30-50K",IF(P375&lt;100000,"$50-100K","$100K+")))))</f>
        <v/>
      </c>
      <c r="AV375" s="5">
        <f>IF(O375&lt;=1.35,"1.35 and under",IF(O375&lt;=1.42,"1.36-1.42",IF(O375&lt;=1.45,"1.43-1.45",IF(O375&lt;1.49,"1.46-1.48",IF(O375&lt;=1.49,"1.49","Above 1.49")))))</f>
        <v/>
      </c>
      <c r="AW375" s="5">
        <f>IF(AE375="","",IF(AE375&lt;60,"Under 60",IF(AE375&lt;90,"60-89",IF(AE375&lt;120,"90-119",IF(AE375&lt;150,"120-149","150+")))))</f>
        <v/>
      </c>
      <c r="AX375" s="5">
        <f>IF(AP375="","No revenue data",IF(AP375&lt;0.15,"Under 0.15x",IF(AP375&lt;0.3,"0.15-0.30x",IF(AP375&lt;0.5,"0.30-0.50x",IF(AP375&lt;1,"0.50-1.00x","1.00x+")))))</f>
        <v/>
      </c>
      <c r="AY375" s="5">
        <f>IF(J375="","No SIC",IFERROR(VLOOKUP(J375,Ref!$A$4:$C$67,2,FALSE()),"Unclassified"))</f>
        <v/>
      </c>
      <c r="AZ375" s="5">
        <f>IF(E375="","",TEXT(E375,"YYYY")&amp;"-Q"&amp;ROUNDUP(MONTH(E375)/3,0))</f>
        <v/>
      </c>
      <c r="BA375" s="5">
        <f>IF(E375="","",TEXT(E375,"YYYY-MM"))</f>
        <v/>
      </c>
      <c r="BB375" s="5">
        <f>IF(E375="","",TEXT(E375,"YYYY"))</f>
        <v/>
      </c>
      <c r="BC375" s="92">
        <f>IF($E375="","",NETWORKDAYS($E375,Controls!$B$9,Ref!$F$4:$F$47))</f>
        <v/>
      </c>
      <c r="BD375" s="92">
        <f>IF(OR($AH375=1,$AJ375=1),1,0)</f>
        <v/>
      </c>
      <c r="BE375" s="95">
        <f>IF(OR($BD375=1,AND($AE375&lt;&gt;"",$BC375&gt;=Controls!$B$10*$AE375)),1,0)</f>
        <v/>
      </c>
    </row>
    <row r="376" ht="15.75" customHeight="1" s="79">
      <c r="A376" s="5" t="inlineStr">
        <is>
          <t>5674172690</t>
        </is>
      </c>
      <c r="B376" s="5" t="inlineStr">
        <is>
          <t>REDELIFT EQUIPMENT LIMITED LTD</t>
        </is>
      </c>
      <c r="C376" s="5" t="inlineStr">
        <is>
          <t>REDELIFT EQUIPMENT LIMITED LTD</t>
        </is>
      </c>
      <c r="D376" s="5" t="inlineStr">
        <is>
          <t>Closed</t>
        </is>
      </c>
      <c r="E376" s="16" t="n">
        <v>45985</v>
      </c>
      <c r="F376" s="16" t="n">
        <v>46073</v>
      </c>
      <c r="G376" s="17" t="n">
        <v>1</v>
      </c>
      <c r="H376" s="5" t="inlineStr">
        <is>
          <t>1442</t>
        </is>
      </c>
      <c r="I376" s="5" t="inlineStr">
        <is>
          <t>Construction Sand and Gravel Mining</t>
        </is>
      </c>
      <c r="J376" s="5" t="inlineStr">
        <is>
          <t>14</t>
        </is>
      </c>
      <c r="K376" s="5" t="n">
        <v>5039</v>
      </c>
      <c r="L376" s="5" t="inlineStr">
        <is>
          <t>TX</t>
        </is>
      </c>
      <c r="M376" s="5" t="inlineStr">
        <is>
          <t>level 3 funding</t>
        </is>
      </c>
      <c r="N376" s="5" t="inlineStr">
        <is>
          <t>New Deal</t>
        </is>
      </c>
      <c r="O376" s="19" t="n">
        <v>1.499</v>
      </c>
      <c r="P376" s="20" t="n">
        <v>5000</v>
      </c>
      <c r="Q376" s="20" t="n">
        <v>700</v>
      </c>
      <c r="R376" s="20" t="n">
        <v>7495</v>
      </c>
      <c r="S376" s="20" t="n">
        <v>7495</v>
      </c>
      <c r="T376" s="20" t="n">
        <v>9.09494701772928e-13</v>
      </c>
      <c r="U376" s="21" t="n">
        <v>1</v>
      </c>
      <c r="V376" s="22" t="n">
        <v>2.295</v>
      </c>
      <c r="W376" s="17" t="n">
        <v>180</v>
      </c>
      <c r="X376" s="17" t="n">
        <v>5</v>
      </c>
      <c r="Y376" s="20" t="n">
        <v>24710.48</v>
      </c>
      <c r="Z376" s="21" t="n">
        <v>0.0905</v>
      </c>
      <c r="AA376" s="16" t="n">
        <v>45289</v>
      </c>
      <c r="AB376" s="5">
        <f>IF(V376="","",IF(V376&lt;12,"Months","Weeks"))</f>
        <v/>
      </c>
      <c r="AC376" s="5">
        <f>IF(AB376="","",IF(AB376="Months","Daily","Weekly"))</f>
        <v/>
      </c>
      <c r="AD376" s="17">
        <f>IF(V376="","",IF(AC376="Daily",V376*Controls!$B$13,V376))</f>
        <v/>
      </c>
      <c r="AE376" s="17">
        <f>IF(V376="","",IF(AC376="Daily",V376*Controls!$B$13,V376*Controls!$B$12))</f>
        <v/>
      </c>
      <c r="AF376" s="17">
        <f>IF(OR(E376="",F376=""),"",F376-E376)</f>
        <v/>
      </c>
      <c r="AG376" s="17">
        <f>IF(OR(E376="",F376=""),"",NETWORKDAYS(E376,F376,Ref!$F$4:$F$47))</f>
        <v/>
      </c>
      <c r="AH376" s="39">
        <f>IF(IFERROR(VLOOKUP(D376,Controls!$A$25:$D$35,2,FALSE()),"No")="Yes",1,0)</f>
        <v/>
      </c>
      <c r="AI376" s="39">
        <f>IF(IFERROR(VLOOKUP(D376,Controls!$A$25:$D$35,3,FALSE()),"No")="Yes",1,0)</f>
        <v/>
      </c>
      <c r="AJ376" s="39">
        <f>IF(IFERROR(VLOOKUP(D376,Controls!$A$25:$D$35,4,FALSE()),"No")="Yes",1,0)</f>
        <v/>
      </c>
      <c r="AK376" s="96">
        <f>IF(AND($E376&gt;=Controls!$B$5,$E376&lt;=Controls!$B$6,OR(Controls!$E$9&lt;&gt;"Y",$BE376=1)),1,0)</f>
        <v/>
      </c>
      <c r="AL376" s="39">
        <f>1</f>
        <v/>
      </c>
      <c r="AM376" s="20">
        <f>S376-P376</f>
        <v/>
      </c>
      <c r="AN376" s="20">
        <f>IF(AH376=1,MAX(0,P376-S376),0)</f>
        <v/>
      </c>
      <c r="AO376" s="21">
        <f>IFERROR(S376/P376,"")</f>
        <v/>
      </c>
      <c r="AP376" s="22">
        <f>IF(Y376="","",P376/Y376)</f>
        <v/>
      </c>
      <c r="AQ376" s="39">
        <f>IF(Y376="",0,1)</f>
        <v/>
      </c>
      <c r="AR376" s="39">
        <f>IF(S376&lt;=0,1,0)</f>
        <v/>
      </c>
      <c r="AS376" s="17">
        <f>IF(AH376=1,AG376,"")</f>
        <v/>
      </c>
      <c r="AT376" s="17">
        <f>IF(AND(AH376=0,AJ376=1),AG376,"")</f>
        <v/>
      </c>
      <c r="AU376" s="5">
        <f>IF(P376&lt;10000,"Under $10K",IF(P376&lt;20000,"$10-20K",IF(P376&lt;30000,"$20-30K",IF(P376&lt;50000,"$30-50K",IF(P376&lt;100000,"$50-100K","$100K+")))))</f>
        <v/>
      </c>
      <c r="AV376" s="5">
        <f>IF(O376&lt;=1.35,"1.35 and under",IF(O376&lt;=1.42,"1.36-1.42",IF(O376&lt;=1.45,"1.43-1.45",IF(O376&lt;1.49,"1.46-1.48",IF(O376&lt;=1.49,"1.49","Above 1.49")))))</f>
        <v/>
      </c>
      <c r="AW376" s="5">
        <f>IF(AE376="","",IF(AE376&lt;60,"Under 60",IF(AE376&lt;90,"60-89",IF(AE376&lt;120,"90-119",IF(AE376&lt;150,"120-149","150+")))))</f>
        <v/>
      </c>
      <c r="AX376" s="5">
        <f>IF(AP376="","No revenue data",IF(AP376&lt;0.15,"Under 0.15x",IF(AP376&lt;0.3,"0.15-0.30x",IF(AP376&lt;0.5,"0.30-0.50x",IF(AP376&lt;1,"0.50-1.00x","1.00x+")))))</f>
        <v/>
      </c>
      <c r="AY376" s="5">
        <f>IF(J376="","No SIC",IFERROR(VLOOKUP(J376,Ref!$A$4:$C$67,2,FALSE()),"Unclassified"))</f>
        <v/>
      </c>
      <c r="AZ376" s="5">
        <f>IF(E376="","",TEXT(E376,"YYYY")&amp;"-Q"&amp;ROUNDUP(MONTH(E376)/3,0))</f>
        <v/>
      </c>
      <c r="BA376" s="5">
        <f>IF(E376="","",TEXT(E376,"YYYY-MM"))</f>
        <v/>
      </c>
      <c r="BB376" s="5">
        <f>IF(E376="","",TEXT(E376,"YYYY"))</f>
        <v/>
      </c>
      <c r="BC376" s="92">
        <f>IF($E376="","",NETWORKDAYS($E376,Controls!$B$9,Ref!$F$4:$F$47))</f>
        <v/>
      </c>
      <c r="BD376" s="92">
        <f>IF(OR($AH376=1,$AJ376=1),1,0)</f>
        <v/>
      </c>
      <c r="BE376" s="95">
        <f>IF(OR($BD376=1,AND($AE376&lt;&gt;"",$BC376&gt;=Controls!$B$10*$AE376)),1,0)</f>
        <v/>
      </c>
    </row>
    <row r="377" ht="15.75" customHeight="1" s="79">
      <c r="A377" s="5" t="inlineStr">
        <is>
          <t>5674172692</t>
        </is>
      </c>
      <c r="B377" s="5" t="inlineStr">
        <is>
          <t>KATHY'S MASON JAR FAMILY DINER LLC</t>
        </is>
      </c>
      <c r="C377" s="5" t="inlineStr">
        <is>
          <t>KATHY'S MASON JAR FAMILY DINER LLC</t>
        </is>
      </c>
      <c r="D377" s="5" t="inlineStr">
        <is>
          <t>Closed</t>
        </is>
      </c>
      <c r="E377" s="16" t="n">
        <v>45985</v>
      </c>
      <c r="F377" s="16" t="n">
        <v>46062</v>
      </c>
      <c r="G377" s="17" t="n">
        <v>3</v>
      </c>
      <c r="H377" s="5" t="inlineStr">
        <is>
          <t>5812</t>
        </is>
      </c>
      <c r="I377" s="5" t="inlineStr">
        <is>
          <t>Snack and Nonalcoholic Beverage Bars</t>
        </is>
      </c>
      <c r="J377" s="5" t="inlineStr">
        <is>
          <t>58</t>
        </is>
      </c>
      <c r="K377" s="5" t="n">
        <v>5812</v>
      </c>
      <c r="L377" s="5" t="inlineStr">
        <is>
          <t>OK</t>
        </is>
      </c>
      <c r="M377" s="5" t="inlineStr">
        <is>
          <t>United Secured Capital 8</t>
        </is>
      </c>
      <c r="N377" s="5" t="inlineStr">
        <is>
          <t>New Deal</t>
        </is>
      </c>
      <c r="O377" s="19" t="n">
        <v>1.499</v>
      </c>
      <c r="P377" s="20" t="n">
        <v>10000</v>
      </c>
      <c r="Q377" s="20" t="n">
        <v>1400</v>
      </c>
      <c r="R377" s="20" t="n">
        <v>14990</v>
      </c>
      <c r="S377" s="20" t="n">
        <v>14990</v>
      </c>
      <c r="T377" s="20" t="n">
        <v>1.81898940354586e-12</v>
      </c>
      <c r="U377" s="21" t="n">
        <v>1</v>
      </c>
      <c r="V377" s="22" t="n">
        <v>2.623</v>
      </c>
      <c r="W377" s="17" t="n">
        <v>191</v>
      </c>
      <c r="X377" s="17" t="n">
        <v>1</v>
      </c>
      <c r="Y377" s="20" t="n">
        <v>37733.39</v>
      </c>
      <c r="Z377" s="21" t="n">
        <v>0.1037</v>
      </c>
      <c r="AA377" s="5" t="n"/>
      <c r="AB377" s="5">
        <f>IF(V377="","",IF(V377&lt;12,"Months","Weeks"))</f>
        <v/>
      </c>
      <c r="AC377" s="5">
        <f>IF(AB377="","",IF(AB377="Months","Daily","Weekly"))</f>
        <v/>
      </c>
      <c r="AD377" s="17">
        <f>IF(V377="","",IF(AC377="Daily",V377*Controls!$B$13,V377))</f>
        <v/>
      </c>
      <c r="AE377" s="17">
        <f>IF(V377="","",IF(AC377="Daily",V377*Controls!$B$13,V377*Controls!$B$12))</f>
        <v/>
      </c>
      <c r="AF377" s="17">
        <f>IF(OR(E377="",F377=""),"",F377-E377)</f>
        <v/>
      </c>
      <c r="AG377" s="17">
        <f>IF(OR(E377="",F377=""),"",NETWORKDAYS(E377,F377,Ref!$F$4:$F$47))</f>
        <v/>
      </c>
      <c r="AH377" s="39">
        <f>IF(IFERROR(VLOOKUP(D377,Controls!$A$25:$D$35,2,FALSE()),"No")="Yes",1,0)</f>
        <v/>
      </c>
      <c r="AI377" s="39">
        <f>IF(IFERROR(VLOOKUP(D377,Controls!$A$25:$D$35,3,FALSE()),"No")="Yes",1,0)</f>
        <v/>
      </c>
      <c r="AJ377" s="39">
        <f>IF(IFERROR(VLOOKUP(D377,Controls!$A$25:$D$35,4,FALSE()),"No")="Yes",1,0)</f>
        <v/>
      </c>
      <c r="AK377" s="96">
        <f>IF(AND($E377&gt;=Controls!$B$5,$E377&lt;=Controls!$B$6,OR(Controls!$E$9&lt;&gt;"Y",$BE377=1)),1,0)</f>
        <v/>
      </c>
      <c r="AL377" s="39">
        <f>1</f>
        <v/>
      </c>
      <c r="AM377" s="20">
        <f>S377-P377</f>
        <v/>
      </c>
      <c r="AN377" s="20">
        <f>IF(AH377=1,MAX(0,P377-S377),0)</f>
        <v/>
      </c>
      <c r="AO377" s="21">
        <f>IFERROR(S377/P377,"")</f>
        <v/>
      </c>
      <c r="AP377" s="22">
        <f>IF(Y377="","",P377/Y377)</f>
        <v/>
      </c>
      <c r="AQ377" s="39">
        <f>IF(Y377="",0,1)</f>
        <v/>
      </c>
      <c r="AR377" s="39">
        <f>IF(S377&lt;=0,1,0)</f>
        <v/>
      </c>
      <c r="AS377" s="17">
        <f>IF(AH377=1,AG377,"")</f>
        <v/>
      </c>
      <c r="AT377" s="17">
        <f>IF(AND(AH377=0,AJ377=1),AG377,"")</f>
        <v/>
      </c>
      <c r="AU377" s="5">
        <f>IF(P377&lt;10000,"Under $10K",IF(P377&lt;20000,"$10-20K",IF(P377&lt;30000,"$20-30K",IF(P377&lt;50000,"$30-50K",IF(P377&lt;100000,"$50-100K","$100K+")))))</f>
        <v/>
      </c>
      <c r="AV377" s="5">
        <f>IF(O377&lt;=1.35,"1.35 and under",IF(O377&lt;=1.42,"1.36-1.42",IF(O377&lt;=1.45,"1.43-1.45",IF(O377&lt;1.49,"1.46-1.48",IF(O377&lt;=1.49,"1.49","Above 1.49")))))</f>
        <v/>
      </c>
      <c r="AW377" s="5">
        <f>IF(AE377="","",IF(AE377&lt;60,"Under 60",IF(AE377&lt;90,"60-89",IF(AE377&lt;120,"90-119",IF(AE377&lt;150,"120-149","150+")))))</f>
        <v/>
      </c>
      <c r="AX377" s="5">
        <f>IF(AP377="","No revenue data",IF(AP377&lt;0.15,"Under 0.15x",IF(AP377&lt;0.3,"0.15-0.30x",IF(AP377&lt;0.5,"0.30-0.50x",IF(AP377&lt;1,"0.50-1.00x","1.00x+")))))</f>
        <v/>
      </c>
      <c r="AY377" s="5">
        <f>IF(J377="","No SIC",IFERROR(VLOOKUP(J377,Ref!$A$4:$C$67,2,FALSE()),"Unclassified"))</f>
        <v/>
      </c>
      <c r="AZ377" s="5">
        <f>IF(E377="","",TEXT(E377,"YYYY")&amp;"-Q"&amp;ROUNDUP(MONTH(E377)/3,0))</f>
        <v/>
      </c>
      <c r="BA377" s="5">
        <f>IF(E377="","",TEXT(E377,"YYYY-MM"))</f>
        <v/>
      </c>
      <c r="BB377" s="5">
        <f>IF(E377="","",TEXT(E377,"YYYY"))</f>
        <v/>
      </c>
      <c r="BC377" s="92">
        <f>IF($E377="","",NETWORKDAYS($E377,Controls!$B$9,Ref!$F$4:$F$47))</f>
        <v/>
      </c>
      <c r="BD377" s="92">
        <f>IF(OR($AH377=1,$AJ377=1),1,0)</f>
        <v/>
      </c>
      <c r="BE377" s="95">
        <f>IF(OR($BD377=1,AND($AE377&lt;&gt;"",$BC377&gt;=Controls!$B$10*$AE377)),1,0)</f>
        <v/>
      </c>
    </row>
    <row r="378" ht="15.75" customHeight="1" s="79">
      <c r="A378" s="5" t="inlineStr">
        <is>
          <t>5674172696</t>
        </is>
      </c>
      <c r="B378" s="5" t="inlineStr">
        <is>
          <t>GREATFLORIDA INSURANCE</t>
        </is>
      </c>
      <c r="C378" s="5" t="inlineStr">
        <is>
          <t>AJRANC Insurance Agency, Inc</t>
        </is>
      </c>
      <c r="D378" s="5" t="inlineStr">
        <is>
          <t>Closed</t>
        </is>
      </c>
      <c r="E378" s="16" t="n">
        <v>45985</v>
      </c>
      <c r="F378" s="16" t="n">
        <v>46161</v>
      </c>
      <c r="G378" s="17" t="n">
        <v>2</v>
      </c>
      <c r="H378" s="5" t="inlineStr">
        <is>
          <t>6411</t>
        </is>
      </c>
      <c r="I378" s="5" t="inlineStr">
        <is>
          <t>Insurance Agencies and Brokerages</t>
        </is>
      </c>
      <c r="J378" s="5" t="inlineStr">
        <is>
          <t>64</t>
        </is>
      </c>
      <c r="K378" s="5" t="n">
        <v>6300</v>
      </c>
      <c r="L378" s="5" t="inlineStr">
        <is>
          <t>FL</t>
        </is>
      </c>
      <c r="M378" s="5" t="inlineStr">
        <is>
          <t>Fund Simple</t>
        </is>
      </c>
      <c r="N378" s="5" t="inlineStr">
        <is>
          <t>Renewal</t>
        </is>
      </c>
      <c r="O378" s="19" t="n">
        <v>1.35</v>
      </c>
      <c r="P378" s="20" t="n">
        <v>36500</v>
      </c>
      <c r="Q378" s="20" t="n">
        <v>2555</v>
      </c>
      <c r="R378" s="20" t="n">
        <v>49275</v>
      </c>
      <c r="S378" s="20" t="n">
        <v>49275</v>
      </c>
      <c r="T378" s="20" t="n">
        <v>0</v>
      </c>
      <c r="U378" s="21" t="n">
        <v>1</v>
      </c>
      <c r="V378" s="22" t="n">
        <v>4.623</v>
      </c>
      <c r="W378" s="17" t="n">
        <v>92</v>
      </c>
      <c r="X378" s="17" t="n">
        <v>0</v>
      </c>
      <c r="Y378" s="20" t="n">
        <v>14792.77</v>
      </c>
      <c r="Z378" s="21" t="n">
        <v>0.4969</v>
      </c>
      <c r="AA378" s="16" t="n">
        <v>42217</v>
      </c>
      <c r="AB378" s="5">
        <f>IF(V378="","",IF(V378&lt;12,"Months","Weeks"))</f>
        <v/>
      </c>
      <c r="AC378" s="5">
        <f>IF(AB378="","",IF(AB378="Months","Daily","Weekly"))</f>
        <v/>
      </c>
      <c r="AD378" s="17">
        <f>IF(V378="","",IF(AC378="Daily",V378*Controls!$B$13,V378))</f>
        <v/>
      </c>
      <c r="AE378" s="17">
        <f>IF(V378="","",IF(AC378="Daily",V378*Controls!$B$13,V378*Controls!$B$12))</f>
        <v/>
      </c>
      <c r="AF378" s="17">
        <f>IF(OR(E378="",F378=""),"",F378-E378)</f>
        <v/>
      </c>
      <c r="AG378" s="17">
        <f>IF(OR(E378="",F378=""),"",NETWORKDAYS(E378,F378,Ref!$F$4:$F$47))</f>
        <v/>
      </c>
      <c r="AH378" s="39">
        <f>IF(IFERROR(VLOOKUP(D378,Controls!$A$25:$D$35,2,FALSE()),"No")="Yes",1,0)</f>
        <v/>
      </c>
      <c r="AI378" s="39">
        <f>IF(IFERROR(VLOOKUP(D378,Controls!$A$25:$D$35,3,FALSE()),"No")="Yes",1,0)</f>
        <v/>
      </c>
      <c r="AJ378" s="39">
        <f>IF(IFERROR(VLOOKUP(D378,Controls!$A$25:$D$35,4,FALSE()),"No")="Yes",1,0)</f>
        <v/>
      </c>
      <c r="AK378" s="96">
        <f>IF(AND($E378&gt;=Controls!$B$5,$E378&lt;=Controls!$B$6,OR(Controls!$E$9&lt;&gt;"Y",$BE378=1)),1,0)</f>
        <v/>
      </c>
      <c r="AL378" s="39">
        <f>1</f>
        <v/>
      </c>
      <c r="AM378" s="20">
        <f>S378-P378</f>
        <v/>
      </c>
      <c r="AN378" s="20">
        <f>IF(AH378=1,MAX(0,P378-S378),0)</f>
        <v/>
      </c>
      <c r="AO378" s="21">
        <f>IFERROR(S378/P378,"")</f>
        <v/>
      </c>
      <c r="AP378" s="22">
        <f>IF(Y378="","",P378/Y378)</f>
        <v/>
      </c>
      <c r="AQ378" s="39">
        <f>IF(Y378="",0,1)</f>
        <v/>
      </c>
      <c r="AR378" s="39">
        <f>IF(S378&lt;=0,1,0)</f>
        <v/>
      </c>
      <c r="AS378" s="17">
        <f>IF(AH378=1,AG378,"")</f>
        <v/>
      </c>
      <c r="AT378" s="17">
        <f>IF(AND(AH378=0,AJ378=1),AG378,"")</f>
        <v/>
      </c>
      <c r="AU378" s="5">
        <f>IF(P378&lt;10000,"Under $10K",IF(P378&lt;20000,"$10-20K",IF(P378&lt;30000,"$20-30K",IF(P378&lt;50000,"$30-50K",IF(P378&lt;100000,"$50-100K","$100K+")))))</f>
        <v/>
      </c>
      <c r="AV378" s="5">
        <f>IF(O378&lt;=1.35,"1.35 and under",IF(O378&lt;=1.42,"1.36-1.42",IF(O378&lt;=1.45,"1.43-1.45",IF(O378&lt;1.49,"1.46-1.48",IF(O378&lt;=1.49,"1.49","Above 1.49")))))</f>
        <v/>
      </c>
      <c r="AW378" s="5">
        <f>IF(AE378="","",IF(AE378&lt;60,"Under 60",IF(AE378&lt;90,"60-89",IF(AE378&lt;120,"90-119",IF(AE378&lt;150,"120-149","150+")))))</f>
        <v/>
      </c>
      <c r="AX378" s="5">
        <f>IF(AP378="","No revenue data",IF(AP378&lt;0.15,"Under 0.15x",IF(AP378&lt;0.3,"0.15-0.30x",IF(AP378&lt;0.5,"0.30-0.50x",IF(AP378&lt;1,"0.50-1.00x","1.00x+")))))</f>
        <v/>
      </c>
      <c r="AY378" s="5">
        <f>IF(J378="","No SIC",IFERROR(VLOOKUP(J378,Ref!$A$4:$C$67,2,FALSE()),"Unclassified"))</f>
        <v/>
      </c>
      <c r="AZ378" s="5">
        <f>IF(E378="","",TEXT(E378,"YYYY")&amp;"-Q"&amp;ROUNDUP(MONTH(E378)/3,0))</f>
        <v/>
      </c>
      <c r="BA378" s="5">
        <f>IF(E378="","",TEXT(E378,"YYYY-MM"))</f>
        <v/>
      </c>
      <c r="BB378" s="5">
        <f>IF(E378="","",TEXT(E378,"YYYY"))</f>
        <v/>
      </c>
      <c r="BC378" s="92">
        <f>IF($E378="","",NETWORKDAYS($E378,Controls!$B$9,Ref!$F$4:$F$47))</f>
        <v/>
      </c>
      <c r="BD378" s="92">
        <f>IF(OR($AH378=1,$AJ378=1),1,0)</f>
        <v/>
      </c>
      <c r="BE378" s="95">
        <f>IF(OR($BD378=1,AND($AE378&lt;&gt;"",$BC378&gt;=Controls!$B$10*$AE378)),1,0)</f>
        <v/>
      </c>
    </row>
    <row r="379" ht="15.75" customHeight="1" s="79">
      <c r="A379" s="5" t="inlineStr">
        <is>
          <t>5674172718</t>
        </is>
      </c>
      <c r="B379" s="5" t="inlineStr">
        <is>
          <t>nisa thai cuisine</t>
        </is>
      </c>
      <c r="C379" s="5" t="inlineStr">
        <is>
          <t>nisa thai cuisine</t>
        </is>
      </c>
      <c r="D379" s="5" t="inlineStr">
        <is>
          <t>Legal</t>
        </is>
      </c>
      <c r="E379" s="16" t="n">
        <v>45985</v>
      </c>
      <c r="F379" s="16" t="n">
        <v>46029</v>
      </c>
      <c r="G379" s="17" t="n">
        <v>4</v>
      </c>
      <c r="H379" s="5" t="inlineStr">
        <is>
          <t>5812</t>
        </is>
      </c>
      <c r="I379" s="5" t="inlineStr">
        <is>
          <t>Snack and Nonalcoholic Beverage Bars</t>
        </is>
      </c>
      <c r="J379" s="5" t="inlineStr">
        <is>
          <t>58</t>
        </is>
      </c>
      <c r="K379" s="5" t="n">
        <v>5812</v>
      </c>
      <c r="L379" s="5" t="inlineStr">
        <is>
          <t>VA</t>
        </is>
      </c>
      <c r="M379" s="5" t="inlineStr">
        <is>
          <t>The Funding Channel</t>
        </is>
      </c>
      <c r="N379" s="5" t="inlineStr">
        <is>
          <t>New Deal</t>
        </is>
      </c>
      <c r="O379" s="19" t="n">
        <v>1.499</v>
      </c>
      <c r="P379" s="20" t="n">
        <v>7500</v>
      </c>
      <c r="Q379" s="20" t="n">
        <v>1050</v>
      </c>
      <c r="R379" s="20" t="n">
        <v>11242.5</v>
      </c>
      <c r="S379" s="20" t="n">
        <v>3610.1</v>
      </c>
      <c r="T379" s="20" t="n">
        <v>7632.4</v>
      </c>
      <c r="U379" s="21" t="n">
        <v>0.321111852346008</v>
      </c>
      <c r="V379" s="22" t="n">
        <v>2.623</v>
      </c>
      <c r="W379" s="17" t="n">
        <v>231</v>
      </c>
      <c r="X379" s="17" t="n">
        <v>3</v>
      </c>
      <c r="Y379" s="20" t="n">
        <v>32383.4</v>
      </c>
      <c r="Z379" s="21" t="n">
        <v>0.1015</v>
      </c>
      <c r="AA379" s="16" t="n">
        <v>42476</v>
      </c>
      <c r="AB379" s="5">
        <f>IF(V379="","",IF(V379&lt;12,"Months","Weeks"))</f>
        <v/>
      </c>
      <c r="AC379" s="5">
        <f>IF(AB379="","",IF(AB379="Months","Daily","Weekly"))</f>
        <v/>
      </c>
      <c r="AD379" s="17">
        <f>IF(V379="","",IF(AC379="Daily",V379*Controls!$B$13,V379))</f>
        <v/>
      </c>
      <c r="AE379" s="17">
        <f>IF(V379="","",IF(AC379="Daily",V379*Controls!$B$13,V379*Controls!$B$12))</f>
        <v/>
      </c>
      <c r="AF379" s="17">
        <f>IF(OR(E379="",F379=""),"",F379-E379)</f>
        <v/>
      </c>
      <c r="AG379" s="17">
        <f>IF(OR(E379="",F379=""),"",NETWORKDAYS(E379,F379,Ref!$F$4:$F$47))</f>
        <v/>
      </c>
      <c r="AH379" s="39">
        <f>IF(IFERROR(VLOOKUP(D379,Controls!$A$25:$D$35,2,FALSE()),"No")="Yes",1,0)</f>
        <v/>
      </c>
      <c r="AI379" s="39">
        <f>IF(IFERROR(VLOOKUP(D379,Controls!$A$25:$D$35,3,FALSE()),"No")="Yes",1,0)</f>
        <v/>
      </c>
      <c r="AJ379" s="39">
        <f>IF(IFERROR(VLOOKUP(D379,Controls!$A$25:$D$35,4,FALSE()),"No")="Yes",1,0)</f>
        <v/>
      </c>
      <c r="AK379" s="96">
        <f>IF(AND($E379&gt;=Controls!$B$5,$E379&lt;=Controls!$B$6,OR(Controls!$E$9&lt;&gt;"Y",$BE379=1)),1,0)</f>
        <v/>
      </c>
      <c r="AL379" s="39">
        <f>1</f>
        <v/>
      </c>
      <c r="AM379" s="20">
        <f>S379-P379</f>
        <v/>
      </c>
      <c r="AN379" s="20">
        <f>IF(AH379=1,MAX(0,P379-S379),0)</f>
        <v/>
      </c>
      <c r="AO379" s="21">
        <f>IFERROR(S379/P379,"")</f>
        <v/>
      </c>
      <c r="AP379" s="22">
        <f>IF(Y379="","",P379/Y379)</f>
        <v/>
      </c>
      <c r="AQ379" s="39">
        <f>IF(Y379="",0,1)</f>
        <v/>
      </c>
      <c r="AR379" s="39">
        <f>IF(S379&lt;=0,1,0)</f>
        <v/>
      </c>
      <c r="AS379" s="17">
        <f>IF(AH379=1,AG379,"")</f>
        <v/>
      </c>
      <c r="AT379" s="17">
        <f>IF(AND(AH379=0,AJ379=1),AG379,"")</f>
        <v/>
      </c>
      <c r="AU379" s="5">
        <f>IF(P379&lt;10000,"Under $10K",IF(P379&lt;20000,"$10-20K",IF(P379&lt;30000,"$20-30K",IF(P379&lt;50000,"$30-50K",IF(P379&lt;100000,"$50-100K","$100K+")))))</f>
        <v/>
      </c>
      <c r="AV379" s="5">
        <f>IF(O379&lt;=1.35,"1.35 and under",IF(O379&lt;=1.42,"1.36-1.42",IF(O379&lt;=1.45,"1.43-1.45",IF(O379&lt;1.49,"1.46-1.48",IF(O379&lt;=1.49,"1.49","Above 1.49")))))</f>
        <v/>
      </c>
      <c r="AW379" s="5">
        <f>IF(AE379="","",IF(AE379&lt;60,"Under 60",IF(AE379&lt;90,"60-89",IF(AE379&lt;120,"90-119",IF(AE379&lt;150,"120-149","150+")))))</f>
        <v/>
      </c>
      <c r="AX379" s="5">
        <f>IF(AP379="","No revenue data",IF(AP379&lt;0.15,"Under 0.15x",IF(AP379&lt;0.3,"0.15-0.30x",IF(AP379&lt;0.5,"0.30-0.50x",IF(AP379&lt;1,"0.50-1.00x","1.00x+")))))</f>
        <v/>
      </c>
      <c r="AY379" s="5">
        <f>IF(J379="","No SIC",IFERROR(VLOOKUP(J379,Ref!$A$4:$C$67,2,FALSE()),"Unclassified"))</f>
        <v/>
      </c>
      <c r="AZ379" s="5">
        <f>IF(E379="","",TEXT(E379,"YYYY")&amp;"-Q"&amp;ROUNDUP(MONTH(E379)/3,0))</f>
        <v/>
      </c>
      <c r="BA379" s="5">
        <f>IF(E379="","",TEXT(E379,"YYYY-MM"))</f>
        <v/>
      </c>
      <c r="BB379" s="5">
        <f>IF(E379="","",TEXT(E379,"YYYY"))</f>
        <v/>
      </c>
      <c r="BC379" s="92">
        <f>IF($E379="","",NETWORKDAYS($E379,Controls!$B$9,Ref!$F$4:$F$47))</f>
        <v/>
      </c>
      <c r="BD379" s="92">
        <f>IF(OR($AH379=1,$AJ379=1),1,0)</f>
        <v/>
      </c>
      <c r="BE379" s="95">
        <f>IF(OR($BD379=1,AND($AE379&lt;&gt;"",$BC379&gt;=Controls!$B$10*$AE379)),1,0)</f>
        <v/>
      </c>
    </row>
    <row r="380" ht="15.75" customHeight="1" s="79">
      <c r="A380" s="5" t="inlineStr">
        <is>
          <t>5674172721</t>
        </is>
      </c>
      <c r="B380" s="5" t="inlineStr">
        <is>
          <t>W&amp;D AUTO SALES INC</t>
        </is>
      </c>
      <c r="C380" s="5" t="inlineStr">
        <is>
          <t>W&amp;D AUTO SALES INC</t>
        </is>
      </c>
      <c r="D380" s="5" t="inlineStr">
        <is>
          <t>In House Collection</t>
        </is>
      </c>
      <c r="E380" s="16" t="n">
        <v>45985</v>
      </c>
      <c r="F380" s="16" t="n">
        <v>46009</v>
      </c>
      <c r="G380" s="17" t="n">
        <v>2</v>
      </c>
      <c r="H380" s="5" t="inlineStr">
        <is>
          <t>5599</t>
        </is>
      </c>
      <c r="I380" s="5" t="inlineStr">
        <is>
          <t>Motorcycle, ATV, and All Other Motor Vehicle Dealers</t>
        </is>
      </c>
      <c r="J380" s="5" t="inlineStr">
        <is>
          <t>55</t>
        </is>
      </c>
      <c r="K380" s="5" t="n">
        <v>5599</v>
      </c>
      <c r="L380" s="5" t="inlineStr">
        <is>
          <t>NC</t>
        </is>
      </c>
      <c r="M380" s="5" t="inlineStr">
        <is>
          <t>United Secured Capital 8</t>
        </is>
      </c>
      <c r="N380" s="5" t="inlineStr">
        <is>
          <t>Renewal</t>
        </is>
      </c>
      <c r="O380" s="19" t="n">
        <v>1.49</v>
      </c>
      <c r="P380" s="20" t="n">
        <v>45000</v>
      </c>
      <c r="Q380" s="20" t="n">
        <v>0</v>
      </c>
      <c r="R380" s="20" t="n">
        <v>67050</v>
      </c>
      <c r="S380" s="20" t="n">
        <v>3726.7</v>
      </c>
      <c r="T380" s="20" t="n">
        <v>63323.3</v>
      </c>
      <c r="U380" s="21" t="n">
        <v>0.0555809097688292</v>
      </c>
      <c r="V380" s="22" t="n">
        <v>36</v>
      </c>
      <c r="W380" s="17" t="n">
        <v>258</v>
      </c>
      <c r="X380" s="17" t="n">
        <v>2</v>
      </c>
      <c r="Y380" s="20" t="n">
        <v>78209.86</v>
      </c>
      <c r="Z380" s="21" t="n">
        <v>0.0953</v>
      </c>
      <c r="AA380" s="5" t="n"/>
      <c r="AB380" s="5">
        <f>IF(V380="","",IF(V380&lt;12,"Months","Weeks"))</f>
        <v/>
      </c>
      <c r="AC380" s="5">
        <f>IF(AB380="","",IF(AB380="Months","Daily","Weekly"))</f>
        <v/>
      </c>
      <c r="AD380" s="17">
        <f>IF(V380="","",IF(AC380="Daily",V380*Controls!$B$13,V380))</f>
        <v/>
      </c>
      <c r="AE380" s="17">
        <f>IF(V380="","",IF(AC380="Daily",V380*Controls!$B$13,V380*Controls!$B$12))</f>
        <v/>
      </c>
      <c r="AF380" s="17">
        <f>IF(OR(E380="",F380=""),"",F380-E380)</f>
        <v/>
      </c>
      <c r="AG380" s="17">
        <f>IF(OR(E380="",F380=""),"",NETWORKDAYS(E380,F380,Ref!$F$4:$F$47))</f>
        <v/>
      </c>
      <c r="AH380" s="39">
        <f>IF(IFERROR(VLOOKUP(D380,Controls!$A$25:$D$35,2,FALSE()),"No")="Yes",1,0)</f>
        <v/>
      </c>
      <c r="AI380" s="39">
        <f>IF(IFERROR(VLOOKUP(D380,Controls!$A$25:$D$35,3,FALSE()),"No")="Yes",1,0)</f>
        <v/>
      </c>
      <c r="AJ380" s="39">
        <f>IF(IFERROR(VLOOKUP(D380,Controls!$A$25:$D$35,4,FALSE()),"No")="Yes",1,0)</f>
        <v/>
      </c>
      <c r="AK380" s="96">
        <f>IF(AND($E380&gt;=Controls!$B$5,$E380&lt;=Controls!$B$6,OR(Controls!$E$9&lt;&gt;"Y",$BE380=1)),1,0)</f>
        <v/>
      </c>
      <c r="AL380" s="39">
        <f>1</f>
        <v/>
      </c>
      <c r="AM380" s="20">
        <f>S380-P380</f>
        <v/>
      </c>
      <c r="AN380" s="20">
        <f>IF(AH380=1,MAX(0,P380-S380),0)</f>
        <v/>
      </c>
      <c r="AO380" s="21">
        <f>IFERROR(S380/P380,"")</f>
        <v/>
      </c>
      <c r="AP380" s="22">
        <f>IF(Y380="","",P380/Y380)</f>
        <v/>
      </c>
      <c r="AQ380" s="39">
        <f>IF(Y380="",0,1)</f>
        <v/>
      </c>
      <c r="AR380" s="39">
        <f>IF(S380&lt;=0,1,0)</f>
        <v/>
      </c>
      <c r="AS380" s="17">
        <f>IF(AH380=1,AG380,"")</f>
        <v/>
      </c>
      <c r="AT380" s="17">
        <f>IF(AND(AH380=0,AJ380=1),AG380,"")</f>
        <v/>
      </c>
      <c r="AU380" s="5">
        <f>IF(P380&lt;10000,"Under $10K",IF(P380&lt;20000,"$10-20K",IF(P380&lt;30000,"$20-30K",IF(P380&lt;50000,"$30-50K",IF(P380&lt;100000,"$50-100K","$100K+")))))</f>
        <v/>
      </c>
      <c r="AV380" s="5">
        <f>IF(O380&lt;=1.35,"1.35 and under",IF(O380&lt;=1.42,"1.36-1.42",IF(O380&lt;=1.45,"1.43-1.45",IF(O380&lt;1.49,"1.46-1.48",IF(O380&lt;=1.49,"1.49","Above 1.49")))))</f>
        <v/>
      </c>
      <c r="AW380" s="5">
        <f>IF(AE380="","",IF(AE380&lt;60,"Under 60",IF(AE380&lt;90,"60-89",IF(AE380&lt;120,"90-119",IF(AE380&lt;150,"120-149","150+")))))</f>
        <v/>
      </c>
      <c r="AX380" s="5">
        <f>IF(AP380="","No revenue data",IF(AP380&lt;0.15,"Under 0.15x",IF(AP380&lt;0.3,"0.15-0.30x",IF(AP380&lt;0.5,"0.30-0.50x",IF(AP380&lt;1,"0.50-1.00x","1.00x+")))))</f>
        <v/>
      </c>
      <c r="AY380" s="5">
        <f>IF(J380="","No SIC",IFERROR(VLOOKUP(J380,Ref!$A$4:$C$67,2,FALSE()),"Unclassified"))</f>
        <v/>
      </c>
      <c r="AZ380" s="5">
        <f>IF(E380="","",TEXT(E380,"YYYY")&amp;"-Q"&amp;ROUNDUP(MONTH(E380)/3,0))</f>
        <v/>
      </c>
      <c r="BA380" s="5">
        <f>IF(E380="","",TEXT(E380,"YYYY-MM"))</f>
        <v/>
      </c>
      <c r="BB380" s="5">
        <f>IF(E380="","",TEXT(E380,"YYYY"))</f>
        <v/>
      </c>
      <c r="BC380" s="92">
        <f>IF($E380="","",NETWORKDAYS($E380,Controls!$B$9,Ref!$F$4:$F$47))</f>
        <v/>
      </c>
      <c r="BD380" s="92">
        <f>IF(OR($AH380=1,$AJ380=1),1,0)</f>
        <v/>
      </c>
      <c r="BE380" s="95">
        <f>IF(OR($BD380=1,AND($AE380&lt;&gt;"",$BC380&gt;=Controls!$B$10*$AE380)),1,0)</f>
        <v/>
      </c>
    </row>
    <row r="381" ht="15.75" customHeight="1" s="79">
      <c r="A381" s="5" t="inlineStr">
        <is>
          <t>5674172739</t>
        </is>
      </c>
      <c r="B381" s="5" t="inlineStr">
        <is>
          <t>Properties on the Go LLC</t>
        </is>
      </c>
      <c r="C381" s="5" t="inlineStr">
        <is>
          <t>Properties on the Go LLC</t>
        </is>
      </c>
      <c r="D381" s="5" t="inlineStr">
        <is>
          <t>Closed</t>
        </is>
      </c>
      <c r="E381" s="16" t="n">
        <v>45985</v>
      </c>
      <c r="F381" s="16" t="n">
        <v>46190</v>
      </c>
      <c r="G381" s="17" t="n">
        <v>1</v>
      </c>
      <c r="H381" s="5" t="inlineStr">
        <is>
          <t>7349</t>
        </is>
      </c>
      <c r="I381" s="5" t="inlineStr">
        <is>
          <t>Janitorial Services</t>
        </is>
      </c>
      <c r="J381" s="5" t="inlineStr">
        <is>
          <t>73</t>
        </is>
      </c>
      <c r="K381" s="5" t="n">
        <v>7349</v>
      </c>
      <c r="L381" s="5" t="inlineStr">
        <is>
          <t>CA</t>
        </is>
      </c>
      <c r="M381" s="5" t="inlineStr">
        <is>
          <t>Tech Consulting Pro LLC D/B/A: Nationwide Advance</t>
        </is>
      </c>
      <c r="N381" s="5" t="inlineStr">
        <is>
          <t>Renewal</t>
        </is>
      </c>
      <c r="O381" s="19" t="n">
        <v>1.49</v>
      </c>
      <c r="P381" s="20" t="n">
        <v>65000</v>
      </c>
      <c r="Q381" s="20" t="n">
        <v>9100</v>
      </c>
      <c r="R381" s="20" t="n">
        <v>96850</v>
      </c>
      <c r="S381" s="20" t="n">
        <v>96850</v>
      </c>
      <c r="T381" s="20" t="n">
        <v>0</v>
      </c>
      <c r="U381" s="21" t="n">
        <v>1</v>
      </c>
      <c r="V381" s="22" t="n">
        <v>4.59</v>
      </c>
      <c r="W381" s="17" t="n">
        <v>63</v>
      </c>
      <c r="X381" s="17" t="n">
        <v>0</v>
      </c>
      <c r="Y381" s="20" t="n">
        <v>496879.88</v>
      </c>
      <c r="Z381" s="21" t="n">
        <v>0.0292</v>
      </c>
      <c r="AA381" s="5" t="n"/>
      <c r="AB381" s="5">
        <f>IF(V381="","",IF(V381&lt;12,"Months","Weeks"))</f>
        <v/>
      </c>
      <c r="AC381" s="5">
        <f>IF(AB381="","",IF(AB381="Months","Daily","Weekly"))</f>
        <v/>
      </c>
      <c r="AD381" s="17">
        <f>IF(V381="","",IF(AC381="Daily",V381*Controls!$B$13,V381))</f>
        <v/>
      </c>
      <c r="AE381" s="17">
        <f>IF(V381="","",IF(AC381="Daily",V381*Controls!$B$13,V381*Controls!$B$12))</f>
        <v/>
      </c>
      <c r="AF381" s="17">
        <f>IF(OR(E381="",F381=""),"",F381-E381)</f>
        <v/>
      </c>
      <c r="AG381" s="17">
        <f>IF(OR(E381="",F381=""),"",NETWORKDAYS(E381,F381,Ref!$F$4:$F$47))</f>
        <v/>
      </c>
      <c r="AH381" s="39">
        <f>IF(IFERROR(VLOOKUP(D381,Controls!$A$25:$D$35,2,FALSE()),"No")="Yes",1,0)</f>
        <v/>
      </c>
      <c r="AI381" s="39">
        <f>IF(IFERROR(VLOOKUP(D381,Controls!$A$25:$D$35,3,FALSE()),"No")="Yes",1,0)</f>
        <v/>
      </c>
      <c r="AJ381" s="39">
        <f>IF(IFERROR(VLOOKUP(D381,Controls!$A$25:$D$35,4,FALSE()),"No")="Yes",1,0)</f>
        <v/>
      </c>
      <c r="AK381" s="96">
        <f>IF(AND($E381&gt;=Controls!$B$5,$E381&lt;=Controls!$B$6,OR(Controls!$E$9&lt;&gt;"Y",$BE381=1)),1,0)</f>
        <v/>
      </c>
      <c r="AL381" s="39">
        <f>1</f>
        <v/>
      </c>
      <c r="AM381" s="20">
        <f>S381-P381</f>
        <v/>
      </c>
      <c r="AN381" s="20">
        <f>IF(AH381=1,MAX(0,P381-S381),0)</f>
        <v/>
      </c>
      <c r="AO381" s="21">
        <f>IFERROR(S381/P381,"")</f>
        <v/>
      </c>
      <c r="AP381" s="22">
        <f>IF(Y381="","",P381/Y381)</f>
        <v/>
      </c>
      <c r="AQ381" s="39">
        <f>IF(Y381="",0,1)</f>
        <v/>
      </c>
      <c r="AR381" s="39">
        <f>IF(S381&lt;=0,1,0)</f>
        <v/>
      </c>
      <c r="AS381" s="17">
        <f>IF(AH381=1,AG381,"")</f>
        <v/>
      </c>
      <c r="AT381" s="17">
        <f>IF(AND(AH381=0,AJ381=1),AG381,"")</f>
        <v/>
      </c>
      <c r="AU381" s="5">
        <f>IF(P381&lt;10000,"Under $10K",IF(P381&lt;20000,"$10-20K",IF(P381&lt;30000,"$20-30K",IF(P381&lt;50000,"$30-50K",IF(P381&lt;100000,"$50-100K","$100K+")))))</f>
        <v/>
      </c>
      <c r="AV381" s="5">
        <f>IF(O381&lt;=1.35,"1.35 and under",IF(O381&lt;=1.42,"1.36-1.42",IF(O381&lt;=1.45,"1.43-1.45",IF(O381&lt;1.49,"1.46-1.48",IF(O381&lt;=1.49,"1.49","Above 1.49")))))</f>
        <v/>
      </c>
      <c r="AW381" s="5">
        <f>IF(AE381="","",IF(AE381&lt;60,"Under 60",IF(AE381&lt;90,"60-89",IF(AE381&lt;120,"90-119",IF(AE381&lt;150,"120-149","150+")))))</f>
        <v/>
      </c>
      <c r="AX381" s="5">
        <f>IF(AP381="","No revenue data",IF(AP381&lt;0.15,"Under 0.15x",IF(AP381&lt;0.3,"0.15-0.30x",IF(AP381&lt;0.5,"0.30-0.50x",IF(AP381&lt;1,"0.50-1.00x","1.00x+")))))</f>
        <v/>
      </c>
      <c r="AY381" s="5">
        <f>IF(J381="","No SIC",IFERROR(VLOOKUP(J381,Ref!$A$4:$C$67,2,FALSE()),"Unclassified"))</f>
        <v/>
      </c>
      <c r="AZ381" s="5">
        <f>IF(E381="","",TEXT(E381,"YYYY")&amp;"-Q"&amp;ROUNDUP(MONTH(E381)/3,0))</f>
        <v/>
      </c>
      <c r="BA381" s="5">
        <f>IF(E381="","",TEXT(E381,"YYYY-MM"))</f>
        <v/>
      </c>
      <c r="BB381" s="5">
        <f>IF(E381="","",TEXT(E381,"YYYY"))</f>
        <v/>
      </c>
      <c r="BC381" s="92">
        <f>IF($E381="","",NETWORKDAYS($E381,Controls!$B$9,Ref!$F$4:$F$47))</f>
        <v/>
      </c>
      <c r="BD381" s="92">
        <f>IF(OR($AH381=1,$AJ381=1),1,0)</f>
        <v/>
      </c>
      <c r="BE381" s="95">
        <f>IF(OR($BD381=1,AND($AE381&lt;&gt;"",$BC381&gt;=Controls!$B$10*$AE381)),1,0)</f>
        <v/>
      </c>
    </row>
    <row r="382" ht="15.75" customHeight="1" s="79">
      <c r="A382" s="5" t="inlineStr">
        <is>
          <t>5674172769</t>
        </is>
      </c>
      <c r="B382" s="5" t="inlineStr">
        <is>
          <t>PAYPERCALL.IO</t>
        </is>
      </c>
      <c r="C382" s="5" t="inlineStr">
        <is>
          <t>ARTLIVESTUDIOS</t>
        </is>
      </c>
      <c r="D382" s="5" t="inlineStr">
        <is>
          <t>Legal</t>
        </is>
      </c>
      <c r="E382" s="16" t="n">
        <v>45985</v>
      </c>
      <c r="F382" s="16" t="n">
        <v>46108</v>
      </c>
      <c r="G382" s="17" t="n">
        <v>1</v>
      </c>
      <c r="H382" s="5" t="inlineStr">
        <is>
          <t>5999</t>
        </is>
      </c>
      <c r="I382" s="5" t="inlineStr">
        <is>
          <t>All Other Misc. Store Retailers (Except Tobacco Stores)</t>
        </is>
      </c>
      <c r="J382" s="5" t="inlineStr">
        <is>
          <t>59</t>
        </is>
      </c>
      <c r="K382" s="5" t="n">
        <v>5999</v>
      </c>
      <c r="L382" s="5" t="inlineStr">
        <is>
          <t>NC</t>
        </is>
      </c>
      <c r="M382" s="5" t="inlineStr">
        <is>
          <t>Fundible</t>
        </is>
      </c>
      <c r="N382" s="5" t="inlineStr">
        <is>
          <t>New Deal</t>
        </is>
      </c>
      <c r="O382" s="19" t="n">
        <v>1.499</v>
      </c>
      <c r="P382" s="20" t="n">
        <v>16000</v>
      </c>
      <c r="Q382" s="20" t="n">
        <v>2240</v>
      </c>
      <c r="R382" s="20" t="n">
        <v>23984</v>
      </c>
      <c r="S382" s="20" t="n">
        <v>3926.56</v>
      </c>
      <c r="T382" s="20" t="n">
        <v>20057.44</v>
      </c>
      <c r="U382" s="21" t="n">
        <v>0.16371581054036</v>
      </c>
      <c r="V382" s="22" t="n">
        <v>25</v>
      </c>
      <c r="W382" s="17" t="n">
        <v>177</v>
      </c>
      <c r="X382" s="17" t="n">
        <v>13</v>
      </c>
      <c r="Y382" s="20" t="n">
        <v>31082.6</v>
      </c>
      <c r="Z382" s="21" t="n">
        <v>0.1227</v>
      </c>
      <c r="AA382" s="16" t="n">
        <v>43831</v>
      </c>
      <c r="AB382" s="5">
        <f>IF(V382="","",IF(V382&lt;12,"Months","Weeks"))</f>
        <v/>
      </c>
      <c r="AC382" s="5">
        <f>IF(AB382="","",IF(AB382="Months","Daily","Weekly"))</f>
        <v/>
      </c>
      <c r="AD382" s="17">
        <f>IF(V382="","",IF(AC382="Daily",V382*Controls!$B$13,V382))</f>
        <v/>
      </c>
      <c r="AE382" s="17">
        <f>IF(V382="","",IF(AC382="Daily",V382*Controls!$B$13,V382*Controls!$B$12))</f>
        <v/>
      </c>
      <c r="AF382" s="17">
        <f>IF(OR(E382="",F382=""),"",F382-E382)</f>
        <v/>
      </c>
      <c r="AG382" s="17">
        <f>IF(OR(E382="",F382=""),"",NETWORKDAYS(E382,F382,Ref!$F$4:$F$47))</f>
        <v/>
      </c>
      <c r="AH382" s="39">
        <f>IF(IFERROR(VLOOKUP(D382,Controls!$A$25:$D$35,2,FALSE()),"No")="Yes",1,0)</f>
        <v/>
      </c>
      <c r="AI382" s="39">
        <f>IF(IFERROR(VLOOKUP(D382,Controls!$A$25:$D$35,3,FALSE()),"No")="Yes",1,0)</f>
        <v/>
      </c>
      <c r="AJ382" s="39">
        <f>IF(IFERROR(VLOOKUP(D382,Controls!$A$25:$D$35,4,FALSE()),"No")="Yes",1,0)</f>
        <v/>
      </c>
      <c r="AK382" s="96">
        <f>IF(AND($E382&gt;=Controls!$B$5,$E382&lt;=Controls!$B$6,OR(Controls!$E$9&lt;&gt;"Y",$BE382=1)),1,0)</f>
        <v/>
      </c>
      <c r="AL382" s="39">
        <f>1</f>
        <v/>
      </c>
      <c r="AM382" s="20">
        <f>S382-P382</f>
        <v/>
      </c>
      <c r="AN382" s="20">
        <f>IF(AH382=1,MAX(0,P382-S382),0)</f>
        <v/>
      </c>
      <c r="AO382" s="21">
        <f>IFERROR(S382/P382,"")</f>
        <v/>
      </c>
      <c r="AP382" s="22">
        <f>IF(Y382="","",P382/Y382)</f>
        <v/>
      </c>
      <c r="AQ382" s="39">
        <f>IF(Y382="",0,1)</f>
        <v/>
      </c>
      <c r="AR382" s="39">
        <f>IF(S382&lt;=0,1,0)</f>
        <v/>
      </c>
      <c r="AS382" s="17">
        <f>IF(AH382=1,AG382,"")</f>
        <v/>
      </c>
      <c r="AT382" s="17">
        <f>IF(AND(AH382=0,AJ382=1),AG382,"")</f>
        <v/>
      </c>
      <c r="AU382" s="5">
        <f>IF(P382&lt;10000,"Under $10K",IF(P382&lt;20000,"$10-20K",IF(P382&lt;30000,"$20-30K",IF(P382&lt;50000,"$30-50K",IF(P382&lt;100000,"$50-100K","$100K+")))))</f>
        <v/>
      </c>
      <c r="AV382" s="5">
        <f>IF(O382&lt;=1.35,"1.35 and under",IF(O382&lt;=1.42,"1.36-1.42",IF(O382&lt;=1.45,"1.43-1.45",IF(O382&lt;1.49,"1.46-1.48",IF(O382&lt;=1.49,"1.49","Above 1.49")))))</f>
        <v/>
      </c>
      <c r="AW382" s="5">
        <f>IF(AE382="","",IF(AE382&lt;60,"Under 60",IF(AE382&lt;90,"60-89",IF(AE382&lt;120,"90-119",IF(AE382&lt;150,"120-149","150+")))))</f>
        <v/>
      </c>
      <c r="AX382" s="5">
        <f>IF(AP382="","No revenue data",IF(AP382&lt;0.15,"Under 0.15x",IF(AP382&lt;0.3,"0.15-0.30x",IF(AP382&lt;0.5,"0.30-0.50x",IF(AP382&lt;1,"0.50-1.00x","1.00x+")))))</f>
        <v/>
      </c>
      <c r="AY382" s="5">
        <f>IF(J382="","No SIC",IFERROR(VLOOKUP(J382,Ref!$A$4:$C$67,2,FALSE()),"Unclassified"))</f>
        <v/>
      </c>
      <c r="AZ382" s="5">
        <f>IF(E382="","",TEXT(E382,"YYYY")&amp;"-Q"&amp;ROUNDUP(MONTH(E382)/3,0))</f>
        <v/>
      </c>
      <c r="BA382" s="5">
        <f>IF(E382="","",TEXT(E382,"YYYY-MM"))</f>
        <v/>
      </c>
      <c r="BB382" s="5">
        <f>IF(E382="","",TEXT(E382,"YYYY"))</f>
        <v/>
      </c>
      <c r="BC382" s="92">
        <f>IF($E382="","",NETWORKDAYS($E382,Controls!$B$9,Ref!$F$4:$F$47))</f>
        <v/>
      </c>
      <c r="BD382" s="92">
        <f>IF(OR($AH382=1,$AJ382=1),1,0)</f>
        <v/>
      </c>
      <c r="BE382" s="95">
        <f>IF(OR($BD382=1,AND($AE382&lt;&gt;"",$BC382&gt;=Controls!$B$10*$AE382)),1,0)</f>
        <v/>
      </c>
    </row>
    <row r="383" ht="15.75" customHeight="1" s="79">
      <c r="A383" s="5" t="inlineStr">
        <is>
          <t>5674172792</t>
        </is>
      </c>
      <c r="B383" s="5" t="inlineStr">
        <is>
          <t>Recovery Ranch</t>
        </is>
      </c>
      <c r="C383" s="5" t="inlineStr">
        <is>
          <t>RECOVERY RANCH LLC</t>
        </is>
      </c>
      <c r="D383" s="5" t="inlineStr">
        <is>
          <t>Closed</t>
        </is>
      </c>
      <c r="E383" s="16" t="n">
        <v>45986</v>
      </c>
      <c r="F383" s="16" t="n">
        <v>46224</v>
      </c>
      <c r="G383" s="17" t="n">
        <v>1</v>
      </c>
      <c r="H383" s="5" t="inlineStr">
        <is>
          <t>6361</t>
        </is>
      </c>
      <c r="I383" s="5" t="inlineStr">
        <is>
          <t>Direct Title Insurance Carriers</t>
        </is>
      </c>
      <c r="J383" s="5" t="inlineStr">
        <is>
          <t>63</t>
        </is>
      </c>
      <c r="K383" s="5" t="n">
        <v>6300</v>
      </c>
      <c r="L383" s="5" t="inlineStr">
        <is>
          <t>OH</t>
        </is>
      </c>
      <c r="M383" s="5" t="inlineStr">
        <is>
          <t>Shore Funding USA</t>
        </is>
      </c>
      <c r="N383" s="5" t="inlineStr">
        <is>
          <t>New Deal</t>
        </is>
      </c>
      <c r="O383" s="19" t="n">
        <v>1.37</v>
      </c>
      <c r="P383" s="20" t="n">
        <v>60000</v>
      </c>
      <c r="Q383" s="20" t="n">
        <v>4800</v>
      </c>
      <c r="R383" s="20" t="n">
        <v>82200</v>
      </c>
      <c r="S383" s="20" t="n">
        <v>82200</v>
      </c>
      <c r="T383" s="20" t="n">
        <v>0</v>
      </c>
      <c r="U383" s="21" t="n">
        <v>1</v>
      </c>
      <c r="V383" s="22" t="n">
        <v>32</v>
      </c>
      <c r="W383" s="17" t="n">
        <v>29</v>
      </c>
      <c r="X383" s="17" t="n">
        <v>0</v>
      </c>
      <c r="Y383" s="20" t="n">
        <v>94249.28</v>
      </c>
      <c r="Z383" s="21" t="n">
        <v>0.109</v>
      </c>
      <c r="AA383" s="16" t="n">
        <v>44938</v>
      </c>
      <c r="AB383" s="5">
        <f>IF(V383="","",IF(V383&lt;12,"Months","Weeks"))</f>
        <v/>
      </c>
      <c r="AC383" s="5">
        <f>IF(AB383="","",IF(AB383="Months","Daily","Weekly"))</f>
        <v/>
      </c>
      <c r="AD383" s="17">
        <f>IF(V383="","",IF(AC383="Daily",V383*Controls!$B$13,V383))</f>
        <v/>
      </c>
      <c r="AE383" s="17">
        <f>IF(V383="","",IF(AC383="Daily",V383*Controls!$B$13,V383*Controls!$B$12))</f>
        <v/>
      </c>
      <c r="AF383" s="17">
        <f>IF(OR(E383="",F383=""),"",F383-E383)</f>
        <v/>
      </c>
      <c r="AG383" s="17">
        <f>IF(OR(E383="",F383=""),"",NETWORKDAYS(E383,F383,Ref!$F$4:$F$47))</f>
        <v/>
      </c>
      <c r="AH383" s="39">
        <f>IF(IFERROR(VLOOKUP(D383,Controls!$A$25:$D$35,2,FALSE()),"No")="Yes",1,0)</f>
        <v/>
      </c>
      <c r="AI383" s="39">
        <f>IF(IFERROR(VLOOKUP(D383,Controls!$A$25:$D$35,3,FALSE()),"No")="Yes",1,0)</f>
        <v/>
      </c>
      <c r="AJ383" s="39">
        <f>IF(IFERROR(VLOOKUP(D383,Controls!$A$25:$D$35,4,FALSE()),"No")="Yes",1,0)</f>
        <v/>
      </c>
      <c r="AK383" s="96">
        <f>IF(AND($E383&gt;=Controls!$B$5,$E383&lt;=Controls!$B$6,OR(Controls!$E$9&lt;&gt;"Y",$BE383=1)),1,0)</f>
        <v/>
      </c>
      <c r="AL383" s="39">
        <f>1</f>
        <v/>
      </c>
      <c r="AM383" s="20">
        <f>S383-P383</f>
        <v/>
      </c>
      <c r="AN383" s="20">
        <f>IF(AH383=1,MAX(0,P383-S383),0)</f>
        <v/>
      </c>
      <c r="AO383" s="21">
        <f>IFERROR(S383/P383,"")</f>
        <v/>
      </c>
      <c r="AP383" s="22">
        <f>IF(Y383="","",P383/Y383)</f>
        <v/>
      </c>
      <c r="AQ383" s="39">
        <f>IF(Y383="",0,1)</f>
        <v/>
      </c>
      <c r="AR383" s="39">
        <f>IF(S383&lt;=0,1,0)</f>
        <v/>
      </c>
      <c r="AS383" s="17">
        <f>IF(AH383=1,AG383,"")</f>
        <v/>
      </c>
      <c r="AT383" s="17">
        <f>IF(AND(AH383=0,AJ383=1),AG383,"")</f>
        <v/>
      </c>
      <c r="AU383" s="5">
        <f>IF(P383&lt;10000,"Under $10K",IF(P383&lt;20000,"$10-20K",IF(P383&lt;30000,"$20-30K",IF(P383&lt;50000,"$30-50K",IF(P383&lt;100000,"$50-100K","$100K+")))))</f>
        <v/>
      </c>
      <c r="AV383" s="5">
        <f>IF(O383&lt;=1.35,"1.35 and under",IF(O383&lt;=1.42,"1.36-1.42",IF(O383&lt;=1.45,"1.43-1.45",IF(O383&lt;1.49,"1.46-1.48",IF(O383&lt;=1.49,"1.49","Above 1.49")))))</f>
        <v/>
      </c>
      <c r="AW383" s="5">
        <f>IF(AE383="","",IF(AE383&lt;60,"Under 60",IF(AE383&lt;90,"60-89",IF(AE383&lt;120,"90-119",IF(AE383&lt;150,"120-149","150+")))))</f>
        <v/>
      </c>
      <c r="AX383" s="5">
        <f>IF(AP383="","No revenue data",IF(AP383&lt;0.15,"Under 0.15x",IF(AP383&lt;0.3,"0.15-0.30x",IF(AP383&lt;0.5,"0.30-0.50x",IF(AP383&lt;1,"0.50-1.00x","1.00x+")))))</f>
        <v/>
      </c>
      <c r="AY383" s="5">
        <f>IF(J383="","No SIC",IFERROR(VLOOKUP(J383,Ref!$A$4:$C$67,2,FALSE()),"Unclassified"))</f>
        <v/>
      </c>
      <c r="AZ383" s="5">
        <f>IF(E383="","",TEXT(E383,"YYYY")&amp;"-Q"&amp;ROUNDUP(MONTH(E383)/3,0))</f>
        <v/>
      </c>
      <c r="BA383" s="5">
        <f>IF(E383="","",TEXT(E383,"YYYY-MM"))</f>
        <v/>
      </c>
      <c r="BB383" s="5">
        <f>IF(E383="","",TEXT(E383,"YYYY"))</f>
        <v/>
      </c>
      <c r="BC383" s="92">
        <f>IF($E383="","",NETWORKDAYS($E383,Controls!$B$9,Ref!$F$4:$F$47))</f>
        <v/>
      </c>
      <c r="BD383" s="92">
        <f>IF(OR($AH383=1,$AJ383=1),1,0)</f>
        <v/>
      </c>
      <c r="BE383" s="95">
        <f>IF(OR($BD383=1,AND($AE383&lt;&gt;"",$BC383&gt;=Controls!$B$10*$AE383)),1,0)</f>
        <v/>
      </c>
    </row>
    <row r="384" ht="15.75" customHeight="1" s="79">
      <c r="A384" s="5" t="inlineStr">
        <is>
          <t>5674172805</t>
        </is>
      </c>
      <c r="B384" s="5" t="inlineStr">
        <is>
          <t>Bass Unique Services</t>
        </is>
      </c>
      <c r="C384" s="5" t="inlineStr">
        <is>
          <t>Bass Unique Services</t>
        </is>
      </c>
      <c r="D384" s="5" t="inlineStr">
        <is>
          <t>In House Collection</t>
        </is>
      </c>
      <c r="E384" s="16" t="n">
        <v>45986</v>
      </c>
      <c r="F384" s="16" t="n">
        <v>46099</v>
      </c>
      <c r="G384" s="17" t="n">
        <v>3</v>
      </c>
      <c r="H384" s="5" t="inlineStr">
        <is>
          <t>1521</t>
        </is>
      </c>
      <c r="I384" s="5" t="inlineStr">
        <is>
          <t>New Single-Family Housing Construction (Except For-Sale Builders)</t>
        </is>
      </c>
      <c r="J384" s="5" t="inlineStr">
        <is>
          <t>15</t>
        </is>
      </c>
      <c r="K384" s="5" t="n">
        <v>1520</v>
      </c>
      <c r="L384" s="5" t="inlineStr">
        <is>
          <t>FL</t>
        </is>
      </c>
      <c r="M384" s="5" t="inlineStr">
        <is>
          <t>WOTR Enterprise LLC</t>
        </is>
      </c>
      <c r="N384" s="5" t="inlineStr">
        <is>
          <t>Renewal</t>
        </is>
      </c>
      <c r="O384" s="19" t="n">
        <v>1.499</v>
      </c>
      <c r="P384" s="20" t="n">
        <v>28000</v>
      </c>
      <c r="Q384" s="20" t="n">
        <v>3920</v>
      </c>
      <c r="R384" s="20" t="n">
        <v>41972</v>
      </c>
      <c r="S384" s="20" t="n">
        <v>8299.48</v>
      </c>
      <c r="T384" s="20" t="n">
        <v>33672.52</v>
      </c>
      <c r="U384" s="21" t="n">
        <v>0.197738492328219</v>
      </c>
      <c r="V384" s="22" t="n">
        <v>24</v>
      </c>
      <c r="W384" s="17" t="n">
        <v>160</v>
      </c>
      <c r="X384" s="17" t="n">
        <v>18</v>
      </c>
      <c r="Y384" s="20" t="n">
        <v>50449.57</v>
      </c>
      <c r="Z384" s="21" t="n">
        <v>0.1226</v>
      </c>
      <c r="AA384" s="16" t="n">
        <v>43647</v>
      </c>
      <c r="AB384" s="5">
        <f>IF(V384="","",IF(V384&lt;12,"Months","Weeks"))</f>
        <v/>
      </c>
      <c r="AC384" s="5">
        <f>IF(AB384="","",IF(AB384="Months","Daily","Weekly"))</f>
        <v/>
      </c>
      <c r="AD384" s="17">
        <f>IF(V384="","",IF(AC384="Daily",V384*Controls!$B$13,V384))</f>
        <v/>
      </c>
      <c r="AE384" s="17">
        <f>IF(V384="","",IF(AC384="Daily",V384*Controls!$B$13,V384*Controls!$B$12))</f>
        <v/>
      </c>
      <c r="AF384" s="17">
        <f>IF(OR(E384="",F384=""),"",F384-E384)</f>
        <v/>
      </c>
      <c r="AG384" s="17">
        <f>IF(OR(E384="",F384=""),"",NETWORKDAYS(E384,F384,Ref!$F$4:$F$47))</f>
        <v/>
      </c>
      <c r="AH384" s="39">
        <f>IF(IFERROR(VLOOKUP(D384,Controls!$A$25:$D$35,2,FALSE()),"No")="Yes",1,0)</f>
        <v/>
      </c>
      <c r="AI384" s="39">
        <f>IF(IFERROR(VLOOKUP(D384,Controls!$A$25:$D$35,3,FALSE()),"No")="Yes",1,0)</f>
        <v/>
      </c>
      <c r="AJ384" s="39">
        <f>IF(IFERROR(VLOOKUP(D384,Controls!$A$25:$D$35,4,FALSE()),"No")="Yes",1,0)</f>
        <v/>
      </c>
      <c r="AK384" s="96">
        <f>IF(AND($E384&gt;=Controls!$B$5,$E384&lt;=Controls!$B$6,OR(Controls!$E$9&lt;&gt;"Y",$BE384=1)),1,0)</f>
        <v/>
      </c>
      <c r="AL384" s="39">
        <f>1</f>
        <v/>
      </c>
      <c r="AM384" s="20">
        <f>S384-P384</f>
        <v/>
      </c>
      <c r="AN384" s="20">
        <f>IF(AH384=1,MAX(0,P384-S384),0)</f>
        <v/>
      </c>
      <c r="AO384" s="21">
        <f>IFERROR(S384/P384,"")</f>
        <v/>
      </c>
      <c r="AP384" s="22">
        <f>IF(Y384="","",P384/Y384)</f>
        <v/>
      </c>
      <c r="AQ384" s="39">
        <f>IF(Y384="",0,1)</f>
        <v/>
      </c>
      <c r="AR384" s="39">
        <f>IF(S384&lt;=0,1,0)</f>
        <v/>
      </c>
      <c r="AS384" s="17">
        <f>IF(AH384=1,AG384,"")</f>
        <v/>
      </c>
      <c r="AT384" s="17">
        <f>IF(AND(AH384=0,AJ384=1),AG384,"")</f>
        <v/>
      </c>
      <c r="AU384" s="5">
        <f>IF(P384&lt;10000,"Under $10K",IF(P384&lt;20000,"$10-20K",IF(P384&lt;30000,"$20-30K",IF(P384&lt;50000,"$30-50K",IF(P384&lt;100000,"$50-100K","$100K+")))))</f>
        <v/>
      </c>
      <c r="AV384" s="5">
        <f>IF(O384&lt;=1.35,"1.35 and under",IF(O384&lt;=1.42,"1.36-1.42",IF(O384&lt;=1.45,"1.43-1.45",IF(O384&lt;1.49,"1.46-1.48",IF(O384&lt;=1.49,"1.49","Above 1.49")))))</f>
        <v/>
      </c>
      <c r="AW384" s="5">
        <f>IF(AE384="","",IF(AE384&lt;60,"Under 60",IF(AE384&lt;90,"60-89",IF(AE384&lt;120,"90-119",IF(AE384&lt;150,"120-149","150+")))))</f>
        <v/>
      </c>
      <c r="AX384" s="5">
        <f>IF(AP384="","No revenue data",IF(AP384&lt;0.15,"Under 0.15x",IF(AP384&lt;0.3,"0.15-0.30x",IF(AP384&lt;0.5,"0.30-0.50x",IF(AP384&lt;1,"0.50-1.00x","1.00x+")))))</f>
        <v/>
      </c>
      <c r="AY384" s="5">
        <f>IF(J384="","No SIC",IFERROR(VLOOKUP(J384,Ref!$A$4:$C$67,2,FALSE()),"Unclassified"))</f>
        <v/>
      </c>
      <c r="AZ384" s="5">
        <f>IF(E384="","",TEXT(E384,"YYYY")&amp;"-Q"&amp;ROUNDUP(MONTH(E384)/3,0))</f>
        <v/>
      </c>
      <c r="BA384" s="5">
        <f>IF(E384="","",TEXT(E384,"YYYY-MM"))</f>
        <v/>
      </c>
      <c r="BB384" s="5">
        <f>IF(E384="","",TEXT(E384,"YYYY"))</f>
        <v/>
      </c>
      <c r="BC384" s="92">
        <f>IF($E384="","",NETWORKDAYS($E384,Controls!$B$9,Ref!$F$4:$F$47))</f>
        <v/>
      </c>
      <c r="BD384" s="92">
        <f>IF(OR($AH384=1,$AJ384=1),1,0)</f>
        <v/>
      </c>
      <c r="BE384" s="95">
        <f>IF(OR($BD384=1,AND($AE384&lt;&gt;"",$BC384&gt;=Controls!$B$10*$AE384)),1,0)</f>
        <v/>
      </c>
    </row>
    <row r="385" ht="15.75" customHeight="1" s="79">
      <c r="A385" s="5" t="inlineStr">
        <is>
          <t>5674172827</t>
        </is>
      </c>
      <c r="B385" s="5" t="inlineStr">
        <is>
          <t>TAQUERIA Y ANTOJITOS EL GUANACO LLC</t>
        </is>
      </c>
      <c r="C385" s="5" t="inlineStr">
        <is>
          <t>TAQUERIA Y ANTOJITOS EL GUANACO LLC</t>
        </is>
      </c>
      <c r="D385" s="5" t="inlineStr">
        <is>
          <t>Written-Off</t>
        </is>
      </c>
      <c r="E385" s="16" t="n">
        <v>45986</v>
      </c>
      <c r="F385" s="16" t="n">
        <v>46177</v>
      </c>
      <c r="G385" s="17" t="n">
        <v>3</v>
      </c>
      <c r="H385" s="5" t="inlineStr">
        <is>
          <t>5812</t>
        </is>
      </c>
      <c r="I385" s="5" t="inlineStr">
        <is>
          <t>Snack and Nonalcoholic Beverage Bars</t>
        </is>
      </c>
      <c r="J385" s="5" t="inlineStr">
        <is>
          <t>58</t>
        </is>
      </c>
      <c r="K385" s="5" t="n">
        <v>5812</v>
      </c>
      <c r="L385" s="5" t="inlineStr">
        <is>
          <t>FL</t>
        </is>
      </c>
      <c r="M385" s="5" t="inlineStr">
        <is>
          <t>PMF</t>
        </is>
      </c>
      <c r="N385" s="5" t="inlineStr">
        <is>
          <t>Renewal</t>
        </is>
      </c>
      <c r="O385" s="19" t="n">
        <v>1.499</v>
      </c>
      <c r="P385" s="20" t="n">
        <v>40000</v>
      </c>
      <c r="Q385" s="20" t="n">
        <v>5600</v>
      </c>
      <c r="R385" s="20" t="n">
        <v>59960</v>
      </c>
      <c r="S385" s="20" t="n">
        <v>58680.32</v>
      </c>
      <c r="T385" s="20" t="n">
        <v>1279.68000000001</v>
      </c>
      <c r="U385" s="21" t="n">
        <v>0.978657771847899</v>
      </c>
      <c r="V385" s="22" t="n">
        <v>4.262</v>
      </c>
      <c r="W385" s="17" t="n">
        <v>79</v>
      </c>
      <c r="X385" s="17" t="n">
        <v>3</v>
      </c>
      <c r="Y385" s="20" t="n">
        <v>138520.32</v>
      </c>
      <c r="Z385" s="21" t="n">
        <v>0.06950000000000001</v>
      </c>
      <c r="AA385" s="16" t="n">
        <v>42430</v>
      </c>
      <c r="AB385" s="5">
        <f>IF(V385="","",IF(V385&lt;12,"Months","Weeks"))</f>
        <v/>
      </c>
      <c r="AC385" s="5">
        <f>IF(AB385="","",IF(AB385="Months","Daily","Weekly"))</f>
        <v/>
      </c>
      <c r="AD385" s="17">
        <f>IF(V385="","",IF(AC385="Daily",V385*Controls!$B$13,V385))</f>
        <v/>
      </c>
      <c r="AE385" s="17">
        <f>IF(V385="","",IF(AC385="Daily",V385*Controls!$B$13,V385*Controls!$B$12))</f>
        <v/>
      </c>
      <c r="AF385" s="17">
        <f>IF(OR(E385="",F385=""),"",F385-E385)</f>
        <v/>
      </c>
      <c r="AG385" s="17">
        <f>IF(OR(E385="",F385=""),"",NETWORKDAYS(E385,F385,Ref!$F$4:$F$47))</f>
        <v/>
      </c>
      <c r="AH385" s="39">
        <f>IF(IFERROR(VLOOKUP(D385,Controls!$A$25:$D$35,2,FALSE()),"No")="Yes",1,0)</f>
        <v/>
      </c>
      <c r="AI385" s="39">
        <f>IF(IFERROR(VLOOKUP(D385,Controls!$A$25:$D$35,3,FALSE()),"No")="Yes",1,0)</f>
        <v/>
      </c>
      <c r="AJ385" s="39">
        <f>IF(IFERROR(VLOOKUP(D385,Controls!$A$25:$D$35,4,FALSE()),"No")="Yes",1,0)</f>
        <v/>
      </c>
      <c r="AK385" s="96">
        <f>IF(AND($E385&gt;=Controls!$B$5,$E385&lt;=Controls!$B$6,OR(Controls!$E$9&lt;&gt;"Y",$BE385=1)),1,0)</f>
        <v/>
      </c>
      <c r="AL385" s="39">
        <f>1</f>
        <v/>
      </c>
      <c r="AM385" s="20">
        <f>S385-P385</f>
        <v/>
      </c>
      <c r="AN385" s="20">
        <f>IF(AH385=1,MAX(0,P385-S385),0)</f>
        <v/>
      </c>
      <c r="AO385" s="21">
        <f>IFERROR(S385/P385,"")</f>
        <v/>
      </c>
      <c r="AP385" s="22">
        <f>IF(Y385="","",P385/Y385)</f>
        <v/>
      </c>
      <c r="AQ385" s="39">
        <f>IF(Y385="",0,1)</f>
        <v/>
      </c>
      <c r="AR385" s="39">
        <f>IF(S385&lt;=0,1,0)</f>
        <v/>
      </c>
      <c r="AS385" s="17">
        <f>IF(AH385=1,AG385,"")</f>
        <v/>
      </c>
      <c r="AT385" s="17">
        <f>IF(AND(AH385=0,AJ385=1),AG385,"")</f>
        <v/>
      </c>
      <c r="AU385" s="5">
        <f>IF(P385&lt;10000,"Under $10K",IF(P385&lt;20000,"$10-20K",IF(P385&lt;30000,"$20-30K",IF(P385&lt;50000,"$30-50K",IF(P385&lt;100000,"$50-100K","$100K+")))))</f>
        <v/>
      </c>
      <c r="AV385" s="5">
        <f>IF(O385&lt;=1.35,"1.35 and under",IF(O385&lt;=1.42,"1.36-1.42",IF(O385&lt;=1.45,"1.43-1.45",IF(O385&lt;1.49,"1.46-1.48",IF(O385&lt;=1.49,"1.49","Above 1.49")))))</f>
        <v/>
      </c>
      <c r="AW385" s="5">
        <f>IF(AE385="","",IF(AE385&lt;60,"Under 60",IF(AE385&lt;90,"60-89",IF(AE385&lt;120,"90-119",IF(AE385&lt;150,"120-149","150+")))))</f>
        <v/>
      </c>
      <c r="AX385" s="5">
        <f>IF(AP385="","No revenue data",IF(AP385&lt;0.15,"Under 0.15x",IF(AP385&lt;0.3,"0.15-0.30x",IF(AP385&lt;0.5,"0.30-0.50x",IF(AP385&lt;1,"0.50-1.00x","1.00x+")))))</f>
        <v/>
      </c>
      <c r="AY385" s="5">
        <f>IF(J385="","No SIC",IFERROR(VLOOKUP(J385,Ref!$A$4:$C$67,2,FALSE()),"Unclassified"))</f>
        <v/>
      </c>
      <c r="AZ385" s="5">
        <f>IF(E385="","",TEXT(E385,"YYYY")&amp;"-Q"&amp;ROUNDUP(MONTH(E385)/3,0))</f>
        <v/>
      </c>
      <c r="BA385" s="5">
        <f>IF(E385="","",TEXT(E385,"YYYY-MM"))</f>
        <v/>
      </c>
      <c r="BB385" s="5">
        <f>IF(E385="","",TEXT(E385,"YYYY"))</f>
        <v/>
      </c>
      <c r="BC385" s="92">
        <f>IF($E385="","",NETWORKDAYS($E385,Controls!$B$9,Ref!$F$4:$F$47))</f>
        <v/>
      </c>
      <c r="BD385" s="92">
        <f>IF(OR($AH385=1,$AJ385=1),1,0)</f>
        <v/>
      </c>
      <c r="BE385" s="95">
        <f>IF(OR($BD385=1,AND($AE385&lt;&gt;"",$BC385&gt;=Controls!$B$10*$AE385)),1,0)</f>
        <v/>
      </c>
    </row>
    <row r="386" ht="15.75" customHeight="1" s="79">
      <c r="A386" s="5" t="inlineStr">
        <is>
          <t>5674172831</t>
        </is>
      </c>
      <c r="B386" s="5" t="inlineStr">
        <is>
          <t>PROFIX</t>
        </is>
      </c>
      <c r="C386" s="5" t="inlineStr">
        <is>
          <t>MXCONCEPTS LLC</t>
        </is>
      </c>
      <c r="D386" s="5" t="inlineStr">
        <is>
          <t>Open</t>
        </is>
      </c>
      <c r="E386" s="16" t="n">
        <v>45986</v>
      </c>
      <c r="F386" s="16" t="n">
        <v>46251</v>
      </c>
      <c r="G386" s="17" t="n">
        <v>2</v>
      </c>
      <c r="H386" s="5" t="inlineStr">
        <is>
          <t>1521</t>
        </is>
      </c>
      <c r="I386" s="5" t="inlineStr">
        <is>
          <t>New Single-Family Housing Construction (Except For-Sale Builders)</t>
        </is>
      </c>
      <c r="J386" s="5" t="inlineStr">
        <is>
          <t>15</t>
        </is>
      </c>
      <c r="K386" s="5" t="n">
        <v>1520</v>
      </c>
      <c r="L386" s="5" t="inlineStr">
        <is>
          <t>TX</t>
        </is>
      </c>
      <c r="M386" s="5" t="inlineStr">
        <is>
          <t>Platform Funding</t>
        </is>
      </c>
      <c r="N386" s="5" t="inlineStr">
        <is>
          <t>New Deal</t>
        </is>
      </c>
      <c r="O386" s="19" t="n">
        <v>1.499</v>
      </c>
      <c r="P386" s="20" t="n">
        <v>20000</v>
      </c>
      <c r="Q386" s="20" t="n">
        <v>2800</v>
      </c>
      <c r="R386" s="20" t="n">
        <v>29980</v>
      </c>
      <c r="S386" s="20" t="n">
        <v>25246.76</v>
      </c>
      <c r="T386" s="20" t="n">
        <v>4733.24000000001</v>
      </c>
      <c r="U386" s="21" t="n">
        <v>0.842120080053369</v>
      </c>
      <c r="V386" s="22" t="n">
        <v>26</v>
      </c>
      <c r="W386" s="17" t="n">
        <v>2</v>
      </c>
      <c r="X386" s="17" t="n">
        <v>15</v>
      </c>
      <c r="Y386" s="20" t="n">
        <v>185093.76</v>
      </c>
      <c r="Z386" s="21" t="n">
        <v>0.0248</v>
      </c>
      <c r="AA386" s="16" t="n">
        <v>45064</v>
      </c>
      <c r="AB386" s="5">
        <f>IF(V386="","",IF(V386&lt;12,"Months","Weeks"))</f>
        <v/>
      </c>
      <c r="AC386" s="5">
        <f>IF(AB386="","",IF(AB386="Months","Daily","Weekly"))</f>
        <v/>
      </c>
      <c r="AD386" s="17">
        <f>IF(V386="","",IF(AC386="Daily",V386*Controls!$B$13,V386))</f>
        <v/>
      </c>
      <c r="AE386" s="17">
        <f>IF(V386="","",IF(AC386="Daily",V386*Controls!$B$13,V386*Controls!$B$12))</f>
        <v/>
      </c>
      <c r="AF386" s="17">
        <f>IF(OR(E386="",F386=""),"",F386-E386)</f>
        <v/>
      </c>
      <c r="AG386" s="17">
        <f>IF(OR(E386="",F386=""),"",NETWORKDAYS(E386,F386,Ref!$F$4:$F$47))</f>
        <v/>
      </c>
      <c r="AH386" s="39">
        <f>IF(IFERROR(VLOOKUP(D386,Controls!$A$25:$D$35,2,FALSE()),"No")="Yes",1,0)</f>
        <v/>
      </c>
      <c r="AI386" s="39">
        <f>IF(IFERROR(VLOOKUP(D386,Controls!$A$25:$D$35,3,FALSE()),"No")="Yes",1,0)</f>
        <v/>
      </c>
      <c r="AJ386" s="39">
        <f>IF(IFERROR(VLOOKUP(D386,Controls!$A$25:$D$35,4,FALSE()),"No")="Yes",1,0)</f>
        <v/>
      </c>
      <c r="AK386" s="96">
        <f>IF(AND($E386&gt;=Controls!$B$5,$E386&lt;=Controls!$B$6,OR(Controls!$E$9&lt;&gt;"Y",$BE386=1)),1,0)</f>
        <v/>
      </c>
      <c r="AL386" s="39">
        <f>1</f>
        <v/>
      </c>
      <c r="AM386" s="20">
        <f>S386-P386</f>
        <v/>
      </c>
      <c r="AN386" s="20">
        <f>IF(AH386=1,MAX(0,P386-S386),0)</f>
        <v/>
      </c>
      <c r="AO386" s="21">
        <f>IFERROR(S386/P386,"")</f>
        <v/>
      </c>
      <c r="AP386" s="22">
        <f>IF(Y386="","",P386/Y386)</f>
        <v/>
      </c>
      <c r="AQ386" s="39">
        <f>IF(Y386="",0,1)</f>
        <v/>
      </c>
      <c r="AR386" s="39">
        <f>IF(S386&lt;=0,1,0)</f>
        <v/>
      </c>
      <c r="AS386" s="17">
        <f>IF(AH386=1,AG386,"")</f>
        <v/>
      </c>
      <c r="AT386" s="17">
        <f>IF(AND(AH386=0,AJ386=1),AG386,"")</f>
        <v/>
      </c>
      <c r="AU386" s="5">
        <f>IF(P386&lt;10000,"Under $10K",IF(P386&lt;20000,"$10-20K",IF(P386&lt;30000,"$20-30K",IF(P386&lt;50000,"$30-50K",IF(P386&lt;100000,"$50-100K","$100K+")))))</f>
        <v/>
      </c>
      <c r="AV386" s="5">
        <f>IF(O386&lt;=1.35,"1.35 and under",IF(O386&lt;=1.42,"1.36-1.42",IF(O386&lt;=1.45,"1.43-1.45",IF(O386&lt;1.49,"1.46-1.48",IF(O386&lt;=1.49,"1.49","Above 1.49")))))</f>
        <v/>
      </c>
      <c r="AW386" s="5">
        <f>IF(AE386="","",IF(AE386&lt;60,"Under 60",IF(AE386&lt;90,"60-89",IF(AE386&lt;120,"90-119",IF(AE386&lt;150,"120-149","150+")))))</f>
        <v/>
      </c>
      <c r="AX386" s="5">
        <f>IF(AP386="","No revenue data",IF(AP386&lt;0.15,"Under 0.15x",IF(AP386&lt;0.3,"0.15-0.30x",IF(AP386&lt;0.5,"0.30-0.50x",IF(AP386&lt;1,"0.50-1.00x","1.00x+")))))</f>
        <v/>
      </c>
      <c r="AY386" s="5">
        <f>IF(J386="","No SIC",IFERROR(VLOOKUP(J386,Ref!$A$4:$C$67,2,FALSE()),"Unclassified"))</f>
        <v/>
      </c>
      <c r="AZ386" s="5">
        <f>IF(E386="","",TEXT(E386,"YYYY")&amp;"-Q"&amp;ROUNDUP(MONTH(E386)/3,0))</f>
        <v/>
      </c>
      <c r="BA386" s="5">
        <f>IF(E386="","",TEXT(E386,"YYYY-MM"))</f>
        <v/>
      </c>
      <c r="BB386" s="5">
        <f>IF(E386="","",TEXT(E386,"YYYY"))</f>
        <v/>
      </c>
      <c r="BC386" s="92">
        <f>IF($E386="","",NETWORKDAYS($E386,Controls!$B$9,Ref!$F$4:$F$47))</f>
        <v/>
      </c>
      <c r="BD386" s="92">
        <f>IF(OR($AH386=1,$AJ386=1),1,0)</f>
        <v/>
      </c>
      <c r="BE386" s="95">
        <f>IF(OR($BD386=1,AND($AE386&lt;&gt;"",$BC386&gt;=Controls!$B$10*$AE386)),1,0)</f>
        <v/>
      </c>
    </row>
    <row r="387" ht="15.75" customHeight="1" s="79">
      <c r="A387" s="5" t="inlineStr">
        <is>
          <t>5674172872</t>
        </is>
      </c>
      <c r="B387" s="5" t="inlineStr">
        <is>
          <t>ROYS INDUSTRAIL POWER EQ.</t>
        </is>
      </c>
      <c r="C387" s="5" t="inlineStr">
        <is>
          <t>ROYS INDUSTRAIL POWER EQ.</t>
        </is>
      </c>
      <c r="D387" s="5" t="inlineStr">
        <is>
          <t>Legal</t>
        </is>
      </c>
      <c r="E387" s="16" t="n">
        <v>45986</v>
      </c>
      <c r="F387" s="16" t="n">
        <v>46002</v>
      </c>
      <c r="G387" s="17" t="n">
        <v>3</v>
      </c>
      <c r="H387" s="5" t="inlineStr">
        <is>
          <t>1521</t>
        </is>
      </c>
      <c r="I387" s="5" t="inlineStr">
        <is>
          <t>New Single-Family Housing Construction (Except For-Sale Builders)</t>
        </is>
      </c>
      <c r="J387" s="5" t="inlineStr">
        <is>
          <t>15</t>
        </is>
      </c>
      <c r="K387" s="5" t="n">
        <v>1520</v>
      </c>
      <c r="L387" s="5" t="inlineStr">
        <is>
          <t>TX</t>
        </is>
      </c>
      <c r="M387" s="5" t="inlineStr">
        <is>
          <t>Vital Funding</t>
        </is>
      </c>
      <c r="N387" s="5" t="inlineStr">
        <is>
          <t>New Deal</t>
        </is>
      </c>
      <c r="O387" s="19" t="n">
        <v>1.49</v>
      </c>
      <c r="P387" s="20" t="n">
        <v>16000</v>
      </c>
      <c r="Q387" s="20" t="n">
        <v>0</v>
      </c>
      <c r="R387" s="20" t="n">
        <v>23840</v>
      </c>
      <c r="S387" s="20" t="n">
        <v>917.22</v>
      </c>
      <c r="T387" s="20" t="n">
        <v>22922.78</v>
      </c>
      <c r="U387" s="21" t="n">
        <v>0.0384739932885906</v>
      </c>
      <c r="V387" s="22" t="n">
        <v>26</v>
      </c>
      <c r="W387" s="17" t="n">
        <v>258</v>
      </c>
      <c r="X387" s="17" t="n">
        <v>1</v>
      </c>
      <c r="Y387" s="20" t="n">
        <v>52941.75</v>
      </c>
      <c r="Z387" s="21" t="n">
        <v>0.0693</v>
      </c>
      <c r="AA387" s="16" t="n">
        <v>36161</v>
      </c>
      <c r="AB387" s="5">
        <f>IF(V387="","",IF(V387&lt;12,"Months","Weeks"))</f>
        <v/>
      </c>
      <c r="AC387" s="5">
        <f>IF(AB387="","",IF(AB387="Months","Daily","Weekly"))</f>
        <v/>
      </c>
      <c r="AD387" s="17">
        <f>IF(V387="","",IF(AC387="Daily",V387*Controls!$B$13,V387))</f>
        <v/>
      </c>
      <c r="AE387" s="17">
        <f>IF(V387="","",IF(AC387="Daily",V387*Controls!$B$13,V387*Controls!$B$12))</f>
        <v/>
      </c>
      <c r="AF387" s="17">
        <f>IF(OR(E387="",F387=""),"",F387-E387)</f>
        <v/>
      </c>
      <c r="AG387" s="17">
        <f>IF(OR(E387="",F387=""),"",NETWORKDAYS(E387,F387,Ref!$F$4:$F$47))</f>
        <v/>
      </c>
      <c r="AH387" s="39">
        <f>IF(IFERROR(VLOOKUP(D387,Controls!$A$25:$D$35,2,FALSE()),"No")="Yes",1,0)</f>
        <v/>
      </c>
      <c r="AI387" s="39">
        <f>IF(IFERROR(VLOOKUP(D387,Controls!$A$25:$D$35,3,FALSE()),"No")="Yes",1,0)</f>
        <v/>
      </c>
      <c r="AJ387" s="39">
        <f>IF(IFERROR(VLOOKUP(D387,Controls!$A$25:$D$35,4,FALSE()),"No")="Yes",1,0)</f>
        <v/>
      </c>
      <c r="AK387" s="96">
        <f>IF(AND($E387&gt;=Controls!$B$5,$E387&lt;=Controls!$B$6,OR(Controls!$E$9&lt;&gt;"Y",$BE387=1)),1,0)</f>
        <v/>
      </c>
      <c r="AL387" s="39">
        <f>1</f>
        <v/>
      </c>
      <c r="AM387" s="20">
        <f>S387-P387</f>
        <v/>
      </c>
      <c r="AN387" s="20">
        <f>IF(AH387=1,MAX(0,P387-S387),0)</f>
        <v/>
      </c>
      <c r="AO387" s="21">
        <f>IFERROR(S387/P387,"")</f>
        <v/>
      </c>
      <c r="AP387" s="22">
        <f>IF(Y387="","",P387/Y387)</f>
        <v/>
      </c>
      <c r="AQ387" s="39">
        <f>IF(Y387="",0,1)</f>
        <v/>
      </c>
      <c r="AR387" s="39">
        <f>IF(S387&lt;=0,1,0)</f>
        <v/>
      </c>
      <c r="AS387" s="17">
        <f>IF(AH387=1,AG387,"")</f>
        <v/>
      </c>
      <c r="AT387" s="17">
        <f>IF(AND(AH387=0,AJ387=1),AG387,"")</f>
        <v/>
      </c>
      <c r="AU387" s="5">
        <f>IF(P387&lt;10000,"Under $10K",IF(P387&lt;20000,"$10-20K",IF(P387&lt;30000,"$20-30K",IF(P387&lt;50000,"$30-50K",IF(P387&lt;100000,"$50-100K","$100K+")))))</f>
        <v/>
      </c>
      <c r="AV387" s="5">
        <f>IF(O387&lt;=1.35,"1.35 and under",IF(O387&lt;=1.42,"1.36-1.42",IF(O387&lt;=1.45,"1.43-1.45",IF(O387&lt;1.49,"1.46-1.48",IF(O387&lt;=1.49,"1.49","Above 1.49")))))</f>
        <v/>
      </c>
      <c r="AW387" s="5">
        <f>IF(AE387="","",IF(AE387&lt;60,"Under 60",IF(AE387&lt;90,"60-89",IF(AE387&lt;120,"90-119",IF(AE387&lt;150,"120-149","150+")))))</f>
        <v/>
      </c>
      <c r="AX387" s="5">
        <f>IF(AP387="","No revenue data",IF(AP387&lt;0.15,"Under 0.15x",IF(AP387&lt;0.3,"0.15-0.30x",IF(AP387&lt;0.5,"0.30-0.50x",IF(AP387&lt;1,"0.50-1.00x","1.00x+")))))</f>
        <v/>
      </c>
      <c r="AY387" s="5">
        <f>IF(J387="","No SIC",IFERROR(VLOOKUP(J387,Ref!$A$4:$C$67,2,FALSE()),"Unclassified"))</f>
        <v/>
      </c>
      <c r="AZ387" s="5">
        <f>IF(E387="","",TEXT(E387,"YYYY")&amp;"-Q"&amp;ROUNDUP(MONTH(E387)/3,0))</f>
        <v/>
      </c>
      <c r="BA387" s="5">
        <f>IF(E387="","",TEXT(E387,"YYYY-MM"))</f>
        <v/>
      </c>
      <c r="BB387" s="5">
        <f>IF(E387="","",TEXT(E387,"YYYY"))</f>
        <v/>
      </c>
      <c r="BC387" s="92">
        <f>IF($E387="","",NETWORKDAYS($E387,Controls!$B$9,Ref!$F$4:$F$47))</f>
        <v/>
      </c>
      <c r="BD387" s="92">
        <f>IF(OR($AH387=1,$AJ387=1),1,0)</f>
        <v/>
      </c>
      <c r="BE387" s="95">
        <f>IF(OR($BD387=1,AND($AE387&lt;&gt;"",$BC387&gt;=Controls!$B$10*$AE387)),1,0)</f>
        <v/>
      </c>
    </row>
    <row r="388" ht="15.75" customHeight="1" s="79">
      <c r="A388" s="5" t="inlineStr">
        <is>
          <t>5674172902</t>
        </is>
      </c>
      <c r="B388" s="5" t="inlineStr">
        <is>
          <t>THE A&amp;N TEAM THE A DBA THE VIEW DBA VIEW RESTAURANT &amp; LOUNGE DBA RANA MACK MBR</t>
        </is>
      </c>
      <c r="C388" s="5" t="inlineStr">
        <is>
          <t>THE A&amp;N TEAM LLC</t>
        </is>
      </c>
      <c r="D388" s="5" t="inlineStr">
        <is>
          <t>Closed</t>
        </is>
      </c>
      <c r="E388" s="16" t="n">
        <v>45987</v>
      </c>
      <c r="F388" s="16" t="n">
        <v>46132</v>
      </c>
      <c r="G388" s="17" t="n">
        <v>4</v>
      </c>
      <c r="H388" s="5" t="inlineStr">
        <is>
          <t>5812</t>
        </is>
      </c>
      <c r="I388" s="5" t="inlineStr">
        <is>
          <t>Snack and Nonalcoholic Beverage Bars</t>
        </is>
      </c>
      <c r="J388" s="5" t="inlineStr">
        <is>
          <t>58</t>
        </is>
      </c>
      <c r="K388" s="5" t="n">
        <v>5812</v>
      </c>
      <c r="L388" s="5" t="inlineStr">
        <is>
          <t>IL</t>
        </is>
      </c>
      <c r="M388" s="5" t="inlineStr">
        <is>
          <t>PMF</t>
        </is>
      </c>
      <c r="N388" s="5" t="inlineStr">
        <is>
          <t>Renewal</t>
        </is>
      </c>
      <c r="O388" s="19" t="n">
        <v>1.499</v>
      </c>
      <c r="P388" s="20" t="n">
        <v>100000</v>
      </c>
      <c r="Q388" s="20" t="n">
        <v>14000</v>
      </c>
      <c r="R388" s="20" t="n">
        <v>149900</v>
      </c>
      <c r="S388" s="20" t="n">
        <v>149900</v>
      </c>
      <c r="T388" s="20" t="n">
        <v>0</v>
      </c>
      <c r="U388" s="21" t="n">
        <v>1</v>
      </c>
      <c r="V388" s="22" t="n">
        <v>30</v>
      </c>
      <c r="W388" s="17" t="n">
        <v>121</v>
      </c>
      <c r="X388" s="17" t="n">
        <v>0</v>
      </c>
      <c r="Y388" s="20" t="n">
        <v>103686.75</v>
      </c>
      <c r="Z388" s="21" t="n">
        <v>0.1278</v>
      </c>
      <c r="AA388" s="16" t="n">
        <v>37135</v>
      </c>
      <c r="AB388" s="5">
        <f>IF(V388="","",IF(V388&lt;12,"Months","Weeks"))</f>
        <v/>
      </c>
      <c r="AC388" s="5">
        <f>IF(AB388="","",IF(AB388="Months","Daily","Weekly"))</f>
        <v/>
      </c>
      <c r="AD388" s="17">
        <f>IF(V388="","",IF(AC388="Daily",V388*Controls!$B$13,V388))</f>
        <v/>
      </c>
      <c r="AE388" s="17">
        <f>IF(V388="","",IF(AC388="Daily",V388*Controls!$B$13,V388*Controls!$B$12))</f>
        <v/>
      </c>
      <c r="AF388" s="17">
        <f>IF(OR(E388="",F388=""),"",F388-E388)</f>
        <v/>
      </c>
      <c r="AG388" s="17">
        <f>IF(OR(E388="",F388=""),"",NETWORKDAYS(E388,F388,Ref!$F$4:$F$47))</f>
        <v/>
      </c>
      <c r="AH388" s="39">
        <f>IF(IFERROR(VLOOKUP(D388,Controls!$A$25:$D$35,2,FALSE()),"No")="Yes",1,0)</f>
        <v/>
      </c>
      <c r="AI388" s="39">
        <f>IF(IFERROR(VLOOKUP(D388,Controls!$A$25:$D$35,3,FALSE()),"No")="Yes",1,0)</f>
        <v/>
      </c>
      <c r="AJ388" s="39">
        <f>IF(IFERROR(VLOOKUP(D388,Controls!$A$25:$D$35,4,FALSE()),"No")="Yes",1,0)</f>
        <v/>
      </c>
      <c r="AK388" s="96">
        <f>IF(AND($E388&gt;=Controls!$B$5,$E388&lt;=Controls!$B$6,OR(Controls!$E$9&lt;&gt;"Y",$BE388=1)),1,0)</f>
        <v/>
      </c>
      <c r="AL388" s="39">
        <f>1</f>
        <v/>
      </c>
      <c r="AM388" s="20">
        <f>S388-P388</f>
        <v/>
      </c>
      <c r="AN388" s="20">
        <f>IF(AH388=1,MAX(0,P388-S388),0)</f>
        <v/>
      </c>
      <c r="AO388" s="21">
        <f>IFERROR(S388/P388,"")</f>
        <v/>
      </c>
      <c r="AP388" s="22">
        <f>IF(Y388="","",P388/Y388)</f>
        <v/>
      </c>
      <c r="AQ388" s="39">
        <f>IF(Y388="",0,1)</f>
        <v/>
      </c>
      <c r="AR388" s="39">
        <f>IF(S388&lt;=0,1,0)</f>
        <v/>
      </c>
      <c r="AS388" s="17">
        <f>IF(AH388=1,AG388,"")</f>
        <v/>
      </c>
      <c r="AT388" s="17">
        <f>IF(AND(AH388=0,AJ388=1),AG388,"")</f>
        <v/>
      </c>
      <c r="AU388" s="5">
        <f>IF(P388&lt;10000,"Under $10K",IF(P388&lt;20000,"$10-20K",IF(P388&lt;30000,"$20-30K",IF(P388&lt;50000,"$30-50K",IF(P388&lt;100000,"$50-100K","$100K+")))))</f>
        <v/>
      </c>
      <c r="AV388" s="5">
        <f>IF(O388&lt;=1.35,"1.35 and under",IF(O388&lt;=1.42,"1.36-1.42",IF(O388&lt;=1.45,"1.43-1.45",IF(O388&lt;1.49,"1.46-1.48",IF(O388&lt;=1.49,"1.49","Above 1.49")))))</f>
        <v/>
      </c>
      <c r="AW388" s="5">
        <f>IF(AE388="","",IF(AE388&lt;60,"Under 60",IF(AE388&lt;90,"60-89",IF(AE388&lt;120,"90-119",IF(AE388&lt;150,"120-149","150+")))))</f>
        <v/>
      </c>
      <c r="AX388" s="5">
        <f>IF(AP388="","No revenue data",IF(AP388&lt;0.15,"Under 0.15x",IF(AP388&lt;0.3,"0.15-0.30x",IF(AP388&lt;0.5,"0.30-0.50x",IF(AP388&lt;1,"0.50-1.00x","1.00x+")))))</f>
        <v/>
      </c>
      <c r="AY388" s="5">
        <f>IF(J388="","No SIC",IFERROR(VLOOKUP(J388,Ref!$A$4:$C$67,2,FALSE()),"Unclassified"))</f>
        <v/>
      </c>
      <c r="AZ388" s="5">
        <f>IF(E388="","",TEXT(E388,"YYYY")&amp;"-Q"&amp;ROUNDUP(MONTH(E388)/3,0))</f>
        <v/>
      </c>
      <c r="BA388" s="5">
        <f>IF(E388="","",TEXT(E388,"YYYY-MM"))</f>
        <v/>
      </c>
      <c r="BB388" s="5">
        <f>IF(E388="","",TEXT(E388,"YYYY"))</f>
        <v/>
      </c>
      <c r="BC388" s="92">
        <f>IF($E388="","",NETWORKDAYS($E388,Controls!$B$9,Ref!$F$4:$F$47))</f>
        <v/>
      </c>
      <c r="BD388" s="92">
        <f>IF(OR($AH388=1,$AJ388=1),1,0)</f>
        <v/>
      </c>
      <c r="BE388" s="95">
        <f>IF(OR($BD388=1,AND($AE388&lt;&gt;"",$BC388&gt;=Controls!$B$10*$AE388)),1,0)</f>
        <v/>
      </c>
    </row>
    <row r="389" ht="15.75" customHeight="1" s="79">
      <c r="A389" s="5" t="inlineStr">
        <is>
          <t>5674172925</t>
        </is>
      </c>
      <c r="B389" s="5" t="inlineStr">
        <is>
          <t>Map and Map</t>
        </is>
      </c>
      <c r="C389" s="5" t="inlineStr">
        <is>
          <t>Map and Map</t>
        </is>
      </c>
      <c r="D389" s="5" t="inlineStr">
        <is>
          <t>Closed</t>
        </is>
      </c>
      <c r="E389" s="16" t="n">
        <v>45987</v>
      </c>
      <c r="F389" s="16" t="n">
        <v>46142</v>
      </c>
      <c r="G389" s="17" t="n">
        <v>3</v>
      </c>
      <c r="H389" s="5" t="inlineStr">
        <is>
          <t>5399</t>
        </is>
      </c>
      <c r="I389" s="5" t="inlineStr">
        <is>
          <t>All Other General Merchandise Stores</t>
        </is>
      </c>
      <c r="J389" s="5" t="inlineStr">
        <is>
          <t>53</t>
        </is>
      </c>
      <c r="K389" s="5" t="n">
        <v>5399</v>
      </c>
      <c r="L389" s="5" t="inlineStr">
        <is>
          <t>TX</t>
        </is>
      </c>
      <c r="M389" s="5" t="inlineStr">
        <is>
          <t>PMF</t>
        </is>
      </c>
      <c r="N389" s="5" t="inlineStr">
        <is>
          <t>New Deal</t>
        </is>
      </c>
      <c r="O389" s="19" t="n">
        <v>1.49</v>
      </c>
      <c r="P389" s="20" t="n">
        <v>4000</v>
      </c>
      <c r="Q389" s="20" t="n">
        <v>560</v>
      </c>
      <c r="R389" s="20" t="n">
        <v>5960</v>
      </c>
      <c r="S389" s="20" t="n">
        <v>5960</v>
      </c>
      <c r="T389" s="20" t="n">
        <v>0</v>
      </c>
      <c r="U389" s="21" t="n">
        <v>1</v>
      </c>
      <c r="V389" s="22" t="n">
        <v>2.295</v>
      </c>
      <c r="W389" s="17" t="n">
        <v>111</v>
      </c>
      <c r="X389" s="17" t="n">
        <v>15</v>
      </c>
      <c r="Y389" s="20" t="n">
        <v>19288.41</v>
      </c>
      <c r="Z389" s="21" t="n">
        <v>0.0927</v>
      </c>
      <c r="AA389" s="16" t="n">
        <v>44356</v>
      </c>
      <c r="AB389" s="5">
        <f>IF(V389="","",IF(V389&lt;12,"Months","Weeks"))</f>
        <v/>
      </c>
      <c r="AC389" s="5">
        <f>IF(AB389="","",IF(AB389="Months","Daily","Weekly"))</f>
        <v/>
      </c>
      <c r="AD389" s="17">
        <f>IF(V389="","",IF(AC389="Daily",V389*Controls!$B$13,V389))</f>
        <v/>
      </c>
      <c r="AE389" s="17">
        <f>IF(V389="","",IF(AC389="Daily",V389*Controls!$B$13,V389*Controls!$B$12))</f>
        <v/>
      </c>
      <c r="AF389" s="17">
        <f>IF(OR(E389="",F389=""),"",F389-E389)</f>
        <v/>
      </c>
      <c r="AG389" s="17">
        <f>IF(OR(E389="",F389=""),"",NETWORKDAYS(E389,F389,Ref!$F$4:$F$47))</f>
        <v/>
      </c>
      <c r="AH389" s="39">
        <f>IF(IFERROR(VLOOKUP(D389,Controls!$A$25:$D$35,2,FALSE()),"No")="Yes",1,0)</f>
        <v/>
      </c>
      <c r="AI389" s="39">
        <f>IF(IFERROR(VLOOKUP(D389,Controls!$A$25:$D$35,3,FALSE()),"No")="Yes",1,0)</f>
        <v/>
      </c>
      <c r="AJ389" s="39">
        <f>IF(IFERROR(VLOOKUP(D389,Controls!$A$25:$D$35,4,FALSE()),"No")="Yes",1,0)</f>
        <v/>
      </c>
      <c r="AK389" s="96">
        <f>IF(AND($E389&gt;=Controls!$B$5,$E389&lt;=Controls!$B$6,OR(Controls!$E$9&lt;&gt;"Y",$BE389=1)),1,0)</f>
        <v/>
      </c>
      <c r="AL389" s="39">
        <f>1</f>
        <v/>
      </c>
      <c r="AM389" s="20">
        <f>S389-P389</f>
        <v/>
      </c>
      <c r="AN389" s="20">
        <f>IF(AH389=1,MAX(0,P389-S389),0)</f>
        <v/>
      </c>
      <c r="AO389" s="21">
        <f>IFERROR(S389/P389,"")</f>
        <v/>
      </c>
      <c r="AP389" s="22">
        <f>IF(Y389="","",P389/Y389)</f>
        <v/>
      </c>
      <c r="AQ389" s="39">
        <f>IF(Y389="",0,1)</f>
        <v/>
      </c>
      <c r="AR389" s="39">
        <f>IF(S389&lt;=0,1,0)</f>
        <v/>
      </c>
      <c r="AS389" s="17">
        <f>IF(AH389=1,AG389,"")</f>
        <v/>
      </c>
      <c r="AT389" s="17">
        <f>IF(AND(AH389=0,AJ389=1),AG389,"")</f>
        <v/>
      </c>
      <c r="AU389" s="5">
        <f>IF(P389&lt;10000,"Under $10K",IF(P389&lt;20000,"$10-20K",IF(P389&lt;30000,"$20-30K",IF(P389&lt;50000,"$30-50K",IF(P389&lt;100000,"$50-100K","$100K+")))))</f>
        <v/>
      </c>
      <c r="AV389" s="5">
        <f>IF(O389&lt;=1.35,"1.35 and under",IF(O389&lt;=1.42,"1.36-1.42",IF(O389&lt;=1.45,"1.43-1.45",IF(O389&lt;1.49,"1.46-1.48",IF(O389&lt;=1.49,"1.49","Above 1.49")))))</f>
        <v/>
      </c>
      <c r="AW389" s="5">
        <f>IF(AE389="","",IF(AE389&lt;60,"Under 60",IF(AE389&lt;90,"60-89",IF(AE389&lt;120,"90-119",IF(AE389&lt;150,"120-149","150+")))))</f>
        <v/>
      </c>
      <c r="AX389" s="5">
        <f>IF(AP389="","No revenue data",IF(AP389&lt;0.15,"Under 0.15x",IF(AP389&lt;0.3,"0.15-0.30x",IF(AP389&lt;0.5,"0.30-0.50x",IF(AP389&lt;1,"0.50-1.00x","1.00x+")))))</f>
        <v/>
      </c>
      <c r="AY389" s="5">
        <f>IF(J389="","No SIC",IFERROR(VLOOKUP(J389,Ref!$A$4:$C$67,2,FALSE()),"Unclassified"))</f>
        <v/>
      </c>
      <c r="AZ389" s="5">
        <f>IF(E389="","",TEXT(E389,"YYYY")&amp;"-Q"&amp;ROUNDUP(MONTH(E389)/3,0))</f>
        <v/>
      </c>
      <c r="BA389" s="5">
        <f>IF(E389="","",TEXT(E389,"YYYY-MM"))</f>
        <v/>
      </c>
      <c r="BB389" s="5">
        <f>IF(E389="","",TEXT(E389,"YYYY"))</f>
        <v/>
      </c>
      <c r="BC389" s="92">
        <f>IF($E389="","",NETWORKDAYS($E389,Controls!$B$9,Ref!$F$4:$F$47))</f>
        <v/>
      </c>
      <c r="BD389" s="92">
        <f>IF(OR($AH389=1,$AJ389=1),1,0)</f>
        <v/>
      </c>
      <c r="BE389" s="95">
        <f>IF(OR($BD389=1,AND($AE389&lt;&gt;"",$BC389&gt;=Controls!$B$10*$AE389)),1,0)</f>
        <v/>
      </c>
    </row>
    <row r="390" ht="15.75" customHeight="1" s="79">
      <c r="A390" s="5" t="inlineStr">
        <is>
          <t>5674172929</t>
        </is>
      </c>
      <c r="B390" s="5" t="inlineStr">
        <is>
          <t>PEOPLE UNITED OF LOUISIANA LLC</t>
        </is>
      </c>
      <c r="C390" s="5" t="inlineStr">
        <is>
          <t>PEOPLE UNITED OF LOUISIANA LLC</t>
        </is>
      </c>
      <c r="D390" s="5" t="inlineStr">
        <is>
          <t>Closed</t>
        </is>
      </c>
      <c r="E390" s="16" t="n">
        <v>45987</v>
      </c>
      <c r="F390" s="16" t="n">
        <v>46080</v>
      </c>
      <c r="G390" s="17" t="n">
        <v>8</v>
      </c>
      <c r="H390" s="5" t="inlineStr">
        <is>
          <t>6371</t>
        </is>
      </c>
      <c r="I390" s="5" t="inlineStr">
        <is>
          <t>Health and Welfare Funds</t>
        </is>
      </c>
      <c r="J390" s="5" t="inlineStr">
        <is>
          <t>63</t>
        </is>
      </c>
      <c r="K390" s="5" t="n">
        <v>6399</v>
      </c>
      <c r="L390" s="5" t="inlineStr">
        <is>
          <t>LA</t>
        </is>
      </c>
      <c r="M390" s="5" t="inlineStr">
        <is>
          <t>Dubbs holding</t>
        </is>
      </c>
      <c r="N390" s="5" t="inlineStr">
        <is>
          <t>New Deal</t>
        </is>
      </c>
      <c r="O390" s="19" t="n">
        <v>1.42</v>
      </c>
      <c r="P390" s="20" t="n">
        <v>40000</v>
      </c>
      <c r="Q390" s="20" t="n">
        <v>4600</v>
      </c>
      <c r="R390" s="20" t="n">
        <v>56800</v>
      </c>
      <c r="S390" s="20" t="n">
        <v>56800</v>
      </c>
      <c r="T390" s="20" t="n">
        <v>0</v>
      </c>
      <c r="U390" s="21" t="n">
        <v>1</v>
      </c>
      <c r="V390" s="22" t="n">
        <v>30</v>
      </c>
      <c r="W390" s="17" t="n">
        <v>174</v>
      </c>
      <c r="X390" s="17" t="n">
        <v>0</v>
      </c>
      <c r="Y390" s="20" t="n">
        <v>452493.41</v>
      </c>
      <c r="Z390" s="21" t="n">
        <v>0.0167</v>
      </c>
      <c r="AA390" s="16" t="n">
        <v>40360</v>
      </c>
      <c r="AB390" s="5">
        <f>IF(V390="","",IF(V390&lt;12,"Months","Weeks"))</f>
        <v/>
      </c>
      <c r="AC390" s="5">
        <f>IF(AB390="","",IF(AB390="Months","Daily","Weekly"))</f>
        <v/>
      </c>
      <c r="AD390" s="17">
        <f>IF(V390="","",IF(AC390="Daily",V390*Controls!$B$13,V390))</f>
        <v/>
      </c>
      <c r="AE390" s="17">
        <f>IF(V390="","",IF(AC390="Daily",V390*Controls!$B$13,V390*Controls!$B$12))</f>
        <v/>
      </c>
      <c r="AF390" s="17">
        <f>IF(OR(E390="",F390=""),"",F390-E390)</f>
        <v/>
      </c>
      <c r="AG390" s="17">
        <f>IF(OR(E390="",F390=""),"",NETWORKDAYS(E390,F390,Ref!$F$4:$F$47))</f>
        <v/>
      </c>
      <c r="AH390" s="39">
        <f>IF(IFERROR(VLOOKUP(D390,Controls!$A$25:$D$35,2,FALSE()),"No")="Yes",1,0)</f>
        <v/>
      </c>
      <c r="AI390" s="39">
        <f>IF(IFERROR(VLOOKUP(D390,Controls!$A$25:$D$35,3,FALSE()),"No")="Yes",1,0)</f>
        <v/>
      </c>
      <c r="AJ390" s="39">
        <f>IF(IFERROR(VLOOKUP(D390,Controls!$A$25:$D$35,4,FALSE()),"No")="Yes",1,0)</f>
        <v/>
      </c>
      <c r="AK390" s="96">
        <f>IF(AND($E390&gt;=Controls!$B$5,$E390&lt;=Controls!$B$6,OR(Controls!$E$9&lt;&gt;"Y",$BE390=1)),1,0)</f>
        <v/>
      </c>
      <c r="AL390" s="39">
        <f>1</f>
        <v/>
      </c>
      <c r="AM390" s="20">
        <f>S390-P390</f>
        <v/>
      </c>
      <c r="AN390" s="20">
        <f>IF(AH390=1,MAX(0,P390-S390),0)</f>
        <v/>
      </c>
      <c r="AO390" s="21">
        <f>IFERROR(S390/P390,"")</f>
        <v/>
      </c>
      <c r="AP390" s="22">
        <f>IF(Y390="","",P390/Y390)</f>
        <v/>
      </c>
      <c r="AQ390" s="39">
        <f>IF(Y390="",0,1)</f>
        <v/>
      </c>
      <c r="AR390" s="39">
        <f>IF(S390&lt;=0,1,0)</f>
        <v/>
      </c>
      <c r="AS390" s="17">
        <f>IF(AH390=1,AG390,"")</f>
        <v/>
      </c>
      <c r="AT390" s="17">
        <f>IF(AND(AH390=0,AJ390=1),AG390,"")</f>
        <v/>
      </c>
      <c r="AU390" s="5">
        <f>IF(P390&lt;10000,"Under $10K",IF(P390&lt;20000,"$10-20K",IF(P390&lt;30000,"$20-30K",IF(P390&lt;50000,"$30-50K",IF(P390&lt;100000,"$50-100K","$100K+")))))</f>
        <v/>
      </c>
      <c r="AV390" s="5">
        <f>IF(O390&lt;=1.35,"1.35 and under",IF(O390&lt;=1.42,"1.36-1.42",IF(O390&lt;=1.45,"1.43-1.45",IF(O390&lt;1.49,"1.46-1.48",IF(O390&lt;=1.49,"1.49","Above 1.49")))))</f>
        <v/>
      </c>
      <c r="AW390" s="5">
        <f>IF(AE390="","",IF(AE390&lt;60,"Under 60",IF(AE390&lt;90,"60-89",IF(AE390&lt;120,"90-119",IF(AE390&lt;150,"120-149","150+")))))</f>
        <v/>
      </c>
      <c r="AX390" s="5">
        <f>IF(AP390="","No revenue data",IF(AP390&lt;0.15,"Under 0.15x",IF(AP390&lt;0.3,"0.15-0.30x",IF(AP390&lt;0.5,"0.30-0.50x",IF(AP390&lt;1,"0.50-1.00x","1.00x+")))))</f>
        <v/>
      </c>
      <c r="AY390" s="5">
        <f>IF(J390="","No SIC",IFERROR(VLOOKUP(J390,Ref!$A$4:$C$67,2,FALSE()),"Unclassified"))</f>
        <v/>
      </c>
      <c r="AZ390" s="5">
        <f>IF(E390="","",TEXT(E390,"YYYY")&amp;"-Q"&amp;ROUNDUP(MONTH(E390)/3,0))</f>
        <v/>
      </c>
      <c r="BA390" s="5">
        <f>IF(E390="","",TEXT(E390,"YYYY-MM"))</f>
        <v/>
      </c>
      <c r="BB390" s="5">
        <f>IF(E390="","",TEXT(E390,"YYYY"))</f>
        <v/>
      </c>
      <c r="BC390" s="92">
        <f>IF($E390="","",NETWORKDAYS($E390,Controls!$B$9,Ref!$F$4:$F$47))</f>
        <v/>
      </c>
      <c r="BD390" s="92">
        <f>IF(OR($AH390=1,$AJ390=1),1,0)</f>
        <v/>
      </c>
      <c r="BE390" s="95">
        <f>IF(OR($BD390=1,AND($AE390&lt;&gt;"",$BC390&gt;=Controls!$B$10*$AE390)),1,0)</f>
        <v/>
      </c>
    </row>
    <row r="391" ht="15.75" customHeight="1" s="79">
      <c r="A391" s="5" t="inlineStr">
        <is>
          <t>5674172938</t>
        </is>
      </c>
      <c r="B391" s="5" t="inlineStr">
        <is>
          <t>Creatuity</t>
        </is>
      </c>
      <c r="C391" s="5" t="inlineStr">
        <is>
          <t>Creatuity Corp</t>
        </is>
      </c>
      <c r="D391" s="5" t="inlineStr">
        <is>
          <t>Bankruptcy</t>
        </is>
      </c>
      <c r="E391" s="16" t="n">
        <v>45987</v>
      </c>
      <c r="F391" s="16" t="n">
        <v>46142</v>
      </c>
      <c r="G391" s="17" t="n">
        <v>1</v>
      </c>
      <c r="H391" s="5" t="inlineStr">
        <is>
          <t>7353</t>
        </is>
      </c>
      <c r="I391" s="5" t="inlineStr">
        <is>
          <t>All Other Specialty Trade Contractors</t>
        </is>
      </c>
      <c r="J391" s="5" t="inlineStr">
        <is>
          <t>73</t>
        </is>
      </c>
      <c r="K391" s="5" t="n">
        <v>7333</v>
      </c>
      <c r="L391" s="5" t="inlineStr">
        <is>
          <t>TX</t>
        </is>
      </c>
      <c r="M391" s="5" t="inlineStr">
        <is>
          <t>Fundwell</t>
        </is>
      </c>
      <c r="N391" s="5" t="inlineStr">
        <is>
          <t>New Deal</t>
        </is>
      </c>
      <c r="O391" s="19" t="n">
        <v>1.42</v>
      </c>
      <c r="P391" s="20" t="n">
        <v>75000</v>
      </c>
      <c r="Q391" s="20" t="n">
        <v>10500</v>
      </c>
      <c r="R391" s="20" t="n">
        <v>106500</v>
      </c>
      <c r="S391" s="20" t="n">
        <v>24370.99</v>
      </c>
      <c r="T391" s="20" t="n">
        <v>82129.00999999999</v>
      </c>
      <c r="U391" s="21" t="n">
        <v>0.22883558685446</v>
      </c>
      <c r="V391" s="22" t="n">
        <v>28</v>
      </c>
      <c r="W391" s="17" t="n">
        <v>145</v>
      </c>
      <c r="X391" s="17" t="n">
        <v>6</v>
      </c>
      <c r="Y391" s="20" t="n">
        <v>241551.35</v>
      </c>
      <c r="Z391" s="21" t="n">
        <v>0.063</v>
      </c>
      <c r="AA391" s="16" t="n">
        <v>39541</v>
      </c>
      <c r="AB391" s="5">
        <f>IF(V391="","",IF(V391&lt;12,"Months","Weeks"))</f>
        <v/>
      </c>
      <c r="AC391" s="5">
        <f>IF(AB391="","",IF(AB391="Months","Daily","Weekly"))</f>
        <v/>
      </c>
      <c r="AD391" s="17">
        <f>IF(V391="","",IF(AC391="Daily",V391*Controls!$B$13,V391))</f>
        <v/>
      </c>
      <c r="AE391" s="17">
        <f>IF(V391="","",IF(AC391="Daily",V391*Controls!$B$13,V391*Controls!$B$12))</f>
        <v/>
      </c>
      <c r="AF391" s="17">
        <f>IF(OR(E391="",F391=""),"",F391-E391)</f>
        <v/>
      </c>
      <c r="AG391" s="17">
        <f>IF(OR(E391="",F391=""),"",NETWORKDAYS(E391,F391,Ref!$F$4:$F$47))</f>
        <v/>
      </c>
      <c r="AH391" s="39">
        <f>IF(IFERROR(VLOOKUP(D391,Controls!$A$25:$D$35,2,FALSE()),"No")="Yes",1,0)</f>
        <v/>
      </c>
      <c r="AI391" s="39">
        <f>IF(IFERROR(VLOOKUP(D391,Controls!$A$25:$D$35,3,FALSE()),"No")="Yes",1,0)</f>
        <v/>
      </c>
      <c r="AJ391" s="39">
        <f>IF(IFERROR(VLOOKUP(D391,Controls!$A$25:$D$35,4,FALSE()),"No")="Yes",1,0)</f>
        <v/>
      </c>
      <c r="AK391" s="96">
        <f>IF(AND($E391&gt;=Controls!$B$5,$E391&lt;=Controls!$B$6,OR(Controls!$E$9&lt;&gt;"Y",$BE391=1)),1,0)</f>
        <v/>
      </c>
      <c r="AL391" s="39">
        <f>1</f>
        <v/>
      </c>
      <c r="AM391" s="20">
        <f>S391-P391</f>
        <v/>
      </c>
      <c r="AN391" s="20">
        <f>IF(AH391=1,MAX(0,P391-S391),0)</f>
        <v/>
      </c>
      <c r="AO391" s="21">
        <f>IFERROR(S391/P391,"")</f>
        <v/>
      </c>
      <c r="AP391" s="22">
        <f>IF(Y391="","",P391/Y391)</f>
        <v/>
      </c>
      <c r="AQ391" s="39">
        <f>IF(Y391="",0,1)</f>
        <v/>
      </c>
      <c r="AR391" s="39">
        <f>IF(S391&lt;=0,1,0)</f>
        <v/>
      </c>
      <c r="AS391" s="17">
        <f>IF(AH391=1,AG391,"")</f>
        <v/>
      </c>
      <c r="AT391" s="17">
        <f>IF(AND(AH391=0,AJ391=1),AG391,"")</f>
        <v/>
      </c>
      <c r="AU391" s="5">
        <f>IF(P391&lt;10000,"Under $10K",IF(P391&lt;20000,"$10-20K",IF(P391&lt;30000,"$20-30K",IF(P391&lt;50000,"$30-50K",IF(P391&lt;100000,"$50-100K","$100K+")))))</f>
        <v/>
      </c>
      <c r="AV391" s="5">
        <f>IF(O391&lt;=1.35,"1.35 and under",IF(O391&lt;=1.42,"1.36-1.42",IF(O391&lt;=1.45,"1.43-1.45",IF(O391&lt;1.49,"1.46-1.48",IF(O391&lt;=1.49,"1.49","Above 1.49")))))</f>
        <v/>
      </c>
      <c r="AW391" s="5">
        <f>IF(AE391="","",IF(AE391&lt;60,"Under 60",IF(AE391&lt;90,"60-89",IF(AE391&lt;120,"90-119",IF(AE391&lt;150,"120-149","150+")))))</f>
        <v/>
      </c>
      <c r="AX391" s="5">
        <f>IF(AP391="","No revenue data",IF(AP391&lt;0.15,"Under 0.15x",IF(AP391&lt;0.3,"0.15-0.30x",IF(AP391&lt;0.5,"0.30-0.50x",IF(AP391&lt;1,"0.50-1.00x","1.00x+")))))</f>
        <v/>
      </c>
      <c r="AY391" s="5">
        <f>IF(J391="","No SIC",IFERROR(VLOOKUP(J391,Ref!$A$4:$C$67,2,FALSE()),"Unclassified"))</f>
        <v/>
      </c>
      <c r="AZ391" s="5">
        <f>IF(E391="","",TEXT(E391,"YYYY")&amp;"-Q"&amp;ROUNDUP(MONTH(E391)/3,0))</f>
        <v/>
      </c>
      <c r="BA391" s="5">
        <f>IF(E391="","",TEXT(E391,"YYYY-MM"))</f>
        <v/>
      </c>
      <c r="BB391" s="5">
        <f>IF(E391="","",TEXT(E391,"YYYY"))</f>
        <v/>
      </c>
      <c r="BC391" s="92">
        <f>IF($E391="","",NETWORKDAYS($E391,Controls!$B$9,Ref!$F$4:$F$47))</f>
        <v/>
      </c>
      <c r="BD391" s="92">
        <f>IF(OR($AH391=1,$AJ391=1),1,0)</f>
        <v/>
      </c>
      <c r="BE391" s="95">
        <f>IF(OR($BD391=1,AND($AE391&lt;&gt;"",$BC391&gt;=Controls!$B$10*$AE391)),1,0)</f>
        <v/>
      </c>
    </row>
    <row r="392" ht="15.75" customHeight="1" s="79">
      <c r="A392" s="5" t="inlineStr">
        <is>
          <t>5674172976</t>
        </is>
      </c>
      <c r="B392" s="5" t="inlineStr">
        <is>
          <t>SMASHBURGER, SMASHBURGER 1787, SMASHBURGER 1788</t>
        </is>
      </c>
      <c r="C392" s="5" t="inlineStr">
        <is>
          <t>C4 Enterprises, LLC</t>
        </is>
      </c>
      <c r="D392" s="5" t="inlineStr">
        <is>
          <t>Legal</t>
        </is>
      </c>
      <c r="E392" s="16" t="n">
        <v>45987</v>
      </c>
      <c r="F392" s="16" t="n">
        <v>46217</v>
      </c>
      <c r="G392" s="17" t="n">
        <v>1</v>
      </c>
      <c r="H392" s="5" t="inlineStr">
        <is>
          <t>5812</t>
        </is>
      </c>
      <c r="I392" s="5" t="inlineStr">
        <is>
          <t>Snack and Nonalcoholic Beverage Bars</t>
        </is>
      </c>
      <c r="J392" s="5" t="inlineStr">
        <is>
          <t>58</t>
        </is>
      </c>
      <c r="K392" s="5" t="n">
        <v>5812</v>
      </c>
      <c r="L392" s="5" t="inlineStr">
        <is>
          <t>UT</t>
        </is>
      </c>
      <c r="M392" s="5" t="inlineStr">
        <is>
          <t>black flag funding</t>
        </is>
      </c>
      <c r="N392" s="5" t="inlineStr">
        <is>
          <t>New Deal</t>
        </is>
      </c>
      <c r="O392" s="19" t="n">
        <v>1.49</v>
      </c>
      <c r="P392" s="20" t="n">
        <v>30000</v>
      </c>
      <c r="Q392" s="20" t="n">
        <v>4200</v>
      </c>
      <c r="R392" s="20" t="n">
        <v>44700</v>
      </c>
      <c r="S392" s="20" t="n">
        <v>42051.4</v>
      </c>
      <c r="T392" s="20" t="n">
        <v>2648.6</v>
      </c>
      <c r="U392" s="21" t="n">
        <v>0.940747203579418</v>
      </c>
      <c r="V392" s="22" t="n">
        <v>3.934</v>
      </c>
      <c r="W392" s="17" t="n">
        <v>69</v>
      </c>
      <c r="X392" s="17" t="n">
        <v>30</v>
      </c>
      <c r="Y392" s="20" t="n">
        <v>180000</v>
      </c>
      <c r="Z392" s="21" t="n">
        <v>0.0521</v>
      </c>
      <c r="AA392" s="16" t="n">
        <v>45369</v>
      </c>
      <c r="AB392" s="5">
        <f>IF(V392="","",IF(V392&lt;12,"Months","Weeks"))</f>
        <v/>
      </c>
      <c r="AC392" s="5">
        <f>IF(AB392="","",IF(AB392="Months","Daily","Weekly"))</f>
        <v/>
      </c>
      <c r="AD392" s="17">
        <f>IF(V392="","",IF(AC392="Daily",V392*Controls!$B$13,V392))</f>
        <v/>
      </c>
      <c r="AE392" s="17">
        <f>IF(V392="","",IF(AC392="Daily",V392*Controls!$B$13,V392*Controls!$B$12))</f>
        <v/>
      </c>
      <c r="AF392" s="17">
        <f>IF(OR(E392="",F392=""),"",F392-E392)</f>
        <v/>
      </c>
      <c r="AG392" s="17">
        <f>IF(OR(E392="",F392=""),"",NETWORKDAYS(E392,F392,Ref!$F$4:$F$47))</f>
        <v/>
      </c>
      <c r="AH392" s="39">
        <f>IF(IFERROR(VLOOKUP(D392,Controls!$A$25:$D$35,2,FALSE()),"No")="Yes",1,0)</f>
        <v/>
      </c>
      <c r="AI392" s="39">
        <f>IF(IFERROR(VLOOKUP(D392,Controls!$A$25:$D$35,3,FALSE()),"No")="Yes",1,0)</f>
        <v/>
      </c>
      <c r="AJ392" s="39">
        <f>IF(IFERROR(VLOOKUP(D392,Controls!$A$25:$D$35,4,FALSE()),"No")="Yes",1,0)</f>
        <v/>
      </c>
      <c r="AK392" s="96">
        <f>IF(AND($E392&gt;=Controls!$B$5,$E392&lt;=Controls!$B$6,OR(Controls!$E$9&lt;&gt;"Y",$BE392=1)),1,0)</f>
        <v/>
      </c>
      <c r="AL392" s="39">
        <f>1</f>
        <v/>
      </c>
      <c r="AM392" s="20">
        <f>S392-P392</f>
        <v/>
      </c>
      <c r="AN392" s="20">
        <f>IF(AH392=1,MAX(0,P392-S392),0)</f>
        <v/>
      </c>
      <c r="AO392" s="21">
        <f>IFERROR(S392/P392,"")</f>
        <v/>
      </c>
      <c r="AP392" s="22">
        <f>IF(Y392="","",P392/Y392)</f>
        <v/>
      </c>
      <c r="AQ392" s="39">
        <f>IF(Y392="",0,1)</f>
        <v/>
      </c>
      <c r="AR392" s="39">
        <f>IF(S392&lt;=0,1,0)</f>
        <v/>
      </c>
      <c r="AS392" s="17">
        <f>IF(AH392=1,AG392,"")</f>
        <v/>
      </c>
      <c r="AT392" s="17">
        <f>IF(AND(AH392=0,AJ392=1),AG392,"")</f>
        <v/>
      </c>
      <c r="AU392" s="5">
        <f>IF(P392&lt;10000,"Under $10K",IF(P392&lt;20000,"$10-20K",IF(P392&lt;30000,"$20-30K",IF(P392&lt;50000,"$30-50K",IF(P392&lt;100000,"$50-100K","$100K+")))))</f>
        <v/>
      </c>
      <c r="AV392" s="5">
        <f>IF(O392&lt;=1.35,"1.35 and under",IF(O392&lt;=1.42,"1.36-1.42",IF(O392&lt;=1.45,"1.43-1.45",IF(O392&lt;1.49,"1.46-1.48",IF(O392&lt;=1.49,"1.49","Above 1.49")))))</f>
        <v/>
      </c>
      <c r="AW392" s="5">
        <f>IF(AE392="","",IF(AE392&lt;60,"Under 60",IF(AE392&lt;90,"60-89",IF(AE392&lt;120,"90-119",IF(AE392&lt;150,"120-149","150+")))))</f>
        <v/>
      </c>
      <c r="AX392" s="5">
        <f>IF(AP392="","No revenue data",IF(AP392&lt;0.15,"Under 0.15x",IF(AP392&lt;0.3,"0.15-0.30x",IF(AP392&lt;0.5,"0.30-0.50x",IF(AP392&lt;1,"0.50-1.00x","1.00x+")))))</f>
        <v/>
      </c>
      <c r="AY392" s="5">
        <f>IF(J392="","No SIC",IFERROR(VLOOKUP(J392,Ref!$A$4:$C$67,2,FALSE()),"Unclassified"))</f>
        <v/>
      </c>
      <c r="AZ392" s="5">
        <f>IF(E392="","",TEXT(E392,"YYYY")&amp;"-Q"&amp;ROUNDUP(MONTH(E392)/3,0))</f>
        <v/>
      </c>
      <c r="BA392" s="5">
        <f>IF(E392="","",TEXT(E392,"YYYY-MM"))</f>
        <v/>
      </c>
      <c r="BB392" s="5">
        <f>IF(E392="","",TEXT(E392,"YYYY"))</f>
        <v/>
      </c>
      <c r="BC392" s="92">
        <f>IF($E392="","",NETWORKDAYS($E392,Controls!$B$9,Ref!$F$4:$F$47))</f>
        <v/>
      </c>
      <c r="BD392" s="92">
        <f>IF(OR($AH392=1,$AJ392=1),1,0)</f>
        <v/>
      </c>
      <c r="BE392" s="95">
        <f>IF(OR($BD392=1,AND($AE392&lt;&gt;"",$BC392&gt;=Controls!$B$10*$AE392)),1,0)</f>
        <v/>
      </c>
    </row>
    <row r="393" ht="15.75" customHeight="1" s="79">
      <c r="A393" s="5" t="inlineStr">
        <is>
          <t>5674173014</t>
        </is>
      </c>
      <c r="B393" s="5" t="inlineStr">
        <is>
          <t>Innovate Insurance Agency, Inc.</t>
        </is>
      </c>
      <c r="C393" s="5" t="inlineStr">
        <is>
          <t>Innovate Insurance Agency, Inc.</t>
        </is>
      </c>
      <c r="D393" s="5" t="inlineStr">
        <is>
          <t>Closed</t>
        </is>
      </c>
      <c r="E393" s="16" t="n">
        <v>45987</v>
      </c>
      <c r="F393" s="16" t="n">
        <v>46118</v>
      </c>
      <c r="G393" s="17" t="n">
        <v>2</v>
      </c>
      <c r="H393" s="5" t="inlineStr">
        <is>
          <t>6411</t>
        </is>
      </c>
      <c r="I393" s="5" t="inlineStr">
        <is>
          <t>Insurance Agencies and Brokerages</t>
        </is>
      </c>
      <c r="J393" s="5" t="inlineStr">
        <is>
          <t>64</t>
        </is>
      </c>
      <c r="K393" s="5" t="n">
        <v>6300</v>
      </c>
      <c r="L393" s="5" t="inlineStr">
        <is>
          <t>NJ</t>
        </is>
      </c>
      <c r="M393" s="5" t="inlineStr">
        <is>
          <t>Westwood</t>
        </is>
      </c>
      <c r="N393" s="5" t="inlineStr">
        <is>
          <t>New Deal</t>
        </is>
      </c>
      <c r="O393" s="19" t="n">
        <v>1.49</v>
      </c>
      <c r="P393" s="20" t="n">
        <v>22000</v>
      </c>
      <c r="Q393" s="20" t="n">
        <v>3080</v>
      </c>
      <c r="R393" s="20" t="n">
        <v>32780</v>
      </c>
      <c r="S393" s="20" t="n">
        <v>32780</v>
      </c>
      <c r="T393" s="20" t="n">
        <v>0</v>
      </c>
      <c r="U393" s="21" t="n">
        <v>1</v>
      </c>
      <c r="V393" s="22" t="n">
        <v>2.951</v>
      </c>
      <c r="W393" s="17" t="n">
        <v>135</v>
      </c>
      <c r="X393" s="17" t="n">
        <v>19</v>
      </c>
      <c r="Y393" s="20" t="n">
        <v>47795.52</v>
      </c>
      <c r="Z393" s="21" t="n">
        <v>0.16</v>
      </c>
      <c r="AA393" s="16" t="n">
        <v>43574</v>
      </c>
      <c r="AB393" s="5">
        <f>IF(V393="","",IF(V393&lt;12,"Months","Weeks"))</f>
        <v/>
      </c>
      <c r="AC393" s="5">
        <f>IF(AB393="","",IF(AB393="Months","Daily","Weekly"))</f>
        <v/>
      </c>
      <c r="AD393" s="17">
        <f>IF(V393="","",IF(AC393="Daily",V393*Controls!$B$13,V393))</f>
        <v/>
      </c>
      <c r="AE393" s="17">
        <f>IF(V393="","",IF(AC393="Daily",V393*Controls!$B$13,V393*Controls!$B$12))</f>
        <v/>
      </c>
      <c r="AF393" s="17">
        <f>IF(OR(E393="",F393=""),"",F393-E393)</f>
        <v/>
      </c>
      <c r="AG393" s="17">
        <f>IF(OR(E393="",F393=""),"",NETWORKDAYS(E393,F393,Ref!$F$4:$F$47))</f>
        <v/>
      </c>
      <c r="AH393" s="39">
        <f>IF(IFERROR(VLOOKUP(D393,Controls!$A$25:$D$35,2,FALSE()),"No")="Yes",1,0)</f>
        <v/>
      </c>
      <c r="AI393" s="39">
        <f>IF(IFERROR(VLOOKUP(D393,Controls!$A$25:$D$35,3,FALSE()),"No")="Yes",1,0)</f>
        <v/>
      </c>
      <c r="AJ393" s="39">
        <f>IF(IFERROR(VLOOKUP(D393,Controls!$A$25:$D$35,4,FALSE()),"No")="Yes",1,0)</f>
        <v/>
      </c>
      <c r="AK393" s="96">
        <f>IF(AND($E393&gt;=Controls!$B$5,$E393&lt;=Controls!$B$6,OR(Controls!$E$9&lt;&gt;"Y",$BE393=1)),1,0)</f>
        <v/>
      </c>
      <c r="AL393" s="39">
        <f>1</f>
        <v/>
      </c>
      <c r="AM393" s="20">
        <f>S393-P393</f>
        <v/>
      </c>
      <c r="AN393" s="20">
        <f>IF(AH393=1,MAX(0,P393-S393),0)</f>
        <v/>
      </c>
      <c r="AO393" s="21">
        <f>IFERROR(S393/P393,"")</f>
        <v/>
      </c>
      <c r="AP393" s="22">
        <f>IF(Y393="","",P393/Y393)</f>
        <v/>
      </c>
      <c r="AQ393" s="39">
        <f>IF(Y393="",0,1)</f>
        <v/>
      </c>
      <c r="AR393" s="39">
        <f>IF(S393&lt;=0,1,0)</f>
        <v/>
      </c>
      <c r="AS393" s="17">
        <f>IF(AH393=1,AG393,"")</f>
        <v/>
      </c>
      <c r="AT393" s="17">
        <f>IF(AND(AH393=0,AJ393=1),AG393,"")</f>
        <v/>
      </c>
      <c r="AU393" s="5">
        <f>IF(P393&lt;10000,"Under $10K",IF(P393&lt;20000,"$10-20K",IF(P393&lt;30000,"$20-30K",IF(P393&lt;50000,"$30-50K",IF(P393&lt;100000,"$50-100K","$100K+")))))</f>
        <v/>
      </c>
      <c r="AV393" s="5">
        <f>IF(O393&lt;=1.35,"1.35 and under",IF(O393&lt;=1.42,"1.36-1.42",IF(O393&lt;=1.45,"1.43-1.45",IF(O393&lt;1.49,"1.46-1.48",IF(O393&lt;=1.49,"1.49","Above 1.49")))))</f>
        <v/>
      </c>
      <c r="AW393" s="5">
        <f>IF(AE393="","",IF(AE393&lt;60,"Under 60",IF(AE393&lt;90,"60-89",IF(AE393&lt;120,"90-119",IF(AE393&lt;150,"120-149","150+")))))</f>
        <v/>
      </c>
      <c r="AX393" s="5">
        <f>IF(AP393="","No revenue data",IF(AP393&lt;0.15,"Under 0.15x",IF(AP393&lt;0.3,"0.15-0.30x",IF(AP393&lt;0.5,"0.30-0.50x",IF(AP393&lt;1,"0.50-1.00x","1.00x+")))))</f>
        <v/>
      </c>
      <c r="AY393" s="5">
        <f>IF(J393="","No SIC",IFERROR(VLOOKUP(J393,Ref!$A$4:$C$67,2,FALSE()),"Unclassified"))</f>
        <v/>
      </c>
      <c r="AZ393" s="5">
        <f>IF(E393="","",TEXT(E393,"YYYY")&amp;"-Q"&amp;ROUNDUP(MONTH(E393)/3,0))</f>
        <v/>
      </c>
      <c r="BA393" s="5">
        <f>IF(E393="","",TEXT(E393,"YYYY-MM"))</f>
        <v/>
      </c>
      <c r="BB393" s="5">
        <f>IF(E393="","",TEXT(E393,"YYYY"))</f>
        <v/>
      </c>
      <c r="BC393" s="92">
        <f>IF($E393="","",NETWORKDAYS($E393,Controls!$B$9,Ref!$F$4:$F$47))</f>
        <v/>
      </c>
      <c r="BD393" s="92">
        <f>IF(OR($AH393=1,$AJ393=1),1,0)</f>
        <v/>
      </c>
      <c r="BE393" s="95">
        <f>IF(OR($BD393=1,AND($AE393&lt;&gt;"",$BC393&gt;=Controls!$B$10*$AE393)),1,0)</f>
        <v/>
      </c>
    </row>
    <row r="394" ht="15.75" customHeight="1" s="79">
      <c r="A394" s="5" t="inlineStr">
        <is>
          <t>5674173041</t>
        </is>
      </c>
      <c r="B394" s="5" t="inlineStr">
        <is>
          <t>Firehouse Pizza</t>
        </is>
      </c>
      <c r="C394" s="5" t="inlineStr">
        <is>
          <t>Osvan Inc.</t>
        </is>
      </c>
      <c r="D394" s="5" t="inlineStr">
        <is>
          <t>Closed</t>
        </is>
      </c>
      <c r="E394" s="16" t="n">
        <v>45989</v>
      </c>
      <c r="F394" s="16" t="n">
        <v>46134</v>
      </c>
      <c r="G394" s="17" t="n">
        <v>3</v>
      </c>
      <c r="H394" s="5" t="inlineStr">
        <is>
          <t>5812</t>
        </is>
      </c>
      <c r="I394" s="5" t="inlineStr">
        <is>
          <t>Snack and Nonalcoholic Beverage Bars</t>
        </is>
      </c>
      <c r="J394" s="5" t="inlineStr">
        <is>
          <t>58</t>
        </is>
      </c>
      <c r="K394" s="5" t="n">
        <v>5812</v>
      </c>
      <c r="L394" s="5" t="inlineStr">
        <is>
          <t>TX</t>
        </is>
      </c>
      <c r="M394" s="5" t="inlineStr">
        <is>
          <t>GREYSTONE</t>
        </is>
      </c>
      <c r="N394" s="5" t="inlineStr">
        <is>
          <t>New Deal</t>
        </is>
      </c>
      <c r="O394" s="19" t="n">
        <v>1.49</v>
      </c>
      <c r="P394" s="20" t="n">
        <v>8500</v>
      </c>
      <c r="Q394" s="20" t="n">
        <v>1190</v>
      </c>
      <c r="R394" s="20" t="n">
        <v>12665</v>
      </c>
      <c r="S394" s="20" t="n">
        <v>12665</v>
      </c>
      <c r="T394" s="20" t="n">
        <v>0</v>
      </c>
      <c r="U394" s="21" t="n">
        <v>1</v>
      </c>
      <c r="V394" s="22" t="n">
        <v>3.279</v>
      </c>
      <c r="W394" s="17" t="n">
        <v>119</v>
      </c>
      <c r="X394" s="17" t="n">
        <v>0</v>
      </c>
      <c r="Y394" s="20" t="n">
        <v>37309.67</v>
      </c>
      <c r="Z394" s="21" t="n">
        <v>0.0713</v>
      </c>
      <c r="AA394" s="16" t="n">
        <v>38473</v>
      </c>
      <c r="AB394" s="5">
        <f>IF(V394="","",IF(V394&lt;12,"Months","Weeks"))</f>
        <v/>
      </c>
      <c r="AC394" s="5">
        <f>IF(AB394="","",IF(AB394="Months","Daily","Weekly"))</f>
        <v/>
      </c>
      <c r="AD394" s="17">
        <f>IF(V394="","",IF(AC394="Daily",V394*Controls!$B$13,V394))</f>
        <v/>
      </c>
      <c r="AE394" s="17">
        <f>IF(V394="","",IF(AC394="Daily",V394*Controls!$B$13,V394*Controls!$B$12))</f>
        <v/>
      </c>
      <c r="AF394" s="17">
        <f>IF(OR(E394="",F394=""),"",F394-E394)</f>
        <v/>
      </c>
      <c r="AG394" s="17">
        <f>IF(OR(E394="",F394=""),"",NETWORKDAYS(E394,F394,Ref!$F$4:$F$47))</f>
        <v/>
      </c>
      <c r="AH394" s="39">
        <f>IF(IFERROR(VLOOKUP(D394,Controls!$A$25:$D$35,2,FALSE()),"No")="Yes",1,0)</f>
        <v/>
      </c>
      <c r="AI394" s="39">
        <f>IF(IFERROR(VLOOKUP(D394,Controls!$A$25:$D$35,3,FALSE()),"No")="Yes",1,0)</f>
        <v/>
      </c>
      <c r="AJ394" s="39">
        <f>IF(IFERROR(VLOOKUP(D394,Controls!$A$25:$D$35,4,FALSE()),"No")="Yes",1,0)</f>
        <v/>
      </c>
      <c r="AK394" s="96">
        <f>IF(AND($E394&gt;=Controls!$B$5,$E394&lt;=Controls!$B$6,OR(Controls!$E$9&lt;&gt;"Y",$BE394=1)),1,0)</f>
        <v/>
      </c>
      <c r="AL394" s="39">
        <f>1</f>
        <v/>
      </c>
      <c r="AM394" s="20">
        <f>S394-P394</f>
        <v/>
      </c>
      <c r="AN394" s="20">
        <f>IF(AH394=1,MAX(0,P394-S394),0)</f>
        <v/>
      </c>
      <c r="AO394" s="21">
        <f>IFERROR(S394/P394,"")</f>
        <v/>
      </c>
      <c r="AP394" s="22">
        <f>IF(Y394="","",P394/Y394)</f>
        <v/>
      </c>
      <c r="AQ394" s="39">
        <f>IF(Y394="",0,1)</f>
        <v/>
      </c>
      <c r="AR394" s="39">
        <f>IF(S394&lt;=0,1,0)</f>
        <v/>
      </c>
      <c r="AS394" s="17">
        <f>IF(AH394=1,AG394,"")</f>
        <v/>
      </c>
      <c r="AT394" s="17">
        <f>IF(AND(AH394=0,AJ394=1),AG394,"")</f>
        <v/>
      </c>
      <c r="AU394" s="5">
        <f>IF(P394&lt;10000,"Under $10K",IF(P394&lt;20000,"$10-20K",IF(P394&lt;30000,"$20-30K",IF(P394&lt;50000,"$30-50K",IF(P394&lt;100000,"$50-100K","$100K+")))))</f>
        <v/>
      </c>
      <c r="AV394" s="5">
        <f>IF(O394&lt;=1.35,"1.35 and under",IF(O394&lt;=1.42,"1.36-1.42",IF(O394&lt;=1.45,"1.43-1.45",IF(O394&lt;1.49,"1.46-1.48",IF(O394&lt;=1.49,"1.49","Above 1.49")))))</f>
        <v/>
      </c>
      <c r="AW394" s="5">
        <f>IF(AE394="","",IF(AE394&lt;60,"Under 60",IF(AE394&lt;90,"60-89",IF(AE394&lt;120,"90-119",IF(AE394&lt;150,"120-149","150+")))))</f>
        <v/>
      </c>
      <c r="AX394" s="5">
        <f>IF(AP394="","No revenue data",IF(AP394&lt;0.15,"Under 0.15x",IF(AP394&lt;0.3,"0.15-0.30x",IF(AP394&lt;0.5,"0.30-0.50x",IF(AP394&lt;1,"0.50-1.00x","1.00x+")))))</f>
        <v/>
      </c>
      <c r="AY394" s="5">
        <f>IF(J394="","No SIC",IFERROR(VLOOKUP(J394,Ref!$A$4:$C$67,2,FALSE()),"Unclassified"))</f>
        <v/>
      </c>
      <c r="AZ394" s="5">
        <f>IF(E394="","",TEXT(E394,"YYYY")&amp;"-Q"&amp;ROUNDUP(MONTH(E394)/3,0))</f>
        <v/>
      </c>
      <c r="BA394" s="5">
        <f>IF(E394="","",TEXT(E394,"YYYY-MM"))</f>
        <v/>
      </c>
      <c r="BB394" s="5">
        <f>IF(E394="","",TEXT(E394,"YYYY"))</f>
        <v/>
      </c>
      <c r="BC394" s="92">
        <f>IF($E394="","",NETWORKDAYS($E394,Controls!$B$9,Ref!$F$4:$F$47))</f>
        <v/>
      </c>
      <c r="BD394" s="92">
        <f>IF(OR($AH394=1,$AJ394=1),1,0)</f>
        <v/>
      </c>
      <c r="BE394" s="95">
        <f>IF(OR($BD394=1,AND($AE394&lt;&gt;"",$BC394&gt;=Controls!$B$10*$AE394)),1,0)</f>
        <v/>
      </c>
    </row>
    <row r="395" ht="15.75" customHeight="1" s="79">
      <c r="A395" s="5" t="inlineStr">
        <is>
          <t>5674173055</t>
        </is>
      </c>
      <c r="B395" s="5" t="inlineStr">
        <is>
          <t>PRESTIGE CARE PLLC</t>
        </is>
      </c>
      <c r="C395" s="5" t="inlineStr">
        <is>
          <t>PRESTIGE CARE PLLC</t>
        </is>
      </c>
      <c r="D395" s="5" t="inlineStr">
        <is>
          <t>Closed</t>
        </is>
      </c>
      <c r="E395" s="16" t="n">
        <v>45989</v>
      </c>
      <c r="F395" s="16" t="n">
        <v>46077</v>
      </c>
      <c r="G395" s="17" t="n">
        <v>6</v>
      </c>
      <c r="H395" s="5" t="inlineStr">
        <is>
          <t>8011</t>
        </is>
      </c>
      <c r="I395" s="5" t="inlineStr">
        <is>
          <t>Offices of Physicians (Except Mental Health Specialists)</t>
        </is>
      </c>
      <c r="J395" s="5" t="inlineStr">
        <is>
          <t>80</t>
        </is>
      </c>
      <c r="K395" s="5" t="n">
        <v>8011</v>
      </c>
      <c r="L395" s="5" t="inlineStr">
        <is>
          <t>AZ</t>
        </is>
      </c>
      <c r="M395" s="5" t="inlineStr">
        <is>
          <t>United Secured Capital 8</t>
        </is>
      </c>
      <c r="N395" s="5" t="inlineStr">
        <is>
          <t>New Deal</t>
        </is>
      </c>
      <c r="O395" s="19" t="n">
        <v>1.49</v>
      </c>
      <c r="P395" s="20" t="n">
        <v>25000</v>
      </c>
      <c r="Q395" s="20" t="n">
        <v>3500</v>
      </c>
      <c r="R395" s="20" t="n">
        <v>37250</v>
      </c>
      <c r="S395" s="20" t="n">
        <v>37250</v>
      </c>
      <c r="T395" s="20" t="n">
        <v>0</v>
      </c>
      <c r="U395" s="21" t="n">
        <v>1</v>
      </c>
      <c r="V395" s="22" t="n">
        <v>2.951</v>
      </c>
      <c r="W395" s="17" t="n">
        <v>176</v>
      </c>
      <c r="X395" s="17" t="n">
        <v>12</v>
      </c>
      <c r="Y395" s="20" t="n">
        <v>123266.6</v>
      </c>
      <c r="Z395" s="21" t="n">
        <v>0.107</v>
      </c>
      <c r="AA395" s="16" t="n">
        <v>45989</v>
      </c>
      <c r="AB395" s="5">
        <f>IF(V395="","",IF(V395&lt;12,"Months","Weeks"))</f>
        <v/>
      </c>
      <c r="AC395" s="5">
        <f>IF(AB395="","",IF(AB395="Months","Daily","Weekly"))</f>
        <v/>
      </c>
      <c r="AD395" s="17">
        <f>IF(V395="","",IF(AC395="Daily",V395*Controls!$B$13,V395))</f>
        <v/>
      </c>
      <c r="AE395" s="17">
        <f>IF(V395="","",IF(AC395="Daily",V395*Controls!$B$13,V395*Controls!$B$12))</f>
        <v/>
      </c>
      <c r="AF395" s="17">
        <f>IF(OR(E395="",F395=""),"",F395-E395)</f>
        <v/>
      </c>
      <c r="AG395" s="17">
        <f>IF(OR(E395="",F395=""),"",NETWORKDAYS(E395,F395,Ref!$F$4:$F$47))</f>
        <v/>
      </c>
      <c r="AH395" s="39">
        <f>IF(IFERROR(VLOOKUP(D395,Controls!$A$25:$D$35,2,FALSE()),"No")="Yes",1,0)</f>
        <v/>
      </c>
      <c r="AI395" s="39">
        <f>IF(IFERROR(VLOOKUP(D395,Controls!$A$25:$D$35,3,FALSE()),"No")="Yes",1,0)</f>
        <v/>
      </c>
      <c r="AJ395" s="39">
        <f>IF(IFERROR(VLOOKUP(D395,Controls!$A$25:$D$35,4,FALSE()),"No")="Yes",1,0)</f>
        <v/>
      </c>
      <c r="AK395" s="96">
        <f>IF(AND($E395&gt;=Controls!$B$5,$E395&lt;=Controls!$B$6,OR(Controls!$E$9&lt;&gt;"Y",$BE395=1)),1,0)</f>
        <v/>
      </c>
      <c r="AL395" s="39">
        <f>1</f>
        <v/>
      </c>
      <c r="AM395" s="20">
        <f>S395-P395</f>
        <v/>
      </c>
      <c r="AN395" s="20">
        <f>IF(AH395=1,MAX(0,P395-S395),0)</f>
        <v/>
      </c>
      <c r="AO395" s="21">
        <f>IFERROR(S395/P395,"")</f>
        <v/>
      </c>
      <c r="AP395" s="22">
        <f>IF(Y395="","",P395/Y395)</f>
        <v/>
      </c>
      <c r="AQ395" s="39">
        <f>IF(Y395="",0,1)</f>
        <v/>
      </c>
      <c r="AR395" s="39">
        <f>IF(S395&lt;=0,1,0)</f>
        <v/>
      </c>
      <c r="AS395" s="17">
        <f>IF(AH395=1,AG395,"")</f>
        <v/>
      </c>
      <c r="AT395" s="17">
        <f>IF(AND(AH395=0,AJ395=1),AG395,"")</f>
        <v/>
      </c>
      <c r="AU395" s="5">
        <f>IF(P395&lt;10000,"Under $10K",IF(P395&lt;20000,"$10-20K",IF(P395&lt;30000,"$20-30K",IF(P395&lt;50000,"$30-50K",IF(P395&lt;100000,"$50-100K","$100K+")))))</f>
        <v/>
      </c>
      <c r="AV395" s="5">
        <f>IF(O395&lt;=1.35,"1.35 and under",IF(O395&lt;=1.42,"1.36-1.42",IF(O395&lt;=1.45,"1.43-1.45",IF(O395&lt;1.49,"1.46-1.48",IF(O395&lt;=1.49,"1.49","Above 1.49")))))</f>
        <v/>
      </c>
      <c r="AW395" s="5">
        <f>IF(AE395="","",IF(AE395&lt;60,"Under 60",IF(AE395&lt;90,"60-89",IF(AE395&lt;120,"90-119",IF(AE395&lt;150,"120-149","150+")))))</f>
        <v/>
      </c>
      <c r="AX395" s="5">
        <f>IF(AP395="","No revenue data",IF(AP395&lt;0.15,"Under 0.15x",IF(AP395&lt;0.3,"0.15-0.30x",IF(AP395&lt;0.5,"0.30-0.50x",IF(AP395&lt;1,"0.50-1.00x","1.00x+")))))</f>
        <v/>
      </c>
      <c r="AY395" s="5">
        <f>IF(J395="","No SIC",IFERROR(VLOOKUP(J395,Ref!$A$4:$C$67,2,FALSE()),"Unclassified"))</f>
        <v/>
      </c>
      <c r="AZ395" s="5">
        <f>IF(E395="","",TEXT(E395,"YYYY")&amp;"-Q"&amp;ROUNDUP(MONTH(E395)/3,0))</f>
        <v/>
      </c>
      <c r="BA395" s="5">
        <f>IF(E395="","",TEXT(E395,"YYYY-MM"))</f>
        <v/>
      </c>
      <c r="BB395" s="5">
        <f>IF(E395="","",TEXT(E395,"YYYY"))</f>
        <v/>
      </c>
      <c r="BC395" s="92">
        <f>IF($E395="","",NETWORKDAYS($E395,Controls!$B$9,Ref!$F$4:$F$47))</f>
        <v/>
      </c>
      <c r="BD395" s="92">
        <f>IF(OR($AH395=1,$AJ395=1),1,0)</f>
        <v/>
      </c>
      <c r="BE395" s="95">
        <f>IF(OR($BD395=1,AND($AE395&lt;&gt;"",$BC395&gt;=Controls!$B$10*$AE395)),1,0)</f>
        <v/>
      </c>
    </row>
    <row r="396" ht="15.75" customHeight="1" s="79">
      <c r="A396" s="5" t="inlineStr">
        <is>
          <t>5674173101</t>
        </is>
      </c>
      <c r="B396" s="5" t="inlineStr">
        <is>
          <t>Oscar Mike Security</t>
        </is>
      </c>
      <c r="C396" s="5" t="inlineStr">
        <is>
          <t>Oscar Mike Security</t>
        </is>
      </c>
      <c r="D396" s="5" t="inlineStr">
        <is>
          <t>Closed</t>
        </is>
      </c>
      <c r="E396" s="16" t="n">
        <v>45992</v>
      </c>
      <c r="F396" s="16" t="n">
        <v>46129</v>
      </c>
      <c r="G396" s="17" t="n">
        <v>3</v>
      </c>
      <c r="H396" s="5" t="inlineStr">
        <is>
          <t>7382</t>
        </is>
      </c>
      <c r="I396" s="5" t="inlineStr">
        <is>
          <t>Security Systems Services (Except Locksmiths)</t>
        </is>
      </c>
      <c r="J396" s="5" t="inlineStr">
        <is>
          <t>73</t>
        </is>
      </c>
      <c r="K396" s="5" t="n">
        <v>7393</v>
      </c>
      <c r="L396" s="5" t="inlineStr">
        <is>
          <t>TX</t>
        </is>
      </c>
      <c r="M396" s="5" t="inlineStr">
        <is>
          <t>National Business Capital</t>
        </is>
      </c>
      <c r="N396" s="5" t="inlineStr">
        <is>
          <t>New Deal</t>
        </is>
      </c>
      <c r="O396" s="19" t="n">
        <v>1.49</v>
      </c>
      <c r="P396" s="20" t="n">
        <v>10000</v>
      </c>
      <c r="Q396" s="20" t="n">
        <v>1400</v>
      </c>
      <c r="R396" s="20" t="n">
        <v>14900</v>
      </c>
      <c r="S396" s="20" t="n">
        <v>14900</v>
      </c>
      <c r="T396" s="20" t="n">
        <v>0</v>
      </c>
      <c r="U396" s="21" t="n">
        <v>1</v>
      </c>
      <c r="V396" s="22" t="n">
        <v>20</v>
      </c>
      <c r="W396" s="17" t="n">
        <v>124</v>
      </c>
      <c r="X396" s="17" t="n">
        <v>0</v>
      </c>
      <c r="Y396" s="20" t="n">
        <v>83502.16</v>
      </c>
      <c r="Z396" s="21" t="n">
        <v>0.0357</v>
      </c>
      <c r="AA396" s="5" t="n"/>
      <c r="AB396" s="5">
        <f>IF(V396="","",IF(V396&lt;12,"Months","Weeks"))</f>
        <v/>
      </c>
      <c r="AC396" s="5">
        <f>IF(AB396="","",IF(AB396="Months","Daily","Weekly"))</f>
        <v/>
      </c>
      <c r="AD396" s="17">
        <f>IF(V396="","",IF(AC396="Daily",V396*Controls!$B$13,V396))</f>
        <v/>
      </c>
      <c r="AE396" s="17">
        <f>IF(V396="","",IF(AC396="Daily",V396*Controls!$B$13,V396*Controls!$B$12))</f>
        <v/>
      </c>
      <c r="AF396" s="17">
        <f>IF(OR(E396="",F396=""),"",F396-E396)</f>
        <v/>
      </c>
      <c r="AG396" s="17">
        <f>IF(OR(E396="",F396=""),"",NETWORKDAYS(E396,F396,Ref!$F$4:$F$47))</f>
        <v/>
      </c>
      <c r="AH396" s="39">
        <f>IF(IFERROR(VLOOKUP(D396,Controls!$A$25:$D$35,2,FALSE()),"No")="Yes",1,0)</f>
        <v/>
      </c>
      <c r="AI396" s="39">
        <f>IF(IFERROR(VLOOKUP(D396,Controls!$A$25:$D$35,3,FALSE()),"No")="Yes",1,0)</f>
        <v/>
      </c>
      <c r="AJ396" s="39">
        <f>IF(IFERROR(VLOOKUP(D396,Controls!$A$25:$D$35,4,FALSE()),"No")="Yes",1,0)</f>
        <v/>
      </c>
      <c r="AK396" s="96">
        <f>IF(AND($E396&gt;=Controls!$B$5,$E396&lt;=Controls!$B$6,OR(Controls!$E$9&lt;&gt;"Y",$BE396=1)),1,0)</f>
        <v/>
      </c>
      <c r="AL396" s="39">
        <f>1</f>
        <v/>
      </c>
      <c r="AM396" s="20">
        <f>S396-P396</f>
        <v/>
      </c>
      <c r="AN396" s="20">
        <f>IF(AH396=1,MAX(0,P396-S396),0)</f>
        <v/>
      </c>
      <c r="AO396" s="21">
        <f>IFERROR(S396/P396,"")</f>
        <v/>
      </c>
      <c r="AP396" s="22">
        <f>IF(Y396="","",P396/Y396)</f>
        <v/>
      </c>
      <c r="AQ396" s="39">
        <f>IF(Y396="",0,1)</f>
        <v/>
      </c>
      <c r="AR396" s="39">
        <f>IF(S396&lt;=0,1,0)</f>
        <v/>
      </c>
      <c r="AS396" s="17">
        <f>IF(AH396=1,AG396,"")</f>
        <v/>
      </c>
      <c r="AT396" s="17">
        <f>IF(AND(AH396=0,AJ396=1),AG396,"")</f>
        <v/>
      </c>
      <c r="AU396" s="5">
        <f>IF(P396&lt;10000,"Under $10K",IF(P396&lt;20000,"$10-20K",IF(P396&lt;30000,"$20-30K",IF(P396&lt;50000,"$30-50K",IF(P396&lt;100000,"$50-100K","$100K+")))))</f>
        <v/>
      </c>
      <c r="AV396" s="5">
        <f>IF(O396&lt;=1.35,"1.35 and under",IF(O396&lt;=1.42,"1.36-1.42",IF(O396&lt;=1.45,"1.43-1.45",IF(O396&lt;1.49,"1.46-1.48",IF(O396&lt;=1.49,"1.49","Above 1.49")))))</f>
        <v/>
      </c>
      <c r="AW396" s="5">
        <f>IF(AE396="","",IF(AE396&lt;60,"Under 60",IF(AE396&lt;90,"60-89",IF(AE396&lt;120,"90-119",IF(AE396&lt;150,"120-149","150+")))))</f>
        <v/>
      </c>
      <c r="AX396" s="5">
        <f>IF(AP396="","No revenue data",IF(AP396&lt;0.15,"Under 0.15x",IF(AP396&lt;0.3,"0.15-0.30x",IF(AP396&lt;0.5,"0.30-0.50x",IF(AP396&lt;1,"0.50-1.00x","1.00x+")))))</f>
        <v/>
      </c>
      <c r="AY396" s="5">
        <f>IF(J396="","No SIC",IFERROR(VLOOKUP(J396,Ref!$A$4:$C$67,2,FALSE()),"Unclassified"))</f>
        <v/>
      </c>
      <c r="AZ396" s="5">
        <f>IF(E396="","",TEXT(E396,"YYYY")&amp;"-Q"&amp;ROUNDUP(MONTH(E396)/3,0))</f>
        <v/>
      </c>
      <c r="BA396" s="5">
        <f>IF(E396="","",TEXT(E396,"YYYY-MM"))</f>
        <v/>
      </c>
      <c r="BB396" s="5">
        <f>IF(E396="","",TEXT(E396,"YYYY"))</f>
        <v/>
      </c>
      <c r="BC396" s="92">
        <f>IF($E396="","",NETWORKDAYS($E396,Controls!$B$9,Ref!$F$4:$F$47))</f>
        <v/>
      </c>
      <c r="BD396" s="92">
        <f>IF(OR($AH396=1,$AJ396=1),1,0)</f>
        <v/>
      </c>
      <c r="BE396" s="95">
        <f>IF(OR($BD396=1,AND($AE396&lt;&gt;"",$BC396&gt;=Controls!$B$10*$AE396)),1,0)</f>
        <v/>
      </c>
    </row>
    <row r="397" ht="15.75" customHeight="1" s="79">
      <c r="A397" s="5" t="inlineStr">
        <is>
          <t>5674173153</t>
        </is>
      </c>
      <c r="B397" s="5" t="inlineStr">
        <is>
          <t>Solution Auto Center LLC</t>
        </is>
      </c>
      <c r="C397" s="5" t="inlineStr">
        <is>
          <t>Solution Auto Center LLC</t>
        </is>
      </c>
      <c r="D397" s="5" t="inlineStr">
        <is>
          <t>Closed</t>
        </is>
      </c>
      <c r="E397" s="16" t="n">
        <v>45992</v>
      </c>
      <c r="F397" s="16" t="n">
        <v>46136</v>
      </c>
      <c r="G397" s="17" t="n">
        <v>2</v>
      </c>
      <c r="H397" s="5" t="inlineStr">
        <is>
          <t>7538</t>
        </is>
      </c>
      <c r="I397" s="5" t="inlineStr">
        <is>
          <t>General Automotive Repair</t>
        </is>
      </c>
      <c r="J397" s="5" t="inlineStr">
        <is>
          <t>75</t>
        </is>
      </c>
      <c r="K397" s="5" t="n">
        <v>7538</v>
      </c>
      <c r="L397" s="5" t="inlineStr">
        <is>
          <t>CA</t>
        </is>
      </c>
      <c r="M397" s="5" t="inlineStr">
        <is>
          <t>ROK</t>
        </is>
      </c>
      <c r="N397" s="5" t="inlineStr">
        <is>
          <t>New Deal</t>
        </is>
      </c>
      <c r="O397" s="19" t="n">
        <v>1.39</v>
      </c>
      <c r="P397" s="20" t="n">
        <v>10000</v>
      </c>
      <c r="Q397" s="20" t="n">
        <v>900</v>
      </c>
      <c r="R397" s="20" t="n">
        <v>13900</v>
      </c>
      <c r="S397" s="20" t="n">
        <v>13900</v>
      </c>
      <c r="T397" s="20" t="n">
        <v>-1.81898940354586e-12</v>
      </c>
      <c r="U397" s="21" t="n">
        <v>1</v>
      </c>
      <c r="V397" s="22" t="n">
        <v>20</v>
      </c>
      <c r="W397" s="17" t="n">
        <v>117</v>
      </c>
      <c r="X397" s="17" t="n">
        <v>0</v>
      </c>
      <c r="Y397" s="20" t="n">
        <v>29347.75</v>
      </c>
      <c r="Z397" s="21" t="n">
        <v>0.09470000000000001</v>
      </c>
      <c r="AA397" s="16" t="n">
        <v>45047</v>
      </c>
      <c r="AB397" s="5">
        <f>IF(V397="","",IF(V397&lt;12,"Months","Weeks"))</f>
        <v/>
      </c>
      <c r="AC397" s="5">
        <f>IF(AB397="","",IF(AB397="Months","Daily","Weekly"))</f>
        <v/>
      </c>
      <c r="AD397" s="17">
        <f>IF(V397="","",IF(AC397="Daily",V397*Controls!$B$13,V397))</f>
        <v/>
      </c>
      <c r="AE397" s="17">
        <f>IF(V397="","",IF(AC397="Daily",V397*Controls!$B$13,V397*Controls!$B$12))</f>
        <v/>
      </c>
      <c r="AF397" s="17">
        <f>IF(OR(E397="",F397=""),"",F397-E397)</f>
        <v/>
      </c>
      <c r="AG397" s="17">
        <f>IF(OR(E397="",F397=""),"",NETWORKDAYS(E397,F397,Ref!$F$4:$F$47))</f>
        <v/>
      </c>
      <c r="AH397" s="39">
        <f>IF(IFERROR(VLOOKUP(D397,Controls!$A$25:$D$35,2,FALSE()),"No")="Yes",1,0)</f>
        <v/>
      </c>
      <c r="AI397" s="39">
        <f>IF(IFERROR(VLOOKUP(D397,Controls!$A$25:$D$35,3,FALSE()),"No")="Yes",1,0)</f>
        <v/>
      </c>
      <c r="AJ397" s="39">
        <f>IF(IFERROR(VLOOKUP(D397,Controls!$A$25:$D$35,4,FALSE()),"No")="Yes",1,0)</f>
        <v/>
      </c>
      <c r="AK397" s="96">
        <f>IF(AND($E397&gt;=Controls!$B$5,$E397&lt;=Controls!$B$6,OR(Controls!$E$9&lt;&gt;"Y",$BE397=1)),1,0)</f>
        <v/>
      </c>
      <c r="AL397" s="39">
        <f>1</f>
        <v/>
      </c>
      <c r="AM397" s="20">
        <f>S397-P397</f>
        <v/>
      </c>
      <c r="AN397" s="20">
        <f>IF(AH397=1,MAX(0,P397-S397),0)</f>
        <v/>
      </c>
      <c r="AO397" s="21">
        <f>IFERROR(S397/P397,"")</f>
        <v/>
      </c>
      <c r="AP397" s="22">
        <f>IF(Y397="","",P397/Y397)</f>
        <v/>
      </c>
      <c r="AQ397" s="39">
        <f>IF(Y397="",0,1)</f>
        <v/>
      </c>
      <c r="AR397" s="39">
        <f>IF(S397&lt;=0,1,0)</f>
        <v/>
      </c>
      <c r="AS397" s="17">
        <f>IF(AH397=1,AG397,"")</f>
        <v/>
      </c>
      <c r="AT397" s="17">
        <f>IF(AND(AH397=0,AJ397=1),AG397,"")</f>
        <v/>
      </c>
      <c r="AU397" s="5">
        <f>IF(P397&lt;10000,"Under $10K",IF(P397&lt;20000,"$10-20K",IF(P397&lt;30000,"$20-30K",IF(P397&lt;50000,"$30-50K",IF(P397&lt;100000,"$50-100K","$100K+")))))</f>
        <v/>
      </c>
      <c r="AV397" s="5">
        <f>IF(O397&lt;=1.35,"1.35 and under",IF(O397&lt;=1.42,"1.36-1.42",IF(O397&lt;=1.45,"1.43-1.45",IF(O397&lt;1.49,"1.46-1.48",IF(O397&lt;=1.49,"1.49","Above 1.49")))))</f>
        <v/>
      </c>
      <c r="AW397" s="5">
        <f>IF(AE397="","",IF(AE397&lt;60,"Under 60",IF(AE397&lt;90,"60-89",IF(AE397&lt;120,"90-119",IF(AE397&lt;150,"120-149","150+")))))</f>
        <v/>
      </c>
      <c r="AX397" s="5">
        <f>IF(AP397="","No revenue data",IF(AP397&lt;0.15,"Under 0.15x",IF(AP397&lt;0.3,"0.15-0.30x",IF(AP397&lt;0.5,"0.30-0.50x",IF(AP397&lt;1,"0.50-1.00x","1.00x+")))))</f>
        <v/>
      </c>
      <c r="AY397" s="5">
        <f>IF(J397="","No SIC",IFERROR(VLOOKUP(J397,Ref!$A$4:$C$67,2,FALSE()),"Unclassified"))</f>
        <v/>
      </c>
      <c r="AZ397" s="5">
        <f>IF(E397="","",TEXT(E397,"YYYY")&amp;"-Q"&amp;ROUNDUP(MONTH(E397)/3,0))</f>
        <v/>
      </c>
      <c r="BA397" s="5">
        <f>IF(E397="","",TEXT(E397,"YYYY-MM"))</f>
        <v/>
      </c>
      <c r="BB397" s="5">
        <f>IF(E397="","",TEXT(E397,"YYYY"))</f>
        <v/>
      </c>
      <c r="BC397" s="92">
        <f>IF($E397="","",NETWORKDAYS($E397,Controls!$B$9,Ref!$F$4:$F$47))</f>
        <v/>
      </c>
      <c r="BD397" s="92">
        <f>IF(OR($AH397=1,$AJ397=1),1,0)</f>
        <v/>
      </c>
      <c r="BE397" s="95">
        <f>IF(OR($BD397=1,AND($AE397&lt;&gt;"",$BC397&gt;=Controls!$B$10*$AE397)),1,0)</f>
        <v/>
      </c>
    </row>
    <row r="398" ht="15.75" customHeight="1" s="79">
      <c r="A398" s="5" t="inlineStr">
        <is>
          <t>5674173197</t>
        </is>
      </c>
      <c r="B398" s="5" t="inlineStr">
        <is>
          <t>PARK HEAVY HAUL LLC</t>
        </is>
      </c>
      <c r="C398" s="5" t="inlineStr">
        <is>
          <t>PARK HEAVY HAUL LLC</t>
        </is>
      </c>
      <c r="D398" s="5" t="inlineStr">
        <is>
          <t>Closed</t>
        </is>
      </c>
      <c r="E398" s="16" t="n">
        <v>45993</v>
      </c>
      <c r="F398" s="16" t="n">
        <v>46093</v>
      </c>
      <c r="G398" s="17" t="n">
        <v>6</v>
      </c>
      <c r="H398" s="5" t="inlineStr">
        <is>
          <t>4212</t>
        </is>
      </c>
      <c r="I398" s="5" t="inlineStr">
        <is>
          <t>Specialized Freight (Except Used Goods) Trucking, Local</t>
        </is>
      </c>
      <c r="J398" s="5" t="inlineStr">
        <is>
          <t>42</t>
        </is>
      </c>
      <c r="K398" s="5" t="n">
        <v>4214</v>
      </c>
      <c r="L398" s="5" t="inlineStr">
        <is>
          <t>CO</t>
        </is>
      </c>
      <c r="M398" s="5" t="inlineStr">
        <is>
          <t>Secure Capital Solutions 7</t>
        </is>
      </c>
      <c r="N398" s="5" t="inlineStr">
        <is>
          <t>New Deal</t>
        </is>
      </c>
      <c r="O398" s="19" t="n">
        <v>1.49</v>
      </c>
      <c r="P398" s="20" t="n">
        <v>30000</v>
      </c>
      <c r="Q398" s="20" t="n">
        <v>4200</v>
      </c>
      <c r="R398" s="20" t="n">
        <v>44700</v>
      </c>
      <c r="S398" s="20" t="n">
        <v>44700</v>
      </c>
      <c r="T398" s="20" t="n">
        <v>0</v>
      </c>
      <c r="U398" s="21" t="n">
        <v>1</v>
      </c>
      <c r="V398" s="22" t="n">
        <v>18</v>
      </c>
      <c r="W398" s="17" t="n">
        <v>160</v>
      </c>
      <c r="X398" s="17" t="n">
        <v>1</v>
      </c>
      <c r="Y398" s="20" t="n">
        <v>380215.95</v>
      </c>
      <c r="Z398" s="21" t="n">
        <v>0.0261</v>
      </c>
      <c r="AA398" s="16" t="n">
        <v>45227</v>
      </c>
      <c r="AB398" s="5">
        <f>IF(V398="","",IF(V398&lt;12,"Months","Weeks"))</f>
        <v/>
      </c>
      <c r="AC398" s="5">
        <f>IF(AB398="","",IF(AB398="Months","Daily","Weekly"))</f>
        <v/>
      </c>
      <c r="AD398" s="17">
        <f>IF(V398="","",IF(AC398="Daily",V398*Controls!$B$13,V398))</f>
        <v/>
      </c>
      <c r="AE398" s="17">
        <f>IF(V398="","",IF(AC398="Daily",V398*Controls!$B$13,V398*Controls!$B$12))</f>
        <v/>
      </c>
      <c r="AF398" s="17">
        <f>IF(OR(E398="",F398=""),"",F398-E398)</f>
        <v/>
      </c>
      <c r="AG398" s="17">
        <f>IF(OR(E398="",F398=""),"",NETWORKDAYS(E398,F398,Ref!$F$4:$F$47))</f>
        <v/>
      </c>
      <c r="AH398" s="39">
        <f>IF(IFERROR(VLOOKUP(D398,Controls!$A$25:$D$35,2,FALSE()),"No")="Yes",1,0)</f>
        <v/>
      </c>
      <c r="AI398" s="39">
        <f>IF(IFERROR(VLOOKUP(D398,Controls!$A$25:$D$35,3,FALSE()),"No")="Yes",1,0)</f>
        <v/>
      </c>
      <c r="AJ398" s="39">
        <f>IF(IFERROR(VLOOKUP(D398,Controls!$A$25:$D$35,4,FALSE()),"No")="Yes",1,0)</f>
        <v/>
      </c>
      <c r="AK398" s="96">
        <f>IF(AND($E398&gt;=Controls!$B$5,$E398&lt;=Controls!$B$6,OR(Controls!$E$9&lt;&gt;"Y",$BE398=1)),1,0)</f>
        <v/>
      </c>
      <c r="AL398" s="39">
        <f>1</f>
        <v/>
      </c>
      <c r="AM398" s="20">
        <f>S398-P398</f>
        <v/>
      </c>
      <c r="AN398" s="20">
        <f>IF(AH398=1,MAX(0,P398-S398),0)</f>
        <v/>
      </c>
      <c r="AO398" s="21">
        <f>IFERROR(S398/P398,"")</f>
        <v/>
      </c>
      <c r="AP398" s="22">
        <f>IF(Y398="","",P398/Y398)</f>
        <v/>
      </c>
      <c r="AQ398" s="39">
        <f>IF(Y398="",0,1)</f>
        <v/>
      </c>
      <c r="AR398" s="39">
        <f>IF(S398&lt;=0,1,0)</f>
        <v/>
      </c>
      <c r="AS398" s="17">
        <f>IF(AH398=1,AG398,"")</f>
        <v/>
      </c>
      <c r="AT398" s="17">
        <f>IF(AND(AH398=0,AJ398=1),AG398,"")</f>
        <v/>
      </c>
      <c r="AU398" s="5">
        <f>IF(P398&lt;10000,"Under $10K",IF(P398&lt;20000,"$10-20K",IF(P398&lt;30000,"$20-30K",IF(P398&lt;50000,"$30-50K",IF(P398&lt;100000,"$50-100K","$100K+")))))</f>
        <v/>
      </c>
      <c r="AV398" s="5">
        <f>IF(O398&lt;=1.35,"1.35 and under",IF(O398&lt;=1.42,"1.36-1.42",IF(O398&lt;=1.45,"1.43-1.45",IF(O398&lt;1.49,"1.46-1.48",IF(O398&lt;=1.49,"1.49","Above 1.49")))))</f>
        <v/>
      </c>
      <c r="AW398" s="5">
        <f>IF(AE398="","",IF(AE398&lt;60,"Under 60",IF(AE398&lt;90,"60-89",IF(AE398&lt;120,"90-119",IF(AE398&lt;150,"120-149","150+")))))</f>
        <v/>
      </c>
      <c r="AX398" s="5">
        <f>IF(AP398="","No revenue data",IF(AP398&lt;0.15,"Under 0.15x",IF(AP398&lt;0.3,"0.15-0.30x",IF(AP398&lt;0.5,"0.30-0.50x",IF(AP398&lt;1,"0.50-1.00x","1.00x+")))))</f>
        <v/>
      </c>
      <c r="AY398" s="5">
        <f>IF(J398="","No SIC",IFERROR(VLOOKUP(J398,Ref!$A$4:$C$67,2,FALSE()),"Unclassified"))</f>
        <v/>
      </c>
      <c r="AZ398" s="5">
        <f>IF(E398="","",TEXT(E398,"YYYY")&amp;"-Q"&amp;ROUNDUP(MONTH(E398)/3,0))</f>
        <v/>
      </c>
      <c r="BA398" s="5">
        <f>IF(E398="","",TEXT(E398,"YYYY-MM"))</f>
        <v/>
      </c>
      <c r="BB398" s="5">
        <f>IF(E398="","",TEXT(E398,"YYYY"))</f>
        <v/>
      </c>
      <c r="BC398" s="92">
        <f>IF($E398="","",NETWORKDAYS($E398,Controls!$B$9,Ref!$F$4:$F$47))</f>
        <v/>
      </c>
      <c r="BD398" s="92">
        <f>IF(OR($AH398=1,$AJ398=1),1,0)</f>
        <v/>
      </c>
      <c r="BE398" s="95">
        <f>IF(OR($BD398=1,AND($AE398&lt;&gt;"",$BC398&gt;=Controls!$B$10*$AE398)),1,0)</f>
        <v/>
      </c>
    </row>
    <row r="399" ht="15.75" customHeight="1" s="79">
      <c r="A399" s="5" t="inlineStr">
        <is>
          <t>5674173257</t>
        </is>
      </c>
      <c r="B399" s="5" t="inlineStr">
        <is>
          <t>FLORES HOME COOKING</t>
        </is>
      </c>
      <c r="C399" s="5" t="inlineStr">
        <is>
          <t>LINDA MARIANA LUNA</t>
        </is>
      </c>
      <c r="D399" s="5" t="inlineStr">
        <is>
          <t>Bankruptcy</t>
        </is>
      </c>
      <c r="E399" s="16" t="n">
        <v>45993</v>
      </c>
      <c r="F399" s="16" t="n">
        <v>46153</v>
      </c>
      <c r="G399" s="17" t="n">
        <v>3</v>
      </c>
      <c r="H399" s="5" t="inlineStr">
        <is>
          <t>5812</t>
        </is>
      </c>
      <c r="I399" s="5" t="inlineStr">
        <is>
          <t>Snack and Nonalcoholic Beverage Bars</t>
        </is>
      </c>
      <c r="J399" s="5" t="inlineStr">
        <is>
          <t>58</t>
        </is>
      </c>
      <c r="K399" s="5" t="n">
        <v>5812</v>
      </c>
      <c r="L399" s="5" t="inlineStr">
        <is>
          <t>TX</t>
        </is>
      </c>
      <c r="M399" s="5" t="inlineStr">
        <is>
          <t>level 3 funding</t>
        </is>
      </c>
      <c r="N399" s="5" t="inlineStr">
        <is>
          <t>New Deal</t>
        </is>
      </c>
      <c r="O399" s="19" t="n">
        <v>1.499</v>
      </c>
      <c r="P399" s="20" t="n">
        <v>5000</v>
      </c>
      <c r="Q399" s="20" t="n">
        <v>700</v>
      </c>
      <c r="R399" s="20" t="n">
        <v>7495</v>
      </c>
      <c r="S399" s="20" t="n">
        <v>3853.52</v>
      </c>
      <c r="T399" s="20" t="n">
        <v>3641.48</v>
      </c>
      <c r="U399" s="21" t="n">
        <v>0.514145430286858</v>
      </c>
      <c r="V399" s="22" t="n">
        <v>2.787</v>
      </c>
      <c r="W399" s="17" t="n">
        <v>191</v>
      </c>
      <c r="X399" s="17" t="n">
        <v>16</v>
      </c>
      <c r="Y399" s="20" t="n">
        <v>28918.69</v>
      </c>
      <c r="Z399" s="21" t="n">
        <v>0.0636</v>
      </c>
      <c r="AA399" s="16" t="n">
        <v>44278</v>
      </c>
      <c r="AB399" s="5">
        <f>IF(V399="","",IF(V399&lt;12,"Months","Weeks"))</f>
        <v/>
      </c>
      <c r="AC399" s="5">
        <f>IF(AB399="","",IF(AB399="Months","Daily","Weekly"))</f>
        <v/>
      </c>
      <c r="AD399" s="17">
        <f>IF(V399="","",IF(AC399="Daily",V399*Controls!$B$13,V399))</f>
        <v/>
      </c>
      <c r="AE399" s="17">
        <f>IF(V399="","",IF(AC399="Daily",V399*Controls!$B$13,V399*Controls!$B$12))</f>
        <v/>
      </c>
      <c r="AF399" s="17">
        <f>IF(OR(E399="",F399=""),"",F399-E399)</f>
        <v/>
      </c>
      <c r="AG399" s="17">
        <f>IF(OR(E399="",F399=""),"",NETWORKDAYS(E399,F399,Ref!$F$4:$F$47))</f>
        <v/>
      </c>
      <c r="AH399" s="39">
        <f>IF(IFERROR(VLOOKUP(D399,Controls!$A$25:$D$35,2,FALSE()),"No")="Yes",1,0)</f>
        <v/>
      </c>
      <c r="AI399" s="39">
        <f>IF(IFERROR(VLOOKUP(D399,Controls!$A$25:$D$35,3,FALSE()),"No")="Yes",1,0)</f>
        <v/>
      </c>
      <c r="AJ399" s="39">
        <f>IF(IFERROR(VLOOKUP(D399,Controls!$A$25:$D$35,4,FALSE()),"No")="Yes",1,0)</f>
        <v/>
      </c>
      <c r="AK399" s="96">
        <f>IF(AND($E399&gt;=Controls!$B$5,$E399&lt;=Controls!$B$6,OR(Controls!$E$9&lt;&gt;"Y",$BE399=1)),1,0)</f>
        <v/>
      </c>
      <c r="AL399" s="39">
        <f>1</f>
        <v/>
      </c>
      <c r="AM399" s="20">
        <f>S399-P399</f>
        <v/>
      </c>
      <c r="AN399" s="20">
        <f>IF(AH399=1,MAX(0,P399-S399),0)</f>
        <v/>
      </c>
      <c r="AO399" s="21">
        <f>IFERROR(S399/P399,"")</f>
        <v/>
      </c>
      <c r="AP399" s="22">
        <f>IF(Y399="","",P399/Y399)</f>
        <v/>
      </c>
      <c r="AQ399" s="39">
        <f>IF(Y399="",0,1)</f>
        <v/>
      </c>
      <c r="AR399" s="39">
        <f>IF(S399&lt;=0,1,0)</f>
        <v/>
      </c>
      <c r="AS399" s="17">
        <f>IF(AH399=1,AG399,"")</f>
        <v/>
      </c>
      <c r="AT399" s="17">
        <f>IF(AND(AH399=0,AJ399=1),AG399,"")</f>
        <v/>
      </c>
      <c r="AU399" s="5">
        <f>IF(P399&lt;10000,"Under $10K",IF(P399&lt;20000,"$10-20K",IF(P399&lt;30000,"$20-30K",IF(P399&lt;50000,"$30-50K",IF(P399&lt;100000,"$50-100K","$100K+")))))</f>
        <v/>
      </c>
      <c r="AV399" s="5">
        <f>IF(O399&lt;=1.35,"1.35 and under",IF(O399&lt;=1.42,"1.36-1.42",IF(O399&lt;=1.45,"1.43-1.45",IF(O399&lt;1.49,"1.46-1.48",IF(O399&lt;=1.49,"1.49","Above 1.49")))))</f>
        <v/>
      </c>
      <c r="AW399" s="5">
        <f>IF(AE399="","",IF(AE399&lt;60,"Under 60",IF(AE399&lt;90,"60-89",IF(AE399&lt;120,"90-119",IF(AE399&lt;150,"120-149","150+")))))</f>
        <v/>
      </c>
      <c r="AX399" s="5">
        <f>IF(AP399="","No revenue data",IF(AP399&lt;0.15,"Under 0.15x",IF(AP399&lt;0.3,"0.15-0.30x",IF(AP399&lt;0.5,"0.30-0.50x",IF(AP399&lt;1,"0.50-1.00x","1.00x+")))))</f>
        <v/>
      </c>
      <c r="AY399" s="5">
        <f>IF(J399="","No SIC",IFERROR(VLOOKUP(J399,Ref!$A$4:$C$67,2,FALSE()),"Unclassified"))</f>
        <v/>
      </c>
      <c r="AZ399" s="5">
        <f>IF(E399="","",TEXT(E399,"YYYY")&amp;"-Q"&amp;ROUNDUP(MONTH(E399)/3,0))</f>
        <v/>
      </c>
      <c r="BA399" s="5">
        <f>IF(E399="","",TEXT(E399,"YYYY-MM"))</f>
        <v/>
      </c>
      <c r="BB399" s="5">
        <f>IF(E399="","",TEXT(E399,"YYYY"))</f>
        <v/>
      </c>
      <c r="BC399" s="92">
        <f>IF($E399="","",NETWORKDAYS($E399,Controls!$B$9,Ref!$F$4:$F$47))</f>
        <v/>
      </c>
      <c r="BD399" s="92">
        <f>IF(OR($AH399=1,$AJ399=1),1,0)</f>
        <v/>
      </c>
      <c r="BE399" s="95">
        <f>IF(OR($BD399=1,AND($AE399&lt;&gt;"",$BC399&gt;=Controls!$B$10*$AE399)),1,0)</f>
        <v/>
      </c>
    </row>
    <row r="400" ht="15.75" customHeight="1" s="79">
      <c r="A400" s="5" t="inlineStr">
        <is>
          <t>5674173261</t>
        </is>
      </c>
      <c r="B400" s="5" t="inlineStr">
        <is>
          <t>More Clean of Texas</t>
        </is>
      </c>
      <c r="C400" s="5" t="inlineStr">
        <is>
          <t>Watts Enterprises LLc</t>
        </is>
      </c>
      <c r="D400" s="5" t="inlineStr">
        <is>
          <t>Closed</t>
        </is>
      </c>
      <c r="E400" s="16" t="n">
        <v>45993</v>
      </c>
      <c r="F400" s="16" t="n">
        <v>46164</v>
      </c>
      <c r="G400" s="17" t="n">
        <v>4</v>
      </c>
      <c r="H400" s="5" t="inlineStr">
        <is>
          <t>1442</t>
        </is>
      </c>
      <c r="I400" s="5" t="inlineStr">
        <is>
          <t>Construction Sand and Gravel Mining</t>
        </is>
      </c>
      <c r="J400" s="5" t="inlineStr">
        <is>
          <t>14</t>
        </is>
      </c>
      <c r="K400" s="5" t="n">
        <v>5039</v>
      </c>
      <c r="L400" s="5" t="inlineStr">
        <is>
          <t>TX</t>
        </is>
      </c>
      <c r="M400" s="5" t="inlineStr">
        <is>
          <t>SNA Capital source</t>
        </is>
      </c>
      <c r="N400" s="5" t="inlineStr">
        <is>
          <t>New Deal</t>
        </is>
      </c>
      <c r="O400" s="19" t="n">
        <v>1.46</v>
      </c>
      <c r="P400" s="20" t="n">
        <v>25000</v>
      </c>
      <c r="Q400" s="20" t="n">
        <v>3125</v>
      </c>
      <c r="R400" s="20" t="n">
        <v>36500</v>
      </c>
      <c r="S400" s="20" t="n">
        <v>36500</v>
      </c>
      <c r="T400" s="20" t="n">
        <v>0</v>
      </c>
      <c r="U400" s="21" t="n">
        <v>1</v>
      </c>
      <c r="V400" s="22" t="n">
        <v>22</v>
      </c>
      <c r="W400" s="17" t="n">
        <v>89</v>
      </c>
      <c r="X400" s="17" t="n">
        <v>3</v>
      </c>
      <c r="Y400" s="20" t="n">
        <v>236224.68</v>
      </c>
      <c r="Z400" s="21" t="n">
        <v>0.0359</v>
      </c>
      <c r="AA400" s="16" t="n">
        <v>41640</v>
      </c>
      <c r="AB400" s="5">
        <f>IF(V400="","",IF(V400&lt;12,"Months","Weeks"))</f>
        <v/>
      </c>
      <c r="AC400" s="5">
        <f>IF(AB400="","",IF(AB400="Months","Daily","Weekly"))</f>
        <v/>
      </c>
      <c r="AD400" s="17">
        <f>IF(V400="","",IF(AC400="Daily",V400*Controls!$B$13,V400))</f>
        <v/>
      </c>
      <c r="AE400" s="17">
        <f>IF(V400="","",IF(AC400="Daily",V400*Controls!$B$13,V400*Controls!$B$12))</f>
        <v/>
      </c>
      <c r="AF400" s="17">
        <f>IF(OR(E400="",F400=""),"",F400-E400)</f>
        <v/>
      </c>
      <c r="AG400" s="17">
        <f>IF(OR(E400="",F400=""),"",NETWORKDAYS(E400,F400,Ref!$F$4:$F$47))</f>
        <v/>
      </c>
      <c r="AH400" s="39">
        <f>IF(IFERROR(VLOOKUP(D400,Controls!$A$25:$D$35,2,FALSE()),"No")="Yes",1,0)</f>
        <v/>
      </c>
      <c r="AI400" s="39">
        <f>IF(IFERROR(VLOOKUP(D400,Controls!$A$25:$D$35,3,FALSE()),"No")="Yes",1,0)</f>
        <v/>
      </c>
      <c r="AJ400" s="39">
        <f>IF(IFERROR(VLOOKUP(D400,Controls!$A$25:$D$35,4,FALSE()),"No")="Yes",1,0)</f>
        <v/>
      </c>
      <c r="AK400" s="96">
        <f>IF(AND($E400&gt;=Controls!$B$5,$E400&lt;=Controls!$B$6,OR(Controls!$E$9&lt;&gt;"Y",$BE400=1)),1,0)</f>
        <v/>
      </c>
      <c r="AL400" s="39">
        <f>1</f>
        <v/>
      </c>
      <c r="AM400" s="20">
        <f>S400-P400</f>
        <v/>
      </c>
      <c r="AN400" s="20">
        <f>IF(AH400=1,MAX(0,P400-S400),0)</f>
        <v/>
      </c>
      <c r="AO400" s="21">
        <f>IFERROR(S400/P400,"")</f>
        <v/>
      </c>
      <c r="AP400" s="22">
        <f>IF(Y400="","",P400/Y400)</f>
        <v/>
      </c>
      <c r="AQ400" s="39">
        <f>IF(Y400="",0,1)</f>
        <v/>
      </c>
      <c r="AR400" s="39">
        <f>IF(S400&lt;=0,1,0)</f>
        <v/>
      </c>
      <c r="AS400" s="17">
        <f>IF(AH400=1,AG400,"")</f>
        <v/>
      </c>
      <c r="AT400" s="17">
        <f>IF(AND(AH400=0,AJ400=1),AG400,"")</f>
        <v/>
      </c>
      <c r="AU400" s="5">
        <f>IF(P400&lt;10000,"Under $10K",IF(P400&lt;20000,"$10-20K",IF(P400&lt;30000,"$20-30K",IF(P400&lt;50000,"$30-50K",IF(P400&lt;100000,"$50-100K","$100K+")))))</f>
        <v/>
      </c>
      <c r="AV400" s="5">
        <f>IF(O400&lt;=1.35,"1.35 and under",IF(O400&lt;=1.42,"1.36-1.42",IF(O400&lt;=1.45,"1.43-1.45",IF(O400&lt;1.49,"1.46-1.48",IF(O400&lt;=1.49,"1.49","Above 1.49")))))</f>
        <v/>
      </c>
      <c r="AW400" s="5">
        <f>IF(AE400="","",IF(AE400&lt;60,"Under 60",IF(AE400&lt;90,"60-89",IF(AE400&lt;120,"90-119",IF(AE400&lt;150,"120-149","150+")))))</f>
        <v/>
      </c>
      <c r="AX400" s="5">
        <f>IF(AP400="","No revenue data",IF(AP400&lt;0.15,"Under 0.15x",IF(AP400&lt;0.3,"0.15-0.30x",IF(AP400&lt;0.5,"0.30-0.50x",IF(AP400&lt;1,"0.50-1.00x","1.00x+")))))</f>
        <v/>
      </c>
      <c r="AY400" s="5">
        <f>IF(J400="","No SIC",IFERROR(VLOOKUP(J400,Ref!$A$4:$C$67,2,FALSE()),"Unclassified"))</f>
        <v/>
      </c>
      <c r="AZ400" s="5">
        <f>IF(E400="","",TEXT(E400,"YYYY")&amp;"-Q"&amp;ROUNDUP(MONTH(E400)/3,0))</f>
        <v/>
      </c>
      <c r="BA400" s="5">
        <f>IF(E400="","",TEXT(E400,"YYYY-MM"))</f>
        <v/>
      </c>
      <c r="BB400" s="5">
        <f>IF(E400="","",TEXT(E400,"YYYY"))</f>
        <v/>
      </c>
      <c r="BC400" s="92">
        <f>IF($E400="","",NETWORKDAYS($E400,Controls!$B$9,Ref!$F$4:$F$47))</f>
        <v/>
      </c>
      <c r="BD400" s="92">
        <f>IF(OR($AH400=1,$AJ400=1),1,0)</f>
        <v/>
      </c>
      <c r="BE400" s="95">
        <f>IF(OR($BD400=1,AND($AE400&lt;&gt;"",$BC400&gt;=Controls!$B$10*$AE400)),1,0)</f>
        <v/>
      </c>
    </row>
    <row r="401" ht="15.75" customHeight="1" s="79">
      <c r="A401" s="5" t="inlineStr">
        <is>
          <t>5674173324</t>
        </is>
      </c>
      <c r="B401" s="5" t="inlineStr">
        <is>
          <t>SilentG Consulting, LLC</t>
        </is>
      </c>
      <c r="C401" s="5" t="inlineStr">
        <is>
          <t>SilentG Consulting, LLC</t>
        </is>
      </c>
      <c r="D401" s="5" t="inlineStr">
        <is>
          <t>Closed</t>
        </is>
      </c>
      <c r="E401" s="16" t="n">
        <v>45994</v>
      </c>
      <c r="F401" s="16" t="n">
        <v>46115</v>
      </c>
      <c r="G401" s="17" t="n">
        <v>1</v>
      </c>
      <c r="H401" s="5" t="inlineStr">
        <is>
          <t>8742</t>
        </is>
      </c>
      <c r="I401" s="5" t="inlineStr">
        <is>
          <t>Marketing Consulting Services</t>
        </is>
      </c>
      <c r="J401" s="5" t="inlineStr">
        <is>
          <t>87</t>
        </is>
      </c>
      <c r="K401" s="5" t="n">
        <v>7392</v>
      </c>
      <c r="L401" s="5" t="inlineStr">
        <is>
          <t>NV</t>
        </is>
      </c>
      <c r="M401" s="5" t="inlineStr">
        <is>
          <t>Platform Funding</t>
        </is>
      </c>
      <c r="N401" s="5" t="inlineStr">
        <is>
          <t>New Deal</t>
        </is>
      </c>
      <c r="O401" s="19" t="n">
        <v>1.49</v>
      </c>
      <c r="P401" s="20" t="n">
        <v>5000</v>
      </c>
      <c r="Q401" s="20" t="n">
        <v>700</v>
      </c>
      <c r="R401" s="20" t="n">
        <v>7450</v>
      </c>
      <c r="S401" s="20" t="n">
        <v>7450</v>
      </c>
      <c r="T401" s="20" t="n">
        <v>0</v>
      </c>
      <c r="U401" s="21" t="n">
        <v>1</v>
      </c>
      <c r="V401" s="22" t="n">
        <v>18</v>
      </c>
      <c r="W401" s="17" t="n">
        <v>138</v>
      </c>
      <c r="X401" s="17" t="n">
        <v>0</v>
      </c>
      <c r="Y401" s="20" t="n">
        <v>14839.46</v>
      </c>
      <c r="Z401" s="21" t="n">
        <v>0.1116</v>
      </c>
      <c r="AA401" s="16" t="n">
        <v>44125</v>
      </c>
      <c r="AB401" s="5">
        <f>IF(V401="","",IF(V401&lt;12,"Months","Weeks"))</f>
        <v/>
      </c>
      <c r="AC401" s="5">
        <f>IF(AB401="","",IF(AB401="Months","Daily","Weekly"))</f>
        <v/>
      </c>
      <c r="AD401" s="17">
        <f>IF(V401="","",IF(AC401="Daily",V401*Controls!$B$13,V401))</f>
        <v/>
      </c>
      <c r="AE401" s="17">
        <f>IF(V401="","",IF(AC401="Daily",V401*Controls!$B$13,V401*Controls!$B$12))</f>
        <v/>
      </c>
      <c r="AF401" s="17">
        <f>IF(OR(E401="",F401=""),"",F401-E401)</f>
        <v/>
      </c>
      <c r="AG401" s="17">
        <f>IF(OR(E401="",F401=""),"",NETWORKDAYS(E401,F401,Ref!$F$4:$F$47))</f>
        <v/>
      </c>
      <c r="AH401" s="39">
        <f>IF(IFERROR(VLOOKUP(D401,Controls!$A$25:$D$35,2,FALSE()),"No")="Yes",1,0)</f>
        <v/>
      </c>
      <c r="AI401" s="39">
        <f>IF(IFERROR(VLOOKUP(D401,Controls!$A$25:$D$35,3,FALSE()),"No")="Yes",1,0)</f>
        <v/>
      </c>
      <c r="AJ401" s="39">
        <f>IF(IFERROR(VLOOKUP(D401,Controls!$A$25:$D$35,4,FALSE()),"No")="Yes",1,0)</f>
        <v/>
      </c>
      <c r="AK401" s="96">
        <f>IF(AND($E401&gt;=Controls!$B$5,$E401&lt;=Controls!$B$6,OR(Controls!$E$9&lt;&gt;"Y",$BE401=1)),1,0)</f>
        <v/>
      </c>
      <c r="AL401" s="39">
        <f>1</f>
        <v/>
      </c>
      <c r="AM401" s="20">
        <f>S401-P401</f>
        <v/>
      </c>
      <c r="AN401" s="20">
        <f>IF(AH401=1,MAX(0,P401-S401),0)</f>
        <v/>
      </c>
      <c r="AO401" s="21">
        <f>IFERROR(S401/P401,"")</f>
        <v/>
      </c>
      <c r="AP401" s="22">
        <f>IF(Y401="","",P401/Y401)</f>
        <v/>
      </c>
      <c r="AQ401" s="39">
        <f>IF(Y401="",0,1)</f>
        <v/>
      </c>
      <c r="AR401" s="39">
        <f>IF(S401&lt;=0,1,0)</f>
        <v/>
      </c>
      <c r="AS401" s="17">
        <f>IF(AH401=1,AG401,"")</f>
        <v/>
      </c>
      <c r="AT401" s="17">
        <f>IF(AND(AH401=0,AJ401=1),AG401,"")</f>
        <v/>
      </c>
      <c r="AU401" s="5">
        <f>IF(P401&lt;10000,"Under $10K",IF(P401&lt;20000,"$10-20K",IF(P401&lt;30000,"$20-30K",IF(P401&lt;50000,"$30-50K",IF(P401&lt;100000,"$50-100K","$100K+")))))</f>
        <v/>
      </c>
      <c r="AV401" s="5">
        <f>IF(O401&lt;=1.35,"1.35 and under",IF(O401&lt;=1.42,"1.36-1.42",IF(O401&lt;=1.45,"1.43-1.45",IF(O401&lt;1.49,"1.46-1.48",IF(O401&lt;=1.49,"1.49","Above 1.49")))))</f>
        <v/>
      </c>
      <c r="AW401" s="5">
        <f>IF(AE401="","",IF(AE401&lt;60,"Under 60",IF(AE401&lt;90,"60-89",IF(AE401&lt;120,"90-119",IF(AE401&lt;150,"120-149","150+")))))</f>
        <v/>
      </c>
      <c r="AX401" s="5">
        <f>IF(AP401="","No revenue data",IF(AP401&lt;0.15,"Under 0.15x",IF(AP401&lt;0.3,"0.15-0.30x",IF(AP401&lt;0.5,"0.30-0.50x",IF(AP401&lt;1,"0.50-1.00x","1.00x+")))))</f>
        <v/>
      </c>
      <c r="AY401" s="5">
        <f>IF(J401="","No SIC",IFERROR(VLOOKUP(J401,Ref!$A$4:$C$67,2,FALSE()),"Unclassified"))</f>
        <v/>
      </c>
      <c r="AZ401" s="5">
        <f>IF(E401="","",TEXT(E401,"YYYY")&amp;"-Q"&amp;ROUNDUP(MONTH(E401)/3,0))</f>
        <v/>
      </c>
      <c r="BA401" s="5">
        <f>IF(E401="","",TEXT(E401,"YYYY-MM"))</f>
        <v/>
      </c>
      <c r="BB401" s="5">
        <f>IF(E401="","",TEXT(E401,"YYYY"))</f>
        <v/>
      </c>
      <c r="BC401" s="92">
        <f>IF($E401="","",NETWORKDAYS($E401,Controls!$B$9,Ref!$F$4:$F$47))</f>
        <v/>
      </c>
      <c r="BD401" s="92">
        <f>IF(OR($AH401=1,$AJ401=1),1,0)</f>
        <v/>
      </c>
      <c r="BE401" s="95">
        <f>IF(OR($BD401=1,AND($AE401&lt;&gt;"",$BC401&gt;=Controls!$B$10*$AE401)),1,0)</f>
        <v/>
      </c>
    </row>
    <row r="402" ht="15.75" customHeight="1" s="79">
      <c r="A402" s="5" t="inlineStr">
        <is>
          <t>5674173334</t>
        </is>
      </c>
      <c r="B402" s="5" t="inlineStr">
        <is>
          <t>Robinson Law Firm LLC</t>
        </is>
      </c>
      <c r="C402" s="5" t="inlineStr">
        <is>
          <t>Robinson Law Firm LLC</t>
        </is>
      </c>
      <c r="D402" s="5" t="inlineStr">
        <is>
          <t>Closed</t>
        </is>
      </c>
      <c r="E402" s="16" t="n">
        <v>45994</v>
      </c>
      <c r="F402" s="16" t="n">
        <v>46170</v>
      </c>
      <c r="G402" s="17" t="n">
        <v>2</v>
      </c>
      <c r="H402" s="5" t="inlineStr">
        <is>
          <t>8111</t>
        </is>
      </c>
      <c r="I402" s="5" t="inlineStr">
        <is>
          <t>Offices of Lawyers</t>
        </is>
      </c>
      <c r="J402" s="5" t="inlineStr">
        <is>
          <t>81</t>
        </is>
      </c>
      <c r="K402" s="5" t="n">
        <v>8111</v>
      </c>
      <c r="L402" s="5" t="inlineStr">
        <is>
          <t>KY</t>
        </is>
      </c>
      <c r="M402" s="5" t="inlineStr">
        <is>
          <t>Linked In Funding</t>
        </is>
      </c>
      <c r="N402" s="5" t="inlineStr">
        <is>
          <t>New Deal</t>
        </is>
      </c>
      <c r="O402" s="19" t="n">
        <v>1.49</v>
      </c>
      <c r="P402" s="20" t="n">
        <v>5000</v>
      </c>
      <c r="Q402" s="20" t="n">
        <v>700</v>
      </c>
      <c r="R402" s="20" t="n">
        <v>7450</v>
      </c>
      <c r="S402" s="20" t="n">
        <v>7450</v>
      </c>
      <c r="T402" s="20" t="n">
        <v>0</v>
      </c>
      <c r="U402" s="21" t="n">
        <v>1</v>
      </c>
      <c r="V402" s="22" t="n">
        <v>3.279</v>
      </c>
      <c r="W402" s="17" t="n">
        <v>83</v>
      </c>
      <c r="X402" s="17" t="n">
        <v>6</v>
      </c>
      <c r="Y402" s="20" t="n">
        <v>14600.1</v>
      </c>
      <c r="Z402" s="21" t="n">
        <v>0.1072</v>
      </c>
      <c r="AA402" s="16" t="n">
        <v>40349</v>
      </c>
      <c r="AB402" s="5">
        <f>IF(V402="","",IF(V402&lt;12,"Months","Weeks"))</f>
        <v/>
      </c>
      <c r="AC402" s="5">
        <f>IF(AB402="","",IF(AB402="Months","Daily","Weekly"))</f>
        <v/>
      </c>
      <c r="AD402" s="17">
        <f>IF(V402="","",IF(AC402="Daily",V402*Controls!$B$13,V402))</f>
        <v/>
      </c>
      <c r="AE402" s="17">
        <f>IF(V402="","",IF(AC402="Daily",V402*Controls!$B$13,V402*Controls!$B$12))</f>
        <v/>
      </c>
      <c r="AF402" s="17">
        <f>IF(OR(E402="",F402=""),"",F402-E402)</f>
        <v/>
      </c>
      <c r="AG402" s="17">
        <f>IF(OR(E402="",F402=""),"",NETWORKDAYS(E402,F402,Ref!$F$4:$F$47))</f>
        <v/>
      </c>
      <c r="AH402" s="39">
        <f>IF(IFERROR(VLOOKUP(D402,Controls!$A$25:$D$35,2,FALSE()),"No")="Yes",1,0)</f>
        <v/>
      </c>
      <c r="AI402" s="39">
        <f>IF(IFERROR(VLOOKUP(D402,Controls!$A$25:$D$35,3,FALSE()),"No")="Yes",1,0)</f>
        <v/>
      </c>
      <c r="AJ402" s="39">
        <f>IF(IFERROR(VLOOKUP(D402,Controls!$A$25:$D$35,4,FALSE()),"No")="Yes",1,0)</f>
        <v/>
      </c>
      <c r="AK402" s="96">
        <f>IF(AND($E402&gt;=Controls!$B$5,$E402&lt;=Controls!$B$6,OR(Controls!$E$9&lt;&gt;"Y",$BE402=1)),1,0)</f>
        <v/>
      </c>
      <c r="AL402" s="39">
        <f>1</f>
        <v/>
      </c>
      <c r="AM402" s="20">
        <f>S402-P402</f>
        <v/>
      </c>
      <c r="AN402" s="20">
        <f>IF(AH402=1,MAX(0,P402-S402),0)</f>
        <v/>
      </c>
      <c r="AO402" s="21">
        <f>IFERROR(S402/P402,"")</f>
        <v/>
      </c>
      <c r="AP402" s="22">
        <f>IF(Y402="","",P402/Y402)</f>
        <v/>
      </c>
      <c r="AQ402" s="39">
        <f>IF(Y402="",0,1)</f>
        <v/>
      </c>
      <c r="AR402" s="39">
        <f>IF(S402&lt;=0,1,0)</f>
        <v/>
      </c>
      <c r="AS402" s="17">
        <f>IF(AH402=1,AG402,"")</f>
        <v/>
      </c>
      <c r="AT402" s="17">
        <f>IF(AND(AH402=0,AJ402=1),AG402,"")</f>
        <v/>
      </c>
      <c r="AU402" s="5">
        <f>IF(P402&lt;10000,"Under $10K",IF(P402&lt;20000,"$10-20K",IF(P402&lt;30000,"$20-30K",IF(P402&lt;50000,"$30-50K",IF(P402&lt;100000,"$50-100K","$100K+")))))</f>
        <v/>
      </c>
      <c r="AV402" s="5">
        <f>IF(O402&lt;=1.35,"1.35 and under",IF(O402&lt;=1.42,"1.36-1.42",IF(O402&lt;=1.45,"1.43-1.45",IF(O402&lt;1.49,"1.46-1.48",IF(O402&lt;=1.49,"1.49","Above 1.49")))))</f>
        <v/>
      </c>
      <c r="AW402" s="5">
        <f>IF(AE402="","",IF(AE402&lt;60,"Under 60",IF(AE402&lt;90,"60-89",IF(AE402&lt;120,"90-119",IF(AE402&lt;150,"120-149","150+")))))</f>
        <v/>
      </c>
      <c r="AX402" s="5">
        <f>IF(AP402="","No revenue data",IF(AP402&lt;0.15,"Under 0.15x",IF(AP402&lt;0.3,"0.15-0.30x",IF(AP402&lt;0.5,"0.30-0.50x",IF(AP402&lt;1,"0.50-1.00x","1.00x+")))))</f>
        <v/>
      </c>
      <c r="AY402" s="5">
        <f>IF(J402="","No SIC",IFERROR(VLOOKUP(J402,Ref!$A$4:$C$67,2,FALSE()),"Unclassified"))</f>
        <v/>
      </c>
      <c r="AZ402" s="5">
        <f>IF(E402="","",TEXT(E402,"YYYY")&amp;"-Q"&amp;ROUNDUP(MONTH(E402)/3,0))</f>
        <v/>
      </c>
      <c r="BA402" s="5">
        <f>IF(E402="","",TEXT(E402,"YYYY-MM"))</f>
        <v/>
      </c>
      <c r="BB402" s="5">
        <f>IF(E402="","",TEXT(E402,"YYYY"))</f>
        <v/>
      </c>
      <c r="BC402" s="92">
        <f>IF($E402="","",NETWORKDAYS($E402,Controls!$B$9,Ref!$F$4:$F$47))</f>
        <v/>
      </c>
      <c r="BD402" s="92">
        <f>IF(OR($AH402=1,$AJ402=1),1,0)</f>
        <v/>
      </c>
      <c r="BE402" s="95">
        <f>IF(OR($BD402=1,AND($AE402&lt;&gt;"",$BC402&gt;=Controls!$B$10*$AE402)),1,0)</f>
        <v/>
      </c>
    </row>
    <row r="403" ht="15.75" customHeight="1" s="79">
      <c r="A403" s="5" t="inlineStr">
        <is>
          <t>5674173340</t>
        </is>
      </c>
      <c r="B403" s="5" t="inlineStr">
        <is>
          <t>SC GROUP LLC</t>
        </is>
      </c>
      <c r="C403" s="5" t="inlineStr">
        <is>
          <t>SC GROUP LLC</t>
        </is>
      </c>
      <c r="D403" s="5" t="inlineStr">
        <is>
          <t>Closed</t>
        </is>
      </c>
      <c r="E403" s="16" t="n">
        <v>45994</v>
      </c>
      <c r="F403" s="16" t="n">
        <v>46079</v>
      </c>
      <c r="G403" s="17" t="n">
        <v>3</v>
      </c>
      <c r="H403" s="5" t="inlineStr">
        <is>
          <t>7629</t>
        </is>
      </c>
      <c r="I403" s="5" t="inlineStr">
        <is>
          <t>Consumer Electronics Repair and Maintenance</t>
        </is>
      </c>
      <c r="J403" s="5" t="inlineStr">
        <is>
          <t>76</t>
        </is>
      </c>
      <c r="K403" s="5" t="n">
        <v>7629</v>
      </c>
      <c r="L403" s="5" t="inlineStr">
        <is>
          <t>NJ</t>
        </is>
      </c>
      <c r="M403" s="5" t="inlineStr">
        <is>
          <t>level 3 funding</t>
        </is>
      </c>
      <c r="N403" s="5" t="inlineStr">
        <is>
          <t>New Deal</t>
        </is>
      </c>
      <c r="O403" s="19" t="n">
        <v>1.5</v>
      </c>
      <c r="P403" s="20" t="n">
        <v>7500</v>
      </c>
      <c r="Q403" s="20" t="n">
        <v>1050</v>
      </c>
      <c r="R403" s="20" t="n">
        <v>11250</v>
      </c>
      <c r="S403" s="20" t="n">
        <v>11250</v>
      </c>
      <c r="T403" s="20" t="n">
        <v>0</v>
      </c>
      <c r="U403" s="21" t="n">
        <v>1</v>
      </c>
      <c r="V403" s="22" t="n">
        <v>2.951</v>
      </c>
      <c r="W403" s="17" t="n">
        <v>174</v>
      </c>
      <c r="X403" s="17" t="n">
        <v>0</v>
      </c>
      <c r="Y403" s="20" t="n">
        <v>38306.63</v>
      </c>
      <c r="Z403" s="21" t="n">
        <v>0.068</v>
      </c>
      <c r="AA403" s="16" t="n">
        <v>43374</v>
      </c>
      <c r="AB403" s="5">
        <f>IF(V403="","",IF(V403&lt;12,"Months","Weeks"))</f>
        <v/>
      </c>
      <c r="AC403" s="5">
        <f>IF(AB403="","",IF(AB403="Months","Daily","Weekly"))</f>
        <v/>
      </c>
      <c r="AD403" s="17">
        <f>IF(V403="","",IF(AC403="Daily",V403*Controls!$B$13,V403))</f>
        <v/>
      </c>
      <c r="AE403" s="17">
        <f>IF(V403="","",IF(AC403="Daily",V403*Controls!$B$13,V403*Controls!$B$12))</f>
        <v/>
      </c>
      <c r="AF403" s="17">
        <f>IF(OR(E403="",F403=""),"",F403-E403)</f>
        <v/>
      </c>
      <c r="AG403" s="17">
        <f>IF(OR(E403="",F403=""),"",NETWORKDAYS(E403,F403,Ref!$F$4:$F$47))</f>
        <v/>
      </c>
      <c r="AH403" s="39">
        <f>IF(IFERROR(VLOOKUP(D403,Controls!$A$25:$D$35,2,FALSE()),"No")="Yes",1,0)</f>
        <v/>
      </c>
      <c r="AI403" s="39">
        <f>IF(IFERROR(VLOOKUP(D403,Controls!$A$25:$D$35,3,FALSE()),"No")="Yes",1,0)</f>
        <v/>
      </c>
      <c r="AJ403" s="39">
        <f>IF(IFERROR(VLOOKUP(D403,Controls!$A$25:$D$35,4,FALSE()),"No")="Yes",1,0)</f>
        <v/>
      </c>
      <c r="AK403" s="96">
        <f>IF(AND($E403&gt;=Controls!$B$5,$E403&lt;=Controls!$B$6,OR(Controls!$E$9&lt;&gt;"Y",$BE403=1)),1,0)</f>
        <v/>
      </c>
      <c r="AL403" s="39">
        <f>1</f>
        <v/>
      </c>
      <c r="AM403" s="20">
        <f>S403-P403</f>
        <v/>
      </c>
      <c r="AN403" s="20">
        <f>IF(AH403=1,MAX(0,P403-S403),0)</f>
        <v/>
      </c>
      <c r="AO403" s="21">
        <f>IFERROR(S403/P403,"")</f>
        <v/>
      </c>
      <c r="AP403" s="22">
        <f>IF(Y403="","",P403/Y403)</f>
        <v/>
      </c>
      <c r="AQ403" s="39">
        <f>IF(Y403="",0,1)</f>
        <v/>
      </c>
      <c r="AR403" s="39">
        <f>IF(S403&lt;=0,1,0)</f>
        <v/>
      </c>
      <c r="AS403" s="17">
        <f>IF(AH403=1,AG403,"")</f>
        <v/>
      </c>
      <c r="AT403" s="17">
        <f>IF(AND(AH403=0,AJ403=1),AG403,"")</f>
        <v/>
      </c>
      <c r="AU403" s="5">
        <f>IF(P403&lt;10000,"Under $10K",IF(P403&lt;20000,"$10-20K",IF(P403&lt;30000,"$20-30K",IF(P403&lt;50000,"$30-50K",IF(P403&lt;100000,"$50-100K","$100K+")))))</f>
        <v/>
      </c>
      <c r="AV403" s="5">
        <f>IF(O403&lt;=1.35,"1.35 and under",IF(O403&lt;=1.42,"1.36-1.42",IF(O403&lt;=1.45,"1.43-1.45",IF(O403&lt;1.49,"1.46-1.48",IF(O403&lt;=1.49,"1.49","Above 1.49")))))</f>
        <v/>
      </c>
      <c r="AW403" s="5">
        <f>IF(AE403="","",IF(AE403&lt;60,"Under 60",IF(AE403&lt;90,"60-89",IF(AE403&lt;120,"90-119",IF(AE403&lt;150,"120-149","150+")))))</f>
        <v/>
      </c>
      <c r="AX403" s="5">
        <f>IF(AP403="","No revenue data",IF(AP403&lt;0.15,"Under 0.15x",IF(AP403&lt;0.3,"0.15-0.30x",IF(AP403&lt;0.5,"0.30-0.50x",IF(AP403&lt;1,"0.50-1.00x","1.00x+")))))</f>
        <v/>
      </c>
      <c r="AY403" s="5">
        <f>IF(J403="","No SIC",IFERROR(VLOOKUP(J403,Ref!$A$4:$C$67,2,FALSE()),"Unclassified"))</f>
        <v/>
      </c>
      <c r="AZ403" s="5">
        <f>IF(E403="","",TEXT(E403,"YYYY")&amp;"-Q"&amp;ROUNDUP(MONTH(E403)/3,0))</f>
        <v/>
      </c>
      <c r="BA403" s="5">
        <f>IF(E403="","",TEXT(E403,"YYYY-MM"))</f>
        <v/>
      </c>
      <c r="BB403" s="5">
        <f>IF(E403="","",TEXT(E403,"YYYY"))</f>
        <v/>
      </c>
      <c r="BC403" s="92">
        <f>IF($E403="","",NETWORKDAYS($E403,Controls!$B$9,Ref!$F$4:$F$47))</f>
        <v/>
      </c>
      <c r="BD403" s="92">
        <f>IF(OR($AH403=1,$AJ403=1),1,0)</f>
        <v/>
      </c>
      <c r="BE403" s="95">
        <f>IF(OR($BD403=1,AND($AE403&lt;&gt;"",$BC403&gt;=Controls!$B$10*$AE403)),1,0)</f>
        <v/>
      </c>
    </row>
    <row r="404" ht="15.75" customHeight="1" s="79">
      <c r="A404" s="5" t="inlineStr">
        <is>
          <t>5674173377</t>
        </is>
      </c>
      <c r="B404" s="5" t="inlineStr">
        <is>
          <t>Aero Systems LLC</t>
        </is>
      </c>
      <c r="C404" s="5" t="inlineStr">
        <is>
          <t>Aero Systems LLC</t>
        </is>
      </c>
      <c r="D404" s="5" t="inlineStr">
        <is>
          <t>Legal</t>
        </is>
      </c>
      <c r="E404" s="16" t="n">
        <v>45994</v>
      </c>
      <c r="F404" s="16" t="n">
        <v>46029</v>
      </c>
      <c r="G404" s="17" t="n">
        <v>4</v>
      </c>
      <c r="H404" s="5" t="inlineStr">
        <is>
          <t>4581</t>
        </is>
      </c>
      <c r="I404" s="5" t="inlineStr">
        <is>
          <t>Other Airport Operations</t>
        </is>
      </c>
      <c r="J404" s="5" t="inlineStr">
        <is>
          <t>45</t>
        </is>
      </c>
      <c r="K404" s="5" t="n">
        <v>4582</v>
      </c>
      <c r="L404" s="5" t="inlineStr">
        <is>
          <t>TX</t>
        </is>
      </c>
      <c r="M404" s="5" t="inlineStr">
        <is>
          <t>Fundwell</t>
        </is>
      </c>
      <c r="N404" s="5" t="inlineStr">
        <is>
          <t>New Deal</t>
        </is>
      </c>
      <c r="O404" s="19" t="n">
        <v>1.39</v>
      </c>
      <c r="P404" s="20" t="n">
        <v>50000</v>
      </c>
      <c r="Q404" s="20" t="n">
        <v>6750</v>
      </c>
      <c r="R404" s="20" t="n">
        <v>69500</v>
      </c>
      <c r="S404" s="20" t="n">
        <v>7721.72</v>
      </c>
      <c r="T404" s="20" t="n">
        <v>61778.28</v>
      </c>
      <c r="U404" s="21" t="n">
        <v>0.111103884892086</v>
      </c>
      <c r="V404" s="22" t="n">
        <v>36</v>
      </c>
      <c r="W404" s="17" t="n">
        <v>231</v>
      </c>
      <c r="X404" s="17" t="n">
        <v>1</v>
      </c>
      <c r="Y404" s="20" t="n">
        <v>142205.11</v>
      </c>
      <c r="Z404" s="21" t="n">
        <v>0.0543</v>
      </c>
      <c r="AA404" s="5" t="n"/>
      <c r="AB404" s="5">
        <f>IF(V404="","",IF(V404&lt;12,"Months","Weeks"))</f>
        <v/>
      </c>
      <c r="AC404" s="5">
        <f>IF(AB404="","",IF(AB404="Months","Daily","Weekly"))</f>
        <v/>
      </c>
      <c r="AD404" s="17">
        <f>IF(V404="","",IF(AC404="Daily",V404*Controls!$B$13,V404))</f>
        <v/>
      </c>
      <c r="AE404" s="17">
        <f>IF(V404="","",IF(AC404="Daily",V404*Controls!$B$13,V404*Controls!$B$12))</f>
        <v/>
      </c>
      <c r="AF404" s="17">
        <f>IF(OR(E404="",F404=""),"",F404-E404)</f>
        <v/>
      </c>
      <c r="AG404" s="17">
        <f>IF(OR(E404="",F404=""),"",NETWORKDAYS(E404,F404,Ref!$F$4:$F$47))</f>
        <v/>
      </c>
      <c r="AH404" s="39">
        <f>IF(IFERROR(VLOOKUP(D404,Controls!$A$25:$D$35,2,FALSE()),"No")="Yes",1,0)</f>
        <v/>
      </c>
      <c r="AI404" s="39">
        <f>IF(IFERROR(VLOOKUP(D404,Controls!$A$25:$D$35,3,FALSE()),"No")="Yes",1,0)</f>
        <v/>
      </c>
      <c r="AJ404" s="39">
        <f>IF(IFERROR(VLOOKUP(D404,Controls!$A$25:$D$35,4,FALSE()),"No")="Yes",1,0)</f>
        <v/>
      </c>
      <c r="AK404" s="96">
        <f>IF(AND($E404&gt;=Controls!$B$5,$E404&lt;=Controls!$B$6,OR(Controls!$E$9&lt;&gt;"Y",$BE404=1)),1,0)</f>
        <v/>
      </c>
      <c r="AL404" s="39">
        <f>1</f>
        <v/>
      </c>
      <c r="AM404" s="20">
        <f>S404-P404</f>
        <v/>
      </c>
      <c r="AN404" s="20">
        <f>IF(AH404=1,MAX(0,P404-S404),0)</f>
        <v/>
      </c>
      <c r="AO404" s="21">
        <f>IFERROR(S404/P404,"")</f>
        <v/>
      </c>
      <c r="AP404" s="22">
        <f>IF(Y404="","",P404/Y404)</f>
        <v/>
      </c>
      <c r="AQ404" s="39">
        <f>IF(Y404="",0,1)</f>
        <v/>
      </c>
      <c r="AR404" s="39">
        <f>IF(S404&lt;=0,1,0)</f>
        <v/>
      </c>
      <c r="AS404" s="17">
        <f>IF(AH404=1,AG404,"")</f>
        <v/>
      </c>
      <c r="AT404" s="17">
        <f>IF(AND(AH404=0,AJ404=1),AG404,"")</f>
        <v/>
      </c>
      <c r="AU404" s="5">
        <f>IF(P404&lt;10000,"Under $10K",IF(P404&lt;20000,"$10-20K",IF(P404&lt;30000,"$20-30K",IF(P404&lt;50000,"$30-50K",IF(P404&lt;100000,"$50-100K","$100K+")))))</f>
        <v/>
      </c>
      <c r="AV404" s="5">
        <f>IF(O404&lt;=1.35,"1.35 and under",IF(O404&lt;=1.42,"1.36-1.42",IF(O404&lt;=1.45,"1.43-1.45",IF(O404&lt;1.49,"1.46-1.48",IF(O404&lt;=1.49,"1.49","Above 1.49")))))</f>
        <v/>
      </c>
      <c r="AW404" s="5">
        <f>IF(AE404="","",IF(AE404&lt;60,"Under 60",IF(AE404&lt;90,"60-89",IF(AE404&lt;120,"90-119",IF(AE404&lt;150,"120-149","150+")))))</f>
        <v/>
      </c>
      <c r="AX404" s="5">
        <f>IF(AP404="","No revenue data",IF(AP404&lt;0.15,"Under 0.15x",IF(AP404&lt;0.3,"0.15-0.30x",IF(AP404&lt;0.5,"0.30-0.50x",IF(AP404&lt;1,"0.50-1.00x","1.00x+")))))</f>
        <v/>
      </c>
      <c r="AY404" s="5">
        <f>IF(J404="","No SIC",IFERROR(VLOOKUP(J404,Ref!$A$4:$C$67,2,FALSE()),"Unclassified"))</f>
        <v/>
      </c>
      <c r="AZ404" s="5">
        <f>IF(E404="","",TEXT(E404,"YYYY")&amp;"-Q"&amp;ROUNDUP(MONTH(E404)/3,0))</f>
        <v/>
      </c>
      <c r="BA404" s="5">
        <f>IF(E404="","",TEXT(E404,"YYYY-MM"))</f>
        <v/>
      </c>
      <c r="BB404" s="5">
        <f>IF(E404="","",TEXT(E404,"YYYY"))</f>
        <v/>
      </c>
      <c r="BC404" s="92">
        <f>IF($E404="","",NETWORKDAYS($E404,Controls!$B$9,Ref!$F$4:$F$47))</f>
        <v/>
      </c>
      <c r="BD404" s="92">
        <f>IF(OR($AH404=1,$AJ404=1),1,0)</f>
        <v/>
      </c>
      <c r="BE404" s="95">
        <f>IF(OR($BD404=1,AND($AE404&lt;&gt;"",$BC404&gt;=Controls!$B$10*$AE404)),1,0)</f>
        <v/>
      </c>
    </row>
    <row r="405" ht="15.75" customHeight="1" s="79">
      <c r="A405" s="5" t="inlineStr">
        <is>
          <t>5674173462</t>
        </is>
      </c>
      <c r="B405" s="5" t="inlineStr">
        <is>
          <t>F AND K HOMECARE SERVICES LLC</t>
        </is>
      </c>
      <c r="C405" s="5" t="inlineStr">
        <is>
          <t>F AND K HOMECARE SERVICES LLC</t>
        </is>
      </c>
      <c r="D405" s="5" t="inlineStr">
        <is>
          <t>In House Collection</t>
        </is>
      </c>
      <c r="E405" s="16" t="n">
        <v>45995</v>
      </c>
      <c r="F405" s="16" t="n">
        <v>46178</v>
      </c>
      <c r="G405" s="17" t="n">
        <v>2</v>
      </c>
      <c r="H405" s="5" t="inlineStr">
        <is>
          <t>8082</t>
        </is>
      </c>
      <c r="I405" s="5" t="inlineStr">
        <is>
          <t>Home Health Care Services</t>
        </is>
      </c>
      <c r="J405" s="5" t="inlineStr">
        <is>
          <t>80</t>
        </is>
      </c>
      <c r="K405" s="5" t="n">
        <v>8050</v>
      </c>
      <c r="L405" s="5" t="inlineStr">
        <is>
          <t>MN</t>
        </is>
      </c>
      <c r="M405" s="5" t="inlineStr">
        <is>
          <t>Westwood</t>
        </is>
      </c>
      <c r="N405" s="5" t="inlineStr">
        <is>
          <t>New Deal</t>
        </is>
      </c>
      <c r="O405" s="19" t="n">
        <v>1.49</v>
      </c>
      <c r="P405" s="20" t="n">
        <v>12000</v>
      </c>
      <c r="Q405" s="20" t="n">
        <v>1680</v>
      </c>
      <c r="R405" s="20" t="n">
        <v>17880</v>
      </c>
      <c r="S405" s="20" t="n">
        <v>7947.39</v>
      </c>
      <c r="T405" s="20" t="n">
        <v>9932.610000000001</v>
      </c>
      <c r="U405" s="21" t="n">
        <v>0.444484899328859</v>
      </c>
      <c r="V405" s="22" t="n">
        <v>18</v>
      </c>
      <c r="W405" s="17" t="n">
        <v>117</v>
      </c>
      <c r="X405" s="17" t="n">
        <v>14</v>
      </c>
      <c r="Y405" s="20" t="n">
        <v>45727.67</v>
      </c>
      <c r="Z405" s="21" t="n">
        <v>0.08690000000000001</v>
      </c>
      <c r="AA405" s="16" t="n">
        <v>43831</v>
      </c>
      <c r="AB405" s="5">
        <f>IF(V405="","",IF(V405&lt;12,"Months","Weeks"))</f>
        <v/>
      </c>
      <c r="AC405" s="5">
        <f>IF(AB405="","",IF(AB405="Months","Daily","Weekly"))</f>
        <v/>
      </c>
      <c r="AD405" s="17">
        <f>IF(V405="","",IF(AC405="Daily",V405*Controls!$B$13,V405))</f>
        <v/>
      </c>
      <c r="AE405" s="17">
        <f>IF(V405="","",IF(AC405="Daily",V405*Controls!$B$13,V405*Controls!$B$12))</f>
        <v/>
      </c>
      <c r="AF405" s="17">
        <f>IF(OR(E405="",F405=""),"",F405-E405)</f>
        <v/>
      </c>
      <c r="AG405" s="17">
        <f>IF(OR(E405="",F405=""),"",NETWORKDAYS(E405,F405,Ref!$F$4:$F$47))</f>
        <v/>
      </c>
      <c r="AH405" s="39">
        <f>IF(IFERROR(VLOOKUP(D405,Controls!$A$25:$D$35,2,FALSE()),"No")="Yes",1,0)</f>
        <v/>
      </c>
      <c r="AI405" s="39">
        <f>IF(IFERROR(VLOOKUP(D405,Controls!$A$25:$D$35,3,FALSE()),"No")="Yes",1,0)</f>
        <v/>
      </c>
      <c r="AJ405" s="39">
        <f>IF(IFERROR(VLOOKUP(D405,Controls!$A$25:$D$35,4,FALSE()),"No")="Yes",1,0)</f>
        <v/>
      </c>
      <c r="AK405" s="96">
        <f>IF(AND($E405&gt;=Controls!$B$5,$E405&lt;=Controls!$B$6,OR(Controls!$E$9&lt;&gt;"Y",$BE405=1)),1,0)</f>
        <v/>
      </c>
      <c r="AL405" s="39">
        <f>1</f>
        <v/>
      </c>
      <c r="AM405" s="20">
        <f>S405-P405</f>
        <v/>
      </c>
      <c r="AN405" s="20">
        <f>IF(AH405=1,MAX(0,P405-S405),0)</f>
        <v/>
      </c>
      <c r="AO405" s="21">
        <f>IFERROR(S405/P405,"")</f>
        <v/>
      </c>
      <c r="AP405" s="22">
        <f>IF(Y405="","",P405/Y405)</f>
        <v/>
      </c>
      <c r="AQ405" s="39">
        <f>IF(Y405="",0,1)</f>
        <v/>
      </c>
      <c r="AR405" s="39">
        <f>IF(S405&lt;=0,1,0)</f>
        <v/>
      </c>
      <c r="AS405" s="17">
        <f>IF(AH405=1,AG405,"")</f>
        <v/>
      </c>
      <c r="AT405" s="17">
        <f>IF(AND(AH405=0,AJ405=1),AG405,"")</f>
        <v/>
      </c>
      <c r="AU405" s="5">
        <f>IF(P405&lt;10000,"Under $10K",IF(P405&lt;20000,"$10-20K",IF(P405&lt;30000,"$20-30K",IF(P405&lt;50000,"$30-50K",IF(P405&lt;100000,"$50-100K","$100K+")))))</f>
        <v/>
      </c>
      <c r="AV405" s="5">
        <f>IF(O405&lt;=1.35,"1.35 and under",IF(O405&lt;=1.42,"1.36-1.42",IF(O405&lt;=1.45,"1.43-1.45",IF(O405&lt;1.49,"1.46-1.48",IF(O405&lt;=1.49,"1.49","Above 1.49")))))</f>
        <v/>
      </c>
      <c r="AW405" s="5">
        <f>IF(AE405="","",IF(AE405&lt;60,"Under 60",IF(AE405&lt;90,"60-89",IF(AE405&lt;120,"90-119",IF(AE405&lt;150,"120-149","150+")))))</f>
        <v/>
      </c>
      <c r="AX405" s="5">
        <f>IF(AP405="","No revenue data",IF(AP405&lt;0.15,"Under 0.15x",IF(AP405&lt;0.3,"0.15-0.30x",IF(AP405&lt;0.5,"0.30-0.50x",IF(AP405&lt;1,"0.50-1.00x","1.00x+")))))</f>
        <v/>
      </c>
      <c r="AY405" s="5">
        <f>IF(J405="","No SIC",IFERROR(VLOOKUP(J405,Ref!$A$4:$C$67,2,FALSE()),"Unclassified"))</f>
        <v/>
      </c>
      <c r="AZ405" s="5">
        <f>IF(E405="","",TEXT(E405,"YYYY")&amp;"-Q"&amp;ROUNDUP(MONTH(E405)/3,0))</f>
        <v/>
      </c>
      <c r="BA405" s="5">
        <f>IF(E405="","",TEXT(E405,"YYYY-MM"))</f>
        <v/>
      </c>
      <c r="BB405" s="5">
        <f>IF(E405="","",TEXT(E405,"YYYY"))</f>
        <v/>
      </c>
      <c r="BC405" s="92">
        <f>IF($E405="","",NETWORKDAYS($E405,Controls!$B$9,Ref!$F$4:$F$47))</f>
        <v/>
      </c>
      <c r="BD405" s="92">
        <f>IF(OR($AH405=1,$AJ405=1),1,0)</f>
        <v/>
      </c>
      <c r="BE405" s="95">
        <f>IF(OR($BD405=1,AND($AE405&lt;&gt;"",$BC405&gt;=Controls!$B$10*$AE405)),1,0)</f>
        <v/>
      </c>
    </row>
    <row r="406" ht="15.75" customHeight="1" s="79">
      <c r="A406" s="5" t="inlineStr">
        <is>
          <t>5674173466</t>
        </is>
      </c>
      <c r="B406" s="5" t="inlineStr">
        <is>
          <t>CASTROS CARGO EXPRESS LLC</t>
        </is>
      </c>
      <c r="C406" s="5" t="inlineStr">
        <is>
          <t>CASTROS CARGO EXPRESS LLC</t>
        </is>
      </c>
      <c r="D406" s="5" t="inlineStr">
        <is>
          <t>Closed</t>
        </is>
      </c>
      <c r="E406" s="16" t="n">
        <v>45995</v>
      </c>
      <c r="F406" s="16" t="n">
        <v>46051</v>
      </c>
      <c r="G406" s="17" t="n">
        <v>2</v>
      </c>
      <c r="H406" s="5" t="inlineStr">
        <is>
          <t>4212</t>
        </is>
      </c>
      <c r="I406" s="5" t="inlineStr">
        <is>
          <t>Specialized Freight (Except Used Goods) Trucking, Local</t>
        </is>
      </c>
      <c r="J406" s="5" t="inlineStr">
        <is>
          <t>42</t>
        </is>
      </c>
      <c r="K406" s="5" t="n">
        <v>4214</v>
      </c>
      <c r="L406" s="5" t="inlineStr">
        <is>
          <t>NJ</t>
        </is>
      </c>
      <c r="M406" s="5" t="inlineStr">
        <is>
          <t>United Secured Capital 8</t>
        </is>
      </c>
      <c r="N406" s="5" t="inlineStr">
        <is>
          <t>New Deal</t>
        </is>
      </c>
      <c r="O406" s="19" t="n">
        <v>1.499</v>
      </c>
      <c r="P406" s="20" t="n">
        <v>8000</v>
      </c>
      <c r="Q406" s="20" t="n">
        <v>1120</v>
      </c>
      <c r="R406" s="20" t="n">
        <v>11992</v>
      </c>
      <c r="S406" s="20" t="n">
        <v>11992</v>
      </c>
      <c r="T406" s="20" t="n">
        <v>0</v>
      </c>
      <c r="U406" s="21" t="n">
        <v>1</v>
      </c>
      <c r="V406" s="22" t="n">
        <v>2.295</v>
      </c>
      <c r="W406" s="17" t="n">
        <v>202</v>
      </c>
      <c r="X406" s="17" t="n">
        <v>0</v>
      </c>
      <c r="Y406" s="20" t="n">
        <v>8926.51</v>
      </c>
      <c r="Z406" s="21" t="n">
        <v>0.4006</v>
      </c>
      <c r="AA406" s="5" t="n"/>
      <c r="AB406" s="5">
        <f>IF(V406="","",IF(V406&lt;12,"Months","Weeks"))</f>
        <v/>
      </c>
      <c r="AC406" s="5">
        <f>IF(AB406="","",IF(AB406="Months","Daily","Weekly"))</f>
        <v/>
      </c>
      <c r="AD406" s="17">
        <f>IF(V406="","",IF(AC406="Daily",V406*Controls!$B$13,V406))</f>
        <v/>
      </c>
      <c r="AE406" s="17">
        <f>IF(V406="","",IF(AC406="Daily",V406*Controls!$B$13,V406*Controls!$B$12))</f>
        <v/>
      </c>
      <c r="AF406" s="17">
        <f>IF(OR(E406="",F406=""),"",F406-E406)</f>
        <v/>
      </c>
      <c r="AG406" s="17">
        <f>IF(OR(E406="",F406=""),"",NETWORKDAYS(E406,F406,Ref!$F$4:$F$47))</f>
        <v/>
      </c>
      <c r="AH406" s="39">
        <f>IF(IFERROR(VLOOKUP(D406,Controls!$A$25:$D$35,2,FALSE()),"No")="Yes",1,0)</f>
        <v/>
      </c>
      <c r="AI406" s="39">
        <f>IF(IFERROR(VLOOKUP(D406,Controls!$A$25:$D$35,3,FALSE()),"No")="Yes",1,0)</f>
        <v/>
      </c>
      <c r="AJ406" s="39">
        <f>IF(IFERROR(VLOOKUP(D406,Controls!$A$25:$D$35,4,FALSE()),"No")="Yes",1,0)</f>
        <v/>
      </c>
      <c r="AK406" s="96">
        <f>IF(AND($E406&gt;=Controls!$B$5,$E406&lt;=Controls!$B$6,OR(Controls!$E$9&lt;&gt;"Y",$BE406=1)),1,0)</f>
        <v/>
      </c>
      <c r="AL406" s="39">
        <f>1</f>
        <v/>
      </c>
      <c r="AM406" s="20">
        <f>S406-P406</f>
        <v/>
      </c>
      <c r="AN406" s="20">
        <f>IF(AH406=1,MAX(0,P406-S406),0)</f>
        <v/>
      </c>
      <c r="AO406" s="21">
        <f>IFERROR(S406/P406,"")</f>
        <v/>
      </c>
      <c r="AP406" s="22">
        <f>IF(Y406="","",P406/Y406)</f>
        <v/>
      </c>
      <c r="AQ406" s="39">
        <f>IF(Y406="",0,1)</f>
        <v/>
      </c>
      <c r="AR406" s="39">
        <f>IF(S406&lt;=0,1,0)</f>
        <v/>
      </c>
      <c r="AS406" s="17">
        <f>IF(AH406=1,AG406,"")</f>
        <v/>
      </c>
      <c r="AT406" s="17">
        <f>IF(AND(AH406=0,AJ406=1),AG406,"")</f>
        <v/>
      </c>
      <c r="AU406" s="5">
        <f>IF(P406&lt;10000,"Under $10K",IF(P406&lt;20000,"$10-20K",IF(P406&lt;30000,"$20-30K",IF(P406&lt;50000,"$30-50K",IF(P406&lt;100000,"$50-100K","$100K+")))))</f>
        <v/>
      </c>
      <c r="AV406" s="5">
        <f>IF(O406&lt;=1.35,"1.35 and under",IF(O406&lt;=1.42,"1.36-1.42",IF(O406&lt;=1.45,"1.43-1.45",IF(O406&lt;1.49,"1.46-1.48",IF(O406&lt;=1.49,"1.49","Above 1.49")))))</f>
        <v/>
      </c>
      <c r="AW406" s="5">
        <f>IF(AE406="","",IF(AE406&lt;60,"Under 60",IF(AE406&lt;90,"60-89",IF(AE406&lt;120,"90-119",IF(AE406&lt;150,"120-149","150+")))))</f>
        <v/>
      </c>
      <c r="AX406" s="5">
        <f>IF(AP406="","No revenue data",IF(AP406&lt;0.15,"Under 0.15x",IF(AP406&lt;0.3,"0.15-0.30x",IF(AP406&lt;0.5,"0.30-0.50x",IF(AP406&lt;1,"0.50-1.00x","1.00x+")))))</f>
        <v/>
      </c>
      <c r="AY406" s="5">
        <f>IF(J406="","No SIC",IFERROR(VLOOKUP(J406,Ref!$A$4:$C$67,2,FALSE()),"Unclassified"))</f>
        <v/>
      </c>
      <c r="AZ406" s="5">
        <f>IF(E406="","",TEXT(E406,"YYYY")&amp;"-Q"&amp;ROUNDUP(MONTH(E406)/3,0))</f>
        <v/>
      </c>
      <c r="BA406" s="5">
        <f>IF(E406="","",TEXT(E406,"YYYY-MM"))</f>
        <v/>
      </c>
      <c r="BB406" s="5">
        <f>IF(E406="","",TEXT(E406,"YYYY"))</f>
        <v/>
      </c>
      <c r="BC406" s="92">
        <f>IF($E406="","",NETWORKDAYS($E406,Controls!$B$9,Ref!$F$4:$F$47))</f>
        <v/>
      </c>
      <c r="BD406" s="92">
        <f>IF(OR($AH406=1,$AJ406=1),1,0)</f>
        <v/>
      </c>
      <c r="BE406" s="95">
        <f>IF(OR($BD406=1,AND($AE406&lt;&gt;"",$BC406&gt;=Controls!$B$10*$AE406)),1,0)</f>
        <v/>
      </c>
    </row>
    <row r="407" ht="15.75" customHeight="1" s="79">
      <c r="A407" s="5" t="inlineStr">
        <is>
          <t>5674173467</t>
        </is>
      </c>
      <c r="B407" s="5" t="inlineStr">
        <is>
          <t>B&amp;T Construction And Remodels</t>
        </is>
      </c>
      <c r="C407" s="5" t="inlineStr">
        <is>
          <t>B&amp;T CONSTRUCTION AND REMODELS LLC</t>
        </is>
      </c>
      <c r="D407" s="5" t="inlineStr">
        <is>
          <t>Open</t>
        </is>
      </c>
      <c r="E407" s="16" t="n">
        <v>45995</v>
      </c>
      <c r="F407" s="16" t="n">
        <v>46248</v>
      </c>
      <c r="G407" s="17" t="n">
        <v>3</v>
      </c>
      <c r="H407" s="5" t="inlineStr">
        <is>
          <t>1442</t>
        </is>
      </c>
      <c r="I407" s="5" t="inlineStr">
        <is>
          <t>Construction Sand and Gravel Mining</t>
        </is>
      </c>
      <c r="J407" s="5" t="inlineStr">
        <is>
          <t>14</t>
        </is>
      </c>
      <c r="K407" s="5" t="n">
        <v>5039</v>
      </c>
      <c r="L407" s="5" t="inlineStr">
        <is>
          <t>ID</t>
        </is>
      </c>
      <c r="M407" s="5" t="inlineStr">
        <is>
          <t>Fundwell</t>
        </is>
      </c>
      <c r="N407" s="5" t="inlineStr">
        <is>
          <t>New Deal</t>
        </is>
      </c>
      <c r="O407" s="19" t="n">
        <v>1.46</v>
      </c>
      <c r="P407" s="20" t="n">
        <v>40000</v>
      </c>
      <c r="Q407" s="20" t="n">
        <v>6200</v>
      </c>
      <c r="R407" s="20" t="n">
        <v>58400</v>
      </c>
      <c r="S407" s="20" t="n">
        <v>58400</v>
      </c>
      <c r="T407" s="20" t="n">
        <v>0</v>
      </c>
      <c r="U407" s="21" t="n">
        <v>1</v>
      </c>
      <c r="V407" s="22" t="n">
        <v>40</v>
      </c>
      <c r="W407" s="17" t="n">
        <v>5</v>
      </c>
      <c r="X407" s="17" t="n">
        <v>1</v>
      </c>
      <c r="Y407" s="20" t="n">
        <v>100259.01</v>
      </c>
      <c r="Z407" s="21" t="n">
        <v>0.0582</v>
      </c>
      <c r="AA407" s="16" t="n">
        <v>42382</v>
      </c>
      <c r="AB407" s="5">
        <f>IF(V407="","",IF(V407&lt;12,"Months","Weeks"))</f>
        <v/>
      </c>
      <c r="AC407" s="5">
        <f>IF(AB407="","",IF(AB407="Months","Daily","Weekly"))</f>
        <v/>
      </c>
      <c r="AD407" s="17">
        <f>IF(V407="","",IF(AC407="Daily",V407*Controls!$B$13,V407))</f>
        <v/>
      </c>
      <c r="AE407" s="17">
        <f>IF(V407="","",IF(AC407="Daily",V407*Controls!$B$13,V407*Controls!$B$12))</f>
        <v/>
      </c>
      <c r="AF407" s="17">
        <f>IF(OR(E407="",F407=""),"",F407-E407)</f>
        <v/>
      </c>
      <c r="AG407" s="17">
        <f>IF(OR(E407="",F407=""),"",NETWORKDAYS(E407,F407,Ref!$F$4:$F$47))</f>
        <v/>
      </c>
      <c r="AH407" s="39">
        <f>IF(IFERROR(VLOOKUP(D407,Controls!$A$25:$D$35,2,FALSE()),"No")="Yes",1,0)</f>
        <v/>
      </c>
      <c r="AI407" s="39">
        <f>IF(IFERROR(VLOOKUP(D407,Controls!$A$25:$D$35,3,FALSE()),"No")="Yes",1,0)</f>
        <v/>
      </c>
      <c r="AJ407" s="39">
        <f>IF(IFERROR(VLOOKUP(D407,Controls!$A$25:$D$35,4,FALSE()),"No")="Yes",1,0)</f>
        <v/>
      </c>
      <c r="AK407" s="96">
        <f>IF(AND($E407&gt;=Controls!$B$5,$E407&lt;=Controls!$B$6,OR(Controls!$E$9&lt;&gt;"Y",$BE407=1)),1,0)</f>
        <v/>
      </c>
      <c r="AL407" s="39">
        <f>1</f>
        <v/>
      </c>
      <c r="AM407" s="20">
        <f>S407-P407</f>
        <v/>
      </c>
      <c r="AN407" s="20">
        <f>IF(AH407=1,MAX(0,P407-S407),0)</f>
        <v/>
      </c>
      <c r="AO407" s="21">
        <f>IFERROR(S407/P407,"")</f>
        <v/>
      </c>
      <c r="AP407" s="22">
        <f>IF(Y407="","",P407/Y407)</f>
        <v/>
      </c>
      <c r="AQ407" s="39">
        <f>IF(Y407="",0,1)</f>
        <v/>
      </c>
      <c r="AR407" s="39">
        <f>IF(S407&lt;=0,1,0)</f>
        <v/>
      </c>
      <c r="AS407" s="17">
        <f>IF(AH407=1,AG407,"")</f>
        <v/>
      </c>
      <c r="AT407" s="17">
        <f>IF(AND(AH407=0,AJ407=1),AG407,"")</f>
        <v/>
      </c>
      <c r="AU407" s="5">
        <f>IF(P407&lt;10000,"Under $10K",IF(P407&lt;20000,"$10-20K",IF(P407&lt;30000,"$20-30K",IF(P407&lt;50000,"$30-50K",IF(P407&lt;100000,"$50-100K","$100K+")))))</f>
        <v/>
      </c>
      <c r="AV407" s="5">
        <f>IF(O407&lt;=1.35,"1.35 and under",IF(O407&lt;=1.42,"1.36-1.42",IF(O407&lt;=1.45,"1.43-1.45",IF(O407&lt;1.49,"1.46-1.48",IF(O407&lt;=1.49,"1.49","Above 1.49")))))</f>
        <v/>
      </c>
      <c r="AW407" s="5">
        <f>IF(AE407="","",IF(AE407&lt;60,"Under 60",IF(AE407&lt;90,"60-89",IF(AE407&lt;120,"90-119",IF(AE407&lt;150,"120-149","150+")))))</f>
        <v/>
      </c>
      <c r="AX407" s="5">
        <f>IF(AP407="","No revenue data",IF(AP407&lt;0.15,"Under 0.15x",IF(AP407&lt;0.3,"0.15-0.30x",IF(AP407&lt;0.5,"0.30-0.50x",IF(AP407&lt;1,"0.50-1.00x","1.00x+")))))</f>
        <v/>
      </c>
      <c r="AY407" s="5">
        <f>IF(J407="","No SIC",IFERROR(VLOOKUP(J407,Ref!$A$4:$C$67,2,FALSE()),"Unclassified"))</f>
        <v/>
      </c>
      <c r="AZ407" s="5">
        <f>IF(E407="","",TEXT(E407,"YYYY")&amp;"-Q"&amp;ROUNDUP(MONTH(E407)/3,0))</f>
        <v/>
      </c>
      <c r="BA407" s="5">
        <f>IF(E407="","",TEXT(E407,"YYYY-MM"))</f>
        <v/>
      </c>
      <c r="BB407" s="5">
        <f>IF(E407="","",TEXT(E407,"YYYY"))</f>
        <v/>
      </c>
      <c r="BC407" s="92">
        <f>IF($E407="","",NETWORKDAYS($E407,Controls!$B$9,Ref!$F$4:$F$47))</f>
        <v/>
      </c>
      <c r="BD407" s="92">
        <f>IF(OR($AH407=1,$AJ407=1),1,0)</f>
        <v/>
      </c>
      <c r="BE407" s="95">
        <f>IF(OR($BD407=1,AND($AE407&lt;&gt;"",$BC407&gt;=Controls!$B$10*$AE407)),1,0)</f>
        <v/>
      </c>
    </row>
    <row r="408" ht="15.75" customHeight="1" s="79">
      <c r="A408" s="5" t="inlineStr">
        <is>
          <t>5674173477</t>
        </is>
      </c>
      <c r="B408" s="5" t="inlineStr">
        <is>
          <t>SFV BUILDERS CORPORATION</t>
        </is>
      </c>
      <c r="C408" s="5" t="inlineStr">
        <is>
          <t>SFV BUILDERS CORPORATION</t>
        </is>
      </c>
      <c r="D408" s="5" t="inlineStr">
        <is>
          <t>Legal</t>
        </is>
      </c>
      <c r="E408" s="16" t="n">
        <v>45995</v>
      </c>
      <c r="F408" s="16" t="n">
        <v>46112</v>
      </c>
      <c r="G408" s="17" t="n">
        <v>2</v>
      </c>
      <c r="H408" s="5" t="inlineStr">
        <is>
          <t>1521</t>
        </is>
      </c>
      <c r="I408" s="5" t="inlineStr">
        <is>
          <t>New Single-Family Housing Construction (Except For-Sale Builders)</t>
        </is>
      </c>
      <c r="J408" s="5" t="inlineStr">
        <is>
          <t>15</t>
        </is>
      </c>
      <c r="K408" s="5" t="n">
        <v>1520</v>
      </c>
      <c r="L408" s="5" t="inlineStr">
        <is>
          <t>CA</t>
        </is>
      </c>
      <c r="M408" s="5" t="inlineStr">
        <is>
          <t>BizFin LLC</t>
        </is>
      </c>
      <c r="N408" s="5" t="inlineStr">
        <is>
          <t>New Deal</t>
        </is>
      </c>
      <c r="O408" s="19" t="n">
        <v>1.49</v>
      </c>
      <c r="P408" s="20" t="n">
        <v>7500</v>
      </c>
      <c r="Q408" s="20" t="n">
        <v>1050</v>
      </c>
      <c r="R408" s="20" t="n">
        <v>11175</v>
      </c>
      <c r="S408" s="20" t="n">
        <v>3916.15</v>
      </c>
      <c r="T408" s="20" t="n">
        <v>7258.85</v>
      </c>
      <c r="U408" s="21" t="n">
        <v>0.350438478747204</v>
      </c>
      <c r="V408" s="22" t="n">
        <v>20</v>
      </c>
      <c r="W408" s="17" t="n">
        <v>183</v>
      </c>
      <c r="X408" s="17" t="n">
        <v>13</v>
      </c>
      <c r="Y408" s="20" t="n">
        <v>78518.78</v>
      </c>
      <c r="Z408" s="21" t="n">
        <v>0.0285</v>
      </c>
      <c r="AA408" s="16" t="n">
        <v>44358</v>
      </c>
      <c r="AB408" s="5">
        <f>IF(V408="","",IF(V408&lt;12,"Months","Weeks"))</f>
        <v/>
      </c>
      <c r="AC408" s="5">
        <f>IF(AB408="","",IF(AB408="Months","Daily","Weekly"))</f>
        <v/>
      </c>
      <c r="AD408" s="17">
        <f>IF(V408="","",IF(AC408="Daily",V408*Controls!$B$13,V408))</f>
        <v/>
      </c>
      <c r="AE408" s="17">
        <f>IF(V408="","",IF(AC408="Daily",V408*Controls!$B$13,V408*Controls!$B$12))</f>
        <v/>
      </c>
      <c r="AF408" s="17">
        <f>IF(OR(E408="",F408=""),"",F408-E408)</f>
        <v/>
      </c>
      <c r="AG408" s="17">
        <f>IF(OR(E408="",F408=""),"",NETWORKDAYS(E408,F408,Ref!$F$4:$F$47))</f>
        <v/>
      </c>
      <c r="AH408" s="39">
        <f>IF(IFERROR(VLOOKUP(D408,Controls!$A$25:$D$35,2,FALSE()),"No")="Yes",1,0)</f>
        <v/>
      </c>
      <c r="AI408" s="39">
        <f>IF(IFERROR(VLOOKUP(D408,Controls!$A$25:$D$35,3,FALSE()),"No")="Yes",1,0)</f>
        <v/>
      </c>
      <c r="AJ408" s="39">
        <f>IF(IFERROR(VLOOKUP(D408,Controls!$A$25:$D$35,4,FALSE()),"No")="Yes",1,0)</f>
        <v/>
      </c>
      <c r="AK408" s="96">
        <f>IF(AND($E408&gt;=Controls!$B$5,$E408&lt;=Controls!$B$6,OR(Controls!$E$9&lt;&gt;"Y",$BE408=1)),1,0)</f>
        <v/>
      </c>
      <c r="AL408" s="39">
        <f>1</f>
        <v/>
      </c>
      <c r="AM408" s="20">
        <f>S408-P408</f>
        <v/>
      </c>
      <c r="AN408" s="20">
        <f>IF(AH408=1,MAX(0,P408-S408),0)</f>
        <v/>
      </c>
      <c r="AO408" s="21">
        <f>IFERROR(S408/P408,"")</f>
        <v/>
      </c>
      <c r="AP408" s="22">
        <f>IF(Y408="","",P408/Y408)</f>
        <v/>
      </c>
      <c r="AQ408" s="39">
        <f>IF(Y408="",0,1)</f>
        <v/>
      </c>
      <c r="AR408" s="39">
        <f>IF(S408&lt;=0,1,0)</f>
        <v/>
      </c>
      <c r="AS408" s="17">
        <f>IF(AH408=1,AG408,"")</f>
        <v/>
      </c>
      <c r="AT408" s="17">
        <f>IF(AND(AH408=0,AJ408=1),AG408,"")</f>
        <v/>
      </c>
      <c r="AU408" s="5">
        <f>IF(P408&lt;10000,"Under $10K",IF(P408&lt;20000,"$10-20K",IF(P408&lt;30000,"$20-30K",IF(P408&lt;50000,"$30-50K",IF(P408&lt;100000,"$50-100K","$100K+")))))</f>
        <v/>
      </c>
      <c r="AV408" s="5">
        <f>IF(O408&lt;=1.35,"1.35 and under",IF(O408&lt;=1.42,"1.36-1.42",IF(O408&lt;=1.45,"1.43-1.45",IF(O408&lt;1.49,"1.46-1.48",IF(O408&lt;=1.49,"1.49","Above 1.49")))))</f>
        <v/>
      </c>
      <c r="AW408" s="5">
        <f>IF(AE408="","",IF(AE408&lt;60,"Under 60",IF(AE408&lt;90,"60-89",IF(AE408&lt;120,"90-119",IF(AE408&lt;150,"120-149","150+")))))</f>
        <v/>
      </c>
      <c r="AX408" s="5">
        <f>IF(AP408="","No revenue data",IF(AP408&lt;0.15,"Under 0.15x",IF(AP408&lt;0.3,"0.15-0.30x",IF(AP408&lt;0.5,"0.30-0.50x",IF(AP408&lt;1,"0.50-1.00x","1.00x+")))))</f>
        <v/>
      </c>
      <c r="AY408" s="5">
        <f>IF(J408="","No SIC",IFERROR(VLOOKUP(J408,Ref!$A$4:$C$67,2,FALSE()),"Unclassified"))</f>
        <v/>
      </c>
      <c r="AZ408" s="5">
        <f>IF(E408="","",TEXT(E408,"YYYY")&amp;"-Q"&amp;ROUNDUP(MONTH(E408)/3,0))</f>
        <v/>
      </c>
      <c r="BA408" s="5">
        <f>IF(E408="","",TEXT(E408,"YYYY-MM"))</f>
        <v/>
      </c>
      <c r="BB408" s="5">
        <f>IF(E408="","",TEXT(E408,"YYYY"))</f>
        <v/>
      </c>
      <c r="BC408" s="92">
        <f>IF($E408="","",NETWORKDAYS($E408,Controls!$B$9,Ref!$F$4:$F$47))</f>
        <v/>
      </c>
      <c r="BD408" s="92">
        <f>IF(OR($AH408=1,$AJ408=1),1,0)</f>
        <v/>
      </c>
      <c r="BE408" s="95">
        <f>IF(OR($BD408=1,AND($AE408&lt;&gt;"",$BC408&gt;=Controls!$B$10*$AE408)),1,0)</f>
        <v/>
      </c>
    </row>
    <row r="409" ht="15.75" customHeight="1" s="79">
      <c r="A409" s="5" t="inlineStr">
        <is>
          <t>5674173492</t>
        </is>
      </c>
      <c r="B409" s="5" t="inlineStr">
        <is>
          <t>1234 ENTERPRISES INC.</t>
        </is>
      </c>
      <c r="C409" s="5" t="inlineStr">
        <is>
          <t>1234 ENTERPRISES INC.</t>
        </is>
      </c>
      <c r="D409" s="5" t="inlineStr">
        <is>
          <t>Lowered Payments</t>
        </is>
      </c>
      <c r="E409" s="16" t="n">
        <v>45995</v>
      </c>
      <c r="F409" s="16" t="n">
        <v>46247</v>
      </c>
      <c r="G409" s="17" t="n">
        <v>1</v>
      </c>
      <c r="H409" s="5" t="inlineStr">
        <is>
          <t>2396</t>
        </is>
      </c>
      <c r="I409" s="5" t="inlineStr">
        <is>
          <t>Apparel Accessories and Other Apparel Mfg.</t>
        </is>
      </c>
      <c r="J409" s="5" t="inlineStr">
        <is>
          <t>23</t>
        </is>
      </c>
      <c r="K409" s="5" t="n">
        <v>5533</v>
      </c>
      <c r="L409" s="5" t="inlineStr">
        <is>
          <t>UT</t>
        </is>
      </c>
      <c r="M409" s="5" t="inlineStr">
        <is>
          <t>Fundwell</t>
        </is>
      </c>
      <c r="N409" s="5" t="inlineStr">
        <is>
          <t>New Deal</t>
        </is>
      </c>
      <c r="O409" s="19" t="n">
        <v>1.44</v>
      </c>
      <c r="P409" s="20" t="n">
        <v>16000</v>
      </c>
      <c r="Q409" s="20" t="n">
        <v>2400</v>
      </c>
      <c r="R409" s="20" t="n">
        <v>23040</v>
      </c>
      <c r="S409" s="20" t="n">
        <v>5760.6</v>
      </c>
      <c r="T409" s="20" t="n">
        <v>17279.4</v>
      </c>
      <c r="U409" s="21" t="n">
        <v>0.250026041666667</v>
      </c>
      <c r="V409" s="22" t="n">
        <v>20</v>
      </c>
      <c r="W409" s="17" t="n">
        <v>191</v>
      </c>
      <c r="X409" s="17" t="n">
        <v>26</v>
      </c>
      <c r="Y409" s="20" t="n">
        <v>9644.16</v>
      </c>
      <c r="Z409" s="5" t="n"/>
      <c r="AA409" s="16" t="n">
        <v>45218</v>
      </c>
      <c r="AB409" s="5">
        <f>IF(V409="","",IF(V409&lt;12,"Months","Weeks"))</f>
        <v/>
      </c>
      <c r="AC409" s="5">
        <f>IF(AB409="","",IF(AB409="Months","Daily","Weekly"))</f>
        <v/>
      </c>
      <c r="AD409" s="17">
        <f>IF(V409="","",IF(AC409="Daily",V409*Controls!$B$13,V409))</f>
        <v/>
      </c>
      <c r="AE409" s="17">
        <f>IF(V409="","",IF(AC409="Daily",V409*Controls!$B$13,V409*Controls!$B$12))</f>
        <v/>
      </c>
      <c r="AF409" s="17">
        <f>IF(OR(E409="",F409=""),"",F409-E409)</f>
        <v/>
      </c>
      <c r="AG409" s="17">
        <f>IF(OR(E409="",F409=""),"",NETWORKDAYS(E409,F409,Ref!$F$4:$F$47))</f>
        <v/>
      </c>
      <c r="AH409" s="39">
        <f>IF(IFERROR(VLOOKUP(D409,Controls!$A$25:$D$35,2,FALSE()),"No")="Yes",1,0)</f>
        <v/>
      </c>
      <c r="AI409" s="39">
        <f>IF(IFERROR(VLOOKUP(D409,Controls!$A$25:$D$35,3,FALSE()),"No")="Yes",1,0)</f>
        <v/>
      </c>
      <c r="AJ409" s="39">
        <f>IF(IFERROR(VLOOKUP(D409,Controls!$A$25:$D$35,4,FALSE()),"No")="Yes",1,0)</f>
        <v/>
      </c>
      <c r="AK409" s="96">
        <f>IF(AND($E409&gt;=Controls!$B$5,$E409&lt;=Controls!$B$6,OR(Controls!$E$9&lt;&gt;"Y",$BE409=1)),1,0)</f>
        <v/>
      </c>
      <c r="AL409" s="39">
        <f>1</f>
        <v/>
      </c>
      <c r="AM409" s="20">
        <f>S409-P409</f>
        <v/>
      </c>
      <c r="AN409" s="20">
        <f>IF(AH409=1,MAX(0,P409-S409),0)</f>
        <v/>
      </c>
      <c r="AO409" s="21">
        <f>IFERROR(S409/P409,"")</f>
        <v/>
      </c>
      <c r="AP409" s="22">
        <f>IF(Y409="","",P409/Y409)</f>
        <v/>
      </c>
      <c r="AQ409" s="39">
        <f>IF(Y409="",0,1)</f>
        <v/>
      </c>
      <c r="AR409" s="39">
        <f>IF(S409&lt;=0,1,0)</f>
        <v/>
      </c>
      <c r="AS409" s="17">
        <f>IF(AH409=1,AG409,"")</f>
        <v/>
      </c>
      <c r="AT409" s="17">
        <f>IF(AND(AH409=0,AJ409=1),AG409,"")</f>
        <v/>
      </c>
      <c r="AU409" s="5">
        <f>IF(P409&lt;10000,"Under $10K",IF(P409&lt;20000,"$10-20K",IF(P409&lt;30000,"$20-30K",IF(P409&lt;50000,"$30-50K",IF(P409&lt;100000,"$50-100K","$100K+")))))</f>
        <v/>
      </c>
      <c r="AV409" s="5">
        <f>IF(O409&lt;=1.35,"1.35 and under",IF(O409&lt;=1.42,"1.36-1.42",IF(O409&lt;=1.45,"1.43-1.45",IF(O409&lt;1.49,"1.46-1.48",IF(O409&lt;=1.49,"1.49","Above 1.49")))))</f>
        <v/>
      </c>
      <c r="AW409" s="5">
        <f>IF(AE409="","",IF(AE409&lt;60,"Under 60",IF(AE409&lt;90,"60-89",IF(AE409&lt;120,"90-119",IF(AE409&lt;150,"120-149","150+")))))</f>
        <v/>
      </c>
      <c r="AX409" s="5">
        <f>IF(AP409="","No revenue data",IF(AP409&lt;0.15,"Under 0.15x",IF(AP409&lt;0.3,"0.15-0.30x",IF(AP409&lt;0.5,"0.30-0.50x",IF(AP409&lt;1,"0.50-1.00x","1.00x+")))))</f>
        <v/>
      </c>
      <c r="AY409" s="5">
        <f>IF(J409="","No SIC",IFERROR(VLOOKUP(J409,Ref!$A$4:$C$67,2,FALSE()),"Unclassified"))</f>
        <v/>
      </c>
      <c r="AZ409" s="5">
        <f>IF(E409="","",TEXT(E409,"YYYY")&amp;"-Q"&amp;ROUNDUP(MONTH(E409)/3,0))</f>
        <v/>
      </c>
      <c r="BA409" s="5">
        <f>IF(E409="","",TEXT(E409,"YYYY-MM"))</f>
        <v/>
      </c>
      <c r="BB409" s="5">
        <f>IF(E409="","",TEXT(E409,"YYYY"))</f>
        <v/>
      </c>
      <c r="BC409" s="92">
        <f>IF($E409="","",NETWORKDAYS($E409,Controls!$B$9,Ref!$F$4:$F$47))</f>
        <v/>
      </c>
      <c r="BD409" s="92">
        <f>IF(OR($AH409=1,$AJ409=1),1,0)</f>
        <v/>
      </c>
      <c r="BE409" s="95">
        <f>IF(OR($BD409=1,AND($AE409&lt;&gt;"",$BC409&gt;=Controls!$B$10*$AE409)),1,0)</f>
        <v/>
      </c>
    </row>
    <row r="410" ht="15.75" customHeight="1" s="79">
      <c r="A410" s="5" t="inlineStr">
        <is>
          <t>5674173525</t>
        </is>
      </c>
      <c r="B410" s="5" t="inlineStr">
        <is>
          <t>PIG COW SPUD LLC</t>
        </is>
      </c>
      <c r="C410" s="5" t="inlineStr">
        <is>
          <t>PIG COW SPUD LLC</t>
        </is>
      </c>
      <c r="D410" s="5" t="inlineStr">
        <is>
          <t>Legal</t>
        </is>
      </c>
      <c r="E410" s="16" t="n">
        <v>45995</v>
      </c>
      <c r="F410" s="16" t="n">
        <v>46024</v>
      </c>
      <c r="G410" s="17" t="n">
        <v>8</v>
      </c>
      <c r="H410" s="5" t="inlineStr">
        <is>
          <t>5812</t>
        </is>
      </c>
      <c r="I410" s="5" t="inlineStr">
        <is>
          <t>Snack and Nonalcoholic Beverage Bars</t>
        </is>
      </c>
      <c r="J410" s="5" t="inlineStr">
        <is>
          <t>58</t>
        </is>
      </c>
      <c r="K410" s="5" t="n">
        <v>5812</v>
      </c>
      <c r="L410" s="5" t="inlineStr">
        <is>
          <t>OR</t>
        </is>
      </c>
      <c r="M410" s="5" t="inlineStr">
        <is>
          <t>United Secured Capital 8</t>
        </is>
      </c>
      <c r="N410" s="5" t="inlineStr">
        <is>
          <t>New Deal</t>
        </is>
      </c>
      <c r="O410" s="19" t="n">
        <v>1.499</v>
      </c>
      <c r="P410" s="20" t="n">
        <v>15000</v>
      </c>
      <c r="Q410" s="20" t="n">
        <v>2100</v>
      </c>
      <c r="R410" s="20" t="n">
        <v>22485</v>
      </c>
      <c r="S410" s="20" t="n">
        <v>7159.04</v>
      </c>
      <c r="T410" s="20" t="n">
        <v>15325.96</v>
      </c>
      <c r="U410" s="21" t="n">
        <v>0.318391816766733</v>
      </c>
      <c r="V410" s="22" t="n">
        <v>1.639</v>
      </c>
      <c r="W410" s="17" t="n">
        <v>236</v>
      </c>
      <c r="X410" s="17" t="n">
        <v>3</v>
      </c>
      <c r="Y410" s="20" t="n">
        <v>130322.36</v>
      </c>
      <c r="Z410" s="21" t="n">
        <v>0.0721</v>
      </c>
      <c r="AA410" s="16" t="n">
        <v>45017</v>
      </c>
      <c r="AB410" s="5">
        <f>IF(V410="","",IF(V410&lt;12,"Months","Weeks"))</f>
        <v/>
      </c>
      <c r="AC410" s="5">
        <f>IF(AB410="","",IF(AB410="Months","Daily","Weekly"))</f>
        <v/>
      </c>
      <c r="AD410" s="17">
        <f>IF(V410="","",IF(AC410="Daily",V410*Controls!$B$13,V410))</f>
        <v/>
      </c>
      <c r="AE410" s="17">
        <f>IF(V410="","",IF(AC410="Daily",V410*Controls!$B$13,V410*Controls!$B$12))</f>
        <v/>
      </c>
      <c r="AF410" s="17">
        <f>IF(OR(E410="",F410=""),"",F410-E410)</f>
        <v/>
      </c>
      <c r="AG410" s="17">
        <f>IF(OR(E410="",F410=""),"",NETWORKDAYS(E410,F410,Ref!$F$4:$F$47))</f>
        <v/>
      </c>
      <c r="AH410" s="39">
        <f>IF(IFERROR(VLOOKUP(D410,Controls!$A$25:$D$35,2,FALSE()),"No")="Yes",1,0)</f>
        <v/>
      </c>
      <c r="AI410" s="39">
        <f>IF(IFERROR(VLOOKUP(D410,Controls!$A$25:$D$35,3,FALSE()),"No")="Yes",1,0)</f>
        <v/>
      </c>
      <c r="AJ410" s="39">
        <f>IF(IFERROR(VLOOKUP(D410,Controls!$A$25:$D$35,4,FALSE()),"No")="Yes",1,0)</f>
        <v/>
      </c>
      <c r="AK410" s="96">
        <f>IF(AND($E410&gt;=Controls!$B$5,$E410&lt;=Controls!$B$6,OR(Controls!$E$9&lt;&gt;"Y",$BE410=1)),1,0)</f>
        <v/>
      </c>
      <c r="AL410" s="39">
        <f>1</f>
        <v/>
      </c>
      <c r="AM410" s="20">
        <f>S410-P410</f>
        <v/>
      </c>
      <c r="AN410" s="20">
        <f>IF(AH410=1,MAX(0,P410-S410),0)</f>
        <v/>
      </c>
      <c r="AO410" s="21">
        <f>IFERROR(S410/P410,"")</f>
        <v/>
      </c>
      <c r="AP410" s="22">
        <f>IF(Y410="","",P410/Y410)</f>
        <v/>
      </c>
      <c r="AQ410" s="39">
        <f>IF(Y410="",0,1)</f>
        <v/>
      </c>
      <c r="AR410" s="39">
        <f>IF(S410&lt;=0,1,0)</f>
        <v/>
      </c>
      <c r="AS410" s="17">
        <f>IF(AH410=1,AG410,"")</f>
        <v/>
      </c>
      <c r="AT410" s="17">
        <f>IF(AND(AH410=0,AJ410=1),AG410,"")</f>
        <v/>
      </c>
      <c r="AU410" s="5">
        <f>IF(P410&lt;10000,"Under $10K",IF(P410&lt;20000,"$10-20K",IF(P410&lt;30000,"$20-30K",IF(P410&lt;50000,"$30-50K",IF(P410&lt;100000,"$50-100K","$100K+")))))</f>
        <v/>
      </c>
      <c r="AV410" s="5">
        <f>IF(O410&lt;=1.35,"1.35 and under",IF(O410&lt;=1.42,"1.36-1.42",IF(O410&lt;=1.45,"1.43-1.45",IF(O410&lt;1.49,"1.46-1.48",IF(O410&lt;=1.49,"1.49","Above 1.49")))))</f>
        <v/>
      </c>
      <c r="AW410" s="5">
        <f>IF(AE410="","",IF(AE410&lt;60,"Under 60",IF(AE410&lt;90,"60-89",IF(AE410&lt;120,"90-119",IF(AE410&lt;150,"120-149","150+")))))</f>
        <v/>
      </c>
      <c r="AX410" s="5">
        <f>IF(AP410="","No revenue data",IF(AP410&lt;0.15,"Under 0.15x",IF(AP410&lt;0.3,"0.15-0.30x",IF(AP410&lt;0.5,"0.30-0.50x",IF(AP410&lt;1,"0.50-1.00x","1.00x+")))))</f>
        <v/>
      </c>
      <c r="AY410" s="5">
        <f>IF(J410="","No SIC",IFERROR(VLOOKUP(J410,Ref!$A$4:$C$67,2,FALSE()),"Unclassified"))</f>
        <v/>
      </c>
      <c r="AZ410" s="5">
        <f>IF(E410="","",TEXT(E410,"YYYY")&amp;"-Q"&amp;ROUNDUP(MONTH(E410)/3,0))</f>
        <v/>
      </c>
      <c r="BA410" s="5">
        <f>IF(E410="","",TEXT(E410,"YYYY-MM"))</f>
        <v/>
      </c>
      <c r="BB410" s="5">
        <f>IF(E410="","",TEXT(E410,"YYYY"))</f>
        <v/>
      </c>
      <c r="BC410" s="92">
        <f>IF($E410="","",NETWORKDAYS($E410,Controls!$B$9,Ref!$F$4:$F$47))</f>
        <v/>
      </c>
      <c r="BD410" s="92">
        <f>IF(OR($AH410=1,$AJ410=1),1,0)</f>
        <v/>
      </c>
      <c r="BE410" s="95">
        <f>IF(OR($BD410=1,AND($AE410&lt;&gt;"",$BC410&gt;=Controls!$B$10*$AE410)),1,0)</f>
        <v/>
      </c>
    </row>
    <row r="411" ht="15.75" customHeight="1" s="79">
      <c r="A411" s="5" t="inlineStr">
        <is>
          <t>5674173531</t>
        </is>
      </c>
      <c r="B411" s="5" t="inlineStr">
        <is>
          <t>IMPORT AUTOMOTIVE REPAIR</t>
        </is>
      </c>
      <c r="C411" s="5" t="inlineStr">
        <is>
          <t>TK FAMILY LLC</t>
        </is>
      </c>
      <c r="D411" s="5" t="inlineStr">
        <is>
          <t>Closed/NSF Unpaid</t>
        </is>
      </c>
      <c r="E411" s="16" t="n">
        <v>45995</v>
      </c>
      <c r="F411" s="16" t="n">
        <v>46154</v>
      </c>
      <c r="G411" s="17" t="n">
        <v>3</v>
      </c>
      <c r="H411" s="5" t="inlineStr">
        <is>
          <t>7538</t>
        </is>
      </c>
      <c r="I411" s="5" t="inlineStr">
        <is>
          <t>General Automotive Repair</t>
        </is>
      </c>
      <c r="J411" s="5" t="inlineStr">
        <is>
          <t>75</t>
        </is>
      </c>
      <c r="K411" s="5" t="n">
        <v>7538</v>
      </c>
      <c r="L411" s="5" t="inlineStr">
        <is>
          <t>CA</t>
        </is>
      </c>
      <c r="M411" s="5" t="inlineStr">
        <is>
          <t>Linked In Funding</t>
        </is>
      </c>
      <c r="N411" s="5" t="inlineStr">
        <is>
          <t>New Deal</t>
        </is>
      </c>
      <c r="O411" s="19" t="n">
        <v>1.44</v>
      </c>
      <c r="P411" s="20" t="n">
        <v>20000</v>
      </c>
      <c r="Q411" s="20" t="n">
        <v>2300</v>
      </c>
      <c r="R411" s="20" t="n">
        <v>28800</v>
      </c>
      <c r="S411" s="20" t="n">
        <v>28800</v>
      </c>
      <c r="T411" s="20" t="n">
        <v>0</v>
      </c>
      <c r="U411" s="21" t="n">
        <v>1</v>
      </c>
      <c r="V411" s="22" t="n">
        <v>2.951</v>
      </c>
      <c r="W411" s="17" t="n">
        <v>99</v>
      </c>
      <c r="X411" s="17" t="n">
        <v>18</v>
      </c>
      <c r="Y411" s="20" t="n">
        <v>55841.27</v>
      </c>
      <c r="Z411" s="21" t="n">
        <v>0.1203</v>
      </c>
      <c r="AA411" s="16" t="n">
        <v>44550</v>
      </c>
      <c r="AB411" s="5">
        <f>IF(V411="","",IF(V411&lt;12,"Months","Weeks"))</f>
        <v/>
      </c>
      <c r="AC411" s="5">
        <f>IF(AB411="","",IF(AB411="Months","Daily","Weekly"))</f>
        <v/>
      </c>
      <c r="AD411" s="17">
        <f>IF(V411="","",IF(AC411="Daily",V411*Controls!$B$13,V411))</f>
        <v/>
      </c>
      <c r="AE411" s="17">
        <f>IF(V411="","",IF(AC411="Daily",V411*Controls!$B$13,V411*Controls!$B$12))</f>
        <v/>
      </c>
      <c r="AF411" s="17">
        <f>IF(OR(E411="",F411=""),"",F411-E411)</f>
        <v/>
      </c>
      <c r="AG411" s="17">
        <f>IF(OR(E411="",F411=""),"",NETWORKDAYS(E411,F411,Ref!$F$4:$F$47))</f>
        <v/>
      </c>
      <c r="AH411" s="39">
        <f>IF(IFERROR(VLOOKUP(D411,Controls!$A$25:$D$35,2,FALSE()),"No")="Yes",1,0)</f>
        <v/>
      </c>
      <c r="AI411" s="39">
        <f>IF(IFERROR(VLOOKUP(D411,Controls!$A$25:$D$35,3,FALSE()),"No")="Yes",1,0)</f>
        <v/>
      </c>
      <c r="AJ411" s="39">
        <f>IF(IFERROR(VLOOKUP(D411,Controls!$A$25:$D$35,4,FALSE()),"No")="Yes",1,0)</f>
        <v/>
      </c>
      <c r="AK411" s="96">
        <f>IF(AND($E411&gt;=Controls!$B$5,$E411&lt;=Controls!$B$6,OR(Controls!$E$9&lt;&gt;"Y",$BE411=1)),1,0)</f>
        <v/>
      </c>
      <c r="AL411" s="39">
        <f>1</f>
        <v/>
      </c>
      <c r="AM411" s="20">
        <f>S411-P411</f>
        <v/>
      </c>
      <c r="AN411" s="20">
        <f>IF(AH411=1,MAX(0,P411-S411),0)</f>
        <v/>
      </c>
      <c r="AO411" s="21">
        <f>IFERROR(S411/P411,"")</f>
        <v/>
      </c>
      <c r="AP411" s="22">
        <f>IF(Y411="","",P411/Y411)</f>
        <v/>
      </c>
      <c r="AQ411" s="39">
        <f>IF(Y411="",0,1)</f>
        <v/>
      </c>
      <c r="AR411" s="39">
        <f>IF(S411&lt;=0,1,0)</f>
        <v/>
      </c>
      <c r="AS411" s="17">
        <f>IF(AH411=1,AG411,"")</f>
        <v/>
      </c>
      <c r="AT411" s="17">
        <f>IF(AND(AH411=0,AJ411=1),AG411,"")</f>
        <v/>
      </c>
      <c r="AU411" s="5">
        <f>IF(P411&lt;10000,"Under $10K",IF(P411&lt;20000,"$10-20K",IF(P411&lt;30000,"$20-30K",IF(P411&lt;50000,"$30-50K",IF(P411&lt;100000,"$50-100K","$100K+")))))</f>
        <v/>
      </c>
      <c r="AV411" s="5">
        <f>IF(O411&lt;=1.35,"1.35 and under",IF(O411&lt;=1.42,"1.36-1.42",IF(O411&lt;=1.45,"1.43-1.45",IF(O411&lt;1.49,"1.46-1.48",IF(O411&lt;=1.49,"1.49","Above 1.49")))))</f>
        <v/>
      </c>
      <c r="AW411" s="5">
        <f>IF(AE411="","",IF(AE411&lt;60,"Under 60",IF(AE411&lt;90,"60-89",IF(AE411&lt;120,"90-119",IF(AE411&lt;150,"120-149","150+")))))</f>
        <v/>
      </c>
      <c r="AX411" s="5">
        <f>IF(AP411="","No revenue data",IF(AP411&lt;0.15,"Under 0.15x",IF(AP411&lt;0.3,"0.15-0.30x",IF(AP411&lt;0.5,"0.30-0.50x",IF(AP411&lt;1,"0.50-1.00x","1.00x+")))))</f>
        <v/>
      </c>
      <c r="AY411" s="5">
        <f>IF(J411="","No SIC",IFERROR(VLOOKUP(J411,Ref!$A$4:$C$67,2,FALSE()),"Unclassified"))</f>
        <v/>
      </c>
      <c r="AZ411" s="5">
        <f>IF(E411="","",TEXT(E411,"YYYY")&amp;"-Q"&amp;ROUNDUP(MONTH(E411)/3,0))</f>
        <v/>
      </c>
      <c r="BA411" s="5">
        <f>IF(E411="","",TEXT(E411,"YYYY-MM"))</f>
        <v/>
      </c>
      <c r="BB411" s="5">
        <f>IF(E411="","",TEXT(E411,"YYYY"))</f>
        <v/>
      </c>
      <c r="BC411" s="92">
        <f>IF($E411="","",NETWORKDAYS($E411,Controls!$B$9,Ref!$F$4:$F$47))</f>
        <v/>
      </c>
      <c r="BD411" s="92">
        <f>IF(OR($AH411=1,$AJ411=1),1,0)</f>
        <v/>
      </c>
      <c r="BE411" s="95">
        <f>IF(OR($BD411=1,AND($AE411&lt;&gt;"",$BC411&gt;=Controls!$B$10*$AE411)),1,0)</f>
        <v/>
      </c>
    </row>
    <row r="412" ht="15.75" customHeight="1" s="79">
      <c r="A412" s="5" t="inlineStr">
        <is>
          <t>5674173574</t>
        </is>
      </c>
      <c r="B412" s="5" t="inlineStr">
        <is>
          <t>VITALIS WELLNESS CENTER</t>
        </is>
      </c>
      <c r="C412" s="5" t="inlineStr">
        <is>
          <t>VITALIS WELLNESS CENTER LLC</t>
        </is>
      </c>
      <c r="D412" s="5" t="inlineStr">
        <is>
          <t>Closed</t>
        </is>
      </c>
      <c r="E412" s="16" t="n">
        <v>45996</v>
      </c>
      <c r="F412" s="16" t="n">
        <v>46087</v>
      </c>
      <c r="G412" s="17" t="n">
        <v>2</v>
      </c>
      <c r="H412" s="5" t="inlineStr">
        <is>
          <t>8011</t>
        </is>
      </c>
      <c r="I412" s="5" t="inlineStr">
        <is>
          <t>Offices of Physicians (Except Mental Health Specialists)</t>
        </is>
      </c>
      <c r="J412" s="5" t="inlineStr">
        <is>
          <t>80</t>
        </is>
      </c>
      <c r="K412" s="5" t="n">
        <v>8011</v>
      </c>
      <c r="L412" s="5" t="inlineStr">
        <is>
          <t>FL</t>
        </is>
      </c>
      <c r="M412" s="5" t="inlineStr">
        <is>
          <t>Tech Consulting Pro LLC D/B/A: Nationwide Advance</t>
        </is>
      </c>
      <c r="N412" s="5" t="inlineStr">
        <is>
          <t>New Deal</t>
        </is>
      </c>
      <c r="O412" s="19" t="n">
        <v>1.45</v>
      </c>
      <c r="P412" s="20" t="n">
        <v>20000</v>
      </c>
      <c r="Q412" s="20" t="n">
        <v>2400</v>
      </c>
      <c r="R412" s="20" t="n">
        <v>29000</v>
      </c>
      <c r="S412" s="20" t="n">
        <v>29000</v>
      </c>
      <c r="T412" s="20" t="n">
        <v>0</v>
      </c>
      <c r="U412" s="21" t="n">
        <v>1</v>
      </c>
      <c r="V412" s="22" t="n">
        <v>3.934</v>
      </c>
      <c r="W412" s="17" t="n">
        <v>166</v>
      </c>
      <c r="X412" s="17" t="n">
        <v>1</v>
      </c>
      <c r="Y412" s="20" t="n">
        <v>22922.57</v>
      </c>
      <c r="Z412" s="21" t="n">
        <v>0.2214</v>
      </c>
      <c r="AA412" s="5" t="n"/>
      <c r="AB412" s="5">
        <f>IF(V412="","",IF(V412&lt;12,"Months","Weeks"))</f>
        <v/>
      </c>
      <c r="AC412" s="5">
        <f>IF(AB412="","",IF(AB412="Months","Daily","Weekly"))</f>
        <v/>
      </c>
      <c r="AD412" s="17">
        <f>IF(V412="","",IF(AC412="Daily",V412*Controls!$B$13,V412))</f>
        <v/>
      </c>
      <c r="AE412" s="17">
        <f>IF(V412="","",IF(AC412="Daily",V412*Controls!$B$13,V412*Controls!$B$12))</f>
        <v/>
      </c>
      <c r="AF412" s="17">
        <f>IF(OR(E412="",F412=""),"",F412-E412)</f>
        <v/>
      </c>
      <c r="AG412" s="17">
        <f>IF(OR(E412="",F412=""),"",NETWORKDAYS(E412,F412,Ref!$F$4:$F$47))</f>
        <v/>
      </c>
      <c r="AH412" s="39">
        <f>IF(IFERROR(VLOOKUP(D412,Controls!$A$25:$D$35,2,FALSE()),"No")="Yes",1,0)</f>
        <v/>
      </c>
      <c r="AI412" s="39">
        <f>IF(IFERROR(VLOOKUP(D412,Controls!$A$25:$D$35,3,FALSE()),"No")="Yes",1,0)</f>
        <v/>
      </c>
      <c r="AJ412" s="39">
        <f>IF(IFERROR(VLOOKUP(D412,Controls!$A$25:$D$35,4,FALSE()),"No")="Yes",1,0)</f>
        <v/>
      </c>
      <c r="AK412" s="96">
        <f>IF(AND($E412&gt;=Controls!$B$5,$E412&lt;=Controls!$B$6,OR(Controls!$E$9&lt;&gt;"Y",$BE412=1)),1,0)</f>
        <v/>
      </c>
      <c r="AL412" s="39">
        <f>1</f>
        <v/>
      </c>
      <c r="AM412" s="20">
        <f>S412-P412</f>
        <v/>
      </c>
      <c r="AN412" s="20">
        <f>IF(AH412=1,MAX(0,P412-S412),0)</f>
        <v/>
      </c>
      <c r="AO412" s="21">
        <f>IFERROR(S412/P412,"")</f>
        <v/>
      </c>
      <c r="AP412" s="22">
        <f>IF(Y412="","",P412/Y412)</f>
        <v/>
      </c>
      <c r="AQ412" s="39">
        <f>IF(Y412="",0,1)</f>
        <v/>
      </c>
      <c r="AR412" s="39">
        <f>IF(S412&lt;=0,1,0)</f>
        <v/>
      </c>
      <c r="AS412" s="17">
        <f>IF(AH412=1,AG412,"")</f>
        <v/>
      </c>
      <c r="AT412" s="17">
        <f>IF(AND(AH412=0,AJ412=1),AG412,"")</f>
        <v/>
      </c>
      <c r="AU412" s="5">
        <f>IF(P412&lt;10000,"Under $10K",IF(P412&lt;20000,"$10-20K",IF(P412&lt;30000,"$20-30K",IF(P412&lt;50000,"$30-50K",IF(P412&lt;100000,"$50-100K","$100K+")))))</f>
        <v/>
      </c>
      <c r="AV412" s="5">
        <f>IF(O412&lt;=1.35,"1.35 and under",IF(O412&lt;=1.42,"1.36-1.42",IF(O412&lt;=1.45,"1.43-1.45",IF(O412&lt;1.49,"1.46-1.48",IF(O412&lt;=1.49,"1.49","Above 1.49")))))</f>
        <v/>
      </c>
      <c r="AW412" s="5">
        <f>IF(AE412="","",IF(AE412&lt;60,"Under 60",IF(AE412&lt;90,"60-89",IF(AE412&lt;120,"90-119",IF(AE412&lt;150,"120-149","150+")))))</f>
        <v/>
      </c>
      <c r="AX412" s="5">
        <f>IF(AP412="","No revenue data",IF(AP412&lt;0.15,"Under 0.15x",IF(AP412&lt;0.3,"0.15-0.30x",IF(AP412&lt;0.5,"0.30-0.50x",IF(AP412&lt;1,"0.50-1.00x","1.00x+")))))</f>
        <v/>
      </c>
      <c r="AY412" s="5">
        <f>IF(J412="","No SIC",IFERROR(VLOOKUP(J412,Ref!$A$4:$C$67,2,FALSE()),"Unclassified"))</f>
        <v/>
      </c>
      <c r="AZ412" s="5">
        <f>IF(E412="","",TEXT(E412,"YYYY")&amp;"-Q"&amp;ROUNDUP(MONTH(E412)/3,0))</f>
        <v/>
      </c>
      <c r="BA412" s="5">
        <f>IF(E412="","",TEXT(E412,"YYYY-MM"))</f>
        <v/>
      </c>
      <c r="BB412" s="5">
        <f>IF(E412="","",TEXT(E412,"YYYY"))</f>
        <v/>
      </c>
      <c r="BC412" s="92">
        <f>IF($E412="","",NETWORKDAYS($E412,Controls!$B$9,Ref!$F$4:$F$47))</f>
        <v/>
      </c>
      <c r="BD412" s="92">
        <f>IF(OR($AH412=1,$AJ412=1),1,0)</f>
        <v/>
      </c>
      <c r="BE412" s="95">
        <f>IF(OR($BD412=1,AND($AE412&lt;&gt;"",$BC412&gt;=Controls!$B$10*$AE412)),1,0)</f>
        <v/>
      </c>
    </row>
    <row r="413" ht="15.75" customHeight="1" s="79">
      <c r="A413" s="5" t="inlineStr">
        <is>
          <t>5674173588</t>
        </is>
      </c>
      <c r="B413" s="5" t="inlineStr">
        <is>
          <t>Bailey's Auto Crushing &amp; Recycling</t>
        </is>
      </c>
      <c r="C413" s="5" t="inlineStr">
        <is>
          <t>ROBERT M BAILEY</t>
        </is>
      </c>
      <c r="D413" s="5" t="inlineStr">
        <is>
          <t>Closed</t>
        </is>
      </c>
      <c r="E413" s="16" t="n">
        <v>45996</v>
      </c>
      <c r="F413" s="16" t="n">
        <v>46174</v>
      </c>
      <c r="G413" s="17" t="n">
        <v>1</v>
      </c>
      <c r="H413" s="5" t="inlineStr">
        <is>
          <t>3465</t>
        </is>
      </c>
      <c r="I413" s="5" t="inlineStr">
        <is>
          <t>Motor Vehicle Metal Stamping</t>
        </is>
      </c>
      <c r="J413" s="5" t="inlineStr">
        <is>
          <t>34</t>
        </is>
      </c>
      <c r="K413" s="5" t="n">
        <v>7538</v>
      </c>
      <c r="L413" s="5" t="inlineStr">
        <is>
          <t>TX</t>
        </is>
      </c>
      <c r="M413" s="5" t="inlineStr">
        <is>
          <t>Birkin Capital Inc</t>
        </is>
      </c>
      <c r="N413" s="5" t="inlineStr">
        <is>
          <t>New Deal</t>
        </is>
      </c>
      <c r="O413" s="19" t="n">
        <v>1.46</v>
      </c>
      <c r="P413" s="20" t="n">
        <v>100000</v>
      </c>
      <c r="Q413" s="20" t="n">
        <v>15000</v>
      </c>
      <c r="R413" s="20" t="n">
        <v>146000</v>
      </c>
      <c r="S413" s="20" t="n">
        <v>146000</v>
      </c>
      <c r="T413" s="20" t="n">
        <v>0</v>
      </c>
      <c r="U413" s="21" t="n">
        <v>1</v>
      </c>
      <c r="V413" s="22" t="n">
        <v>24</v>
      </c>
      <c r="W413" s="17" t="n">
        <v>79</v>
      </c>
      <c r="X413" s="17" t="n">
        <v>0</v>
      </c>
      <c r="Y413" s="20" t="n">
        <v>328464.36</v>
      </c>
      <c r="Z413" s="21" t="n">
        <v>0.074</v>
      </c>
      <c r="AA413" s="16" t="n">
        <v>43619</v>
      </c>
      <c r="AB413" s="5">
        <f>IF(V413="","",IF(V413&lt;12,"Months","Weeks"))</f>
        <v/>
      </c>
      <c r="AC413" s="5">
        <f>IF(AB413="","",IF(AB413="Months","Daily","Weekly"))</f>
        <v/>
      </c>
      <c r="AD413" s="17">
        <f>IF(V413="","",IF(AC413="Daily",V413*Controls!$B$13,V413))</f>
        <v/>
      </c>
      <c r="AE413" s="17">
        <f>IF(V413="","",IF(AC413="Daily",V413*Controls!$B$13,V413*Controls!$B$12))</f>
        <v/>
      </c>
      <c r="AF413" s="17">
        <f>IF(OR(E413="",F413=""),"",F413-E413)</f>
        <v/>
      </c>
      <c r="AG413" s="17">
        <f>IF(OR(E413="",F413=""),"",NETWORKDAYS(E413,F413,Ref!$F$4:$F$47))</f>
        <v/>
      </c>
      <c r="AH413" s="39">
        <f>IF(IFERROR(VLOOKUP(D413,Controls!$A$25:$D$35,2,FALSE()),"No")="Yes",1,0)</f>
        <v/>
      </c>
      <c r="AI413" s="39">
        <f>IF(IFERROR(VLOOKUP(D413,Controls!$A$25:$D$35,3,FALSE()),"No")="Yes",1,0)</f>
        <v/>
      </c>
      <c r="AJ413" s="39">
        <f>IF(IFERROR(VLOOKUP(D413,Controls!$A$25:$D$35,4,FALSE()),"No")="Yes",1,0)</f>
        <v/>
      </c>
      <c r="AK413" s="96">
        <f>IF(AND($E413&gt;=Controls!$B$5,$E413&lt;=Controls!$B$6,OR(Controls!$E$9&lt;&gt;"Y",$BE413=1)),1,0)</f>
        <v/>
      </c>
      <c r="AL413" s="39">
        <f>1</f>
        <v/>
      </c>
      <c r="AM413" s="20">
        <f>S413-P413</f>
        <v/>
      </c>
      <c r="AN413" s="20">
        <f>IF(AH413=1,MAX(0,P413-S413),0)</f>
        <v/>
      </c>
      <c r="AO413" s="21">
        <f>IFERROR(S413/P413,"")</f>
        <v/>
      </c>
      <c r="AP413" s="22">
        <f>IF(Y413="","",P413/Y413)</f>
        <v/>
      </c>
      <c r="AQ413" s="39">
        <f>IF(Y413="",0,1)</f>
        <v/>
      </c>
      <c r="AR413" s="39">
        <f>IF(S413&lt;=0,1,0)</f>
        <v/>
      </c>
      <c r="AS413" s="17">
        <f>IF(AH413=1,AG413,"")</f>
        <v/>
      </c>
      <c r="AT413" s="17">
        <f>IF(AND(AH413=0,AJ413=1),AG413,"")</f>
        <v/>
      </c>
      <c r="AU413" s="5">
        <f>IF(P413&lt;10000,"Under $10K",IF(P413&lt;20000,"$10-20K",IF(P413&lt;30000,"$20-30K",IF(P413&lt;50000,"$30-50K",IF(P413&lt;100000,"$50-100K","$100K+")))))</f>
        <v/>
      </c>
      <c r="AV413" s="5">
        <f>IF(O413&lt;=1.35,"1.35 and under",IF(O413&lt;=1.42,"1.36-1.42",IF(O413&lt;=1.45,"1.43-1.45",IF(O413&lt;1.49,"1.46-1.48",IF(O413&lt;=1.49,"1.49","Above 1.49")))))</f>
        <v/>
      </c>
      <c r="AW413" s="5">
        <f>IF(AE413="","",IF(AE413&lt;60,"Under 60",IF(AE413&lt;90,"60-89",IF(AE413&lt;120,"90-119",IF(AE413&lt;150,"120-149","150+")))))</f>
        <v/>
      </c>
      <c r="AX413" s="5">
        <f>IF(AP413="","No revenue data",IF(AP413&lt;0.15,"Under 0.15x",IF(AP413&lt;0.3,"0.15-0.30x",IF(AP413&lt;0.5,"0.30-0.50x",IF(AP413&lt;1,"0.50-1.00x","1.00x+")))))</f>
        <v/>
      </c>
      <c r="AY413" s="5">
        <f>IF(J413="","No SIC",IFERROR(VLOOKUP(J413,Ref!$A$4:$C$67,2,FALSE()),"Unclassified"))</f>
        <v/>
      </c>
      <c r="AZ413" s="5">
        <f>IF(E413="","",TEXT(E413,"YYYY")&amp;"-Q"&amp;ROUNDUP(MONTH(E413)/3,0))</f>
        <v/>
      </c>
      <c r="BA413" s="5">
        <f>IF(E413="","",TEXT(E413,"YYYY-MM"))</f>
        <v/>
      </c>
      <c r="BB413" s="5">
        <f>IF(E413="","",TEXT(E413,"YYYY"))</f>
        <v/>
      </c>
      <c r="BC413" s="92">
        <f>IF($E413="","",NETWORKDAYS($E413,Controls!$B$9,Ref!$F$4:$F$47))</f>
        <v/>
      </c>
      <c r="BD413" s="92">
        <f>IF(OR($AH413=1,$AJ413=1),1,0)</f>
        <v/>
      </c>
      <c r="BE413" s="95">
        <f>IF(OR($BD413=1,AND($AE413&lt;&gt;"",$BC413&gt;=Controls!$B$10*$AE413)),1,0)</f>
        <v/>
      </c>
    </row>
    <row r="414" ht="15.75" customHeight="1" s="79">
      <c r="A414" s="5" t="inlineStr">
        <is>
          <t>5674173593</t>
        </is>
      </c>
      <c r="B414" s="5" t="inlineStr">
        <is>
          <t>YOUNGSTOWN FOOD MART</t>
        </is>
      </c>
      <c r="C414" s="5" t="inlineStr">
        <is>
          <t>YOUNGSTOWN FOOD MART</t>
        </is>
      </c>
      <c r="D414" s="5" t="inlineStr">
        <is>
          <t>Legal</t>
        </is>
      </c>
      <c r="E414" s="16" t="n">
        <v>45996</v>
      </c>
      <c r="F414" s="16" t="n">
        <v>46174</v>
      </c>
      <c r="G414" s="17" t="n">
        <v>2</v>
      </c>
      <c r="H414" s="5" t="inlineStr">
        <is>
          <t>5999</t>
        </is>
      </c>
      <c r="I414" s="5" t="inlineStr">
        <is>
          <t>All Other Misc. Store Retailers (Except Tobacco Stores)</t>
        </is>
      </c>
      <c r="J414" s="5" t="inlineStr">
        <is>
          <t>59</t>
        </is>
      </c>
      <c r="K414" s="5" t="n">
        <v>5999</v>
      </c>
      <c r="L414" s="5" t="inlineStr">
        <is>
          <t>FL</t>
        </is>
      </c>
      <c r="M414" s="5" t="inlineStr">
        <is>
          <t>Fund Simple</t>
        </is>
      </c>
      <c r="N414" s="5" t="inlineStr">
        <is>
          <t>New Deal</t>
        </is>
      </c>
      <c r="O414" s="19" t="n">
        <v>1.36</v>
      </c>
      <c r="P414" s="20" t="n">
        <v>10000</v>
      </c>
      <c r="Q414" s="20" t="n">
        <v>750</v>
      </c>
      <c r="R414" s="20" t="n">
        <v>13600</v>
      </c>
      <c r="S414" s="20" t="n">
        <v>6508.46</v>
      </c>
      <c r="T414" s="20" t="n">
        <v>7091.54</v>
      </c>
      <c r="U414" s="21" t="n">
        <v>0.478563235294118</v>
      </c>
      <c r="V414" s="22" t="n">
        <v>2.623</v>
      </c>
      <c r="W414" s="17" t="n">
        <v>79</v>
      </c>
      <c r="X414" s="17" t="n">
        <v>18</v>
      </c>
      <c r="Y414" s="20" t="n">
        <v>43908.19</v>
      </c>
      <c r="Z414" s="21" t="n">
        <v>0.0813</v>
      </c>
      <c r="AA414" s="16" t="n">
        <v>43371</v>
      </c>
      <c r="AB414" s="5">
        <f>IF(V414="","",IF(V414&lt;12,"Months","Weeks"))</f>
        <v/>
      </c>
      <c r="AC414" s="5">
        <f>IF(AB414="","",IF(AB414="Months","Daily","Weekly"))</f>
        <v/>
      </c>
      <c r="AD414" s="17">
        <f>IF(V414="","",IF(AC414="Daily",V414*Controls!$B$13,V414))</f>
        <v/>
      </c>
      <c r="AE414" s="17">
        <f>IF(V414="","",IF(AC414="Daily",V414*Controls!$B$13,V414*Controls!$B$12))</f>
        <v/>
      </c>
      <c r="AF414" s="17">
        <f>IF(OR(E414="",F414=""),"",F414-E414)</f>
        <v/>
      </c>
      <c r="AG414" s="17">
        <f>IF(OR(E414="",F414=""),"",NETWORKDAYS(E414,F414,Ref!$F$4:$F$47))</f>
        <v/>
      </c>
      <c r="AH414" s="39">
        <f>IF(IFERROR(VLOOKUP(D414,Controls!$A$25:$D$35,2,FALSE()),"No")="Yes",1,0)</f>
        <v/>
      </c>
      <c r="AI414" s="39">
        <f>IF(IFERROR(VLOOKUP(D414,Controls!$A$25:$D$35,3,FALSE()),"No")="Yes",1,0)</f>
        <v/>
      </c>
      <c r="AJ414" s="39">
        <f>IF(IFERROR(VLOOKUP(D414,Controls!$A$25:$D$35,4,FALSE()),"No")="Yes",1,0)</f>
        <v/>
      </c>
      <c r="AK414" s="96">
        <f>IF(AND($E414&gt;=Controls!$B$5,$E414&lt;=Controls!$B$6,OR(Controls!$E$9&lt;&gt;"Y",$BE414=1)),1,0)</f>
        <v/>
      </c>
      <c r="AL414" s="39">
        <f>1</f>
        <v/>
      </c>
      <c r="AM414" s="20">
        <f>S414-P414</f>
        <v/>
      </c>
      <c r="AN414" s="20">
        <f>IF(AH414=1,MAX(0,P414-S414),0)</f>
        <v/>
      </c>
      <c r="AO414" s="21">
        <f>IFERROR(S414/P414,"")</f>
        <v/>
      </c>
      <c r="AP414" s="22">
        <f>IF(Y414="","",P414/Y414)</f>
        <v/>
      </c>
      <c r="AQ414" s="39">
        <f>IF(Y414="",0,1)</f>
        <v/>
      </c>
      <c r="AR414" s="39">
        <f>IF(S414&lt;=0,1,0)</f>
        <v/>
      </c>
      <c r="AS414" s="17">
        <f>IF(AH414=1,AG414,"")</f>
        <v/>
      </c>
      <c r="AT414" s="17">
        <f>IF(AND(AH414=0,AJ414=1),AG414,"")</f>
        <v/>
      </c>
      <c r="AU414" s="5">
        <f>IF(P414&lt;10000,"Under $10K",IF(P414&lt;20000,"$10-20K",IF(P414&lt;30000,"$20-30K",IF(P414&lt;50000,"$30-50K",IF(P414&lt;100000,"$50-100K","$100K+")))))</f>
        <v/>
      </c>
      <c r="AV414" s="5">
        <f>IF(O414&lt;=1.35,"1.35 and under",IF(O414&lt;=1.42,"1.36-1.42",IF(O414&lt;=1.45,"1.43-1.45",IF(O414&lt;1.49,"1.46-1.48",IF(O414&lt;=1.49,"1.49","Above 1.49")))))</f>
        <v/>
      </c>
      <c r="AW414" s="5">
        <f>IF(AE414="","",IF(AE414&lt;60,"Under 60",IF(AE414&lt;90,"60-89",IF(AE414&lt;120,"90-119",IF(AE414&lt;150,"120-149","150+")))))</f>
        <v/>
      </c>
      <c r="AX414" s="5">
        <f>IF(AP414="","No revenue data",IF(AP414&lt;0.15,"Under 0.15x",IF(AP414&lt;0.3,"0.15-0.30x",IF(AP414&lt;0.5,"0.30-0.50x",IF(AP414&lt;1,"0.50-1.00x","1.00x+")))))</f>
        <v/>
      </c>
      <c r="AY414" s="5">
        <f>IF(J414="","No SIC",IFERROR(VLOOKUP(J414,Ref!$A$4:$C$67,2,FALSE()),"Unclassified"))</f>
        <v/>
      </c>
      <c r="AZ414" s="5">
        <f>IF(E414="","",TEXT(E414,"YYYY")&amp;"-Q"&amp;ROUNDUP(MONTH(E414)/3,0))</f>
        <v/>
      </c>
      <c r="BA414" s="5">
        <f>IF(E414="","",TEXT(E414,"YYYY-MM"))</f>
        <v/>
      </c>
      <c r="BB414" s="5">
        <f>IF(E414="","",TEXT(E414,"YYYY"))</f>
        <v/>
      </c>
      <c r="BC414" s="92">
        <f>IF($E414="","",NETWORKDAYS($E414,Controls!$B$9,Ref!$F$4:$F$47))</f>
        <v/>
      </c>
      <c r="BD414" s="92">
        <f>IF(OR($AH414=1,$AJ414=1),1,0)</f>
        <v/>
      </c>
      <c r="BE414" s="95">
        <f>IF(OR($BD414=1,AND($AE414&lt;&gt;"",$BC414&gt;=Controls!$B$10*$AE414)),1,0)</f>
        <v/>
      </c>
    </row>
    <row r="415" ht="15.75" customHeight="1" s="79">
      <c r="A415" s="5" t="inlineStr">
        <is>
          <t>5674173607</t>
        </is>
      </c>
      <c r="B415" s="5" t="inlineStr">
        <is>
          <t>M. Delaney LLC</t>
        </is>
      </c>
      <c r="C415" s="5" t="inlineStr">
        <is>
          <t>M. Delaney LLC</t>
        </is>
      </c>
      <c r="D415" s="5" t="inlineStr">
        <is>
          <t>Bankruptcy</t>
        </is>
      </c>
      <c r="E415" s="16" t="n">
        <v>45996</v>
      </c>
      <c r="F415" s="16" t="n">
        <v>46153</v>
      </c>
      <c r="G415" s="17" t="n">
        <v>3</v>
      </c>
      <c r="H415" s="5" t="inlineStr">
        <is>
          <t>5812</t>
        </is>
      </c>
      <c r="I415" s="5" t="inlineStr">
        <is>
          <t>Snack and Nonalcoholic Beverage Bars</t>
        </is>
      </c>
      <c r="J415" s="5" t="inlineStr">
        <is>
          <t>58</t>
        </is>
      </c>
      <c r="K415" s="5" t="n">
        <v>5812</v>
      </c>
      <c r="L415" s="5" t="inlineStr">
        <is>
          <t>GA</t>
        </is>
      </c>
      <c r="M415" s="5" t="inlineStr">
        <is>
          <t>Llama Loan</t>
        </is>
      </c>
      <c r="N415" s="5" t="inlineStr">
        <is>
          <t>Renewal</t>
        </is>
      </c>
      <c r="O415" s="19" t="n">
        <v>1.42</v>
      </c>
      <c r="P415" s="20" t="n">
        <v>25000</v>
      </c>
      <c r="Q415" s="20" t="n">
        <v>2625</v>
      </c>
      <c r="R415" s="20" t="n">
        <v>35500</v>
      </c>
      <c r="S415" s="20" t="n">
        <v>14205.36</v>
      </c>
      <c r="T415" s="20" t="n">
        <v>21294.64</v>
      </c>
      <c r="U415" s="21" t="n">
        <v>0.400150985915493</v>
      </c>
      <c r="V415" s="22" t="n">
        <v>4.262</v>
      </c>
      <c r="W415" s="17" t="n">
        <v>103</v>
      </c>
      <c r="X415" s="17" t="n">
        <v>8</v>
      </c>
      <c r="Y415" s="20" t="n">
        <v>51823.33</v>
      </c>
      <c r="Z415" s="21" t="n">
        <v>0.1107</v>
      </c>
      <c r="AA415" s="5" t="n"/>
      <c r="AB415" s="5">
        <f>IF(V415="","",IF(V415&lt;12,"Months","Weeks"))</f>
        <v/>
      </c>
      <c r="AC415" s="5">
        <f>IF(AB415="","",IF(AB415="Months","Daily","Weekly"))</f>
        <v/>
      </c>
      <c r="AD415" s="17">
        <f>IF(V415="","",IF(AC415="Daily",V415*Controls!$B$13,V415))</f>
        <v/>
      </c>
      <c r="AE415" s="17">
        <f>IF(V415="","",IF(AC415="Daily",V415*Controls!$B$13,V415*Controls!$B$12))</f>
        <v/>
      </c>
      <c r="AF415" s="17">
        <f>IF(OR(E415="",F415=""),"",F415-E415)</f>
        <v/>
      </c>
      <c r="AG415" s="17">
        <f>IF(OR(E415="",F415=""),"",NETWORKDAYS(E415,F415,Ref!$F$4:$F$47))</f>
        <v/>
      </c>
      <c r="AH415" s="39">
        <f>IF(IFERROR(VLOOKUP(D415,Controls!$A$25:$D$35,2,FALSE()),"No")="Yes",1,0)</f>
        <v/>
      </c>
      <c r="AI415" s="39">
        <f>IF(IFERROR(VLOOKUP(D415,Controls!$A$25:$D$35,3,FALSE()),"No")="Yes",1,0)</f>
        <v/>
      </c>
      <c r="AJ415" s="39">
        <f>IF(IFERROR(VLOOKUP(D415,Controls!$A$25:$D$35,4,FALSE()),"No")="Yes",1,0)</f>
        <v/>
      </c>
      <c r="AK415" s="96">
        <f>IF(AND($E415&gt;=Controls!$B$5,$E415&lt;=Controls!$B$6,OR(Controls!$E$9&lt;&gt;"Y",$BE415=1)),1,0)</f>
        <v/>
      </c>
      <c r="AL415" s="39">
        <f>1</f>
        <v/>
      </c>
      <c r="AM415" s="20">
        <f>S415-P415</f>
        <v/>
      </c>
      <c r="AN415" s="20">
        <f>IF(AH415=1,MAX(0,P415-S415),0)</f>
        <v/>
      </c>
      <c r="AO415" s="21">
        <f>IFERROR(S415/P415,"")</f>
        <v/>
      </c>
      <c r="AP415" s="22">
        <f>IF(Y415="","",P415/Y415)</f>
        <v/>
      </c>
      <c r="AQ415" s="39">
        <f>IF(Y415="",0,1)</f>
        <v/>
      </c>
      <c r="AR415" s="39">
        <f>IF(S415&lt;=0,1,0)</f>
        <v/>
      </c>
      <c r="AS415" s="17">
        <f>IF(AH415=1,AG415,"")</f>
        <v/>
      </c>
      <c r="AT415" s="17">
        <f>IF(AND(AH415=0,AJ415=1),AG415,"")</f>
        <v/>
      </c>
      <c r="AU415" s="5">
        <f>IF(P415&lt;10000,"Under $10K",IF(P415&lt;20000,"$10-20K",IF(P415&lt;30000,"$20-30K",IF(P415&lt;50000,"$30-50K",IF(P415&lt;100000,"$50-100K","$100K+")))))</f>
        <v/>
      </c>
      <c r="AV415" s="5">
        <f>IF(O415&lt;=1.35,"1.35 and under",IF(O415&lt;=1.42,"1.36-1.42",IF(O415&lt;=1.45,"1.43-1.45",IF(O415&lt;1.49,"1.46-1.48",IF(O415&lt;=1.49,"1.49","Above 1.49")))))</f>
        <v/>
      </c>
      <c r="AW415" s="5">
        <f>IF(AE415="","",IF(AE415&lt;60,"Under 60",IF(AE415&lt;90,"60-89",IF(AE415&lt;120,"90-119",IF(AE415&lt;150,"120-149","150+")))))</f>
        <v/>
      </c>
      <c r="AX415" s="5">
        <f>IF(AP415="","No revenue data",IF(AP415&lt;0.15,"Under 0.15x",IF(AP415&lt;0.3,"0.15-0.30x",IF(AP415&lt;0.5,"0.30-0.50x",IF(AP415&lt;1,"0.50-1.00x","1.00x+")))))</f>
        <v/>
      </c>
      <c r="AY415" s="5">
        <f>IF(J415="","No SIC",IFERROR(VLOOKUP(J415,Ref!$A$4:$C$67,2,FALSE()),"Unclassified"))</f>
        <v/>
      </c>
      <c r="AZ415" s="5">
        <f>IF(E415="","",TEXT(E415,"YYYY")&amp;"-Q"&amp;ROUNDUP(MONTH(E415)/3,0))</f>
        <v/>
      </c>
      <c r="BA415" s="5">
        <f>IF(E415="","",TEXT(E415,"YYYY-MM"))</f>
        <v/>
      </c>
      <c r="BB415" s="5">
        <f>IF(E415="","",TEXT(E415,"YYYY"))</f>
        <v/>
      </c>
      <c r="BC415" s="92">
        <f>IF($E415="","",NETWORKDAYS($E415,Controls!$B$9,Ref!$F$4:$F$47))</f>
        <v/>
      </c>
      <c r="BD415" s="92">
        <f>IF(OR($AH415=1,$AJ415=1),1,0)</f>
        <v/>
      </c>
      <c r="BE415" s="95">
        <f>IF(OR($BD415=1,AND($AE415&lt;&gt;"",$BC415&gt;=Controls!$B$10*$AE415)),1,0)</f>
        <v/>
      </c>
    </row>
    <row r="416" ht="15.75" customHeight="1" s="79">
      <c r="A416" s="5" t="inlineStr">
        <is>
          <t>5674173616</t>
        </is>
      </c>
      <c r="B416" s="5" t="inlineStr">
        <is>
          <t>WILLIE'S REPAIR SERVICE</t>
        </is>
      </c>
      <c r="C416" s="5" t="inlineStr">
        <is>
          <t>Willie's Repair Service LLC</t>
        </is>
      </c>
      <c r="D416" s="5" t="inlineStr">
        <is>
          <t>Closed</t>
        </is>
      </c>
      <c r="E416" s="16" t="n">
        <v>45996</v>
      </c>
      <c r="F416" s="16" t="n">
        <v>46106</v>
      </c>
      <c r="G416" s="17" t="n">
        <v>4</v>
      </c>
      <c r="H416" s="5" t="inlineStr">
        <is>
          <t>7538</t>
        </is>
      </c>
      <c r="I416" s="5" t="inlineStr">
        <is>
          <t>General Automotive Repair</t>
        </is>
      </c>
      <c r="J416" s="5" t="inlineStr">
        <is>
          <t>75</t>
        </is>
      </c>
      <c r="K416" s="5" t="n">
        <v>7538</v>
      </c>
      <c r="L416" s="5" t="inlineStr">
        <is>
          <t>VA</t>
        </is>
      </c>
      <c r="M416" s="5" t="inlineStr">
        <is>
          <t>ROYAL FUNDING GROUP</t>
        </is>
      </c>
      <c r="N416" s="5" t="inlineStr">
        <is>
          <t>New Deal</t>
        </is>
      </c>
      <c r="O416" s="19" t="n">
        <v>1.49</v>
      </c>
      <c r="P416" s="20" t="n">
        <v>15000</v>
      </c>
      <c r="Q416" s="20" t="n">
        <v>2100</v>
      </c>
      <c r="R416" s="20" t="n">
        <v>22350</v>
      </c>
      <c r="S416" s="20" t="n">
        <v>22350</v>
      </c>
      <c r="T416" s="20" t="n">
        <v>0</v>
      </c>
      <c r="U416" s="21" t="n">
        <v>1</v>
      </c>
      <c r="V416" s="22" t="n">
        <v>3.279</v>
      </c>
      <c r="W416" s="17" t="n">
        <v>147</v>
      </c>
      <c r="X416" s="17" t="n">
        <v>0</v>
      </c>
      <c r="Y416" s="20" t="n">
        <v>49372.77</v>
      </c>
      <c r="Z416" s="21" t="n">
        <v>0.1285</v>
      </c>
      <c r="AA416" s="16" t="n">
        <v>30767</v>
      </c>
      <c r="AB416" s="5">
        <f>IF(V416="","",IF(V416&lt;12,"Months","Weeks"))</f>
        <v/>
      </c>
      <c r="AC416" s="5">
        <f>IF(AB416="","",IF(AB416="Months","Daily","Weekly"))</f>
        <v/>
      </c>
      <c r="AD416" s="17">
        <f>IF(V416="","",IF(AC416="Daily",V416*Controls!$B$13,V416))</f>
        <v/>
      </c>
      <c r="AE416" s="17">
        <f>IF(V416="","",IF(AC416="Daily",V416*Controls!$B$13,V416*Controls!$B$12))</f>
        <v/>
      </c>
      <c r="AF416" s="17">
        <f>IF(OR(E416="",F416=""),"",F416-E416)</f>
        <v/>
      </c>
      <c r="AG416" s="17">
        <f>IF(OR(E416="",F416=""),"",NETWORKDAYS(E416,F416,Ref!$F$4:$F$47))</f>
        <v/>
      </c>
      <c r="AH416" s="39">
        <f>IF(IFERROR(VLOOKUP(D416,Controls!$A$25:$D$35,2,FALSE()),"No")="Yes",1,0)</f>
        <v/>
      </c>
      <c r="AI416" s="39">
        <f>IF(IFERROR(VLOOKUP(D416,Controls!$A$25:$D$35,3,FALSE()),"No")="Yes",1,0)</f>
        <v/>
      </c>
      <c r="AJ416" s="39">
        <f>IF(IFERROR(VLOOKUP(D416,Controls!$A$25:$D$35,4,FALSE()),"No")="Yes",1,0)</f>
        <v/>
      </c>
      <c r="AK416" s="96">
        <f>IF(AND($E416&gt;=Controls!$B$5,$E416&lt;=Controls!$B$6,OR(Controls!$E$9&lt;&gt;"Y",$BE416=1)),1,0)</f>
        <v/>
      </c>
      <c r="AL416" s="39">
        <f>1</f>
        <v/>
      </c>
      <c r="AM416" s="20">
        <f>S416-P416</f>
        <v/>
      </c>
      <c r="AN416" s="20">
        <f>IF(AH416=1,MAX(0,P416-S416),0)</f>
        <v/>
      </c>
      <c r="AO416" s="21">
        <f>IFERROR(S416/P416,"")</f>
        <v/>
      </c>
      <c r="AP416" s="22">
        <f>IF(Y416="","",P416/Y416)</f>
        <v/>
      </c>
      <c r="AQ416" s="39">
        <f>IF(Y416="",0,1)</f>
        <v/>
      </c>
      <c r="AR416" s="39">
        <f>IF(S416&lt;=0,1,0)</f>
        <v/>
      </c>
      <c r="AS416" s="17">
        <f>IF(AH416=1,AG416,"")</f>
        <v/>
      </c>
      <c r="AT416" s="17">
        <f>IF(AND(AH416=0,AJ416=1),AG416,"")</f>
        <v/>
      </c>
      <c r="AU416" s="5">
        <f>IF(P416&lt;10000,"Under $10K",IF(P416&lt;20000,"$10-20K",IF(P416&lt;30000,"$20-30K",IF(P416&lt;50000,"$30-50K",IF(P416&lt;100000,"$50-100K","$100K+")))))</f>
        <v/>
      </c>
      <c r="AV416" s="5">
        <f>IF(O416&lt;=1.35,"1.35 and under",IF(O416&lt;=1.42,"1.36-1.42",IF(O416&lt;=1.45,"1.43-1.45",IF(O416&lt;1.49,"1.46-1.48",IF(O416&lt;=1.49,"1.49","Above 1.49")))))</f>
        <v/>
      </c>
      <c r="AW416" s="5">
        <f>IF(AE416="","",IF(AE416&lt;60,"Under 60",IF(AE416&lt;90,"60-89",IF(AE416&lt;120,"90-119",IF(AE416&lt;150,"120-149","150+")))))</f>
        <v/>
      </c>
      <c r="AX416" s="5">
        <f>IF(AP416="","No revenue data",IF(AP416&lt;0.15,"Under 0.15x",IF(AP416&lt;0.3,"0.15-0.30x",IF(AP416&lt;0.5,"0.30-0.50x",IF(AP416&lt;1,"0.50-1.00x","1.00x+")))))</f>
        <v/>
      </c>
      <c r="AY416" s="5">
        <f>IF(J416="","No SIC",IFERROR(VLOOKUP(J416,Ref!$A$4:$C$67,2,FALSE()),"Unclassified"))</f>
        <v/>
      </c>
      <c r="AZ416" s="5">
        <f>IF(E416="","",TEXT(E416,"YYYY")&amp;"-Q"&amp;ROUNDUP(MONTH(E416)/3,0))</f>
        <v/>
      </c>
      <c r="BA416" s="5">
        <f>IF(E416="","",TEXT(E416,"YYYY-MM"))</f>
        <v/>
      </c>
      <c r="BB416" s="5">
        <f>IF(E416="","",TEXT(E416,"YYYY"))</f>
        <v/>
      </c>
      <c r="BC416" s="92">
        <f>IF($E416="","",NETWORKDAYS($E416,Controls!$B$9,Ref!$F$4:$F$47))</f>
        <v/>
      </c>
      <c r="BD416" s="92">
        <f>IF(OR($AH416=1,$AJ416=1),1,0)</f>
        <v/>
      </c>
      <c r="BE416" s="95">
        <f>IF(OR($BD416=1,AND($AE416&lt;&gt;"",$BC416&gt;=Controls!$B$10*$AE416)),1,0)</f>
        <v/>
      </c>
    </row>
    <row r="417" ht="15.75" customHeight="1" s="79">
      <c r="A417" s="5" t="inlineStr">
        <is>
          <t>5674173621</t>
        </is>
      </c>
      <c r="B417" s="5" t="inlineStr">
        <is>
          <t>AS ONE TRANSPORTATION</t>
        </is>
      </c>
      <c r="C417" s="5" t="inlineStr">
        <is>
          <t>AS ONE TRANSPORTATION</t>
        </is>
      </c>
      <c r="D417" s="5" t="inlineStr">
        <is>
          <t>Closed</t>
        </is>
      </c>
      <c r="E417" s="16" t="n">
        <v>45996</v>
      </c>
      <c r="F417" s="16" t="n">
        <v>46120</v>
      </c>
      <c r="G417" s="17" t="n">
        <v>3</v>
      </c>
      <c r="H417" s="5" t="inlineStr">
        <is>
          <t>4212</t>
        </is>
      </c>
      <c r="I417" s="5" t="inlineStr">
        <is>
          <t>Specialized Freight (Except Used Goods) Trucking, Local</t>
        </is>
      </c>
      <c r="J417" s="5" t="inlineStr">
        <is>
          <t>42</t>
        </is>
      </c>
      <c r="K417" s="5" t="n">
        <v>4214</v>
      </c>
      <c r="L417" s="5" t="inlineStr">
        <is>
          <t>MO</t>
        </is>
      </c>
      <c r="M417" s="5" t="inlineStr">
        <is>
          <t>Westwood</t>
        </is>
      </c>
      <c r="N417" s="5" t="inlineStr">
        <is>
          <t>New Deal</t>
        </is>
      </c>
      <c r="O417" s="19" t="n">
        <v>1.35</v>
      </c>
      <c r="P417" s="20" t="n">
        <v>17000</v>
      </c>
      <c r="Q417" s="20" t="n">
        <v>1190</v>
      </c>
      <c r="R417" s="20" t="n">
        <v>22950</v>
      </c>
      <c r="S417" s="20" t="n">
        <v>22950</v>
      </c>
      <c r="T417" s="20" t="n">
        <v>0</v>
      </c>
      <c r="U417" s="21" t="n">
        <v>1</v>
      </c>
      <c r="V417" s="22" t="n">
        <v>24</v>
      </c>
      <c r="W417" s="17" t="n">
        <v>133</v>
      </c>
      <c r="X417" s="17" t="n">
        <v>1</v>
      </c>
      <c r="Y417" s="20" t="n">
        <v>99070.63</v>
      </c>
      <c r="Z417" s="21" t="n">
        <v>0.0386</v>
      </c>
      <c r="AA417" s="5" t="n"/>
      <c r="AB417" s="5">
        <f>IF(V417="","",IF(V417&lt;12,"Months","Weeks"))</f>
        <v/>
      </c>
      <c r="AC417" s="5">
        <f>IF(AB417="","",IF(AB417="Months","Daily","Weekly"))</f>
        <v/>
      </c>
      <c r="AD417" s="17">
        <f>IF(V417="","",IF(AC417="Daily",V417*Controls!$B$13,V417))</f>
        <v/>
      </c>
      <c r="AE417" s="17">
        <f>IF(V417="","",IF(AC417="Daily",V417*Controls!$B$13,V417*Controls!$B$12))</f>
        <v/>
      </c>
      <c r="AF417" s="17">
        <f>IF(OR(E417="",F417=""),"",F417-E417)</f>
        <v/>
      </c>
      <c r="AG417" s="17">
        <f>IF(OR(E417="",F417=""),"",NETWORKDAYS(E417,F417,Ref!$F$4:$F$47))</f>
        <v/>
      </c>
      <c r="AH417" s="39">
        <f>IF(IFERROR(VLOOKUP(D417,Controls!$A$25:$D$35,2,FALSE()),"No")="Yes",1,0)</f>
        <v/>
      </c>
      <c r="AI417" s="39">
        <f>IF(IFERROR(VLOOKUP(D417,Controls!$A$25:$D$35,3,FALSE()),"No")="Yes",1,0)</f>
        <v/>
      </c>
      <c r="AJ417" s="39">
        <f>IF(IFERROR(VLOOKUP(D417,Controls!$A$25:$D$35,4,FALSE()),"No")="Yes",1,0)</f>
        <v/>
      </c>
      <c r="AK417" s="96">
        <f>IF(AND($E417&gt;=Controls!$B$5,$E417&lt;=Controls!$B$6,OR(Controls!$E$9&lt;&gt;"Y",$BE417=1)),1,0)</f>
        <v/>
      </c>
      <c r="AL417" s="39">
        <f>1</f>
        <v/>
      </c>
      <c r="AM417" s="20">
        <f>S417-P417</f>
        <v/>
      </c>
      <c r="AN417" s="20">
        <f>IF(AH417=1,MAX(0,P417-S417),0)</f>
        <v/>
      </c>
      <c r="AO417" s="21">
        <f>IFERROR(S417/P417,"")</f>
        <v/>
      </c>
      <c r="AP417" s="22">
        <f>IF(Y417="","",P417/Y417)</f>
        <v/>
      </c>
      <c r="AQ417" s="39">
        <f>IF(Y417="",0,1)</f>
        <v/>
      </c>
      <c r="AR417" s="39">
        <f>IF(S417&lt;=0,1,0)</f>
        <v/>
      </c>
      <c r="AS417" s="17">
        <f>IF(AH417=1,AG417,"")</f>
        <v/>
      </c>
      <c r="AT417" s="17">
        <f>IF(AND(AH417=0,AJ417=1),AG417,"")</f>
        <v/>
      </c>
      <c r="AU417" s="5">
        <f>IF(P417&lt;10000,"Under $10K",IF(P417&lt;20000,"$10-20K",IF(P417&lt;30000,"$20-30K",IF(P417&lt;50000,"$30-50K",IF(P417&lt;100000,"$50-100K","$100K+")))))</f>
        <v/>
      </c>
      <c r="AV417" s="5">
        <f>IF(O417&lt;=1.35,"1.35 and under",IF(O417&lt;=1.42,"1.36-1.42",IF(O417&lt;=1.45,"1.43-1.45",IF(O417&lt;1.49,"1.46-1.48",IF(O417&lt;=1.49,"1.49","Above 1.49")))))</f>
        <v/>
      </c>
      <c r="AW417" s="5">
        <f>IF(AE417="","",IF(AE417&lt;60,"Under 60",IF(AE417&lt;90,"60-89",IF(AE417&lt;120,"90-119",IF(AE417&lt;150,"120-149","150+")))))</f>
        <v/>
      </c>
      <c r="AX417" s="5">
        <f>IF(AP417="","No revenue data",IF(AP417&lt;0.15,"Under 0.15x",IF(AP417&lt;0.3,"0.15-0.30x",IF(AP417&lt;0.5,"0.30-0.50x",IF(AP417&lt;1,"0.50-1.00x","1.00x+")))))</f>
        <v/>
      </c>
      <c r="AY417" s="5">
        <f>IF(J417="","No SIC",IFERROR(VLOOKUP(J417,Ref!$A$4:$C$67,2,FALSE()),"Unclassified"))</f>
        <v/>
      </c>
      <c r="AZ417" s="5">
        <f>IF(E417="","",TEXT(E417,"YYYY")&amp;"-Q"&amp;ROUNDUP(MONTH(E417)/3,0))</f>
        <v/>
      </c>
      <c r="BA417" s="5">
        <f>IF(E417="","",TEXT(E417,"YYYY-MM"))</f>
        <v/>
      </c>
      <c r="BB417" s="5">
        <f>IF(E417="","",TEXT(E417,"YYYY"))</f>
        <v/>
      </c>
      <c r="BC417" s="92">
        <f>IF($E417="","",NETWORKDAYS($E417,Controls!$B$9,Ref!$F$4:$F$47))</f>
        <v/>
      </c>
      <c r="BD417" s="92">
        <f>IF(OR($AH417=1,$AJ417=1),1,0)</f>
        <v/>
      </c>
      <c r="BE417" s="95">
        <f>IF(OR($BD417=1,AND($AE417&lt;&gt;"",$BC417&gt;=Controls!$B$10*$AE417)),1,0)</f>
        <v/>
      </c>
    </row>
    <row r="418" ht="15.75" customHeight="1" s="79">
      <c r="A418" s="5" t="inlineStr">
        <is>
          <t>5674173625</t>
        </is>
      </c>
      <c r="B418" s="5" t="inlineStr">
        <is>
          <t>JWS OUTPOST 421 LLC</t>
        </is>
      </c>
      <c r="C418" s="5" t="inlineStr">
        <is>
          <t>JWS OUTPOST 421 LLC</t>
        </is>
      </c>
      <c r="D418" s="5" t="inlineStr">
        <is>
          <t>Closed</t>
        </is>
      </c>
      <c r="E418" s="16" t="n">
        <v>45996</v>
      </c>
      <c r="F418" s="16" t="n">
        <v>46048</v>
      </c>
      <c r="G418" s="17" t="n">
        <v>2</v>
      </c>
      <c r="H418" s="5" t="inlineStr">
        <is>
          <t>5999</t>
        </is>
      </c>
      <c r="I418" s="5" t="inlineStr">
        <is>
          <t>All Other Misc. Store Retailers (Except Tobacco Stores)</t>
        </is>
      </c>
      <c r="J418" s="5" t="inlineStr">
        <is>
          <t>59</t>
        </is>
      </c>
      <c r="K418" s="5" t="n">
        <v>5999</v>
      </c>
      <c r="L418" s="5" t="inlineStr">
        <is>
          <t>IN</t>
        </is>
      </c>
      <c r="M418" s="5" t="inlineStr">
        <is>
          <t>United Secured Capital 8</t>
        </is>
      </c>
      <c r="N418" s="5" t="inlineStr">
        <is>
          <t>New Deal</t>
        </is>
      </c>
      <c r="O418" s="19" t="n">
        <v>1.49</v>
      </c>
      <c r="P418" s="20" t="n">
        <v>10000</v>
      </c>
      <c r="Q418" s="20" t="n">
        <v>1400</v>
      </c>
      <c r="R418" s="20" t="n">
        <v>14900</v>
      </c>
      <c r="S418" s="20" t="n">
        <v>14900</v>
      </c>
      <c r="T418" s="20" t="n">
        <v>0</v>
      </c>
      <c r="U418" s="21" t="n">
        <v>1</v>
      </c>
      <c r="V418" s="22" t="n">
        <v>2.295</v>
      </c>
      <c r="W418" s="17" t="n">
        <v>205</v>
      </c>
      <c r="X418" s="17" t="n">
        <v>7</v>
      </c>
      <c r="Y418" s="20" t="n">
        <v>93274.12</v>
      </c>
      <c r="Z418" s="21" t="n">
        <v>0.0479</v>
      </c>
      <c r="AA418" s="5" t="n"/>
      <c r="AB418" s="5">
        <f>IF(V418="","",IF(V418&lt;12,"Months","Weeks"))</f>
        <v/>
      </c>
      <c r="AC418" s="5">
        <f>IF(AB418="","",IF(AB418="Months","Daily","Weekly"))</f>
        <v/>
      </c>
      <c r="AD418" s="17">
        <f>IF(V418="","",IF(AC418="Daily",V418*Controls!$B$13,V418))</f>
        <v/>
      </c>
      <c r="AE418" s="17">
        <f>IF(V418="","",IF(AC418="Daily",V418*Controls!$B$13,V418*Controls!$B$12))</f>
        <v/>
      </c>
      <c r="AF418" s="17">
        <f>IF(OR(E418="",F418=""),"",F418-E418)</f>
        <v/>
      </c>
      <c r="AG418" s="17">
        <f>IF(OR(E418="",F418=""),"",NETWORKDAYS(E418,F418,Ref!$F$4:$F$47))</f>
        <v/>
      </c>
      <c r="AH418" s="39">
        <f>IF(IFERROR(VLOOKUP(D418,Controls!$A$25:$D$35,2,FALSE()),"No")="Yes",1,0)</f>
        <v/>
      </c>
      <c r="AI418" s="39">
        <f>IF(IFERROR(VLOOKUP(D418,Controls!$A$25:$D$35,3,FALSE()),"No")="Yes",1,0)</f>
        <v/>
      </c>
      <c r="AJ418" s="39">
        <f>IF(IFERROR(VLOOKUP(D418,Controls!$A$25:$D$35,4,FALSE()),"No")="Yes",1,0)</f>
        <v/>
      </c>
      <c r="AK418" s="96">
        <f>IF(AND($E418&gt;=Controls!$B$5,$E418&lt;=Controls!$B$6,OR(Controls!$E$9&lt;&gt;"Y",$BE418=1)),1,0)</f>
        <v/>
      </c>
      <c r="AL418" s="39">
        <f>1</f>
        <v/>
      </c>
      <c r="AM418" s="20">
        <f>S418-P418</f>
        <v/>
      </c>
      <c r="AN418" s="20">
        <f>IF(AH418=1,MAX(0,P418-S418),0)</f>
        <v/>
      </c>
      <c r="AO418" s="21">
        <f>IFERROR(S418/P418,"")</f>
        <v/>
      </c>
      <c r="AP418" s="22">
        <f>IF(Y418="","",P418/Y418)</f>
        <v/>
      </c>
      <c r="AQ418" s="39">
        <f>IF(Y418="",0,1)</f>
        <v/>
      </c>
      <c r="AR418" s="39">
        <f>IF(S418&lt;=0,1,0)</f>
        <v/>
      </c>
      <c r="AS418" s="17">
        <f>IF(AH418=1,AG418,"")</f>
        <v/>
      </c>
      <c r="AT418" s="17">
        <f>IF(AND(AH418=0,AJ418=1),AG418,"")</f>
        <v/>
      </c>
      <c r="AU418" s="5">
        <f>IF(P418&lt;10000,"Under $10K",IF(P418&lt;20000,"$10-20K",IF(P418&lt;30000,"$20-30K",IF(P418&lt;50000,"$30-50K",IF(P418&lt;100000,"$50-100K","$100K+")))))</f>
        <v/>
      </c>
      <c r="AV418" s="5">
        <f>IF(O418&lt;=1.35,"1.35 and under",IF(O418&lt;=1.42,"1.36-1.42",IF(O418&lt;=1.45,"1.43-1.45",IF(O418&lt;1.49,"1.46-1.48",IF(O418&lt;=1.49,"1.49","Above 1.49")))))</f>
        <v/>
      </c>
      <c r="AW418" s="5">
        <f>IF(AE418="","",IF(AE418&lt;60,"Under 60",IF(AE418&lt;90,"60-89",IF(AE418&lt;120,"90-119",IF(AE418&lt;150,"120-149","150+")))))</f>
        <v/>
      </c>
      <c r="AX418" s="5">
        <f>IF(AP418="","No revenue data",IF(AP418&lt;0.15,"Under 0.15x",IF(AP418&lt;0.3,"0.15-0.30x",IF(AP418&lt;0.5,"0.30-0.50x",IF(AP418&lt;1,"0.50-1.00x","1.00x+")))))</f>
        <v/>
      </c>
      <c r="AY418" s="5">
        <f>IF(J418="","No SIC",IFERROR(VLOOKUP(J418,Ref!$A$4:$C$67,2,FALSE()),"Unclassified"))</f>
        <v/>
      </c>
      <c r="AZ418" s="5">
        <f>IF(E418="","",TEXT(E418,"YYYY")&amp;"-Q"&amp;ROUNDUP(MONTH(E418)/3,0))</f>
        <v/>
      </c>
      <c r="BA418" s="5">
        <f>IF(E418="","",TEXT(E418,"YYYY-MM"))</f>
        <v/>
      </c>
      <c r="BB418" s="5">
        <f>IF(E418="","",TEXT(E418,"YYYY"))</f>
        <v/>
      </c>
      <c r="BC418" s="92">
        <f>IF($E418="","",NETWORKDAYS($E418,Controls!$B$9,Ref!$F$4:$F$47))</f>
        <v/>
      </c>
      <c r="BD418" s="92">
        <f>IF(OR($AH418=1,$AJ418=1),1,0)</f>
        <v/>
      </c>
      <c r="BE418" s="95">
        <f>IF(OR($BD418=1,AND($AE418&lt;&gt;"",$BC418&gt;=Controls!$B$10*$AE418)),1,0)</f>
        <v/>
      </c>
    </row>
    <row r="419" ht="15.75" customHeight="1" s="79">
      <c r="A419" s="5" t="inlineStr">
        <is>
          <t>5674173638</t>
        </is>
      </c>
      <c r="B419" s="5" t="inlineStr">
        <is>
          <t>GENERATOR SUPERCENTER OF ORLANDO</t>
        </is>
      </c>
      <c r="C419" s="5" t="inlineStr">
        <is>
          <t>CENTRAL BACKUP LLC</t>
        </is>
      </c>
      <c r="D419" s="5" t="inlineStr">
        <is>
          <t>Open</t>
        </is>
      </c>
      <c r="E419" s="16" t="n">
        <v>45996</v>
      </c>
      <c r="F419" s="16" t="n">
        <v>46253</v>
      </c>
      <c r="G419" s="17" t="n">
        <v>4</v>
      </c>
      <c r="H419" s="5" t="inlineStr">
        <is>
          <t>3621</t>
        </is>
      </c>
      <c r="I419" s="5" t="inlineStr">
        <is>
          <t>Motor and Generator Mfg.</t>
        </is>
      </c>
      <c r="J419" s="5" t="inlineStr">
        <is>
          <t>36</t>
        </is>
      </c>
      <c r="K419" s="5" t="n">
        <v>4900</v>
      </c>
      <c r="L419" s="5" t="inlineStr">
        <is>
          <t>FL</t>
        </is>
      </c>
      <c r="M419" s="5" t="inlineStr">
        <is>
          <t>J Capital Solutions</t>
        </is>
      </c>
      <c r="N419" s="5" t="inlineStr">
        <is>
          <t>New Deal</t>
        </is>
      </c>
      <c r="O419" s="19" t="n">
        <v>1.48</v>
      </c>
      <c r="P419" s="20" t="n">
        <v>150000</v>
      </c>
      <c r="Q419" s="20" t="n">
        <v>20250</v>
      </c>
      <c r="R419" s="20" t="n">
        <v>222000</v>
      </c>
      <c r="S419" s="20" t="n">
        <v>145825.7</v>
      </c>
      <c r="T419" s="20" t="n">
        <v>76174.3</v>
      </c>
      <c r="U419" s="21" t="n">
        <v>0.656872522522523</v>
      </c>
      <c r="V419" s="22" t="n">
        <v>28</v>
      </c>
      <c r="W419" s="17" t="n">
        <v>0</v>
      </c>
      <c r="X419" s="17" t="n">
        <v>74</v>
      </c>
      <c r="Y419" s="20" t="n">
        <v>425520.28</v>
      </c>
      <c r="Z419" s="21" t="n">
        <v>0.0745</v>
      </c>
      <c r="AA419" s="5" t="n"/>
      <c r="AB419" s="5">
        <f>IF(V419="","",IF(V419&lt;12,"Months","Weeks"))</f>
        <v/>
      </c>
      <c r="AC419" s="5">
        <f>IF(AB419="","",IF(AB419="Months","Daily","Weekly"))</f>
        <v/>
      </c>
      <c r="AD419" s="17">
        <f>IF(V419="","",IF(AC419="Daily",V419*Controls!$B$13,V419))</f>
        <v/>
      </c>
      <c r="AE419" s="17">
        <f>IF(V419="","",IF(AC419="Daily",V419*Controls!$B$13,V419*Controls!$B$12))</f>
        <v/>
      </c>
      <c r="AF419" s="17">
        <f>IF(OR(E419="",F419=""),"",F419-E419)</f>
        <v/>
      </c>
      <c r="AG419" s="17">
        <f>IF(OR(E419="",F419=""),"",NETWORKDAYS(E419,F419,Ref!$F$4:$F$47))</f>
        <v/>
      </c>
      <c r="AH419" s="39">
        <f>IF(IFERROR(VLOOKUP(D419,Controls!$A$25:$D$35,2,FALSE()),"No")="Yes",1,0)</f>
        <v/>
      </c>
      <c r="AI419" s="39">
        <f>IF(IFERROR(VLOOKUP(D419,Controls!$A$25:$D$35,3,FALSE()),"No")="Yes",1,0)</f>
        <v/>
      </c>
      <c r="AJ419" s="39">
        <f>IF(IFERROR(VLOOKUP(D419,Controls!$A$25:$D$35,4,FALSE()),"No")="Yes",1,0)</f>
        <v/>
      </c>
      <c r="AK419" s="96">
        <f>IF(AND($E419&gt;=Controls!$B$5,$E419&lt;=Controls!$B$6,OR(Controls!$E$9&lt;&gt;"Y",$BE419=1)),1,0)</f>
        <v/>
      </c>
      <c r="AL419" s="39">
        <f>1</f>
        <v/>
      </c>
      <c r="AM419" s="20">
        <f>S419-P419</f>
        <v/>
      </c>
      <c r="AN419" s="20">
        <f>IF(AH419=1,MAX(0,P419-S419),0)</f>
        <v/>
      </c>
      <c r="AO419" s="21">
        <f>IFERROR(S419/P419,"")</f>
        <v/>
      </c>
      <c r="AP419" s="22">
        <f>IF(Y419="","",P419/Y419)</f>
        <v/>
      </c>
      <c r="AQ419" s="39">
        <f>IF(Y419="",0,1)</f>
        <v/>
      </c>
      <c r="AR419" s="39">
        <f>IF(S419&lt;=0,1,0)</f>
        <v/>
      </c>
      <c r="AS419" s="17">
        <f>IF(AH419=1,AG419,"")</f>
        <v/>
      </c>
      <c r="AT419" s="17">
        <f>IF(AND(AH419=0,AJ419=1),AG419,"")</f>
        <v/>
      </c>
      <c r="AU419" s="5">
        <f>IF(P419&lt;10000,"Under $10K",IF(P419&lt;20000,"$10-20K",IF(P419&lt;30000,"$20-30K",IF(P419&lt;50000,"$30-50K",IF(P419&lt;100000,"$50-100K","$100K+")))))</f>
        <v/>
      </c>
      <c r="AV419" s="5">
        <f>IF(O419&lt;=1.35,"1.35 and under",IF(O419&lt;=1.42,"1.36-1.42",IF(O419&lt;=1.45,"1.43-1.45",IF(O419&lt;1.49,"1.46-1.48",IF(O419&lt;=1.49,"1.49","Above 1.49")))))</f>
        <v/>
      </c>
      <c r="AW419" s="5">
        <f>IF(AE419="","",IF(AE419&lt;60,"Under 60",IF(AE419&lt;90,"60-89",IF(AE419&lt;120,"90-119",IF(AE419&lt;150,"120-149","150+")))))</f>
        <v/>
      </c>
      <c r="AX419" s="5">
        <f>IF(AP419="","No revenue data",IF(AP419&lt;0.15,"Under 0.15x",IF(AP419&lt;0.3,"0.15-0.30x",IF(AP419&lt;0.5,"0.30-0.50x",IF(AP419&lt;1,"0.50-1.00x","1.00x+")))))</f>
        <v/>
      </c>
      <c r="AY419" s="5">
        <f>IF(J419="","No SIC",IFERROR(VLOOKUP(J419,Ref!$A$4:$C$67,2,FALSE()),"Unclassified"))</f>
        <v/>
      </c>
      <c r="AZ419" s="5">
        <f>IF(E419="","",TEXT(E419,"YYYY")&amp;"-Q"&amp;ROUNDUP(MONTH(E419)/3,0))</f>
        <v/>
      </c>
      <c r="BA419" s="5">
        <f>IF(E419="","",TEXT(E419,"YYYY-MM"))</f>
        <v/>
      </c>
      <c r="BB419" s="5">
        <f>IF(E419="","",TEXT(E419,"YYYY"))</f>
        <v/>
      </c>
      <c r="BC419" s="92">
        <f>IF($E419="","",NETWORKDAYS($E419,Controls!$B$9,Ref!$F$4:$F$47))</f>
        <v/>
      </c>
      <c r="BD419" s="92">
        <f>IF(OR($AH419=1,$AJ419=1),1,0)</f>
        <v/>
      </c>
      <c r="BE419" s="95">
        <f>IF(OR($BD419=1,AND($AE419&lt;&gt;"",$BC419&gt;=Controls!$B$10*$AE419)),1,0)</f>
        <v/>
      </c>
    </row>
    <row r="420" ht="15.75" customHeight="1" s="79">
      <c r="A420" s="5" t="inlineStr">
        <is>
          <t>5674173690</t>
        </is>
      </c>
      <c r="B420" s="5" t="inlineStr">
        <is>
          <t>Discovery Water Management LLC.</t>
        </is>
      </c>
      <c r="C420" s="5" t="inlineStr">
        <is>
          <t>Discovery Water Management LLC.</t>
        </is>
      </c>
      <c r="D420" s="5" t="inlineStr">
        <is>
          <t>Settlement Agreement</t>
        </is>
      </c>
      <c r="E420" s="16" t="n">
        <v>45999</v>
      </c>
      <c r="F420" s="16" t="n">
        <v>46246</v>
      </c>
      <c r="G420" s="17" t="n">
        <v>2</v>
      </c>
      <c r="H420" s="5" t="inlineStr">
        <is>
          <t>1623</t>
        </is>
      </c>
      <c r="I420" s="5" t="inlineStr">
        <is>
          <t>Water and Sewer Line and Related Structures Construction</t>
        </is>
      </c>
      <c r="J420" s="5" t="inlineStr">
        <is>
          <t>16</t>
        </is>
      </c>
      <c r="K420" s="5" t="n">
        <v>4900</v>
      </c>
      <c r="L420" s="5" t="inlineStr">
        <is>
          <t>WI</t>
        </is>
      </c>
      <c r="M420" s="5" t="inlineStr">
        <is>
          <t>Platform Funding</t>
        </is>
      </c>
      <c r="N420" s="5" t="inlineStr">
        <is>
          <t>New Deal</t>
        </is>
      </c>
      <c r="O420" s="19" t="n">
        <v>1.499</v>
      </c>
      <c r="P420" s="20" t="n">
        <v>20000</v>
      </c>
      <c r="Q420" s="20" t="n">
        <v>2800</v>
      </c>
      <c r="R420" s="20" t="n">
        <v>29980</v>
      </c>
      <c r="S420" s="20" t="n">
        <v>22769.95</v>
      </c>
      <c r="T420" s="20" t="n">
        <v>7210.05</v>
      </c>
      <c r="U420" s="21" t="n">
        <v>0.759504669779853</v>
      </c>
      <c r="V420" s="22" t="n">
        <v>2.787</v>
      </c>
      <c r="W420" s="17" t="n">
        <v>7</v>
      </c>
      <c r="X420" s="17" t="n">
        <v>40</v>
      </c>
      <c r="Y420" s="20" t="n">
        <v>80290.60000000001</v>
      </c>
      <c r="Z420" s="21" t="n">
        <v>0.1619</v>
      </c>
      <c r="AA420" s="16" t="n">
        <v>40970</v>
      </c>
      <c r="AB420" s="5">
        <f>IF(V420="","",IF(V420&lt;12,"Months","Weeks"))</f>
        <v/>
      </c>
      <c r="AC420" s="5">
        <f>IF(AB420="","",IF(AB420="Months","Daily","Weekly"))</f>
        <v/>
      </c>
      <c r="AD420" s="17">
        <f>IF(V420="","",IF(AC420="Daily",V420*Controls!$B$13,V420))</f>
        <v/>
      </c>
      <c r="AE420" s="17">
        <f>IF(V420="","",IF(AC420="Daily",V420*Controls!$B$13,V420*Controls!$B$12))</f>
        <v/>
      </c>
      <c r="AF420" s="17">
        <f>IF(OR(E420="",F420=""),"",F420-E420)</f>
        <v/>
      </c>
      <c r="AG420" s="17">
        <f>IF(OR(E420="",F420=""),"",NETWORKDAYS(E420,F420,Ref!$F$4:$F$47))</f>
        <v/>
      </c>
      <c r="AH420" s="39">
        <f>IF(IFERROR(VLOOKUP(D420,Controls!$A$25:$D$35,2,FALSE()),"No")="Yes",1,0)</f>
        <v/>
      </c>
      <c r="AI420" s="39">
        <f>IF(IFERROR(VLOOKUP(D420,Controls!$A$25:$D$35,3,FALSE()),"No")="Yes",1,0)</f>
        <v/>
      </c>
      <c r="AJ420" s="39">
        <f>IF(IFERROR(VLOOKUP(D420,Controls!$A$25:$D$35,4,FALSE()),"No")="Yes",1,0)</f>
        <v/>
      </c>
      <c r="AK420" s="96">
        <f>IF(AND($E420&gt;=Controls!$B$5,$E420&lt;=Controls!$B$6,OR(Controls!$E$9&lt;&gt;"Y",$BE420=1)),1,0)</f>
        <v/>
      </c>
      <c r="AL420" s="39">
        <f>1</f>
        <v/>
      </c>
      <c r="AM420" s="20">
        <f>S420-P420</f>
        <v/>
      </c>
      <c r="AN420" s="20">
        <f>IF(AH420=1,MAX(0,P420-S420),0)</f>
        <v/>
      </c>
      <c r="AO420" s="21">
        <f>IFERROR(S420/P420,"")</f>
        <v/>
      </c>
      <c r="AP420" s="22">
        <f>IF(Y420="","",P420/Y420)</f>
        <v/>
      </c>
      <c r="AQ420" s="39">
        <f>IF(Y420="",0,1)</f>
        <v/>
      </c>
      <c r="AR420" s="39">
        <f>IF(S420&lt;=0,1,0)</f>
        <v/>
      </c>
      <c r="AS420" s="17">
        <f>IF(AH420=1,AG420,"")</f>
        <v/>
      </c>
      <c r="AT420" s="17">
        <f>IF(AND(AH420=0,AJ420=1),AG420,"")</f>
        <v/>
      </c>
      <c r="AU420" s="5">
        <f>IF(P420&lt;10000,"Under $10K",IF(P420&lt;20000,"$10-20K",IF(P420&lt;30000,"$20-30K",IF(P420&lt;50000,"$30-50K",IF(P420&lt;100000,"$50-100K","$100K+")))))</f>
        <v/>
      </c>
      <c r="AV420" s="5">
        <f>IF(O420&lt;=1.35,"1.35 and under",IF(O420&lt;=1.42,"1.36-1.42",IF(O420&lt;=1.45,"1.43-1.45",IF(O420&lt;1.49,"1.46-1.48",IF(O420&lt;=1.49,"1.49","Above 1.49")))))</f>
        <v/>
      </c>
      <c r="AW420" s="5">
        <f>IF(AE420="","",IF(AE420&lt;60,"Under 60",IF(AE420&lt;90,"60-89",IF(AE420&lt;120,"90-119",IF(AE420&lt;150,"120-149","150+")))))</f>
        <v/>
      </c>
      <c r="AX420" s="5">
        <f>IF(AP420="","No revenue data",IF(AP420&lt;0.15,"Under 0.15x",IF(AP420&lt;0.3,"0.15-0.30x",IF(AP420&lt;0.5,"0.30-0.50x",IF(AP420&lt;1,"0.50-1.00x","1.00x+")))))</f>
        <v/>
      </c>
      <c r="AY420" s="5">
        <f>IF(J420="","No SIC",IFERROR(VLOOKUP(J420,Ref!$A$4:$C$67,2,FALSE()),"Unclassified"))</f>
        <v/>
      </c>
      <c r="AZ420" s="5">
        <f>IF(E420="","",TEXT(E420,"YYYY")&amp;"-Q"&amp;ROUNDUP(MONTH(E420)/3,0))</f>
        <v/>
      </c>
      <c r="BA420" s="5">
        <f>IF(E420="","",TEXT(E420,"YYYY-MM"))</f>
        <v/>
      </c>
      <c r="BB420" s="5">
        <f>IF(E420="","",TEXT(E420,"YYYY"))</f>
        <v/>
      </c>
      <c r="BC420" s="92">
        <f>IF($E420="","",NETWORKDAYS($E420,Controls!$B$9,Ref!$F$4:$F$47))</f>
        <v/>
      </c>
      <c r="BD420" s="92">
        <f>IF(OR($AH420=1,$AJ420=1),1,0)</f>
        <v/>
      </c>
      <c r="BE420" s="95">
        <f>IF(OR($BD420=1,AND($AE420&lt;&gt;"",$BC420&gt;=Controls!$B$10*$AE420)),1,0)</f>
        <v/>
      </c>
    </row>
    <row r="421" ht="15.75" customHeight="1" s="79">
      <c r="A421" s="5" t="inlineStr">
        <is>
          <t>5674173726</t>
        </is>
      </c>
      <c r="B421" s="5" t="inlineStr">
        <is>
          <t>BLACKBURN BUSINESS MANAGEMENT</t>
        </is>
      </c>
      <c r="C421" s="5" t="inlineStr">
        <is>
          <t>BLACKBURN BUSINESS MANAGEMENT LLC</t>
        </is>
      </c>
      <c r="D421" s="5" t="inlineStr">
        <is>
          <t>Closed</t>
        </is>
      </c>
      <c r="E421" s="16" t="n">
        <v>45999</v>
      </c>
      <c r="F421" s="16" t="n">
        <v>46106</v>
      </c>
      <c r="G421" s="17" t="n">
        <v>2</v>
      </c>
      <c r="H421" s="5" t="inlineStr">
        <is>
          <t>1442</t>
        </is>
      </c>
      <c r="I421" s="5" t="inlineStr">
        <is>
          <t>Construction Sand and Gravel Mining</t>
        </is>
      </c>
      <c r="J421" s="5" t="inlineStr">
        <is>
          <t>14</t>
        </is>
      </c>
      <c r="K421" s="5" t="n">
        <v>1799</v>
      </c>
      <c r="L421" s="5" t="inlineStr">
        <is>
          <t>TX</t>
        </is>
      </c>
      <c r="M421" s="5" t="inlineStr">
        <is>
          <t>EZ ADVANCE LLC</t>
        </is>
      </c>
      <c r="N421" s="5" t="inlineStr">
        <is>
          <t>New Deal</t>
        </is>
      </c>
      <c r="O421" s="19" t="n">
        <v>1.434095</v>
      </c>
      <c r="P421" s="20" t="n">
        <v>30000</v>
      </c>
      <c r="Q421" s="20" t="n">
        <v>4200</v>
      </c>
      <c r="R421" s="20" t="n">
        <v>43022.85</v>
      </c>
      <c r="S421" s="20" t="n">
        <v>43022.85</v>
      </c>
      <c r="T421" s="20" t="n">
        <v>0</v>
      </c>
      <c r="U421" s="21" t="n">
        <v>1</v>
      </c>
      <c r="V421" s="22" t="n">
        <v>24</v>
      </c>
      <c r="W421" s="17" t="n">
        <v>147</v>
      </c>
      <c r="X421" s="17" t="n">
        <v>0</v>
      </c>
      <c r="Y421" s="20" t="n">
        <v>31354.76</v>
      </c>
      <c r="Z421" s="21" t="n">
        <v>0.2376</v>
      </c>
      <c r="AA421" s="5" t="n"/>
      <c r="AB421" s="5">
        <f>IF(V421="","",IF(V421&lt;12,"Months","Weeks"))</f>
        <v/>
      </c>
      <c r="AC421" s="5">
        <f>IF(AB421="","",IF(AB421="Months","Daily","Weekly"))</f>
        <v/>
      </c>
      <c r="AD421" s="17">
        <f>IF(V421="","",IF(AC421="Daily",V421*Controls!$B$13,V421))</f>
        <v/>
      </c>
      <c r="AE421" s="17">
        <f>IF(V421="","",IF(AC421="Daily",V421*Controls!$B$13,V421*Controls!$B$12))</f>
        <v/>
      </c>
      <c r="AF421" s="17">
        <f>IF(OR(E421="",F421=""),"",F421-E421)</f>
        <v/>
      </c>
      <c r="AG421" s="17">
        <f>IF(OR(E421="",F421=""),"",NETWORKDAYS(E421,F421,Ref!$F$4:$F$47))</f>
        <v/>
      </c>
      <c r="AH421" s="39">
        <f>IF(IFERROR(VLOOKUP(D421,Controls!$A$25:$D$35,2,FALSE()),"No")="Yes",1,0)</f>
        <v/>
      </c>
      <c r="AI421" s="39">
        <f>IF(IFERROR(VLOOKUP(D421,Controls!$A$25:$D$35,3,FALSE()),"No")="Yes",1,0)</f>
        <v/>
      </c>
      <c r="AJ421" s="39">
        <f>IF(IFERROR(VLOOKUP(D421,Controls!$A$25:$D$35,4,FALSE()),"No")="Yes",1,0)</f>
        <v/>
      </c>
      <c r="AK421" s="96">
        <f>IF(AND($E421&gt;=Controls!$B$5,$E421&lt;=Controls!$B$6,OR(Controls!$E$9&lt;&gt;"Y",$BE421=1)),1,0)</f>
        <v/>
      </c>
      <c r="AL421" s="39">
        <f>1</f>
        <v/>
      </c>
      <c r="AM421" s="20">
        <f>S421-P421</f>
        <v/>
      </c>
      <c r="AN421" s="20">
        <f>IF(AH421=1,MAX(0,P421-S421),0)</f>
        <v/>
      </c>
      <c r="AO421" s="21">
        <f>IFERROR(S421/P421,"")</f>
        <v/>
      </c>
      <c r="AP421" s="22">
        <f>IF(Y421="","",P421/Y421)</f>
        <v/>
      </c>
      <c r="AQ421" s="39">
        <f>IF(Y421="",0,1)</f>
        <v/>
      </c>
      <c r="AR421" s="39">
        <f>IF(S421&lt;=0,1,0)</f>
        <v/>
      </c>
      <c r="AS421" s="17">
        <f>IF(AH421=1,AG421,"")</f>
        <v/>
      </c>
      <c r="AT421" s="17">
        <f>IF(AND(AH421=0,AJ421=1),AG421,"")</f>
        <v/>
      </c>
      <c r="AU421" s="5">
        <f>IF(P421&lt;10000,"Under $10K",IF(P421&lt;20000,"$10-20K",IF(P421&lt;30000,"$20-30K",IF(P421&lt;50000,"$30-50K",IF(P421&lt;100000,"$50-100K","$100K+")))))</f>
        <v/>
      </c>
      <c r="AV421" s="5">
        <f>IF(O421&lt;=1.35,"1.35 and under",IF(O421&lt;=1.42,"1.36-1.42",IF(O421&lt;=1.45,"1.43-1.45",IF(O421&lt;1.49,"1.46-1.48",IF(O421&lt;=1.49,"1.49","Above 1.49")))))</f>
        <v/>
      </c>
      <c r="AW421" s="5">
        <f>IF(AE421="","",IF(AE421&lt;60,"Under 60",IF(AE421&lt;90,"60-89",IF(AE421&lt;120,"90-119",IF(AE421&lt;150,"120-149","150+")))))</f>
        <v/>
      </c>
      <c r="AX421" s="5">
        <f>IF(AP421="","No revenue data",IF(AP421&lt;0.15,"Under 0.15x",IF(AP421&lt;0.3,"0.15-0.30x",IF(AP421&lt;0.5,"0.30-0.50x",IF(AP421&lt;1,"0.50-1.00x","1.00x+")))))</f>
        <v/>
      </c>
      <c r="AY421" s="5">
        <f>IF(J421="","No SIC",IFERROR(VLOOKUP(J421,Ref!$A$4:$C$67,2,FALSE()),"Unclassified"))</f>
        <v/>
      </c>
      <c r="AZ421" s="5">
        <f>IF(E421="","",TEXT(E421,"YYYY")&amp;"-Q"&amp;ROUNDUP(MONTH(E421)/3,0))</f>
        <v/>
      </c>
      <c r="BA421" s="5">
        <f>IF(E421="","",TEXT(E421,"YYYY-MM"))</f>
        <v/>
      </c>
      <c r="BB421" s="5">
        <f>IF(E421="","",TEXT(E421,"YYYY"))</f>
        <v/>
      </c>
      <c r="BC421" s="92">
        <f>IF($E421="","",NETWORKDAYS($E421,Controls!$B$9,Ref!$F$4:$F$47))</f>
        <v/>
      </c>
      <c r="BD421" s="92">
        <f>IF(OR($AH421=1,$AJ421=1),1,0)</f>
        <v/>
      </c>
      <c r="BE421" s="95">
        <f>IF(OR($BD421=1,AND($AE421&lt;&gt;"",$BC421&gt;=Controls!$B$10*$AE421)),1,0)</f>
        <v/>
      </c>
    </row>
    <row r="422" ht="15.75" customHeight="1" s="79">
      <c r="A422" s="5" t="inlineStr">
        <is>
          <t>5674173770</t>
        </is>
      </c>
      <c r="B422" s="5" t="inlineStr">
        <is>
          <t>CP INFINITY CONSULTING LLC</t>
        </is>
      </c>
      <c r="C422" s="5" t="inlineStr">
        <is>
          <t>CP INFINITY CONSULTING LLC</t>
        </is>
      </c>
      <c r="D422" s="5" t="inlineStr">
        <is>
          <t>Closed</t>
        </is>
      </c>
      <c r="E422" s="16" t="n">
        <v>45999</v>
      </c>
      <c r="F422" s="16" t="n">
        <v>46129</v>
      </c>
      <c r="G422" s="17" t="n">
        <v>1</v>
      </c>
      <c r="H422" s="5" t="inlineStr">
        <is>
          <t>8742</t>
        </is>
      </c>
      <c r="I422" s="5" t="inlineStr">
        <is>
          <t>Administrative Management and General Management Consulting Services</t>
        </is>
      </c>
      <c r="J422" s="5" t="inlineStr">
        <is>
          <t>87</t>
        </is>
      </c>
      <c r="K422" s="5" t="n">
        <v>7392</v>
      </c>
      <c r="L422" s="5" t="inlineStr">
        <is>
          <t>FL</t>
        </is>
      </c>
      <c r="M422" s="5" t="inlineStr">
        <is>
          <t>level 3 funding</t>
        </is>
      </c>
      <c r="N422" s="5" t="inlineStr">
        <is>
          <t>New Deal</t>
        </is>
      </c>
      <c r="O422" s="19" t="n">
        <v>1.49</v>
      </c>
      <c r="P422" s="20" t="n">
        <v>3500</v>
      </c>
      <c r="Q422" s="20" t="n">
        <v>490</v>
      </c>
      <c r="R422" s="20" t="n">
        <v>5215</v>
      </c>
      <c r="S422" s="20" t="n">
        <v>5215</v>
      </c>
      <c r="T422" s="20" t="n">
        <v>0</v>
      </c>
      <c r="U422" s="21" t="n">
        <v>1</v>
      </c>
      <c r="V422" s="22" t="n">
        <v>18</v>
      </c>
      <c r="W422" s="17" t="n">
        <v>124</v>
      </c>
      <c r="X422" s="17" t="n">
        <v>1</v>
      </c>
      <c r="Y422" s="20" t="n">
        <v>6400.67</v>
      </c>
      <c r="Z422" s="21" t="n">
        <v>0.1811</v>
      </c>
      <c r="AA422" s="16" t="n">
        <v>45627</v>
      </c>
      <c r="AB422" s="5">
        <f>IF(V422="","",IF(V422&lt;12,"Months","Weeks"))</f>
        <v/>
      </c>
      <c r="AC422" s="5">
        <f>IF(AB422="","",IF(AB422="Months","Daily","Weekly"))</f>
        <v/>
      </c>
      <c r="AD422" s="17">
        <f>IF(V422="","",IF(AC422="Daily",V422*Controls!$B$13,V422))</f>
        <v/>
      </c>
      <c r="AE422" s="17">
        <f>IF(V422="","",IF(AC422="Daily",V422*Controls!$B$13,V422*Controls!$B$12))</f>
        <v/>
      </c>
      <c r="AF422" s="17">
        <f>IF(OR(E422="",F422=""),"",F422-E422)</f>
        <v/>
      </c>
      <c r="AG422" s="17">
        <f>IF(OR(E422="",F422=""),"",NETWORKDAYS(E422,F422,Ref!$F$4:$F$47))</f>
        <v/>
      </c>
      <c r="AH422" s="39">
        <f>IF(IFERROR(VLOOKUP(D422,Controls!$A$25:$D$35,2,FALSE()),"No")="Yes",1,0)</f>
        <v/>
      </c>
      <c r="AI422" s="39">
        <f>IF(IFERROR(VLOOKUP(D422,Controls!$A$25:$D$35,3,FALSE()),"No")="Yes",1,0)</f>
        <v/>
      </c>
      <c r="AJ422" s="39">
        <f>IF(IFERROR(VLOOKUP(D422,Controls!$A$25:$D$35,4,FALSE()),"No")="Yes",1,0)</f>
        <v/>
      </c>
      <c r="AK422" s="96">
        <f>IF(AND($E422&gt;=Controls!$B$5,$E422&lt;=Controls!$B$6,OR(Controls!$E$9&lt;&gt;"Y",$BE422=1)),1,0)</f>
        <v/>
      </c>
      <c r="AL422" s="39">
        <f>1</f>
        <v/>
      </c>
      <c r="AM422" s="20">
        <f>S422-P422</f>
        <v/>
      </c>
      <c r="AN422" s="20">
        <f>IF(AH422=1,MAX(0,P422-S422),0)</f>
        <v/>
      </c>
      <c r="AO422" s="21">
        <f>IFERROR(S422/P422,"")</f>
        <v/>
      </c>
      <c r="AP422" s="22">
        <f>IF(Y422="","",P422/Y422)</f>
        <v/>
      </c>
      <c r="AQ422" s="39">
        <f>IF(Y422="",0,1)</f>
        <v/>
      </c>
      <c r="AR422" s="39">
        <f>IF(S422&lt;=0,1,0)</f>
        <v/>
      </c>
      <c r="AS422" s="17">
        <f>IF(AH422=1,AG422,"")</f>
        <v/>
      </c>
      <c r="AT422" s="17">
        <f>IF(AND(AH422=0,AJ422=1),AG422,"")</f>
        <v/>
      </c>
      <c r="AU422" s="5">
        <f>IF(P422&lt;10000,"Under $10K",IF(P422&lt;20000,"$10-20K",IF(P422&lt;30000,"$20-30K",IF(P422&lt;50000,"$30-50K",IF(P422&lt;100000,"$50-100K","$100K+")))))</f>
        <v/>
      </c>
      <c r="AV422" s="5">
        <f>IF(O422&lt;=1.35,"1.35 and under",IF(O422&lt;=1.42,"1.36-1.42",IF(O422&lt;=1.45,"1.43-1.45",IF(O422&lt;1.49,"1.46-1.48",IF(O422&lt;=1.49,"1.49","Above 1.49")))))</f>
        <v/>
      </c>
      <c r="AW422" s="5">
        <f>IF(AE422="","",IF(AE422&lt;60,"Under 60",IF(AE422&lt;90,"60-89",IF(AE422&lt;120,"90-119",IF(AE422&lt;150,"120-149","150+")))))</f>
        <v/>
      </c>
      <c r="AX422" s="5">
        <f>IF(AP422="","No revenue data",IF(AP422&lt;0.15,"Under 0.15x",IF(AP422&lt;0.3,"0.15-0.30x",IF(AP422&lt;0.5,"0.30-0.50x",IF(AP422&lt;1,"0.50-1.00x","1.00x+")))))</f>
        <v/>
      </c>
      <c r="AY422" s="5">
        <f>IF(J422="","No SIC",IFERROR(VLOOKUP(J422,Ref!$A$4:$C$67,2,FALSE()),"Unclassified"))</f>
        <v/>
      </c>
      <c r="AZ422" s="5">
        <f>IF(E422="","",TEXT(E422,"YYYY")&amp;"-Q"&amp;ROUNDUP(MONTH(E422)/3,0))</f>
        <v/>
      </c>
      <c r="BA422" s="5">
        <f>IF(E422="","",TEXT(E422,"YYYY-MM"))</f>
        <v/>
      </c>
      <c r="BB422" s="5">
        <f>IF(E422="","",TEXT(E422,"YYYY"))</f>
        <v/>
      </c>
      <c r="BC422" s="92">
        <f>IF($E422="","",NETWORKDAYS($E422,Controls!$B$9,Ref!$F$4:$F$47))</f>
        <v/>
      </c>
      <c r="BD422" s="92">
        <f>IF(OR($AH422=1,$AJ422=1),1,0)</f>
        <v/>
      </c>
      <c r="BE422" s="95">
        <f>IF(OR($BD422=1,AND($AE422&lt;&gt;"",$BC422&gt;=Controls!$B$10*$AE422)),1,0)</f>
        <v/>
      </c>
    </row>
    <row r="423" ht="15.75" customHeight="1" s="79">
      <c r="A423" s="5" t="inlineStr">
        <is>
          <t>5674173789</t>
        </is>
      </c>
      <c r="B423" s="5" t="inlineStr">
        <is>
          <t>BAD HABITS</t>
        </is>
      </c>
      <c r="C423" s="5" t="inlineStr">
        <is>
          <t>BAD HABITS HTX LLC</t>
        </is>
      </c>
      <c r="D423" s="5" t="inlineStr">
        <is>
          <t>Closed</t>
        </is>
      </c>
      <c r="E423" s="16" t="n">
        <v>46000</v>
      </c>
      <c r="F423" s="16" t="n">
        <v>46196</v>
      </c>
      <c r="G423" s="17" t="n">
        <v>2</v>
      </c>
      <c r="H423" s="5" t="inlineStr">
        <is>
          <t>7911</t>
        </is>
      </c>
      <c r="I423" s="5" t="inlineStr">
        <is>
          <t>All Other Amusement and Recreation Industries</t>
        </is>
      </c>
      <c r="J423" s="5" t="inlineStr">
        <is>
          <t>79</t>
        </is>
      </c>
      <c r="K423" s="5" t="n">
        <v>7911</v>
      </c>
      <c r="L423" s="5" t="inlineStr">
        <is>
          <t>TX</t>
        </is>
      </c>
      <c r="M423" s="5" t="inlineStr">
        <is>
          <t>Fundwell</t>
        </is>
      </c>
      <c r="N423" s="5" t="inlineStr">
        <is>
          <t>New Deal</t>
        </is>
      </c>
      <c r="O423" s="19" t="n">
        <v>1.42</v>
      </c>
      <c r="P423" s="20" t="n">
        <v>70000</v>
      </c>
      <c r="Q423" s="20" t="n">
        <v>10150</v>
      </c>
      <c r="R423" s="20" t="n">
        <v>99400</v>
      </c>
      <c r="S423" s="20" t="n">
        <v>99400</v>
      </c>
      <c r="T423" s="20" t="n">
        <v>0</v>
      </c>
      <c r="U423" s="21" t="n">
        <v>1</v>
      </c>
      <c r="V423" s="22" t="n">
        <v>28</v>
      </c>
      <c r="W423" s="17" t="n">
        <v>57</v>
      </c>
      <c r="X423" s="17" t="n">
        <v>2</v>
      </c>
      <c r="Y423" s="20" t="n">
        <v>189356.07</v>
      </c>
      <c r="Z423" s="21" t="n">
        <v>0.075</v>
      </c>
      <c r="AA423" s="16" t="n">
        <v>45460</v>
      </c>
      <c r="AB423" s="5">
        <f>IF(V423="","",IF(V423&lt;12,"Months","Weeks"))</f>
        <v/>
      </c>
      <c r="AC423" s="5">
        <f>IF(AB423="","",IF(AB423="Months","Daily","Weekly"))</f>
        <v/>
      </c>
      <c r="AD423" s="17">
        <f>IF(V423="","",IF(AC423="Daily",V423*Controls!$B$13,V423))</f>
        <v/>
      </c>
      <c r="AE423" s="17">
        <f>IF(V423="","",IF(AC423="Daily",V423*Controls!$B$13,V423*Controls!$B$12))</f>
        <v/>
      </c>
      <c r="AF423" s="17">
        <f>IF(OR(E423="",F423=""),"",F423-E423)</f>
        <v/>
      </c>
      <c r="AG423" s="17">
        <f>IF(OR(E423="",F423=""),"",NETWORKDAYS(E423,F423,Ref!$F$4:$F$47))</f>
        <v/>
      </c>
      <c r="AH423" s="39">
        <f>IF(IFERROR(VLOOKUP(D423,Controls!$A$25:$D$35,2,FALSE()),"No")="Yes",1,0)</f>
        <v/>
      </c>
      <c r="AI423" s="39">
        <f>IF(IFERROR(VLOOKUP(D423,Controls!$A$25:$D$35,3,FALSE()),"No")="Yes",1,0)</f>
        <v/>
      </c>
      <c r="AJ423" s="39">
        <f>IF(IFERROR(VLOOKUP(D423,Controls!$A$25:$D$35,4,FALSE()),"No")="Yes",1,0)</f>
        <v/>
      </c>
      <c r="AK423" s="96">
        <f>IF(AND($E423&gt;=Controls!$B$5,$E423&lt;=Controls!$B$6,OR(Controls!$E$9&lt;&gt;"Y",$BE423=1)),1,0)</f>
        <v/>
      </c>
      <c r="AL423" s="39">
        <f>1</f>
        <v/>
      </c>
      <c r="AM423" s="20">
        <f>S423-P423</f>
        <v/>
      </c>
      <c r="AN423" s="20">
        <f>IF(AH423=1,MAX(0,P423-S423),0)</f>
        <v/>
      </c>
      <c r="AO423" s="21">
        <f>IFERROR(S423/P423,"")</f>
        <v/>
      </c>
      <c r="AP423" s="22">
        <f>IF(Y423="","",P423/Y423)</f>
        <v/>
      </c>
      <c r="AQ423" s="39">
        <f>IF(Y423="",0,1)</f>
        <v/>
      </c>
      <c r="AR423" s="39">
        <f>IF(S423&lt;=0,1,0)</f>
        <v/>
      </c>
      <c r="AS423" s="17">
        <f>IF(AH423=1,AG423,"")</f>
        <v/>
      </c>
      <c r="AT423" s="17">
        <f>IF(AND(AH423=0,AJ423=1),AG423,"")</f>
        <v/>
      </c>
      <c r="AU423" s="5">
        <f>IF(P423&lt;10000,"Under $10K",IF(P423&lt;20000,"$10-20K",IF(P423&lt;30000,"$20-30K",IF(P423&lt;50000,"$30-50K",IF(P423&lt;100000,"$50-100K","$100K+")))))</f>
        <v/>
      </c>
      <c r="AV423" s="5">
        <f>IF(O423&lt;=1.35,"1.35 and under",IF(O423&lt;=1.42,"1.36-1.42",IF(O423&lt;=1.45,"1.43-1.45",IF(O423&lt;1.49,"1.46-1.48",IF(O423&lt;=1.49,"1.49","Above 1.49")))))</f>
        <v/>
      </c>
      <c r="AW423" s="5">
        <f>IF(AE423="","",IF(AE423&lt;60,"Under 60",IF(AE423&lt;90,"60-89",IF(AE423&lt;120,"90-119",IF(AE423&lt;150,"120-149","150+")))))</f>
        <v/>
      </c>
      <c r="AX423" s="5">
        <f>IF(AP423="","No revenue data",IF(AP423&lt;0.15,"Under 0.15x",IF(AP423&lt;0.3,"0.15-0.30x",IF(AP423&lt;0.5,"0.30-0.50x",IF(AP423&lt;1,"0.50-1.00x","1.00x+")))))</f>
        <v/>
      </c>
      <c r="AY423" s="5">
        <f>IF(J423="","No SIC",IFERROR(VLOOKUP(J423,Ref!$A$4:$C$67,2,FALSE()),"Unclassified"))</f>
        <v/>
      </c>
      <c r="AZ423" s="5">
        <f>IF(E423="","",TEXT(E423,"YYYY")&amp;"-Q"&amp;ROUNDUP(MONTH(E423)/3,0))</f>
        <v/>
      </c>
      <c r="BA423" s="5">
        <f>IF(E423="","",TEXT(E423,"YYYY-MM"))</f>
        <v/>
      </c>
      <c r="BB423" s="5">
        <f>IF(E423="","",TEXT(E423,"YYYY"))</f>
        <v/>
      </c>
      <c r="BC423" s="92">
        <f>IF($E423="","",NETWORKDAYS($E423,Controls!$B$9,Ref!$F$4:$F$47))</f>
        <v/>
      </c>
      <c r="BD423" s="92">
        <f>IF(OR($AH423=1,$AJ423=1),1,0)</f>
        <v/>
      </c>
      <c r="BE423" s="95">
        <f>IF(OR($BD423=1,AND($AE423&lt;&gt;"",$BC423&gt;=Controls!$B$10*$AE423)),1,0)</f>
        <v/>
      </c>
    </row>
    <row r="424" ht="15.75" customHeight="1" s="79">
      <c r="A424" s="5" t="inlineStr">
        <is>
          <t>5674173818</t>
        </is>
      </c>
      <c r="B424" s="5" t="inlineStr">
        <is>
          <t>PAGANOTTIS CLEANING SERVICES</t>
        </is>
      </c>
      <c r="C424" s="5" t="inlineStr">
        <is>
          <t>PAGANOTTIS CLEANING SERVICES INC</t>
        </is>
      </c>
      <c r="D424" s="5" t="inlineStr">
        <is>
          <t>Legal</t>
        </is>
      </c>
      <c r="E424" s="16" t="n">
        <v>46000</v>
      </c>
      <c r="F424" s="16" t="n">
        <v>46079</v>
      </c>
      <c r="G424" s="17" t="n">
        <v>2</v>
      </c>
      <c r="H424" s="5" t="inlineStr">
        <is>
          <t>7217</t>
        </is>
      </c>
      <c r="I424" s="5" t="inlineStr">
        <is>
          <t>Carpet and Upholstery Cleaning Services</t>
        </is>
      </c>
      <c r="J424" s="5" t="inlineStr">
        <is>
          <t>72</t>
        </is>
      </c>
      <c r="K424" s="5" t="n">
        <v>5722</v>
      </c>
      <c r="L424" s="5" t="inlineStr">
        <is>
          <t>MA</t>
        </is>
      </c>
      <c r="M424" s="5" t="inlineStr">
        <is>
          <t>Fundwell</t>
        </is>
      </c>
      <c r="N424" s="5" t="inlineStr">
        <is>
          <t>New Deal</t>
        </is>
      </c>
      <c r="O424" s="19" t="n">
        <v>1.42</v>
      </c>
      <c r="P424" s="20" t="n">
        <v>20000</v>
      </c>
      <c r="Q424" s="20" t="n">
        <v>2900</v>
      </c>
      <c r="R424" s="20" t="n">
        <v>28400</v>
      </c>
      <c r="S424" s="20" t="n">
        <v>5917.3</v>
      </c>
      <c r="T424" s="20" t="n">
        <v>22482.7</v>
      </c>
      <c r="U424" s="21" t="n">
        <v>0.208355633802817</v>
      </c>
      <c r="V424" s="22" t="n">
        <v>24</v>
      </c>
      <c r="W424" s="17" t="n">
        <v>218</v>
      </c>
      <c r="X424" s="17" t="n">
        <v>7</v>
      </c>
      <c r="Y424" s="20" t="n">
        <v>30980.57</v>
      </c>
      <c r="Z424" s="21" t="n">
        <v>0.1528</v>
      </c>
      <c r="AA424" s="16" t="n">
        <v>44095</v>
      </c>
      <c r="AB424" s="5">
        <f>IF(V424="","",IF(V424&lt;12,"Months","Weeks"))</f>
        <v/>
      </c>
      <c r="AC424" s="5">
        <f>IF(AB424="","",IF(AB424="Months","Daily","Weekly"))</f>
        <v/>
      </c>
      <c r="AD424" s="17">
        <f>IF(V424="","",IF(AC424="Daily",V424*Controls!$B$13,V424))</f>
        <v/>
      </c>
      <c r="AE424" s="17">
        <f>IF(V424="","",IF(AC424="Daily",V424*Controls!$B$13,V424*Controls!$B$12))</f>
        <v/>
      </c>
      <c r="AF424" s="17">
        <f>IF(OR(E424="",F424=""),"",F424-E424)</f>
        <v/>
      </c>
      <c r="AG424" s="17">
        <f>IF(OR(E424="",F424=""),"",NETWORKDAYS(E424,F424,Ref!$F$4:$F$47))</f>
        <v/>
      </c>
      <c r="AH424" s="39">
        <f>IF(IFERROR(VLOOKUP(D424,Controls!$A$25:$D$35,2,FALSE()),"No")="Yes",1,0)</f>
        <v/>
      </c>
      <c r="AI424" s="39">
        <f>IF(IFERROR(VLOOKUP(D424,Controls!$A$25:$D$35,3,FALSE()),"No")="Yes",1,0)</f>
        <v/>
      </c>
      <c r="AJ424" s="39">
        <f>IF(IFERROR(VLOOKUP(D424,Controls!$A$25:$D$35,4,FALSE()),"No")="Yes",1,0)</f>
        <v/>
      </c>
      <c r="AK424" s="96">
        <f>IF(AND($E424&gt;=Controls!$B$5,$E424&lt;=Controls!$B$6,OR(Controls!$E$9&lt;&gt;"Y",$BE424=1)),1,0)</f>
        <v/>
      </c>
      <c r="AL424" s="39">
        <f>1</f>
        <v/>
      </c>
      <c r="AM424" s="20">
        <f>S424-P424</f>
        <v/>
      </c>
      <c r="AN424" s="20">
        <f>IF(AH424=1,MAX(0,P424-S424),0)</f>
        <v/>
      </c>
      <c r="AO424" s="21">
        <f>IFERROR(S424/P424,"")</f>
        <v/>
      </c>
      <c r="AP424" s="22">
        <f>IF(Y424="","",P424/Y424)</f>
        <v/>
      </c>
      <c r="AQ424" s="39">
        <f>IF(Y424="",0,1)</f>
        <v/>
      </c>
      <c r="AR424" s="39">
        <f>IF(S424&lt;=0,1,0)</f>
        <v/>
      </c>
      <c r="AS424" s="17">
        <f>IF(AH424=1,AG424,"")</f>
        <v/>
      </c>
      <c r="AT424" s="17">
        <f>IF(AND(AH424=0,AJ424=1),AG424,"")</f>
        <v/>
      </c>
      <c r="AU424" s="5">
        <f>IF(P424&lt;10000,"Under $10K",IF(P424&lt;20000,"$10-20K",IF(P424&lt;30000,"$20-30K",IF(P424&lt;50000,"$30-50K",IF(P424&lt;100000,"$50-100K","$100K+")))))</f>
        <v/>
      </c>
      <c r="AV424" s="5">
        <f>IF(O424&lt;=1.35,"1.35 and under",IF(O424&lt;=1.42,"1.36-1.42",IF(O424&lt;=1.45,"1.43-1.45",IF(O424&lt;1.49,"1.46-1.48",IF(O424&lt;=1.49,"1.49","Above 1.49")))))</f>
        <v/>
      </c>
      <c r="AW424" s="5">
        <f>IF(AE424="","",IF(AE424&lt;60,"Under 60",IF(AE424&lt;90,"60-89",IF(AE424&lt;120,"90-119",IF(AE424&lt;150,"120-149","150+")))))</f>
        <v/>
      </c>
      <c r="AX424" s="5">
        <f>IF(AP424="","No revenue data",IF(AP424&lt;0.15,"Under 0.15x",IF(AP424&lt;0.3,"0.15-0.30x",IF(AP424&lt;0.5,"0.30-0.50x",IF(AP424&lt;1,"0.50-1.00x","1.00x+")))))</f>
        <v/>
      </c>
      <c r="AY424" s="5">
        <f>IF(J424="","No SIC",IFERROR(VLOOKUP(J424,Ref!$A$4:$C$67,2,FALSE()),"Unclassified"))</f>
        <v/>
      </c>
      <c r="AZ424" s="5">
        <f>IF(E424="","",TEXT(E424,"YYYY")&amp;"-Q"&amp;ROUNDUP(MONTH(E424)/3,0))</f>
        <v/>
      </c>
      <c r="BA424" s="5">
        <f>IF(E424="","",TEXT(E424,"YYYY-MM"))</f>
        <v/>
      </c>
      <c r="BB424" s="5">
        <f>IF(E424="","",TEXT(E424,"YYYY"))</f>
        <v/>
      </c>
      <c r="BC424" s="92">
        <f>IF($E424="","",NETWORKDAYS($E424,Controls!$B$9,Ref!$F$4:$F$47))</f>
        <v/>
      </c>
      <c r="BD424" s="92">
        <f>IF(OR($AH424=1,$AJ424=1),1,0)</f>
        <v/>
      </c>
      <c r="BE424" s="95">
        <f>IF(OR($BD424=1,AND($AE424&lt;&gt;"",$BC424&gt;=Controls!$B$10*$AE424)),1,0)</f>
        <v/>
      </c>
    </row>
    <row r="425" ht="15.75" customHeight="1" s="79">
      <c r="A425" s="5" t="inlineStr">
        <is>
          <t>5674173826</t>
        </is>
      </c>
      <c r="B425" s="5" t="inlineStr">
        <is>
          <t>PANZA XPRESS INC</t>
        </is>
      </c>
      <c r="C425" s="5" t="inlineStr">
        <is>
          <t>PANZA XPRESS INC</t>
        </is>
      </c>
      <c r="D425" s="5" t="inlineStr">
        <is>
          <t>Legal</t>
        </is>
      </c>
      <c r="E425" s="16" t="n">
        <v>46000</v>
      </c>
      <c r="F425" s="16" t="n">
        <v>46177</v>
      </c>
      <c r="G425" s="17" t="n">
        <v>1</v>
      </c>
      <c r="H425" s="5" t="inlineStr">
        <is>
          <t>5812</t>
        </is>
      </c>
      <c r="I425" s="5" t="inlineStr">
        <is>
          <t>Snack and Nonalcoholic Beverage Bars</t>
        </is>
      </c>
      <c r="J425" s="5" t="inlineStr">
        <is>
          <t>58</t>
        </is>
      </c>
      <c r="K425" s="5" t="n">
        <v>5812</v>
      </c>
      <c r="L425" s="5" t="inlineStr">
        <is>
          <t>CA</t>
        </is>
      </c>
      <c r="M425" s="5" t="inlineStr">
        <is>
          <t>United Secured Capital 8</t>
        </is>
      </c>
      <c r="N425" s="5" t="inlineStr">
        <is>
          <t>New Deal</t>
        </is>
      </c>
      <c r="O425" s="19" t="n">
        <v>1.499</v>
      </c>
      <c r="P425" s="20" t="n">
        <v>15000</v>
      </c>
      <c r="Q425" s="20" t="n">
        <v>0</v>
      </c>
      <c r="R425" s="20" t="n">
        <v>22485</v>
      </c>
      <c r="S425" s="20" t="n">
        <v>248.47</v>
      </c>
      <c r="T425" s="20" t="n">
        <v>22236.53</v>
      </c>
      <c r="U425" s="21" t="n">
        <v>0.0110504780965088</v>
      </c>
      <c r="V425" s="22" t="n">
        <v>2.951</v>
      </c>
      <c r="W425" s="17" t="n">
        <v>253</v>
      </c>
      <c r="X425" s="17" t="n">
        <v>23</v>
      </c>
      <c r="Y425" s="20" t="n">
        <v>43266.17</v>
      </c>
      <c r="Z425" s="21" t="n">
        <v>0.1206</v>
      </c>
      <c r="AA425" s="16" t="n">
        <v>45222</v>
      </c>
      <c r="AB425" s="5">
        <f>IF(V425="","",IF(V425&lt;12,"Months","Weeks"))</f>
        <v/>
      </c>
      <c r="AC425" s="5">
        <f>IF(AB425="","",IF(AB425="Months","Daily","Weekly"))</f>
        <v/>
      </c>
      <c r="AD425" s="17">
        <f>IF(V425="","",IF(AC425="Daily",V425*Controls!$B$13,V425))</f>
        <v/>
      </c>
      <c r="AE425" s="17">
        <f>IF(V425="","",IF(AC425="Daily",V425*Controls!$B$13,V425*Controls!$B$12))</f>
        <v/>
      </c>
      <c r="AF425" s="17">
        <f>IF(OR(E425="",F425=""),"",F425-E425)</f>
        <v/>
      </c>
      <c r="AG425" s="17">
        <f>IF(OR(E425="",F425=""),"",NETWORKDAYS(E425,F425,Ref!$F$4:$F$47))</f>
        <v/>
      </c>
      <c r="AH425" s="39">
        <f>IF(IFERROR(VLOOKUP(D425,Controls!$A$25:$D$35,2,FALSE()),"No")="Yes",1,0)</f>
        <v/>
      </c>
      <c r="AI425" s="39">
        <f>IF(IFERROR(VLOOKUP(D425,Controls!$A$25:$D$35,3,FALSE()),"No")="Yes",1,0)</f>
        <v/>
      </c>
      <c r="AJ425" s="39">
        <f>IF(IFERROR(VLOOKUP(D425,Controls!$A$25:$D$35,4,FALSE()),"No")="Yes",1,0)</f>
        <v/>
      </c>
      <c r="AK425" s="96">
        <f>IF(AND($E425&gt;=Controls!$B$5,$E425&lt;=Controls!$B$6,OR(Controls!$E$9&lt;&gt;"Y",$BE425=1)),1,0)</f>
        <v/>
      </c>
      <c r="AL425" s="39">
        <f>1</f>
        <v/>
      </c>
      <c r="AM425" s="20">
        <f>S425-P425</f>
        <v/>
      </c>
      <c r="AN425" s="20">
        <f>IF(AH425=1,MAX(0,P425-S425),0)</f>
        <v/>
      </c>
      <c r="AO425" s="21">
        <f>IFERROR(S425/P425,"")</f>
        <v/>
      </c>
      <c r="AP425" s="22">
        <f>IF(Y425="","",P425/Y425)</f>
        <v/>
      </c>
      <c r="AQ425" s="39">
        <f>IF(Y425="",0,1)</f>
        <v/>
      </c>
      <c r="AR425" s="39">
        <f>IF(S425&lt;=0,1,0)</f>
        <v/>
      </c>
      <c r="AS425" s="17">
        <f>IF(AH425=1,AG425,"")</f>
        <v/>
      </c>
      <c r="AT425" s="17">
        <f>IF(AND(AH425=0,AJ425=1),AG425,"")</f>
        <v/>
      </c>
      <c r="AU425" s="5">
        <f>IF(P425&lt;10000,"Under $10K",IF(P425&lt;20000,"$10-20K",IF(P425&lt;30000,"$20-30K",IF(P425&lt;50000,"$30-50K",IF(P425&lt;100000,"$50-100K","$100K+")))))</f>
        <v/>
      </c>
      <c r="AV425" s="5">
        <f>IF(O425&lt;=1.35,"1.35 and under",IF(O425&lt;=1.42,"1.36-1.42",IF(O425&lt;=1.45,"1.43-1.45",IF(O425&lt;1.49,"1.46-1.48",IF(O425&lt;=1.49,"1.49","Above 1.49")))))</f>
        <v/>
      </c>
      <c r="AW425" s="5">
        <f>IF(AE425="","",IF(AE425&lt;60,"Under 60",IF(AE425&lt;90,"60-89",IF(AE425&lt;120,"90-119",IF(AE425&lt;150,"120-149","150+")))))</f>
        <v/>
      </c>
      <c r="AX425" s="5">
        <f>IF(AP425="","No revenue data",IF(AP425&lt;0.15,"Under 0.15x",IF(AP425&lt;0.3,"0.15-0.30x",IF(AP425&lt;0.5,"0.30-0.50x",IF(AP425&lt;1,"0.50-1.00x","1.00x+")))))</f>
        <v/>
      </c>
      <c r="AY425" s="5">
        <f>IF(J425="","No SIC",IFERROR(VLOOKUP(J425,Ref!$A$4:$C$67,2,FALSE()),"Unclassified"))</f>
        <v/>
      </c>
      <c r="AZ425" s="5">
        <f>IF(E425="","",TEXT(E425,"YYYY")&amp;"-Q"&amp;ROUNDUP(MONTH(E425)/3,0))</f>
        <v/>
      </c>
      <c r="BA425" s="5">
        <f>IF(E425="","",TEXT(E425,"YYYY-MM"))</f>
        <v/>
      </c>
      <c r="BB425" s="5">
        <f>IF(E425="","",TEXT(E425,"YYYY"))</f>
        <v/>
      </c>
      <c r="BC425" s="92">
        <f>IF($E425="","",NETWORKDAYS($E425,Controls!$B$9,Ref!$F$4:$F$47))</f>
        <v/>
      </c>
      <c r="BD425" s="92">
        <f>IF(OR($AH425=1,$AJ425=1),1,0)</f>
        <v/>
      </c>
      <c r="BE425" s="95">
        <f>IF(OR($BD425=1,AND($AE425&lt;&gt;"",$BC425&gt;=Controls!$B$10*$AE425)),1,0)</f>
        <v/>
      </c>
    </row>
    <row r="426" ht="15.75" customHeight="1" s="79">
      <c r="A426" s="5" t="inlineStr">
        <is>
          <t>5674173833</t>
        </is>
      </c>
      <c r="B426" s="5" t="inlineStr">
        <is>
          <t>TACOS BROTHERS LLC</t>
        </is>
      </c>
      <c r="C426" s="5" t="inlineStr">
        <is>
          <t>TACOS BROTHERS LLC</t>
        </is>
      </c>
      <c r="D426" s="5" t="inlineStr">
        <is>
          <t>Open</t>
        </is>
      </c>
      <c r="E426" s="16" t="n">
        <v>46000</v>
      </c>
      <c r="F426" s="16" t="n">
        <v>46253</v>
      </c>
      <c r="G426" s="17" t="n">
        <v>2</v>
      </c>
      <c r="H426" s="5" t="inlineStr">
        <is>
          <t>5812</t>
        </is>
      </c>
      <c r="I426" s="5" t="inlineStr">
        <is>
          <t>Snack and Nonalcoholic Beverage Bars</t>
        </is>
      </c>
      <c r="J426" s="5" t="inlineStr">
        <is>
          <t>58</t>
        </is>
      </c>
      <c r="K426" s="5" t="n">
        <v>5812</v>
      </c>
      <c r="L426" s="5" t="inlineStr">
        <is>
          <t>WA</t>
        </is>
      </c>
      <c r="M426" s="5" t="inlineStr">
        <is>
          <t>United Secured Capital 8</t>
        </is>
      </c>
      <c r="N426" s="5" t="inlineStr">
        <is>
          <t>New Deal</t>
        </is>
      </c>
      <c r="O426" s="19" t="n">
        <v>1.49</v>
      </c>
      <c r="P426" s="20" t="n">
        <v>15000</v>
      </c>
      <c r="Q426" s="20" t="n">
        <v>2100</v>
      </c>
      <c r="R426" s="20" t="n">
        <v>22350</v>
      </c>
      <c r="S426" s="20" t="n">
        <v>21081.62</v>
      </c>
      <c r="T426" s="20" t="n">
        <v>1268.38</v>
      </c>
      <c r="U426" s="21" t="n">
        <v>0.943249217002237</v>
      </c>
      <c r="V426" s="22" t="n">
        <v>18</v>
      </c>
      <c r="W426" s="17" t="n">
        <v>0</v>
      </c>
      <c r="X426" s="17" t="n">
        <v>13</v>
      </c>
      <c r="Y426" s="20" t="n">
        <v>58844.77</v>
      </c>
      <c r="Z426" s="21" t="n">
        <v>0.0844</v>
      </c>
      <c r="AA426" s="16" t="n">
        <v>43879</v>
      </c>
      <c r="AB426" s="5">
        <f>IF(V426="","",IF(V426&lt;12,"Months","Weeks"))</f>
        <v/>
      </c>
      <c r="AC426" s="5">
        <f>IF(AB426="","",IF(AB426="Months","Daily","Weekly"))</f>
        <v/>
      </c>
      <c r="AD426" s="17">
        <f>IF(V426="","",IF(AC426="Daily",V426*Controls!$B$13,V426))</f>
        <v/>
      </c>
      <c r="AE426" s="17">
        <f>IF(V426="","",IF(AC426="Daily",V426*Controls!$B$13,V426*Controls!$B$12))</f>
        <v/>
      </c>
      <c r="AF426" s="17">
        <f>IF(OR(E426="",F426=""),"",F426-E426)</f>
        <v/>
      </c>
      <c r="AG426" s="17">
        <f>IF(OR(E426="",F426=""),"",NETWORKDAYS(E426,F426,Ref!$F$4:$F$47))</f>
        <v/>
      </c>
      <c r="AH426" s="39">
        <f>IF(IFERROR(VLOOKUP(D426,Controls!$A$25:$D$35,2,FALSE()),"No")="Yes",1,0)</f>
        <v/>
      </c>
      <c r="AI426" s="39">
        <f>IF(IFERROR(VLOOKUP(D426,Controls!$A$25:$D$35,3,FALSE()),"No")="Yes",1,0)</f>
        <v/>
      </c>
      <c r="AJ426" s="39">
        <f>IF(IFERROR(VLOOKUP(D426,Controls!$A$25:$D$35,4,FALSE()),"No")="Yes",1,0)</f>
        <v/>
      </c>
      <c r="AK426" s="96">
        <f>IF(AND($E426&gt;=Controls!$B$5,$E426&lt;=Controls!$B$6,OR(Controls!$E$9&lt;&gt;"Y",$BE426=1)),1,0)</f>
        <v/>
      </c>
      <c r="AL426" s="39">
        <f>1</f>
        <v/>
      </c>
      <c r="AM426" s="20">
        <f>S426-P426</f>
        <v/>
      </c>
      <c r="AN426" s="20">
        <f>IF(AH426=1,MAX(0,P426-S426),0)</f>
        <v/>
      </c>
      <c r="AO426" s="21">
        <f>IFERROR(S426/P426,"")</f>
        <v/>
      </c>
      <c r="AP426" s="22">
        <f>IF(Y426="","",P426/Y426)</f>
        <v/>
      </c>
      <c r="AQ426" s="39">
        <f>IF(Y426="",0,1)</f>
        <v/>
      </c>
      <c r="AR426" s="39">
        <f>IF(S426&lt;=0,1,0)</f>
        <v/>
      </c>
      <c r="AS426" s="17">
        <f>IF(AH426=1,AG426,"")</f>
        <v/>
      </c>
      <c r="AT426" s="17">
        <f>IF(AND(AH426=0,AJ426=1),AG426,"")</f>
        <v/>
      </c>
      <c r="AU426" s="5">
        <f>IF(P426&lt;10000,"Under $10K",IF(P426&lt;20000,"$10-20K",IF(P426&lt;30000,"$20-30K",IF(P426&lt;50000,"$30-50K",IF(P426&lt;100000,"$50-100K","$100K+")))))</f>
        <v/>
      </c>
      <c r="AV426" s="5">
        <f>IF(O426&lt;=1.35,"1.35 and under",IF(O426&lt;=1.42,"1.36-1.42",IF(O426&lt;=1.45,"1.43-1.45",IF(O426&lt;1.49,"1.46-1.48",IF(O426&lt;=1.49,"1.49","Above 1.49")))))</f>
        <v/>
      </c>
      <c r="AW426" s="5">
        <f>IF(AE426="","",IF(AE426&lt;60,"Under 60",IF(AE426&lt;90,"60-89",IF(AE426&lt;120,"90-119",IF(AE426&lt;150,"120-149","150+")))))</f>
        <v/>
      </c>
      <c r="AX426" s="5">
        <f>IF(AP426="","No revenue data",IF(AP426&lt;0.15,"Under 0.15x",IF(AP426&lt;0.3,"0.15-0.30x",IF(AP426&lt;0.5,"0.30-0.50x",IF(AP426&lt;1,"0.50-1.00x","1.00x+")))))</f>
        <v/>
      </c>
      <c r="AY426" s="5">
        <f>IF(J426="","No SIC",IFERROR(VLOOKUP(J426,Ref!$A$4:$C$67,2,FALSE()),"Unclassified"))</f>
        <v/>
      </c>
      <c r="AZ426" s="5">
        <f>IF(E426="","",TEXT(E426,"YYYY")&amp;"-Q"&amp;ROUNDUP(MONTH(E426)/3,0))</f>
        <v/>
      </c>
      <c r="BA426" s="5">
        <f>IF(E426="","",TEXT(E426,"YYYY-MM"))</f>
        <v/>
      </c>
      <c r="BB426" s="5">
        <f>IF(E426="","",TEXT(E426,"YYYY"))</f>
        <v/>
      </c>
      <c r="BC426" s="92">
        <f>IF($E426="","",NETWORKDAYS($E426,Controls!$B$9,Ref!$F$4:$F$47))</f>
        <v/>
      </c>
      <c r="BD426" s="92">
        <f>IF(OR($AH426=1,$AJ426=1),1,0)</f>
        <v/>
      </c>
      <c r="BE426" s="95">
        <f>IF(OR($BD426=1,AND($AE426&lt;&gt;"",$BC426&gt;=Controls!$B$10*$AE426)),1,0)</f>
        <v/>
      </c>
    </row>
    <row r="427" ht="15.75" customHeight="1" s="79">
      <c r="A427" s="5" t="inlineStr">
        <is>
          <t>5674173877</t>
        </is>
      </c>
      <c r="B427" s="5" t="inlineStr">
        <is>
          <t>RON KING LLC</t>
        </is>
      </c>
      <c r="C427" s="5" t="inlineStr">
        <is>
          <t>RON KING LLC</t>
        </is>
      </c>
      <c r="D427" s="5" t="inlineStr">
        <is>
          <t>Closed</t>
        </is>
      </c>
      <c r="E427" s="16" t="n">
        <v>46000</v>
      </c>
      <c r="F427" s="16" t="n">
        <v>46086</v>
      </c>
      <c r="G427" s="17" t="n">
        <v>4</v>
      </c>
      <c r="H427" s="5" t="inlineStr">
        <is>
          <t>1521</t>
        </is>
      </c>
      <c r="I427" s="5" t="inlineStr">
        <is>
          <t>New Single-Family Housing Construction (Except For-Sale Builders)</t>
        </is>
      </c>
      <c r="J427" s="5" t="inlineStr">
        <is>
          <t>15</t>
        </is>
      </c>
      <c r="K427" s="5" t="n">
        <v>1520</v>
      </c>
      <c r="L427" s="5" t="inlineStr">
        <is>
          <t>TX</t>
        </is>
      </c>
      <c r="M427" s="5" t="inlineStr">
        <is>
          <t>Westwood</t>
        </is>
      </c>
      <c r="N427" s="5" t="inlineStr">
        <is>
          <t>Renewal</t>
        </is>
      </c>
      <c r="O427" s="19" t="n">
        <v>1.499</v>
      </c>
      <c r="P427" s="20" t="n">
        <v>35000</v>
      </c>
      <c r="Q427" s="20" t="n">
        <v>4900</v>
      </c>
      <c r="R427" s="20" t="n">
        <v>52465</v>
      </c>
      <c r="S427" s="20" t="n">
        <v>52465</v>
      </c>
      <c r="T427" s="20" t="n">
        <v>7.275957614183431e-12</v>
      </c>
      <c r="U427" s="21" t="n">
        <v>1</v>
      </c>
      <c r="V427" s="22" t="n">
        <v>3.607</v>
      </c>
      <c r="W427" s="17" t="n">
        <v>167</v>
      </c>
      <c r="X427" s="17" t="n">
        <v>0</v>
      </c>
      <c r="Y427" s="20" t="n">
        <v>54257.4</v>
      </c>
      <c r="Z427" s="21" t="n">
        <v>0.1824</v>
      </c>
      <c r="AA427" s="16" t="n">
        <v>43910</v>
      </c>
      <c r="AB427" s="5">
        <f>IF(V427="","",IF(V427&lt;12,"Months","Weeks"))</f>
        <v/>
      </c>
      <c r="AC427" s="5">
        <f>IF(AB427="","",IF(AB427="Months","Daily","Weekly"))</f>
        <v/>
      </c>
      <c r="AD427" s="17">
        <f>IF(V427="","",IF(AC427="Daily",V427*Controls!$B$13,V427))</f>
        <v/>
      </c>
      <c r="AE427" s="17">
        <f>IF(V427="","",IF(AC427="Daily",V427*Controls!$B$13,V427*Controls!$B$12))</f>
        <v/>
      </c>
      <c r="AF427" s="17">
        <f>IF(OR(E427="",F427=""),"",F427-E427)</f>
        <v/>
      </c>
      <c r="AG427" s="17">
        <f>IF(OR(E427="",F427=""),"",NETWORKDAYS(E427,F427,Ref!$F$4:$F$47))</f>
        <v/>
      </c>
      <c r="AH427" s="39">
        <f>IF(IFERROR(VLOOKUP(D427,Controls!$A$25:$D$35,2,FALSE()),"No")="Yes",1,0)</f>
        <v/>
      </c>
      <c r="AI427" s="39">
        <f>IF(IFERROR(VLOOKUP(D427,Controls!$A$25:$D$35,3,FALSE()),"No")="Yes",1,0)</f>
        <v/>
      </c>
      <c r="AJ427" s="39">
        <f>IF(IFERROR(VLOOKUP(D427,Controls!$A$25:$D$35,4,FALSE()),"No")="Yes",1,0)</f>
        <v/>
      </c>
      <c r="AK427" s="96">
        <f>IF(AND($E427&gt;=Controls!$B$5,$E427&lt;=Controls!$B$6,OR(Controls!$E$9&lt;&gt;"Y",$BE427=1)),1,0)</f>
        <v/>
      </c>
      <c r="AL427" s="39">
        <f>1</f>
        <v/>
      </c>
      <c r="AM427" s="20">
        <f>S427-P427</f>
        <v/>
      </c>
      <c r="AN427" s="20">
        <f>IF(AH427=1,MAX(0,P427-S427),0)</f>
        <v/>
      </c>
      <c r="AO427" s="21">
        <f>IFERROR(S427/P427,"")</f>
        <v/>
      </c>
      <c r="AP427" s="22">
        <f>IF(Y427="","",P427/Y427)</f>
        <v/>
      </c>
      <c r="AQ427" s="39">
        <f>IF(Y427="",0,1)</f>
        <v/>
      </c>
      <c r="AR427" s="39">
        <f>IF(S427&lt;=0,1,0)</f>
        <v/>
      </c>
      <c r="AS427" s="17">
        <f>IF(AH427=1,AG427,"")</f>
        <v/>
      </c>
      <c r="AT427" s="17">
        <f>IF(AND(AH427=0,AJ427=1),AG427,"")</f>
        <v/>
      </c>
      <c r="AU427" s="5">
        <f>IF(P427&lt;10000,"Under $10K",IF(P427&lt;20000,"$10-20K",IF(P427&lt;30000,"$20-30K",IF(P427&lt;50000,"$30-50K",IF(P427&lt;100000,"$50-100K","$100K+")))))</f>
        <v/>
      </c>
      <c r="AV427" s="5">
        <f>IF(O427&lt;=1.35,"1.35 and under",IF(O427&lt;=1.42,"1.36-1.42",IF(O427&lt;=1.45,"1.43-1.45",IF(O427&lt;1.49,"1.46-1.48",IF(O427&lt;=1.49,"1.49","Above 1.49")))))</f>
        <v/>
      </c>
      <c r="AW427" s="5">
        <f>IF(AE427="","",IF(AE427&lt;60,"Under 60",IF(AE427&lt;90,"60-89",IF(AE427&lt;120,"90-119",IF(AE427&lt;150,"120-149","150+")))))</f>
        <v/>
      </c>
      <c r="AX427" s="5">
        <f>IF(AP427="","No revenue data",IF(AP427&lt;0.15,"Under 0.15x",IF(AP427&lt;0.3,"0.15-0.30x",IF(AP427&lt;0.5,"0.30-0.50x",IF(AP427&lt;1,"0.50-1.00x","1.00x+")))))</f>
        <v/>
      </c>
      <c r="AY427" s="5">
        <f>IF(J427="","No SIC",IFERROR(VLOOKUP(J427,Ref!$A$4:$C$67,2,FALSE()),"Unclassified"))</f>
        <v/>
      </c>
      <c r="AZ427" s="5">
        <f>IF(E427="","",TEXT(E427,"YYYY")&amp;"-Q"&amp;ROUNDUP(MONTH(E427)/3,0))</f>
        <v/>
      </c>
      <c r="BA427" s="5">
        <f>IF(E427="","",TEXT(E427,"YYYY-MM"))</f>
        <v/>
      </c>
      <c r="BB427" s="5">
        <f>IF(E427="","",TEXT(E427,"YYYY"))</f>
        <v/>
      </c>
      <c r="BC427" s="92">
        <f>IF($E427="","",NETWORKDAYS($E427,Controls!$B$9,Ref!$F$4:$F$47))</f>
        <v/>
      </c>
      <c r="BD427" s="92">
        <f>IF(OR($AH427=1,$AJ427=1),1,0)</f>
        <v/>
      </c>
      <c r="BE427" s="95">
        <f>IF(OR($BD427=1,AND($AE427&lt;&gt;"",$BC427&gt;=Controls!$B$10*$AE427)),1,0)</f>
        <v/>
      </c>
    </row>
    <row r="428" ht="15.75" customHeight="1" s="79">
      <c r="A428" s="5" t="inlineStr">
        <is>
          <t>5674173879</t>
        </is>
      </c>
      <c r="B428" s="5" t="inlineStr">
        <is>
          <t>mobilized retail marketing</t>
        </is>
      </c>
      <c r="C428" s="5" t="inlineStr">
        <is>
          <t>moreable llc</t>
        </is>
      </c>
      <c r="D428" s="5" t="inlineStr">
        <is>
          <t>Open</t>
        </is>
      </c>
      <c r="E428" s="16" t="n">
        <v>46000</v>
      </c>
      <c r="F428" s="16" t="n">
        <v>46244</v>
      </c>
      <c r="G428" s="17" t="n">
        <v>1</v>
      </c>
      <c r="H428" s="5" t="inlineStr">
        <is>
          <t>4813</t>
        </is>
      </c>
      <c r="I428" s="5" t="inlineStr">
        <is>
          <t>Telecommunications Resellers</t>
        </is>
      </c>
      <c r="J428" s="5" t="inlineStr">
        <is>
          <t>48</t>
        </is>
      </c>
      <c r="K428" s="5" t="n">
        <v>4812</v>
      </c>
      <c r="L428" s="5" t="inlineStr">
        <is>
          <t>MO</t>
        </is>
      </c>
      <c r="M428" s="5" t="inlineStr">
        <is>
          <t>Fundwell</t>
        </is>
      </c>
      <c r="N428" s="5" t="inlineStr">
        <is>
          <t>New Deal</t>
        </is>
      </c>
      <c r="O428" s="19" t="n">
        <v>1.42</v>
      </c>
      <c r="P428" s="20" t="n">
        <v>100000</v>
      </c>
      <c r="Q428" s="20" t="n">
        <v>14500</v>
      </c>
      <c r="R428" s="20" t="n">
        <v>142000</v>
      </c>
      <c r="S428" s="20" t="n">
        <v>130009.44</v>
      </c>
      <c r="T428" s="20" t="n">
        <v>11990.56</v>
      </c>
      <c r="U428" s="21" t="n">
        <v>0.9155594366197179</v>
      </c>
      <c r="V428" s="22" t="n">
        <v>36</v>
      </c>
      <c r="W428" s="17" t="n">
        <v>16</v>
      </c>
      <c r="X428" s="17" t="n">
        <v>2</v>
      </c>
      <c r="Y428" s="20" t="n">
        <v>454141.36</v>
      </c>
      <c r="Z428" s="21" t="n">
        <v>0.0347</v>
      </c>
      <c r="AA428" s="16" t="n">
        <v>43191</v>
      </c>
      <c r="AB428" s="5">
        <f>IF(V428="","",IF(V428&lt;12,"Months","Weeks"))</f>
        <v/>
      </c>
      <c r="AC428" s="5">
        <f>IF(AB428="","",IF(AB428="Months","Daily","Weekly"))</f>
        <v/>
      </c>
      <c r="AD428" s="17">
        <f>IF(V428="","",IF(AC428="Daily",V428*Controls!$B$13,V428))</f>
        <v/>
      </c>
      <c r="AE428" s="17">
        <f>IF(V428="","",IF(AC428="Daily",V428*Controls!$B$13,V428*Controls!$B$12))</f>
        <v/>
      </c>
      <c r="AF428" s="17">
        <f>IF(OR(E428="",F428=""),"",F428-E428)</f>
        <v/>
      </c>
      <c r="AG428" s="17">
        <f>IF(OR(E428="",F428=""),"",NETWORKDAYS(E428,F428,Ref!$F$4:$F$47))</f>
        <v/>
      </c>
      <c r="AH428" s="39">
        <f>IF(IFERROR(VLOOKUP(D428,Controls!$A$25:$D$35,2,FALSE()),"No")="Yes",1,0)</f>
        <v/>
      </c>
      <c r="AI428" s="39">
        <f>IF(IFERROR(VLOOKUP(D428,Controls!$A$25:$D$35,3,FALSE()),"No")="Yes",1,0)</f>
        <v/>
      </c>
      <c r="AJ428" s="39">
        <f>IF(IFERROR(VLOOKUP(D428,Controls!$A$25:$D$35,4,FALSE()),"No")="Yes",1,0)</f>
        <v/>
      </c>
      <c r="AK428" s="96">
        <f>IF(AND($E428&gt;=Controls!$B$5,$E428&lt;=Controls!$B$6,OR(Controls!$E$9&lt;&gt;"Y",$BE428=1)),1,0)</f>
        <v/>
      </c>
      <c r="AL428" s="39">
        <f>1</f>
        <v/>
      </c>
      <c r="AM428" s="20">
        <f>S428-P428</f>
        <v/>
      </c>
      <c r="AN428" s="20">
        <f>IF(AH428=1,MAX(0,P428-S428),0)</f>
        <v/>
      </c>
      <c r="AO428" s="21">
        <f>IFERROR(S428/P428,"")</f>
        <v/>
      </c>
      <c r="AP428" s="22">
        <f>IF(Y428="","",P428/Y428)</f>
        <v/>
      </c>
      <c r="AQ428" s="39">
        <f>IF(Y428="",0,1)</f>
        <v/>
      </c>
      <c r="AR428" s="39">
        <f>IF(S428&lt;=0,1,0)</f>
        <v/>
      </c>
      <c r="AS428" s="17">
        <f>IF(AH428=1,AG428,"")</f>
        <v/>
      </c>
      <c r="AT428" s="17">
        <f>IF(AND(AH428=0,AJ428=1),AG428,"")</f>
        <v/>
      </c>
      <c r="AU428" s="5">
        <f>IF(P428&lt;10000,"Under $10K",IF(P428&lt;20000,"$10-20K",IF(P428&lt;30000,"$20-30K",IF(P428&lt;50000,"$30-50K",IF(P428&lt;100000,"$50-100K","$100K+")))))</f>
        <v/>
      </c>
      <c r="AV428" s="5">
        <f>IF(O428&lt;=1.35,"1.35 and under",IF(O428&lt;=1.42,"1.36-1.42",IF(O428&lt;=1.45,"1.43-1.45",IF(O428&lt;1.49,"1.46-1.48",IF(O428&lt;=1.49,"1.49","Above 1.49")))))</f>
        <v/>
      </c>
      <c r="AW428" s="5">
        <f>IF(AE428="","",IF(AE428&lt;60,"Under 60",IF(AE428&lt;90,"60-89",IF(AE428&lt;120,"90-119",IF(AE428&lt;150,"120-149","150+")))))</f>
        <v/>
      </c>
      <c r="AX428" s="5">
        <f>IF(AP428="","No revenue data",IF(AP428&lt;0.15,"Under 0.15x",IF(AP428&lt;0.3,"0.15-0.30x",IF(AP428&lt;0.5,"0.30-0.50x",IF(AP428&lt;1,"0.50-1.00x","1.00x+")))))</f>
        <v/>
      </c>
      <c r="AY428" s="5">
        <f>IF(J428="","No SIC",IFERROR(VLOOKUP(J428,Ref!$A$4:$C$67,2,FALSE()),"Unclassified"))</f>
        <v/>
      </c>
      <c r="AZ428" s="5">
        <f>IF(E428="","",TEXT(E428,"YYYY")&amp;"-Q"&amp;ROUNDUP(MONTH(E428)/3,0))</f>
        <v/>
      </c>
      <c r="BA428" s="5">
        <f>IF(E428="","",TEXT(E428,"YYYY-MM"))</f>
        <v/>
      </c>
      <c r="BB428" s="5">
        <f>IF(E428="","",TEXT(E428,"YYYY"))</f>
        <v/>
      </c>
      <c r="BC428" s="92">
        <f>IF($E428="","",NETWORKDAYS($E428,Controls!$B$9,Ref!$F$4:$F$47))</f>
        <v/>
      </c>
      <c r="BD428" s="92">
        <f>IF(OR($AH428=1,$AJ428=1),1,0)</f>
        <v/>
      </c>
      <c r="BE428" s="95">
        <f>IF(OR($BD428=1,AND($AE428&lt;&gt;"",$BC428&gt;=Controls!$B$10*$AE428)),1,0)</f>
        <v/>
      </c>
    </row>
    <row r="429" ht="15.75" customHeight="1" s="79">
      <c r="A429" s="5" t="inlineStr">
        <is>
          <t>5674173880</t>
        </is>
      </c>
      <c r="B429" s="5" t="inlineStr">
        <is>
          <t>Platinum distribution services LLC</t>
        </is>
      </c>
      <c r="C429" s="5" t="inlineStr">
        <is>
          <t>Platinum distribution services LLC</t>
        </is>
      </c>
      <c r="D429" s="5" t="inlineStr">
        <is>
          <t>In House Collection</t>
        </is>
      </c>
      <c r="E429" s="16" t="n">
        <v>46000</v>
      </c>
      <c r="F429" s="16" t="n">
        <v>46217</v>
      </c>
      <c r="G429" s="17" t="n">
        <v>1</v>
      </c>
      <c r="H429" s="5" t="inlineStr">
        <is>
          <t>3537</t>
        </is>
      </c>
      <c r="I429" s="5" t="inlineStr">
        <is>
          <t>Industrial Truck, Tractor, Trailer, and Stacker Machinery Mfg.</t>
        </is>
      </c>
      <c r="J429" s="5" t="inlineStr">
        <is>
          <t>35</t>
        </is>
      </c>
      <c r="K429" s="5" t="n">
        <v>5511</v>
      </c>
      <c r="L429" s="5" t="inlineStr">
        <is>
          <t>MA</t>
        </is>
      </c>
      <c r="M429" s="5" t="inlineStr">
        <is>
          <t>Fundwell</t>
        </is>
      </c>
      <c r="N429" s="5" t="inlineStr">
        <is>
          <t>New Deal</t>
        </is>
      </c>
      <c r="O429" s="19" t="n">
        <v>1.4</v>
      </c>
      <c r="P429" s="20" t="n">
        <v>10000</v>
      </c>
      <c r="Q429" s="20" t="n">
        <v>1350</v>
      </c>
      <c r="R429" s="20" t="n">
        <v>14000</v>
      </c>
      <c r="S429" s="20" t="n">
        <v>4122.34</v>
      </c>
      <c r="T429" s="20" t="n">
        <v>9877.66</v>
      </c>
      <c r="U429" s="21" t="n">
        <v>0.294452857142857</v>
      </c>
      <c r="V429" s="22" t="n">
        <v>2.951</v>
      </c>
      <c r="W429" s="17" t="n">
        <v>131</v>
      </c>
      <c r="X429" s="17" t="n">
        <v>79</v>
      </c>
      <c r="Y429" s="20" t="n">
        <v>15548.18</v>
      </c>
      <c r="Z429" s="21" t="n">
        <v>0.2101</v>
      </c>
      <c r="AA429" s="16" t="n">
        <v>44219</v>
      </c>
      <c r="AB429" s="5">
        <f>IF(V429="","",IF(V429&lt;12,"Months","Weeks"))</f>
        <v/>
      </c>
      <c r="AC429" s="5">
        <f>IF(AB429="","",IF(AB429="Months","Daily","Weekly"))</f>
        <v/>
      </c>
      <c r="AD429" s="17">
        <f>IF(V429="","",IF(AC429="Daily",V429*Controls!$B$13,V429))</f>
        <v/>
      </c>
      <c r="AE429" s="17">
        <f>IF(V429="","",IF(AC429="Daily",V429*Controls!$B$13,V429*Controls!$B$12))</f>
        <v/>
      </c>
      <c r="AF429" s="17">
        <f>IF(OR(E429="",F429=""),"",F429-E429)</f>
        <v/>
      </c>
      <c r="AG429" s="17">
        <f>IF(OR(E429="",F429=""),"",NETWORKDAYS(E429,F429,Ref!$F$4:$F$47))</f>
        <v/>
      </c>
      <c r="AH429" s="39">
        <f>IF(IFERROR(VLOOKUP(D429,Controls!$A$25:$D$35,2,FALSE()),"No")="Yes",1,0)</f>
        <v/>
      </c>
      <c r="AI429" s="39">
        <f>IF(IFERROR(VLOOKUP(D429,Controls!$A$25:$D$35,3,FALSE()),"No")="Yes",1,0)</f>
        <v/>
      </c>
      <c r="AJ429" s="39">
        <f>IF(IFERROR(VLOOKUP(D429,Controls!$A$25:$D$35,4,FALSE()),"No")="Yes",1,0)</f>
        <v/>
      </c>
      <c r="AK429" s="96">
        <f>IF(AND($E429&gt;=Controls!$B$5,$E429&lt;=Controls!$B$6,OR(Controls!$E$9&lt;&gt;"Y",$BE429=1)),1,0)</f>
        <v/>
      </c>
      <c r="AL429" s="39">
        <f>1</f>
        <v/>
      </c>
      <c r="AM429" s="20">
        <f>S429-P429</f>
        <v/>
      </c>
      <c r="AN429" s="20">
        <f>IF(AH429=1,MAX(0,P429-S429),0)</f>
        <v/>
      </c>
      <c r="AO429" s="21">
        <f>IFERROR(S429/P429,"")</f>
        <v/>
      </c>
      <c r="AP429" s="22">
        <f>IF(Y429="","",P429/Y429)</f>
        <v/>
      </c>
      <c r="AQ429" s="39">
        <f>IF(Y429="",0,1)</f>
        <v/>
      </c>
      <c r="AR429" s="39">
        <f>IF(S429&lt;=0,1,0)</f>
        <v/>
      </c>
      <c r="AS429" s="17">
        <f>IF(AH429=1,AG429,"")</f>
        <v/>
      </c>
      <c r="AT429" s="17">
        <f>IF(AND(AH429=0,AJ429=1),AG429,"")</f>
        <v/>
      </c>
      <c r="AU429" s="5">
        <f>IF(P429&lt;10000,"Under $10K",IF(P429&lt;20000,"$10-20K",IF(P429&lt;30000,"$20-30K",IF(P429&lt;50000,"$30-50K",IF(P429&lt;100000,"$50-100K","$100K+")))))</f>
        <v/>
      </c>
      <c r="AV429" s="5">
        <f>IF(O429&lt;=1.35,"1.35 and under",IF(O429&lt;=1.42,"1.36-1.42",IF(O429&lt;=1.45,"1.43-1.45",IF(O429&lt;1.49,"1.46-1.48",IF(O429&lt;=1.49,"1.49","Above 1.49")))))</f>
        <v/>
      </c>
      <c r="AW429" s="5">
        <f>IF(AE429="","",IF(AE429&lt;60,"Under 60",IF(AE429&lt;90,"60-89",IF(AE429&lt;120,"90-119",IF(AE429&lt;150,"120-149","150+")))))</f>
        <v/>
      </c>
      <c r="AX429" s="5">
        <f>IF(AP429="","No revenue data",IF(AP429&lt;0.15,"Under 0.15x",IF(AP429&lt;0.3,"0.15-0.30x",IF(AP429&lt;0.5,"0.30-0.50x",IF(AP429&lt;1,"0.50-1.00x","1.00x+")))))</f>
        <v/>
      </c>
      <c r="AY429" s="5">
        <f>IF(J429="","No SIC",IFERROR(VLOOKUP(J429,Ref!$A$4:$C$67,2,FALSE()),"Unclassified"))</f>
        <v/>
      </c>
      <c r="AZ429" s="5">
        <f>IF(E429="","",TEXT(E429,"YYYY")&amp;"-Q"&amp;ROUNDUP(MONTH(E429)/3,0))</f>
        <v/>
      </c>
      <c r="BA429" s="5">
        <f>IF(E429="","",TEXT(E429,"YYYY-MM"))</f>
        <v/>
      </c>
      <c r="BB429" s="5">
        <f>IF(E429="","",TEXT(E429,"YYYY"))</f>
        <v/>
      </c>
      <c r="BC429" s="92">
        <f>IF($E429="","",NETWORKDAYS($E429,Controls!$B$9,Ref!$F$4:$F$47))</f>
        <v/>
      </c>
      <c r="BD429" s="92">
        <f>IF(OR($AH429=1,$AJ429=1),1,0)</f>
        <v/>
      </c>
      <c r="BE429" s="95">
        <f>IF(OR($BD429=1,AND($AE429&lt;&gt;"",$BC429&gt;=Controls!$B$10*$AE429)),1,0)</f>
        <v/>
      </c>
    </row>
    <row r="430" ht="15.75" customHeight="1" s="79">
      <c r="A430" s="5" t="inlineStr">
        <is>
          <t>5674173916</t>
        </is>
      </c>
      <c r="B430" s="5" t="inlineStr">
        <is>
          <t>Nest protection</t>
        </is>
      </c>
      <c r="C430" s="5" t="inlineStr">
        <is>
          <t>Miami Valley environmental services</t>
        </is>
      </c>
      <c r="D430" s="5" t="inlineStr">
        <is>
          <t>Closed</t>
        </is>
      </c>
      <c r="E430" s="16" t="n">
        <v>46001</v>
      </c>
      <c r="F430" s="16" t="n">
        <v>46097</v>
      </c>
      <c r="G430" s="17" t="n">
        <v>1</v>
      </c>
      <c r="H430" s="5" t="inlineStr">
        <is>
          <t>3822</t>
        </is>
      </c>
      <c r="I430" s="5" t="inlineStr">
        <is>
          <t>Automatic Environment Control Mfg. for Residential, Commercial and Appliance Use</t>
        </is>
      </c>
      <c r="J430" s="5" t="inlineStr">
        <is>
          <t>38</t>
        </is>
      </c>
      <c r="K430" s="5" t="n">
        <v>7033</v>
      </c>
      <c r="L430" s="5" t="inlineStr">
        <is>
          <t>OH</t>
        </is>
      </c>
      <c r="M430" s="5" t="inlineStr">
        <is>
          <t>Fundwell</t>
        </is>
      </c>
      <c r="N430" s="5" t="inlineStr">
        <is>
          <t>New Deal</t>
        </is>
      </c>
      <c r="O430" s="19" t="n">
        <v>1.46</v>
      </c>
      <c r="P430" s="20" t="n">
        <v>15000</v>
      </c>
      <c r="Q430" s="20" t="n">
        <v>2325</v>
      </c>
      <c r="R430" s="20" t="n">
        <v>21900</v>
      </c>
      <c r="S430" s="20" t="n">
        <v>21900</v>
      </c>
      <c r="T430" s="20" t="n">
        <v>0</v>
      </c>
      <c r="U430" s="21" t="n">
        <v>1</v>
      </c>
      <c r="V430" s="22" t="n">
        <v>3.607</v>
      </c>
      <c r="W430" s="17" t="n">
        <v>156</v>
      </c>
      <c r="X430" s="17" t="n">
        <v>0</v>
      </c>
      <c r="Y430" s="20" t="n">
        <v>28564.11</v>
      </c>
      <c r="Z430" s="21" t="n">
        <v>0.1464</v>
      </c>
      <c r="AA430" s="16" t="n">
        <v>45527</v>
      </c>
      <c r="AB430" s="5">
        <f>IF(V430="","",IF(V430&lt;12,"Months","Weeks"))</f>
        <v/>
      </c>
      <c r="AC430" s="5">
        <f>IF(AB430="","",IF(AB430="Months","Daily","Weekly"))</f>
        <v/>
      </c>
      <c r="AD430" s="17">
        <f>IF(V430="","",IF(AC430="Daily",V430*Controls!$B$13,V430))</f>
        <v/>
      </c>
      <c r="AE430" s="17">
        <f>IF(V430="","",IF(AC430="Daily",V430*Controls!$B$13,V430*Controls!$B$12))</f>
        <v/>
      </c>
      <c r="AF430" s="17">
        <f>IF(OR(E430="",F430=""),"",F430-E430)</f>
        <v/>
      </c>
      <c r="AG430" s="17">
        <f>IF(OR(E430="",F430=""),"",NETWORKDAYS(E430,F430,Ref!$F$4:$F$47))</f>
        <v/>
      </c>
      <c r="AH430" s="39">
        <f>IF(IFERROR(VLOOKUP(D430,Controls!$A$25:$D$35,2,FALSE()),"No")="Yes",1,0)</f>
        <v/>
      </c>
      <c r="AI430" s="39">
        <f>IF(IFERROR(VLOOKUP(D430,Controls!$A$25:$D$35,3,FALSE()),"No")="Yes",1,0)</f>
        <v/>
      </c>
      <c r="AJ430" s="39">
        <f>IF(IFERROR(VLOOKUP(D430,Controls!$A$25:$D$35,4,FALSE()),"No")="Yes",1,0)</f>
        <v/>
      </c>
      <c r="AK430" s="96">
        <f>IF(AND($E430&gt;=Controls!$B$5,$E430&lt;=Controls!$B$6,OR(Controls!$E$9&lt;&gt;"Y",$BE430=1)),1,0)</f>
        <v/>
      </c>
      <c r="AL430" s="39">
        <f>1</f>
        <v/>
      </c>
      <c r="AM430" s="20">
        <f>S430-P430</f>
        <v/>
      </c>
      <c r="AN430" s="20">
        <f>IF(AH430=1,MAX(0,P430-S430),0)</f>
        <v/>
      </c>
      <c r="AO430" s="21">
        <f>IFERROR(S430/P430,"")</f>
        <v/>
      </c>
      <c r="AP430" s="22">
        <f>IF(Y430="","",P430/Y430)</f>
        <v/>
      </c>
      <c r="AQ430" s="39">
        <f>IF(Y430="",0,1)</f>
        <v/>
      </c>
      <c r="AR430" s="39">
        <f>IF(S430&lt;=0,1,0)</f>
        <v/>
      </c>
      <c r="AS430" s="17">
        <f>IF(AH430=1,AG430,"")</f>
        <v/>
      </c>
      <c r="AT430" s="17">
        <f>IF(AND(AH430=0,AJ430=1),AG430,"")</f>
        <v/>
      </c>
      <c r="AU430" s="5">
        <f>IF(P430&lt;10000,"Under $10K",IF(P430&lt;20000,"$10-20K",IF(P430&lt;30000,"$20-30K",IF(P430&lt;50000,"$30-50K",IF(P430&lt;100000,"$50-100K","$100K+")))))</f>
        <v/>
      </c>
      <c r="AV430" s="5">
        <f>IF(O430&lt;=1.35,"1.35 and under",IF(O430&lt;=1.42,"1.36-1.42",IF(O430&lt;=1.45,"1.43-1.45",IF(O430&lt;1.49,"1.46-1.48",IF(O430&lt;=1.49,"1.49","Above 1.49")))))</f>
        <v/>
      </c>
      <c r="AW430" s="5">
        <f>IF(AE430="","",IF(AE430&lt;60,"Under 60",IF(AE430&lt;90,"60-89",IF(AE430&lt;120,"90-119",IF(AE430&lt;150,"120-149","150+")))))</f>
        <v/>
      </c>
      <c r="AX430" s="5">
        <f>IF(AP430="","No revenue data",IF(AP430&lt;0.15,"Under 0.15x",IF(AP430&lt;0.3,"0.15-0.30x",IF(AP430&lt;0.5,"0.30-0.50x",IF(AP430&lt;1,"0.50-1.00x","1.00x+")))))</f>
        <v/>
      </c>
      <c r="AY430" s="5">
        <f>IF(J430="","No SIC",IFERROR(VLOOKUP(J430,Ref!$A$4:$C$67,2,FALSE()),"Unclassified"))</f>
        <v/>
      </c>
      <c r="AZ430" s="5">
        <f>IF(E430="","",TEXT(E430,"YYYY")&amp;"-Q"&amp;ROUNDUP(MONTH(E430)/3,0))</f>
        <v/>
      </c>
      <c r="BA430" s="5">
        <f>IF(E430="","",TEXT(E430,"YYYY-MM"))</f>
        <v/>
      </c>
      <c r="BB430" s="5">
        <f>IF(E430="","",TEXT(E430,"YYYY"))</f>
        <v/>
      </c>
      <c r="BC430" s="92">
        <f>IF($E430="","",NETWORKDAYS($E430,Controls!$B$9,Ref!$F$4:$F$47))</f>
        <v/>
      </c>
      <c r="BD430" s="92">
        <f>IF(OR($AH430=1,$AJ430=1),1,0)</f>
        <v/>
      </c>
      <c r="BE430" s="95">
        <f>IF(OR($BD430=1,AND($AE430&lt;&gt;"",$BC430&gt;=Controls!$B$10*$AE430)),1,0)</f>
        <v/>
      </c>
    </row>
    <row r="431" ht="15.75" customHeight="1" s="79">
      <c r="A431" s="5" t="inlineStr">
        <is>
          <t>5674173923</t>
        </is>
      </c>
      <c r="B431" s="5" t="inlineStr">
        <is>
          <t>J SHOP</t>
        </is>
      </c>
      <c r="C431" s="5" t="inlineStr">
        <is>
          <t>JAE H IM</t>
        </is>
      </c>
      <c r="D431" s="5" t="inlineStr">
        <is>
          <t>Written-Off</t>
        </is>
      </c>
      <c r="E431" s="16" t="n">
        <v>46001</v>
      </c>
      <c r="F431" s="16" t="n">
        <v>46132</v>
      </c>
      <c r="G431" s="17" t="n">
        <v>5</v>
      </c>
      <c r="H431" s="5" t="inlineStr">
        <is>
          <t>5399</t>
        </is>
      </c>
      <c r="I431" s="5" t="inlineStr">
        <is>
          <t>All Other General Merchandise Stores</t>
        </is>
      </c>
      <c r="J431" s="5" t="inlineStr">
        <is>
          <t>53</t>
        </is>
      </c>
      <c r="K431" s="5" t="n">
        <v>5399</v>
      </c>
      <c r="L431" s="5" t="inlineStr">
        <is>
          <t>PA</t>
        </is>
      </c>
      <c r="M431" s="5" t="inlineStr">
        <is>
          <t>United Secured Capital 8</t>
        </is>
      </c>
      <c r="N431" s="5" t="inlineStr">
        <is>
          <t>New Deal</t>
        </is>
      </c>
      <c r="O431" s="19" t="n">
        <v>1.5</v>
      </c>
      <c r="P431" s="20" t="n">
        <v>7000</v>
      </c>
      <c r="Q431" s="20" t="n">
        <v>980</v>
      </c>
      <c r="R431" s="20" t="n">
        <v>10500</v>
      </c>
      <c r="S431" s="20" t="n">
        <v>2682.54</v>
      </c>
      <c r="T431" s="20" t="n">
        <v>7817.46</v>
      </c>
      <c r="U431" s="21" t="n">
        <v>0.25548</v>
      </c>
      <c r="V431" s="22" t="n">
        <v>2.295</v>
      </c>
      <c r="W431" s="17" t="n">
        <v>225</v>
      </c>
      <c r="X431" s="17" t="n">
        <v>22</v>
      </c>
      <c r="Y431" s="5" t="n"/>
      <c r="Z431" s="21" t="n">
        <v>0.0514</v>
      </c>
      <c r="AA431" s="5" t="n"/>
      <c r="AB431" s="5">
        <f>IF(V431="","",IF(V431&lt;12,"Months","Weeks"))</f>
        <v/>
      </c>
      <c r="AC431" s="5">
        <f>IF(AB431="","",IF(AB431="Months","Daily","Weekly"))</f>
        <v/>
      </c>
      <c r="AD431" s="17">
        <f>IF(V431="","",IF(AC431="Daily",V431*Controls!$B$13,V431))</f>
        <v/>
      </c>
      <c r="AE431" s="17">
        <f>IF(V431="","",IF(AC431="Daily",V431*Controls!$B$13,V431*Controls!$B$12))</f>
        <v/>
      </c>
      <c r="AF431" s="17">
        <f>IF(OR(E431="",F431=""),"",F431-E431)</f>
        <v/>
      </c>
      <c r="AG431" s="17">
        <f>IF(OR(E431="",F431=""),"",NETWORKDAYS(E431,F431,Ref!$F$4:$F$47))</f>
        <v/>
      </c>
      <c r="AH431" s="39">
        <f>IF(IFERROR(VLOOKUP(D431,Controls!$A$25:$D$35,2,FALSE()),"No")="Yes",1,0)</f>
        <v/>
      </c>
      <c r="AI431" s="39">
        <f>IF(IFERROR(VLOOKUP(D431,Controls!$A$25:$D$35,3,FALSE()),"No")="Yes",1,0)</f>
        <v/>
      </c>
      <c r="AJ431" s="39">
        <f>IF(IFERROR(VLOOKUP(D431,Controls!$A$25:$D$35,4,FALSE()),"No")="Yes",1,0)</f>
        <v/>
      </c>
      <c r="AK431" s="96">
        <f>IF(AND($E431&gt;=Controls!$B$5,$E431&lt;=Controls!$B$6,OR(Controls!$E$9&lt;&gt;"Y",$BE431=1)),1,0)</f>
        <v/>
      </c>
      <c r="AL431" s="39">
        <f>1</f>
        <v/>
      </c>
      <c r="AM431" s="20">
        <f>S431-P431</f>
        <v/>
      </c>
      <c r="AN431" s="20">
        <f>IF(AH431=1,MAX(0,P431-S431),0)</f>
        <v/>
      </c>
      <c r="AO431" s="21">
        <f>IFERROR(S431/P431,"")</f>
        <v/>
      </c>
      <c r="AP431" s="22">
        <f>IF(Y431="","",P431/Y431)</f>
        <v/>
      </c>
      <c r="AQ431" s="39">
        <f>IF(Y431="",0,1)</f>
        <v/>
      </c>
      <c r="AR431" s="39">
        <f>IF(S431&lt;=0,1,0)</f>
        <v/>
      </c>
      <c r="AS431" s="17">
        <f>IF(AH431=1,AG431,"")</f>
        <v/>
      </c>
      <c r="AT431" s="17">
        <f>IF(AND(AH431=0,AJ431=1),AG431,"")</f>
        <v/>
      </c>
      <c r="AU431" s="5">
        <f>IF(P431&lt;10000,"Under $10K",IF(P431&lt;20000,"$10-20K",IF(P431&lt;30000,"$20-30K",IF(P431&lt;50000,"$30-50K",IF(P431&lt;100000,"$50-100K","$100K+")))))</f>
        <v/>
      </c>
      <c r="AV431" s="5">
        <f>IF(O431&lt;=1.35,"1.35 and under",IF(O431&lt;=1.42,"1.36-1.42",IF(O431&lt;=1.45,"1.43-1.45",IF(O431&lt;1.49,"1.46-1.48",IF(O431&lt;=1.49,"1.49","Above 1.49")))))</f>
        <v/>
      </c>
      <c r="AW431" s="5">
        <f>IF(AE431="","",IF(AE431&lt;60,"Under 60",IF(AE431&lt;90,"60-89",IF(AE431&lt;120,"90-119",IF(AE431&lt;150,"120-149","150+")))))</f>
        <v/>
      </c>
      <c r="AX431" s="5">
        <f>IF(AP431="","No revenue data",IF(AP431&lt;0.15,"Under 0.15x",IF(AP431&lt;0.3,"0.15-0.30x",IF(AP431&lt;0.5,"0.30-0.50x",IF(AP431&lt;1,"0.50-1.00x","1.00x+")))))</f>
        <v/>
      </c>
      <c r="AY431" s="5">
        <f>IF(J431="","No SIC",IFERROR(VLOOKUP(J431,Ref!$A$4:$C$67,2,FALSE()),"Unclassified"))</f>
        <v/>
      </c>
      <c r="AZ431" s="5">
        <f>IF(E431="","",TEXT(E431,"YYYY")&amp;"-Q"&amp;ROUNDUP(MONTH(E431)/3,0))</f>
        <v/>
      </c>
      <c r="BA431" s="5">
        <f>IF(E431="","",TEXT(E431,"YYYY-MM"))</f>
        <v/>
      </c>
      <c r="BB431" s="5">
        <f>IF(E431="","",TEXT(E431,"YYYY"))</f>
        <v/>
      </c>
      <c r="BC431" s="92">
        <f>IF($E431="","",NETWORKDAYS($E431,Controls!$B$9,Ref!$F$4:$F$47))</f>
        <v/>
      </c>
      <c r="BD431" s="92">
        <f>IF(OR($AH431=1,$AJ431=1),1,0)</f>
        <v/>
      </c>
      <c r="BE431" s="95">
        <f>IF(OR($BD431=1,AND($AE431&lt;&gt;"",$BC431&gt;=Controls!$B$10*$AE431)),1,0)</f>
        <v/>
      </c>
    </row>
    <row r="432" ht="15.75" customHeight="1" s="79">
      <c r="A432" s="5" t="inlineStr">
        <is>
          <t>5674173969</t>
        </is>
      </c>
      <c r="B432" s="5" t="inlineStr">
        <is>
          <t>Recharge Exteriors</t>
        </is>
      </c>
      <c r="C432" s="5" t="inlineStr">
        <is>
          <t>Recharge Exteriors</t>
        </is>
      </c>
      <c r="D432" s="5" t="inlineStr">
        <is>
          <t>Closed</t>
        </is>
      </c>
      <c r="E432" s="16" t="n">
        <v>46001</v>
      </c>
      <c r="F432" s="16" t="n">
        <v>46157</v>
      </c>
      <c r="G432" s="17" t="n">
        <v>3</v>
      </c>
      <c r="H432" s="5" t="inlineStr">
        <is>
          <t>1521</t>
        </is>
      </c>
      <c r="I432" s="5" t="inlineStr">
        <is>
          <t>New Single-Family Housing Construction (Except For-Sale Builders)</t>
        </is>
      </c>
      <c r="J432" s="5" t="inlineStr">
        <is>
          <t>15</t>
        </is>
      </c>
      <c r="K432" s="5" t="n">
        <v>1520</v>
      </c>
      <c r="L432" s="5" t="inlineStr">
        <is>
          <t>FL</t>
        </is>
      </c>
      <c r="M432" s="5" t="inlineStr">
        <is>
          <t>United Secured Capital 8</t>
        </is>
      </c>
      <c r="N432" s="5" t="inlineStr">
        <is>
          <t>New Deal</t>
        </is>
      </c>
      <c r="O432" s="19" t="n">
        <v>1.49</v>
      </c>
      <c r="P432" s="20" t="n">
        <v>30000</v>
      </c>
      <c r="Q432" s="20" t="n">
        <v>4200</v>
      </c>
      <c r="R432" s="20" t="n">
        <v>44700</v>
      </c>
      <c r="S432" s="20" t="n">
        <v>44700</v>
      </c>
      <c r="T432" s="20" t="n">
        <v>0</v>
      </c>
      <c r="U432" s="21" t="n">
        <v>1</v>
      </c>
      <c r="V432" s="22" t="n">
        <v>25</v>
      </c>
      <c r="W432" s="17" t="n">
        <v>96</v>
      </c>
      <c r="X432" s="17" t="n">
        <v>2</v>
      </c>
      <c r="Y432" s="20" t="n">
        <v>40722.38</v>
      </c>
      <c r="Z432" s="21" t="n">
        <v>0.1709</v>
      </c>
      <c r="AA432" s="16" t="n">
        <v>44835</v>
      </c>
      <c r="AB432" s="5">
        <f>IF(V432="","",IF(V432&lt;12,"Months","Weeks"))</f>
        <v/>
      </c>
      <c r="AC432" s="5">
        <f>IF(AB432="","",IF(AB432="Months","Daily","Weekly"))</f>
        <v/>
      </c>
      <c r="AD432" s="17">
        <f>IF(V432="","",IF(AC432="Daily",V432*Controls!$B$13,V432))</f>
        <v/>
      </c>
      <c r="AE432" s="17">
        <f>IF(V432="","",IF(AC432="Daily",V432*Controls!$B$13,V432*Controls!$B$12))</f>
        <v/>
      </c>
      <c r="AF432" s="17">
        <f>IF(OR(E432="",F432=""),"",F432-E432)</f>
        <v/>
      </c>
      <c r="AG432" s="17">
        <f>IF(OR(E432="",F432=""),"",NETWORKDAYS(E432,F432,Ref!$F$4:$F$47))</f>
        <v/>
      </c>
      <c r="AH432" s="39">
        <f>IF(IFERROR(VLOOKUP(D432,Controls!$A$25:$D$35,2,FALSE()),"No")="Yes",1,0)</f>
        <v/>
      </c>
      <c r="AI432" s="39">
        <f>IF(IFERROR(VLOOKUP(D432,Controls!$A$25:$D$35,3,FALSE()),"No")="Yes",1,0)</f>
        <v/>
      </c>
      <c r="AJ432" s="39">
        <f>IF(IFERROR(VLOOKUP(D432,Controls!$A$25:$D$35,4,FALSE()),"No")="Yes",1,0)</f>
        <v/>
      </c>
      <c r="AK432" s="96">
        <f>IF(AND($E432&gt;=Controls!$B$5,$E432&lt;=Controls!$B$6,OR(Controls!$E$9&lt;&gt;"Y",$BE432=1)),1,0)</f>
        <v/>
      </c>
      <c r="AL432" s="39">
        <f>1</f>
        <v/>
      </c>
      <c r="AM432" s="20">
        <f>S432-P432</f>
        <v/>
      </c>
      <c r="AN432" s="20">
        <f>IF(AH432=1,MAX(0,P432-S432),0)</f>
        <v/>
      </c>
      <c r="AO432" s="21">
        <f>IFERROR(S432/P432,"")</f>
        <v/>
      </c>
      <c r="AP432" s="22">
        <f>IF(Y432="","",P432/Y432)</f>
        <v/>
      </c>
      <c r="AQ432" s="39">
        <f>IF(Y432="",0,1)</f>
        <v/>
      </c>
      <c r="AR432" s="39">
        <f>IF(S432&lt;=0,1,0)</f>
        <v/>
      </c>
      <c r="AS432" s="17">
        <f>IF(AH432=1,AG432,"")</f>
        <v/>
      </c>
      <c r="AT432" s="17">
        <f>IF(AND(AH432=0,AJ432=1),AG432,"")</f>
        <v/>
      </c>
      <c r="AU432" s="5">
        <f>IF(P432&lt;10000,"Under $10K",IF(P432&lt;20000,"$10-20K",IF(P432&lt;30000,"$20-30K",IF(P432&lt;50000,"$30-50K",IF(P432&lt;100000,"$50-100K","$100K+")))))</f>
        <v/>
      </c>
      <c r="AV432" s="5">
        <f>IF(O432&lt;=1.35,"1.35 and under",IF(O432&lt;=1.42,"1.36-1.42",IF(O432&lt;=1.45,"1.43-1.45",IF(O432&lt;1.49,"1.46-1.48",IF(O432&lt;=1.49,"1.49","Above 1.49")))))</f>
        <v/>
      </c>
      <c r="AW432" s="5">
        <f>IF(AE432="","",IF(AE432&lt;60,"Under 60",IF(AE432&lt;90,"60-89",IF(AE432&lt;120,"90-119",IF(AE432&lt;150,"120-149","150+")))))</f>
        <v/>
      </c>
      <c r="AX432" s="5">
        <f>IF(AP432="","No revenue data",IF(AP432&lt;0.15,"Under 0.15x",IF(AP432&lt;0.3,"0.15-0.30x",IF(AP432&lt;0.5,"0.30-0.50x",IF(AP432&lt;1,"0.50-1.00x","1.00x+")))))</f>
        <v/>
      </c>
      <c r="AY432" s="5">
        <f>IF(J432="","No SIC",IFERROR(VLOOKUP(J432,Ref!$A$4:$C$67,2,FALSE()),"Unclassified"))</f>
        <v/>
      </c>
      <c r="AZ432" s="5">
        <f>IF(E432="","",TEXT(E432,"YYYY")&amp;"-Q"&amp;ROUNDUP(MONTH(E432)/3,0))</f>
        <v/>
      </c>
      <c r="BA432" s="5">
        <f>IF(E432="","",TEXT(E432,"YYYY-MM"))</f>
        <v/>
      </c>
      <c r="BB432" s="5">
        <f>IF(E432="","",TEXT(E432,"YYYY"))</f>
        <v/>
      </c>
      <c r="BC432" s="92">
        <f>IF($E432="","",NETWORKDAYS($E432,Controls!$B$9,Ref!$F$4:$F$47))</f>
        <v/>
      </c>
      <c r="BD432" s="92">
        <f>IF(OR($AH432=1,$AJ432=1),1,0)</f>
        <v/>
      </c>
      <c r="BE432" s="95">
        <f>IF(OR($BD432=1,AND($AE432&lt;&gt;"",$BC432&gt;=Controls!$B$10*$AE432)),1,0)</f>
        <v/>
      </c>
    </row>
    <row r="433" ht="15.75" customHeight="1" s="79">
      <c r="A433" s="5" t="inlineStr">
        <is>
          <t>5674173981</t>
        </is>
      </c>
      <c r="B433" s="5" t="inlineStr">
        <is>
          <t>FIRST ELECTRIC</t>
        </is>
      </c>
      <c r="C433" s="5" t="inlineStr">
        <is>
          <t>WNT LLC</t>
        </is>
      </c>
      <c r="D433" s="5" t="inlineStr">
        <is>
          <t>Open</t>
        </is>
      </c>
      <c r="E433" s="16" t="n">
        <v>46001</v>
      </c>
      <c r="F433" s="16" t="n">
        <v>46253</v>
      </c>
      <c r="G433" s="17" t="n">
        <v>4</v>
      </c>
      <c r="H433" s="5" t="inlineStr">
        <is>
          <t>1731</t>
        </is>
      </c>
      <c r="I433" s="5" t="inlineStr">
        <is>
          <t>Electrical Contractors and Other Wiring Installation Contractors</t>
        </is>
      </c>
      <c r="J433" s="5" t="inlineStr">
        <is>
          <t>17</t>
        </is>
      </c>
      <c r="K433" s="5" t="n">
        <v>1731</v>
      </c>
      <c r="L433" s="5" t="inlineStr">
        <is>
          <t>AZ</t>
        </is>
      </c>
      <c r="M433" s="5" t="inlineStr">
        <is>
          <t>PMF</t>
        </is>
      </c>
      <c r="N433" s="5" t="inlineStr">
        <is>
          <t>New Deal</t>
        </is>
      </c>
      <c r="O433" s="19" t="n">
        <v>1.44</v>
      </c>
      <c r="P433" s="20" t="n">
        <v>175000</v>
      </c>
      <c r="Q433" s="20" t="n">
        <v>19250</v>
      </c>
      <c r="R433" s="20" t="n">
        <v>252000</v>
      </c>
      <c r="S433" s="20" t="n">
        <v>226786.68</v>
      </c>
      <c r="T433" s="20" t="n">
        <v>25213.32</v>
      </c>
      <c r="U433" s="21" t="n">
        <v>0.8999471428571429</v>
      </c>
      <c r="V433" s="22" t="n">
        <v>40</v>
      </c>
      <c r="W433" s="17" t="n">
        <v>0</v>
      </c>
      <c r="X433" s="17" t="n">
        <v>0</v>
      </c>
      <c r="Y433" s="20" t="n">
        <v>415741.38</v>
      </c>
      <c r="Z433" s="21" t="n">
        <v>0.0507</v>
      </c>
      <c r="AA433" s="16" t="n">
        <v>43313</v>
      </c>
      <c r="AB433" s="5">
        <f>IF(V433="","",IF(V433&lt;12,"Months","Weeks"))</f>
        <v/>
      </c>
      <c r="AC433" s="5">
        <f>IF(AB433="","",IF(AB433="Months","Daily","Weekly"))</f>
        <v/>
      </c>
      <c r="AD433" s="17">
        <f>IF(V433="","",IF(AC433="Daily",V433*Controls!$B$13,V433))</f>
        <v/>
      </c>
      <c r="AE433" s="17">
        <f>IF(V433="","",IF(AC433="Daily",V433*Controls!$B$13,V433*Controls!$B$12))</f>
        <v/>
      </c>
      <c r="AF433" s="17">
        <f>IF(OR(E433="",F433=""),"",F433-E433)</f>
        <v/>
      </c>
      <c r="AG433" s="17">
        <f>IF(OR(E433="",F433=""),"",NETWORKDAYS(E433,F433,Ref!$F$4:$F$47))</f>
        <v/>
      </c>
      <c r="AH433" s="39">
        <f>IF(IFERROR(VLOOKUP(D433,Controls!$A$25:$D$35,2,FALSE()),"No")="Yes",1,0)</f>
        <v/>
      </c>
      <c r="AI433" s="39">
        <f>IF(IFERROR(VLOOKUP(D433,Controls!$A$25:$D$35,3,FALSE()),"No")="Yes",1,0)</f>
        <v/>
      </c>
      <c r="AJ433" s="39">
        <f>IF(IFERROR(VLOOKUP(D433,Controls!$A$25:$D$35,4,FALSE()),"No")="Yes",1,0)</f>
        <v/>
      </c>
      <c r="AK433" s="96">
        <f>IF(AND($E433&gt;=Controls!$B$5,$E433&lt;=Controls!$B$6,OR(Controls!$E$9&lt;&gt;"Y",$BE433=1)),1,0)</f>
        <v/>
      </c>
      <c r="AL433" s="39">
        <f>1</f>
        <v/>
      </c>
      <c r="AM433" s="20">
        <f>S433-P433</f>
        <v/>
      </c>
      <c r="AN433" s="20">
        <f>IF(AH433=1,MAX(0,P433-S433),0)</f>
        <v/>
      </c>
      <c r="AO433" s="21">
        <f>IFERROR(S433/P433,"")</f>
        <v/>
      </c>
      <c r="AP433" s="22">
        <f>IF(Y433="","",P433/Y433)</f>
        <v/>
      </c>
      <c r="AQ433" s="39">
        <f>IF(Y433="",0,1)</f>
        <v/>
      </c>
      <c r="AR433" s="39">
        <f>IF(S433&lt;=0,1,0)</f>
        <v/>
      </c>
      <c r="AS433" s="17">
        <f>IF(AH433=1,AG433,"")</f>
        <v/>
      </c>
      <c r="AT433" s="17">
        <f>IF(AND(AH433=0,AJ433=1),AG433,"")</f>
        <v/>
      </c>
      <c r="AU433" s="5">
        <f>IF(P433&lt;10000,"Under $10K",IF(P433&lt;20000,"$10-20K",IF(P433&lt;30000,"$20-30K",IF(P433&lt;50000,"$30-50K",IF(P433&lt;100000,"$50-100K","$100K+")))))</f>
        <v/>
      </c>
      <c r="AV433" s="5">
        <f>IF(O433&lt;=1.35,"1.35 and under",IF(O433&lt;=1.42,"1.36-1.42",IF(O433&lt;=1.45,"1.43-1.45",IF(O433&lt;1.49,"1.46-1.48",IF(O433&lt;=1.49,"1.49","Above 1.49")))))</f>
        <v/>
      </c>
      <c r="AW433" s="5">
        <f>IF(AE433="","",IF(AE433&lt;60,"Under 60",IF(AE433&lt;90,"60-89",IF(AE433&lt;120,"90-119",IF(AE433&lt;150,"120-149","150+")))))</f>
        <v/>
      </c>
      <c r="AX433" s="5">
        <f>IF(AP433="","No revenue data",IF(AP433&lt;0.15,"Under 0.15x",IF(AP433&lt;0.3,"0.15-0.30x",IF(AP433&lt;0.5,"0.30-0.50x",IF(AP433&lt;1,"0.50-1.00x","1.00x+")))))</f>
        <v/>
      </c>
      <c r="AY433" s="5">
        <f>IF(J433="","No SIC",IFERROR(VLOOKUP(J433,Ref!$A$4:$C$67,2,FALSE()),"Unclassified"))</f>
        <v/>
      </c>
      <c r="AZ433" s="5">
        <f>IF(E433="","",TEXT(E433,"YYYY")&amp;"-Q"&amp;ROUNDUP(MONTH(E433)/3,0))</f>
        <v/>
      </c>
      <c r="BA433" s="5">
        <f>IF(E433="","",TEXT(E433,"YYYY-MM"))</f>
        <v/>
      </c>
      <c r="BB433" s="5">
        <f>IF(E433="","",TEXT(E433,"YYYY"))</f>
        <v/>
      </c>
      <c r="BC433" s="92">
        <f>IF($E433="","",NETWORKDAYS($E433,Controls!$B$9,Ref!$F$4:$F$47))</f>
        <v/>
      </c>
      <c r="BD433" s="92">
        <f>IF(OR($AH433=1,$AJ433=1),1,0)</f>
        <v/>
      </c>
      <c r="BE433" s="95">
        <f>IF(OR($BD433=1,AND($AE433&lt;&gt;"",$BC433&gt;=Controls!$B$10*$AE433)),1,0)</f>
        <v/>
      </c>
    </row>
    <row r="434" ht="15.75" customHeight="1" s="79">
      <c r="A434" s="5" t="inlineStr">
        <is>
          <t>5674173985</t>
        </is>
      </c>
      <c r="B434" s="5" t="inlineStr">
        <is>
          <t>WORKFORCE READY KONCEPTS</t>
        </is>
      </c>
      <c r="C434" s="5" t="inlineStr">
        <is>
          <t>WORKFORCE READY KONCEPTS, LLC</t>
        </is>
      </c>
      <c r="D434" s="5" t="inlineStr">
        <is>
          <t>Legal</t>
        </is>
      </c>
      <c r="E434" s="16" t="n">
        <v>46001</v>
      </c>
      <c r="F434" s="16" t="n">
        <v>46178</v>
      </c>
      <c r="G434" s="17" t="n">
        <v>2</v>
      </c>
      <c r="H434" s="5" t="inlineStr">
        <is>
          <t>1731</t>
        </is>
      </c>
      <c r="I434" s="5" t="inlineStr">
        <is>
          <t>Electrical Contractors and Other Wiring Installation Contractors</t>
        </is>
      </c>
      <c r="J434" s="5" t="inlineStr">
        <is>
          <t>17</t>
        </is>
      </c>
      <c r="K434" s="5" t="n">
        <v>1731</v>
      </c>
      <c r="L434" s="5" t="inlineStr">
        <is>
          <t>TX</t>
        </is>
      </c>
      <c r="M434" s="5" t="inlineStr">
        <is>
          <t>Fidelity Funding</t>
        </is>
      </c>
      <c r="N434" s="5" t="inlineStr">
        <is>
          <t>New Deal</t>
        </is>
      </c>
      <c r="O434" s="19" t="n">
        <v>1.49</v>
      </c>
      <c r="P434" s="20" t="n">
        <v>20000</v>
      </c>
      <c r="Q434" s="20" t="n">
        <v>2800</v>
      </c>
      <c r="R434" s="20" t="n">
        <v>29800</v>
      </c>
      <c r="S434" s="20" t="n">
        <v>16244.27</v>
      </c>
      <c r="T434" s="20" t="n">
        <v>13555.73</v>
      </c>
      <c r="U434" s="21" t="n">
        <v>0.545109731543624</v>
      </c>
      <c r="V434" s="22" t="n">
        <v>3.279</v>
      </c>
      <c r="W434" s="17" t="n">
        <v>90</v>
      </c>
      <c r="X434" s="17" t="n">
        <v>55</v>
      </c>
      <c r="Y434" s="20" t="n">
        <v>46296.11</v>
      </c>
      <c r="Z434" s="21" t="n">
        <v>0.1352</v>
      </c>
      <c r="AA434" s="16" t="n">
        <v>42673</v>
      </c>
      <c r="AB434" s="5">
        <f>IF(V434="","",IF(V434&lt;12,"Months","Weeks"))</f>
        <v/>
      </c>
      <c r="AC434" s="5">
        <f>IF(AB434="","",IF(AB434="Months","Daily","Weekly"))</f>
        <v/>
      </c>
      <c r="AD434" s="17">
        <f>IF(V434="","",IF(AC434="Daily",V434*Controls!$B$13,V434))</f>
        <v/>
      </c>
      <c r="AE434" s="17">
        <f>IF(V434="","",IF(AC434="Daily",V434*Controls!$B$13,V434*Controls!$B$12))</f>
        <v/>
      </c>
      <c r="AF434" s="17">
        <f>IF(OR(E434="",F434=""),"",F434-E434)</f>
        <v/>
      </c>
      <c r="AG434" s="17">
        <f>IF(OR(E434="",F434=""),"",NETWORKDAYS(E434,F434,Ref!$F$4:$F$47))</f>
        <v/>
      </c>
      <c r="AH434" s="39">
        <f>IF(IFERROR(VLOOKUP(D434,Controls!$A$25:$D$35,2,FALSE()),"No")="Yes",1,0)</f>
        <v/>
      </c>
      <c r="AI434" s="39">
        <f>IF(IFERROR(VLOOKUP(D434,Controls!$A$25:$D$35,3,FALSE()),"No")="Yes",1,0)</f>
        <v/>
      </c>
      <c r="AJ434" s="39">
        <f>IF(IFERROR(VLOOKUP(D434,Controls!$A$25:$D$35,4,FALSE()),"No")="Yes",1,0)</f>
        <v/>
      </c>
      <c r="AK434" s="96">
        <f>IF(AND($E434&gt;=Controls!$B$5,$E434&lt;=Controls!$B$6,OR(Controls!$E$9&lt;&gt;"Y",$BE434=1)),1,0)</f>
        <v/>
      </c>
      <c r="AL434" s="39">
        <f>1</f>
        <v/>
      </c>
      <c r="AM434" s="20">
        <f>S434-P434</f>
        <v/>
      </c>
      <c r="AN434" s="20">
        <f>IF(AH434=1,MAX(0,P434-S434),0)</f>
        <v/>
      </c>
      <c r="AO434" s="21">
        <f>IFERROR(S434/P434,"")</f>
        <v/>
      </c>
      <c r="AP434" s="22">
        <f>IF(Y434="","",P434/Y434)</f>
        <v/>
      </c>
      <c r="AQ434" s="39">
        <f>IF(Y434="",0,1)</f>
        <v/>
      </c>
      <c r="AR434" s="39">
        <f>IF(S434&lt;=0,1,0)</f>
        <v/>
      </c>
      <c r="AS434" s="17">
        <f>IF(AH434=1,AG434,"")</f>
        <v/>
      </c>
      <c r="AT434" s="17">
        <f>IF(AND(AH434=0,AJ434=1),AG434,"")</f>
        <v/>
      </c>
      <c r="AU434" s="5">
        <f>IF(P434&lt;10000,"Under $10K",IF(P434&lt;20000,"$10-20K",IF(P434&lt;30000,"$20-30K",IF(P434&lt;50000,"$30-50K",IF(P434&lt;100000,"$50-100K","$100K+")))))</f>
        <v/>
      </c>
      <c r="AV434" s="5">
        <f>IF(O434&lt;=1.35,"1.35 and under",IF(O434&lt;=1.42,"1.36-1.42",IF(O434&lt;=1.45,"1.43-1.45",IF(O434&lt;1.49,"1.46-1.48",IF(O434&lt;=1.49,"1.49","Above 1.49")))))</f>
        <v/>
      </c>
      <c r="AW434" s="5">
        <f>IF(AE434="","",IF(AE434&lt;60,"Under 60",IF(AE434&lt;90,"60-89",IF(AE434&lt;120,"90-119",IF(AE434&lt;150,"120-149","150+")))))</f>
        <v/>
      </c>
      <c r="AX434" s="5">
        <f>IF(AP434="","No revenue data",IF(AP434&lt;0.15,"Under 0.15x",IF(AP434&lt;0.3,"0.15-0.30x",IF(AP434&lt;0.5,"0.30-0.50x",IF(AP434&lt;1,"0.50-1.00x","1.00x+")))))</f>
        <v/>
      </c>
      <c r="AY434" s="5">
        <f>IF(J434="","No SIC",IFERROR(VLOOKUP(J434,Ref!$A$4:$C$67,2,FALSE()),"Unclassified"))</f>
        <v/>
      </c>
      <c r="AZ434" s="5">
        <f>IF(E434="","",TEXT(E434,"YYYY")&amp;"-Q"&amp;ROUNDUP(MONTH(E434)/3,0))</f>
        <v/>
      </c>
      <c r="BA434" s="5">
        <f>IF(E434="","",TEXT(E434,"YYYY-MM"))</f>
        <v/>
      </c>
      <c r="BB434" s="5">
        <f>IF(E434="","",TEXT(E434,"YYYY"))</f>
        <v/>
      </c>
      <c r="BC434" s="92">
        <f>IF($E434="","",NETWORKDAYS($E434,Controls!$B$9,Ref!$F$4:$F$47))</f>
        <v/>
      </c>
      <c r="BD434" s="92">
        <f>IF(OR($AH434=1,$AJ434=1),1,0)</f>
        <v/>
      </c>
      <c r="BE434" s="95">
        <f>IF(OR($BD434=1,AND($AE434&lt;&gt;"",$BC434&gt;=Controls!$B$10*$AE434)),1,0)</f>
        <v/>
      </c>
    </row>
    <row r="435" ht="15.75" customHeight="1" s="79">
      <c r="A435" s="5" t="inlineStr">
        <is>
          <t>5674174100</t>
        </is>
      </c>
      <c r="B435" s="5" t="inlineStr">
        <is>
          <t>Fresh Dental</t>
        </is>
      </c>
      <c r="C435" s="5" t="inlineStr">
        <is>
          <t>Fresh Dental LLC</t>
        </is>
      </c>
      <c r="D435" s="5" t="inlineStr">
        <is>
          <t>Closed</t>
        </is>
      </c>
      <c r="E435" s="16" t="n">
        <v>46002</v>
      </c>
      <c r="F435" s="16" t="n">
        <v>46136</v>
      </c>
      <c r="G435" s="17" t="n">
        <v>3</v>
      </c>
      <c r="H435" s="5" t="inlineStr">
        <is>
          <t>5047</t>
        </is>
      </c>
      <c r="I435" s="5" t="inlineStr">
        <is>
          <t>Medical, Dental, and Hospital Equipment and Supplies Merchant Wholesalers</t>
        </is>
      </c>
      <c r="J435" s="5" t="inlineStr">
        <is>
          <t>50</t>
        </is>
      </c>
      <c r="K435" s="5" t="n">
        <v>5047</v>
      </c>
      <c r="L435" s="5" t="inlineStr">
        <is>
          <t>GA</t>
        </is>
      </c>
      <c r="M435" s="5" t="inlineStr">
        <is>
          <t>Westwood</t>
        </is>
      </c>
      <c r="N435" s="5" t="inlineStr">
        <is>
          <t>Renewal</t>
        </is>
      </c>
      <c r="O435" s="19" t="n">
        <v>1.459</v>
      </c>
      <c r="P435" s="20" t="n">
        <v>165000</v>
      </c>
      <c r="Q435" s="20" t="n">
        <v>21450</v>
      </c>
      <c r="R435" s="20" t="n">
        <v>240735</v>
      </c>
      <c r="S435" s="20" t="n">
        <v>240735</v>
      </c>
      <c r="T435" s="20" t="n">
        <v>0</v>
      </c>
      <c r="U435" s="21" t="n">
        <v>1</v>
      </c>
      <c r="V435" s="22" t="n">
        <v>5.738</v>
      </c>
      <c r="W435" s="17" t="n">
        <v>117</v>
      </c>
      <c r="X435" s="17" t="n">
        <v>2</v>
      </c>
      <c r="Y435" s="20" t="n">
        <v>237338.07</v>
      </c>
      <c r="Z435" s="21" t="n">
        <v>0.1208</v>
      </c>
      <c r="AA435" s="16" t="n">
        <v>43714</v>
      </c>
      <c r="AB435" s="5">
        <f>IF(V435="","",IF(V435&lt;12,"Months","Weeks"))</f>
        <v/>
      </c>
      <c r="AC435" s="5">
        <f>IF(AB435="","",IF(AB435="Months","Daily","Weekly"))</f>
        <v/>
      </c>
      <c r="AD435" s="17">
        <f>IF(V435="","",IF(AC435="Daily",V435*Controls!$B$13,V435))</f>
        <v/>
      </c>
      <c r="AE435" s="17">
        <f>IF(V435="","",IF(AC435="Daily",V435*Controls!$B$13,V435*Controls!$B$12))</f>
        <v/>
      </c>
      <c r="AF435" s="17">
        <f>IF(OR(E435="",F435=""),"",F435-E435)</f>
        <v/>
      </c>
      <c r="AG435" s="17">
        <f>IF(OR(E435="",F435=""),"",NETWORKDAYS(E435,F435,Ref!$F$4:$F$47))</f>
        <v/>
      </c>
      <c r="AH435" s="39">
        <f>IF(IFERROR(VLOOKUP(D435,Controls!$A$25:$D$35,2,FALSE()),"No")="Yes",1,0)</f>
        <v/>
      </c>
      <c r="AI435" s="39">
        <f>IF(IFERROR(VLOOKUP(D435,Controls!$A$25:$D$35,3,FALSE()),"No")="Yes",1,0)</f>
        <v/>
      </c>
      <c r="AJ435" s="39">
        <f>IF(IFERROR(VLOOKUP(D435,Controls!$A$25:$D$35,4,FALSE()),"No")="Yes",1,0)</f>
        <v/>
      </c>
      <c r="AK435" s="96">
        <f>IF(AND($E435&gt;=Controls!$B$5,$E435&lt;=Controls!$B$6,OR(Controls!$E$9&lt;&gt;"Y",$BE435=1)),1,0)</f>
        <v/>
      </c>
      <c r="AL435" s="39">
        <f>1</f>
        <v/>
      </c>
      <c r="AM435" s="20">
        <f>S435-P435</f>
        <v/>
      </c>
      <c r="AN435" s="20">
        <f>IF(AH435=1,MAX(0,P435-S435),0)</f>
        <v/>
      </c>
      <c r="AO435" s="21">
        <f>IFERROR(S435/P435,"")</f>
        <v/>
      </c>
      <c r="AP435" s="22">
        <f>IF(Y435="","",P435/Y435)</f>
        <v/>
      </c>
      <c r="AQ435" s="39">
        <f>IF(Y435="",0,1)</f>
        <v/>
      </c>
      <c r="AR435" s="39">
        <f>IF(S435&lt;=0,1,0)</f>
        <v/>
      </c>
      <c r="AS435" s="17">
        <f>IF(AH435=1,AG435,"")</f>
        <v/>
      </c>
      <c r="AT435" s="17">
        <f>IF(AND(AH435=0,AJ435=1),AG435,"")</f>
        <v/>
      </c>
      <c r="AU435" s="5">
        <f>IF(P435&lt;10000,"Under $10K",IF(P435&lt;20000,"$10-20K",IF(P435&lt;30000,"$20-30K",IF(P435&lt;50000,"$30-50K",IF(P435&lt;100000,"$50-100K","$100K+")))))</f>
        <v/>
      </c>
      <c r="AV435" s="5">
        <f>IF(O435&lt;=1.35,"1.35 and under",IF(O435&lt;=1.42,"1.36-1.42",IF(O435&lt;=1.45,"1.43-1.45",IF(O435&lt;1.49,"1.46-1.48",IF(O435&lt;=1.49,"1.49","Above 1.49")))))</f>
        <v/>
      </c>
      <c r="AW435" s="5">
        <f>IF(AE435="","",IF(AE435&lt;60,"Under 60",IF(AE435&lt;90,"60-89",IF(AE435&lt;120,"90-119",IF(AE435&lt;150,"120-149","150+")))))</f>
        <v/>
      </c>
      <c r="AX435" s="5">
        <f>IF(AP435="","No revenue data",IF(AP435&lt;0.15,"Under 0.15x",IF(AP435&lt;0.3,"0.15-0.30x",IF(AP435&lt;0.5,"0.30-0.50x",IF(AP435&lt;1,"0.50-1.00x","1.00x+")))))</f>
        <v/>
      </c>
      <c r="AY435" s="5">
        <f>IF(J435="","No SIC",IFERROR(VLOOKUP(J435,Ref!$A$4:$C$67,2,FALSE()),"Unclassified"))</f>
        <v/>
      </c>
      <c r="AZ435" s="5">
        <f>IF(E435="","",TEXT(E435,"YYYY")&amp;"-Q"&amp;ROUNDUP(MONTH(E435)/3,0))</f>
        <v/>
      </c>
      <c r="BA435" s="5">
        <f>IF(E435="","",TEXT(E435,"YYYY-MM"))</f>
        <v/>
      </c>
      <c r="BB435" s="5">
        <f>IF(E435="","",TEXT(E435,"YYYY"))</f>
        <v/>
      </c>
      <c r="BC435" s="92">
        <f>IF($E435="","",NETWORKDAYS($E435,Controls!$B$9,Ref!$F$4:$F$47))</f>
        <v/>
      </c>
      <c r="BD435" s="92">
        <f>IF(OR($AH435=1,$AJ435=1),1,0)</f>
        <v/>
      </c>
      <c r="BE435" s="95">
        <f>IF(OR($BD435=1,AND($AE435&lt;&gt;"",$BC435&gt;=Controls!$B$10*$AE435)),1,0)</f>
        <v/>
      </c>
    </row>
    <row r="436" ht="15.75" customHeight="1" s="79">
      <c r="A436" s="5" t="inlineStr">
        <is>
          <t>5674174106</t>
        </is>
      </c>
      <c r="B436" s="5" t="inlineStr">
        <is>
          <t>Mile shop</t>
        </is>
      </c>
      <c r="C436" s="5" t="inlineStr">
        <is>
          <t>MHS shop llc</t>
        </is>
      </c>
      <c r="D436" s="5" t="inlineStr">
        <is>
          <t>Closed</t>
        </is>
      </c>
      <c r="E436" s="16" t="n">
        <v>46002</v>
      </c>
      <c r="F436" s="16" t="n">
        <v>46043</v>
      </c>
      <c r="G436" s="17" t="n">
        <v>2</v>
      </c>
      <c r="H436" s="5" t="inlineStr">
        <is>
          <t>5399</t>
        </is>
      </c>
      <c r="I436" s="5" t="inlineStr">
        <is>
          <t>All Other General Merchandise Stores</t>
        </is>
      </c>
      <c r="J436" s="5" t="inlineStr">
        <is>
          <t>53</t>
        </is>
      </c>
      <c r="K436" s="5" t="n">
        <v>5399</v>
      </c>
      <c r="L436" s="5" t="inlineStr">
        <is>
          <t>FL</t>
        </is>
      </c>
      <c r="M436" s="5" t="inlineStr">
        <is>
          <t>Fundwell</t>
        </is>
      </c>
      <c r="N436" s="5" t="inlineStr">
        <is>
          <t>New Deal</t>
        </is>
      </c>
      <c r="O436" s="19" t="n">
        <v>1.15</v>
      </c>
      <c r="P436" s="20" t="n">
        <v>12000</v>
      </c>
      <c r="Q436" s="20" t="n">
        <v>1200</v>
      </c>
      <c r="R436" s="20" t="n">
        <v>13800</v>
      </c>
      <c r="S436" s="20" t="n">
        <v>13800</v>
      </c>
      <c r="T436" s="20" t="n">
        <v>-1.81898940354586e-12</v>
      </c>
      <c r="U436" s="21" t="n">
        <v>1</v>
      </c>
      <c r="V436" s="22" t="n">
        <v>22</v>
      </c>
      <c r="W436" s="17" t="n">
        <v>210</v>
      </c>
      <c r="X436" s="17" t="n">
        <v>0</v>
      </c>
      <c r="Y436" s="20" t="n">
        <v>29244.59</v>
      </c>
      <c r="Z436" s="21" t="n">
        <v>0.1112</v>
      </c>
      <c r="AA436" s="16" t="n">
        <v>45573</v>
      </c>
      <c r="AB436" s="5">
        <f>IF(V436="","",IF(V436&lt;12,"Months","Weeks"))</f>
        <v/>
      </c>
      <c r="AC436" s="5">
        <f>IF(AB436="","",IF(AB436="Months","Daily","Weekly"))</f>
        <v/>
      </c>
      <c r="AD436" s="17">
        <f>IF(V436="","",IF(AC436="Daily",V436*Controls!$B$13,V436))</f>
        <v/>
      </c>
      <c r="AE436" s="17">
        <f>IF(V436="","",IF(AC436="Daily",V436*Controls!$B$13,V436*Controls!$B$12))</f>
        <v/>
      </c>
      <c r="AF436" s="17">
        <f>IF(OR(E436="",F436=""),"",F436-E436)</f>
        <v/>
      </c>
      <c r="AG436" s="17">
        <f>IF(OR(E436="",F436=""),"",NETWORKDAYS(E436,F436,Ref!$F$4:$F$47))</f>
        <v/>
      </c>
      <c r="AH436" s="39">
        <f>IF(IFERROR(VLOOKUP(D436,Controls!$A$25:$D$35,2,FALSE()),"No")="Yes",1,0)</f>
        <v/>
      </c>
      <c r="AI436" s="39">
        <f>IF(IFERROR(VLOOKUP(D436,Controls!$A$25:$D$35,3,FALSE()),"No")="Yes",1,0)</f>
        <v/>
      </c>
      <c r="AJ436" s="39">
        <f>IF(IFERROR(VLOOKUP(D436,Controls!$A$25:$D$35,4,FALSE()),"No")="Yes",1,0)</f>
        <v/>
      </c>
      <c r="AK436" s="96">
        <f>IF(AND($E436&gt;=Controls!$B$5,$E436&lt;=Controls!$B$6,OR(Controls!$E$9&lt;&gt;"Y",$BE436=1)),1,0)</f>
        <v/>
      </c>
      <c r="AL436" s="39">
        <f>1</f>
        <v/>
      </c>
      <c r="AM436" s="20">
        <f>S436-P436</f>
        <v/>
      </c>
      <c r="AN436" s="20">
        <f>IF(AH436=1,MAX(0,P436-S436),0)</f>
        <v/>
      </c>
      <c r="AO436" s="21">
        <f>IFERROR(S436/P436,"")</f>
        <v/>
      </c>
      <c r="AP436" s="22">
        <f>IF(Y436="","",P436/Y436)</f>
        <v/>
      </c>
      <c r="AQ436" s="39">
        <f>IF(Y436="",0,1)</f>
        <v/>
      </c>
      <c r="AR436" s="39">
        <f>IF(S436&lt;=0,1,0)</f>
        <v/>
      </c>
      <c r="AS436" s="17">
        <f>IF(AH436=1,AG436,"")</f>
        <v/>
      </c>
      <c r="AT436" s="17">
        <f>IF(AND(AH436=0,AJ436=1),AG436,"")</f>
        <v/>
      </c>
      <c r="AU436" s="5">
        <f>IF(P436&lt;10000,"Under $10K",IF(P436&lt;20000,"$10-20K",IF(P436&lt;30000,"$20-30K",IF(P436&lt;50000,"$30-50K",IF(P436&lt;100000,"$50-100K","$100K+")))))</f>
        <v/>
      </c>
      <c r="AV436" s="5">
        <f>IF(O436&lt;=1.35,"1.35 and under",IF(O436&lt;=1.42,"1.36-1.42",IF(O436&lt;=1.45,"1.43-1.45",IF(O436&lt;1.49,"1.46-1.48",IF(O436&lt;=1.49,"1.49","Above 1.49")))))</f>
        <v/>
      </c>
      <c r="AW436" s="5">
        <f>IF(AE436="","",IF(AE436&lt;60,"Under 60",IF(AE436&lt;90,"60-89",IF(AE436&lt;120,"90-119",IF(AE436&lt;150,"120-149","150+")))))</f>
        <v/>
      </c>
      <c r="AX436" s="5">
        <f>IF(AP436="","No revenue data",IF(AP436&lt;0.15,"Under 0.15x",IF(AP436&lt;0.3,"0.15-0.30x",IF(AP436&lt;0.5,"0.30-0.50x",IF(AP436&lt;1,"0.50-1.00x","1.00x+")))))</f>
        <v/>
      </c>
      <c r="AY436" s="5">
        <f>IF(J436="","No SIC",IFERROR(VLOOKUP(J436,Ref!$A$4:$C$67,2,FALSE()),"Unclassified"))</f>
        <v/>
      </c>
      <c r="AZ436" s="5">
        <f>IF(E436="","",TEXT(E436,"YYYY")&amp;"-Q"&amp;ROUNDUP(MONTH(E436)/3,0))</f>
        <v/>
      </c>
      <c r="BA436" s="5">
        <f>IF(E436="","",TEXT(E436,"YYYY-MM"))</f>
        <v/>
      </c>
      <c r="BB436" s="5">
        <f>IF(E436="","",TEXT(E436,"YYYY"))</f>
        <v/>
      </c>
      <c r="BC436" s="92">
        <f>IF($E436="","",NETWORKDAYS($E436,Controls!$B$9,Ref!$F$4:$F$47))</f>
        <v/>
      </c>
      <c r="BD436" s="92">
        <f>IF(OR($AH436=1,$AJ436=1),1,0)</f>
        <v/>
      </c>
      <c r="BE436" s="95">
        <f>IF(OR($BD436=1,AND($AE436&lt;&gt;"",$BC436&gt;=Controls!$B$10*$AE436)),1,0)</f>
        <v/>
      </c>
    </row>
    <row r="437" ht="15.75" customHeight="1" s="79">
      <c r="A437" s="5" t="inlineStr">
        <is>
          <t>5674174119</t>
        </is>
      </c>
      <c r="B437" s="5" t="inlineStr">
        <is>
          <t>VENTURE Vs</t>
        </is>
      </c>
      <c r="C437" s="5" t="inlineStr">
        <is>
          <t>VENTURE V &amp; S LLC</t>
        </is>
      </c>
      <c r="D437" s="5" t="inlineStr">
        <is>
          <t>Closed</t>
        </is>
      </c>
      <c r="E437" s="16" t="n">
        <v>46002</v>
      </c>
      <c r="F437" s="16" t="n">
        <v>46083</v>
      </c>
      <c r="G437" s="17" t="n">
        <v>1</v>
      </c>
      <c r="H437" s="5" t="inlineStr">
        <is>
          <t>5399</t>
        </is>
      </c>
      <c r="I437" s="5" t="inlineStr">
        <is>
          <t>All Other General Merchandise Stores</t>
        </is>
      </c>
      <c r="J437" s="5" t="inlineStr">
        <is>
          <t>53</t>
        </is>
      </c>
      <c r="K437" s="5" t="n">
        <v>5399</v>
      </c>
      <c r="L437" s="5" t="inlineStr">
        <is>
          <t>KY</t>
        </is>
      </c>
      <c r="M437" s="5" t="inlineStr">
        <is>
          <t>United Secured Capital 8</t>
        </is>
      </c>
      <c r="N437" s="5" t="inlineStr">
        <is>
          <t>New Deal</t>
        </is>
      </c>
      <c r="O437" s="19" t="n">
        <v>1.499</v>
      </c>
      <c r="P437" s="20" t="n">
        <v>12500</v>
      </c>
      <c r="Q437" s="20" t="n">
        <v>1750</v>
      </c>
      <c r="R437" s="20" t="n">
        <v>18737.5</v>
      </c>
      <c r="S437" s="20" t="n">
        <v>18737.5</v>
      </c>
      <c r="T437" s="20" t="n">
        <v>0</v>
      </c>
      <c r="U437" s="21" t="n">
        <v>1</v>
      </c>
      <c r="V437" s="22" t="n">
        <v>18</v>
      </c>
      <c r="W437" s="17" t="n">
        <v>170</v>
      </c>
      <c r="X437" s="17" t="n">
        <v>0</v>
      </c>
      <c r="Y437" s="20" t="n">
        <v>63273.55</v>
      </c>
      <c r="Z437" s="21" t="n">
        <v>0.0654</v>
      </c>
      <c r="AA437" s="16" t="n">
        <v>45686</v>
      </c>
      <c r="AB437" s="5">
        <f>IF(V437="","",IF(V437&lt;12,"Months","Weeks"))</f>
        <v/>
      </c>
      <c r="AC437" s="5">
        <f>IF(AB437="","",IF(AB437="Months","Daily","Weekly"))</f>
        <v/>
      </c>
      <c r="AD437" s="17">
        <f>IF(V437="","",IF(AC437="Daily",V437*Controls!$B$13,V437))</f>
        <v/>
      </c>
      <c r="AE437" s="17">
        <f>IF(V437="","",IF(AC437="Daily",V437*Controls!$B$13,V437*Controls!$B$12))</f>
        <v/>
      </c>
      <c r="AF437" s="17">
        <f>IF(OR(E437="",F437=""),"",F437-E437)</f>
        <v/>
      </c>
      <c r="AG437" s="17">
        <f>IF(OR(E437="",F437=""),"",NETWORKDAYS(E437,F437,Ref!$F$4:$F$47))</f>
        <v/>
      </c>
      <c r="AH437" s="39">
        <f>IF(IFERROR(VLOOKUP(D437,Controls!$A$25:$D$35,2,FALSE()),"No")="Yes",1,0)</f>
        <v/>
      </c>
      <c r="AI437" s="39">
        <f>IF(IFERROR(VLOOKUP(D437,Controls!$A$25:$D$35,3,FALSE()),"No")="Yes",1,0)</f>
        <v/>
      </c>
      <c r="AJ437" s="39">
        <f>IF(IFERROR(VLOOKUP(D437,Controls!$A$25:$D$35,4,FALSE()),"No")="Yes",1,0)</f>
        <v/>
      </c>
      <c r="AK437" s="96">
        <f>IF(AND($E437&gt;=Controls!$B$5,$E437&lt;=Controls!$B$6,OR(Controls!$E$9&lt;&gt;"Y",$BE437=1)),1,0)</f>
        <v/>
      </c>
      <c r="AL437" s="39">
        <f>1</f>
        <v/>
      </c>
      <c r="AM437" s="20">
        <f>S437-P437</f>
        <v/>
      </c>
      <c r="AN437" s="20">
        <f>IF(AH437=1,MAX(0,P437-S437),0)</f>
        <v/>
      </c>
      <c r="AO437" s="21">
        <f>IFERROR(S437/P437,"")</f>
        <v/>
      </c>
      <c r="AP437" s="22">
        <f>IF(Y437="","",P437/Y437)</f>
        <v/>
      </c>
      <c r="AQ437" s="39">
        <f>IF(Y437="",0,1)</f>
        <v/>
      </c>
      <c r="AR437" s="39">
        <f>IF(S437&lt;=0,1,0)</f>
        <v/>
      </c>
      <c r="AS437" s="17">
        <f>IF(AH437=1,AG437,"")</f>
        <v/>
      </c>
      <c r="AT437" s="17">
        <f>IF(AND(AH437=0,AJ437=1),AG437,"")</f>
        <v/>
      </c>
      <c r="AU437" s="5">
        <f>IF(P437&lt;10000,"Under $10K",IF(P437&lt;20000,"$10-20K",IF(P437&lt;30000,"$20-30K",IF(P437&lt;50000,"$30-50K",IF(P437&lt;100000,"$50-100K","$100K+")))))</f>
        <v/>
      </c>
      <c r="AV437" s="5">
        <f>IF(O437&lt;=1.35,"1.35 and under",IF(O437&lt;=1.42,"1.36-1.42",IF(O437&lt;=1.45,"1.43-1.45",IF(O437&lt;1.49,"1.46-1.48",IF(O437&lt;=1.49,"1.49","Above 1.49")))))</f>
        <v/>
      </c>
      <c r="AW437" s="5">
        <f>IF(AE437="","",IF(AE437&lt;60,"Under 60",IF(AE437&lt;90,"60-89",IF(AE437&lt;120,"90-119",IF(AE437&lt;150,"120-149","150+")))))</f>
        <v/>
      </c>
      <c r="AX437" s="5">
        <f>IF(AP437="","No revenue data",IF(AP437&lt;0.15,"Under 0.15x",IF(AP437&lt;0.3,"0.15-0.30x",IF(AP437&lt;0.5,"0.30-0.50x",IF(AP437&lt;1,"0.50-1.00x","1.00x+")))))</f>
        <v/>
      </c>
      <c r="AY437" s="5">
        <f>IF(J437="","No SIC",IFERROR(VLOOKUP(J437,Ref!$A$4:$C$67,2,FALSE()),"Unclassified"))</f>
        <v/>
      </c>
      <c r="AZ437" s="5">
        <f>IF(E437="","",TEXT(E437,"YYYY")&amp;"-Q"&amp;ROUNDUP(MONTH(E437)/3,0))</f>
        <v/>
      </c>
      <c r="BA437" s="5">
        <f>IF(E437="","",TEXT(E437,"YYYY-MM"))</f>
        <v/>
      </c>
      <c r="BB437" s="5">
        <f>IF(E437="","",TEXT(E437,"YYYY"))</f>
        <v/>
      </c>
      <c r="BC437" s="92">
        <f>IF($E437="","",NETWORKDAYS($E437,Controls!$B$9,Ref!$F$4:$F$47))</f>
        <v/>
      </c>
      <c r="BD437" s="92">
        <f>IF(OR($AH437=1,$AJ437=1),1,0)</f>
        <v/>
      </c>
      <c r="BE437" s="95">
        <f>IF(OR($BD437=1,AND($AE437&lt;&gt;"",$BC437&gt;=Controls!$B$10*$AE437)),1,0)</f>
        <v/>
      </c>
    </row>
    <row r="438" ht="15.75" customHeight="1" s="79">
      <c r="A438" s="5" t="inlineStr">
        <is>
          <t>5674174125</t>
        </is>
      </c>
      <c r="B438" s="5" t="inlineStr">
        <is>
          <t>Diamond M Group</t>
        </is>
      </c>
      <c r="C438" s="5" t="inlineStr">
        <is>
          <t>Bruce A Messer</t>
        </is>
      </c>
      <c r="D438" s="5" t="inlineStr">
        <is>
          <t>In House Collection</t>
        </is>
      </c>
      <c r="E438" s="16" t="n">
        <v>46002</v>
      </c>
      <c r="F438" s="16" t="n">
        <v>46052</v>
      </c>
      <c r="G438" s="17" t="n">
        <v>2</v>
      </c>
      <c r="H438" s="5" t="inlineStr">
        <is>
          <t>1521</t>
        </is>
      </c>
      <c r="I438" s="5" t="inlineStr">
        <is>
          <t>New Single-Family Housing Construction (Except For-Sale Builders)</t>
        </is>
      </c>
      <c r="J438" s="5" t="inlineStr">
        <is>
          <t>15</t>
        </is>
      </c>
      <c r="K438" s="5" t="n">
        <v>1520</v>
      </c>
      <c r="L438" s="5" t="inlineStr">
        <is>
          <t>WV</t>
        </is>
      </c>
      <c r="M438" s="5" t="inlineStr">
        <is>
          <t>National Business Capital</t>
        </is>
      </c>
      <c r="N438" s="5" t="inlineStr">
        <is>
          <t>New Deal</t>
        </is>
      </c>
      <c r="O438" s="19" t="n">
        <v>1.49</v>
      </c>
      <c r="P438" s="20" t="n">
        <v>20000</v>
      </c>
      <c r="Q438" s="20" t="n">
        <v>0</v>
      </c>
      <c r="R438" s="20" t="n">
        <v>29800</v>
      </c>
      <c r="S438" s="20" t="n">
        <v>3724.59</v>
      </c>
      <c r="T438" s="20" t="n">
        <v>26075.41</v>
      </c>
      <c r="U438" s="21" t="n">
        <v>0.124986241610738</v>
      </c>
      <c r="V438" s="22" t="n">
        <v>24</v>
      </c>
      <c r="W438" s="17" t="n">
        <v>229</v>
      </c>
      <c r="X438" s="17" t="n">
        <v>5</v>
      </c>
      <c r="Y438" s="20" t="n">
        <v>50417.29</v>
      </c>
      <c r="Z438" s="21" t="n">
        <v>0.0985</v>
      </c>
      <c r="AA438" s="5" t="n"/>
      <c r="AB438" s="5">
        <f>IF(V438="","",IF(V438&lt;12,"Months","Weeks"))</f>
        <v/>
      </c>
      <c r="AC438" s="5">
        <f>IF(AB438="","",IF(AB438="Months","Daily","Weekly"))</f>
        <v/>
      </c>
      <c r="AD438" s="17">
        <f>IF(V438="","",IF(AC438="Daily",V438*Controls!$B$13,V438))</f>
        <v/>
      </c>
      <c r="AE438" s="17">
        <f>IF(V438="","",IF(AC438="Daily",V438*Controls!$B$13,V438*Controls!$B$12))</f>
        <v/>
      </c>
      <c r="AF438" s="17">
        <f>IF(OR(E438="",F438=""),"",F438-E438)</f>
        <v/>
      </c>
      <c r="AG438" s="17">
        <f>IF(OR(E438="",F438=""),"",NETWORKDAYS(E438,F438,Ref!$F$4:$F$47))</f>
        <v/>
      </c>
      <c r="AH438" s="39">
        <f>IF(IFERROR(VLOOKUP(D438,Controls!$A$25:$D$35,2,FALSE()),"No")="Yes",1,0)</f>
        <v/>
      </c>
      <c r="AI438" s="39">
        <f>IF(IFERROR(VLOOKUP(D438,Controls!$A$25:$D$35,3,FALSE()),"No")="Yes",1,0)</f>
        <v/>
      </c>
      <c r="AJ438" s="39">
        <f>IF(IFERROR(VLOOKUP(D438,Controls!$A$25:$D$35,4,FALSE()),"No")="Yes",1,0)</f>
        <v/>
      </c>
      <c r="AK438" s="96">
        <f>IF(AND($E438&gt;=Controls!$B$5,$E438&lt;=Controls!$B$6,OR(Controls!$E$9&lt;&gt;"Y",$BE438=1)),1,0)</f>
        <v/>
      </c>
      <c r="AL438" s="39">
        <f>1</f>
        <v/>
      </c>
      <c r="AM438" s="20">
        <f>S438-P438</f>
        <v/>
      </c>
      <c r="AN438" s="20">
        <f>IF(AH438=1,MAX(0,P438-S438),0)</f>
        <v/>
      </c>
      <c r="AO438" s="21">
        <f>IFERROR(S438/P438,"")</f>
        <v/>
      </c>
      <c r="AP438" s="22">
        <f>IF(Y438="","",P438/Y438)</f>
        <v/>
      </c>
      <c r="AQ438" s="39">
        <f>IF(Y438="",0,1)</f>
        <v/>
      </c>
      <c r="AR438" s="39">
        <f>IF(S438&lt;=0,1,0)</f>
        <v/>
      </c>
      <c r="AS438" s="17">
        <f>IF(AH438=1,AG438,"")</f>
        <v/>
      </c>
      <c r="AT438" s="17">
        <f>IF(AND(AH438=0,AJ438=1),AG438,"")</f>
        <v/>
      </c>
      <c r="AU438" s="5">
        <f>IF(P438&lt;10000,"Under $10K",IF(P438&lt;20000,"$10-20K",IF(P438&lt;30000,"$20-30K",IF(P438&lt;50000,"$30-50K",IF(P438&lt;100000,"$50-100K","$100K+")))))</f>
        <v/>
      </c>
      <c r="AV438" s="5">
        <f>IF(O438&lt;=1.35,"1.35 and under",IF(O438&lt;=1.42,"1.36-1.42",IF(O438&lt;=1.45,"1.43-1.45",IF(O438&lt;1.49,"1.46-1.48",IF(O438&lt;=1.49,"1.49","Above 1.49")))))</f>
        <v/>
      </c>
      <c r="AW438" s="5">
        <f>IF(AE438="","",IF(AE438&lt;60,"Under 60",IF(AE438&lt;90,"60-89",IF(AE438&lt;120,"90-119",IF(AE438&lt;150,"120-149","150+")))))</f>
        <v/>
      </c>
      <c r="AX438" s="5">
        <f>IF(AP438="","No revenue data",IF(AP438&lt;0.15,"Under 0.15x",IF(AP438&lt;0.3,"0.15-0.30x",IF(AP438&lt;0.5,"0.30-0.50x",IF(AP438&lt;1,"0.50-1.00x","1.00x+")))))</f>
        <v/>
      </c>
      <c r="AY438" s="5">
        <f>IF(J438="","No SIC",IFERROR(VLOOKUP(J438,Ref!$A$4:$C$67,2,FALSE()),"Unclassified"))</f>
        <v/>
      </c>
      <c r="AZ438" s="5">
        <f>IF(E438="","",TEXT(E438,"YYYY")&amp;"-Q"&amp;ROUNDUP(MONTH(E438)/3,0))</f>
        <v/>
      </c>
      <c r="BA438" s="5">
        <f>IF(E438="","",TEXT(E438,"YYYY-MM"))</f>
        <v/>
      </c>
      <c r="BB438" s="5">
        <f>IF(E438="","",TEXT(E438,"YYYY"))</f>
        <v/>
      </c>
      <c r="BC438" s="92">
        <f>IF($E438="","",NETWORKDAYS($E438,Controls!$B$9,Ref!$F$4:$F$47))</f>
        <v/>
      </c>
      <c r="BD438" s="92">
        <f>IF(OR($AH438=1,$AJ438=1),1,0)</f>
        <v/>
      </c>
      <c r="BE438" s="95">
        <f>IF(OR($BD438=1,AND($AE438&lt;&gt;"",$BC438&gt;=Controls!$B$10*$AE438)),1,0)</f>
        <v/>
      </c>
    </row>
    <row r="439" ht="15.75" customHeight="1" s="79">
      <c r="A439" s="5" t="inlineStr">
        <is>
          <t>5674174148</t>
        </is>
      </c>
      <c r="B439" s="5" t="inlineStr">
        <is>
          <t>Osuna Dental Care</t>
        </is>
      </c>
      <c r="C439" s="5" t="inlineStr">
        <is>
          <t>Chris Y. Kim, DDS LLC</t>
        </is>
      </c>
      <c r="D439" s="5" t="inlineStr">
        <is>
          <t>Open</t>
        </is>
      </c>
      <c r="E439" s="16" t="n">
        <v>46003</v>
      </c>
      <c r="F439" s="16" t="n">
        <v>46248</v>
      </c>
      <c r="G439" s="17" t="n">
        <v>3</v>
      </c>
      <c r="H439" s="5" t="inlineStr">
        <is>
          <t>8021</t>
        </is>
      </c>
      <c r="I439" s="5" t="inlineStr">
        <is>
          <t>Offices of Dentists</t>
        </is>
      </c>
      <c r="J439" s="5" t="inlineStr">
        <is>
          <t>80</t>
        </is>
      </c>
      <c r="K439" s="5" t="n">
        <v>8021</v>
      </c>
      <c r="L439" s="5" t="inlineStr">
        <is>
          <t>NM</t>
        </is>
      </c>
      <c r="M439" s="5" t="inlineStr">
        <is>
          <t>Fundwell</t>
        </is>
      </c>
      <c r="N439" s="5" t="inlineStr">
        <is>
          <t>New Deal</t>
        </is>
      </c>
      <c r="O439" s="19" t="n">
        <v>1.38</v>
      </c>
      <c r="P439" s="20" t="n">
        <v>160000</v>
      </c>
      <c r="Q439" s="20" t="n">
        <v>20000</v>
      </c>
      <c r="R439" s="20" t="n">
        <v>220800</v>
      </c>
      <c r="S439" s="20" t="n">
        <v>137948.65</v>
      </c>
      <c r="T439" s="20" t="n">
        <v>82851.35000000001</v>
      </c>
      <c r="U439" s="21" t="n">
        <v>0.624767436594203</v>
      </c>
      <c r="V439" s="22" t="n">
        <v>56</v>
      </c>
      <c r="W439" s="17" t="n">
        <v>5</v>
      </c>
      <c r="X439" s="17" t="n">
        <v>0</v>
      </c>
      <c r="Y439" s="20" t="n">
        <v>310957.45</v>
      </c>
      <c r="Z439" s="21" t="n">
        <v>0.0507</v>
      </c>
      <c r="AA439" s="16" t="n">
        <v>43647</v>
      </c>
      <c r="AB439" s="5">
        <f>IF(V439="","",IF(V439&lt;12,"Months","Weeks"))</f>
        <v/>
      </c>
      <c r="AC439" s="5">
        <f>IF(AB439="","",IF(AB439="Months","Daily","Weekly"))</f>
        <v/>
      </c>
      <c r="AD439" s="17">
        <f>IF(V439="","",IF(AC439="Daily",V439*Controls!$B$13,V439))</f>
        <v/>
      </c>
      <c r="AE439" s="17">
        <f>IF(V439="","",IF(AC439="Daily",V439*Controls!$B$13,V439*Controls!$B$12))</f>
        <v/>
      </c>
      <c r="AF439" s="17">
        <f>IF(OR(E439="",F439=""),"",F439-E439)</f>
        <v/>
      </c>
      <c r="AG439" s="17">
        <f>IF(OR(E439="",F439=""),"",NETWORKDAYS(E439,F439,Ref!$F$4:$F$47))</f>
        <v/>
      </c>
      <c r="AH439" s="39">
        <f>IF(IFERROR(VLOOKUP(D439,Controls!$A$25:$D$35,2,FALSE()),"No")="Yes",1,0)</f>
        <v/>
      </c>
      <c r="AI439" s="39">
        <f>IF(IFERROR(VLOOKUP(D439,Controls!$A$25:$D$35,3,FALSE()),"No")="Yes",1,0)</f>
        <v/>
      </c>
      <c r="AJ439" s="39">
        <f>IF(IFERROR(VLOOKUP(D439,Controls!$A$25:$D$35,4,FALSE()),"No")="Yes",1,0)</f>
        <v/>
      </c>
      <c r="AK439" s="96">
        <f>IF(AND($E439&gt;=Controls!$B$5,$E439&lt;=Controls!$B$6,OR(Controls!$E$9&lt;&gt;"Y",$BE439=1)),1,0)</f>
        <v/>
      </c>
      <c r="AL439" s="39">
        <f>1</f>
        <v/>
      </c>
      <c r="AM439" s="20">
        <f>S439-P439</f>
        <v/>
      </c>
      <c r="AN439" s="20">
        <f>IF(AH439=1,MAX(0,P439-S439),0)</f>
        <v/>
      </c>
      <c r="AO439" s="21">
        <f>IFERROR(S439/P439,"")</f>
        <v/>
      </c>
      <c r="AP439" s="22">
        <f>IF(Y439="","",P439/Y439)</f>
        <v/>
      </c>
      <c r="AQ439" s="39">
        <f>IF(Y439="",0,1)</f>
        <v/>
      </c>
      <c r="AR439" s="39">
        <f>IF(S439&lt;=0,1,0)</f>
        <v/>
      </c>
      <c r="AS439" s="17">
        <f>IF(AH439=1,AG439,"")</f>
        <v/>
      </c>
      <c r="AT439" s="17">
        <f>IF(AND(AH439=0,AJ439=1),AG439,"")</f>
        <v/>
      </c>
      <c r="AU439" s="5">
        <f>IF(P439&lt;10000,"Under $10K",IF(P439&lt;20000,"$10-20K",IF(P439&lt;30000,"$20-30K",IF(P439&lt;50000,"$30-50K",IF(P439&lt;100000,"$50-100K","$100K+")))))</f>
        <v/>
      </c>
      <c r="AV439" s="5">
        <f>IF(O439&lt;=1.35,"1.35 and under",IF(O439&lt;=1.42,"1.36-1.42",IF(O439&lt;=1.45,"1.43-1.45",IF(O439&lt;1.49,"1.46-1.48",IF(O439&lt;=1.49,"1.49","Above 1.49")))))</f>
        <v/>
      </c>
      <c r="AW439" s="5">
        <f>IF(AE439="","",IF(AE439&lt;60,"Under 60",IF(AE439&lt;90,"60-89",IF(AE439&lt;120,"90-119",IF(AE439&lt;150,"120-149","150+")))))</f>
        <v/>
      </c>
      <c r="AX439" s="5">
        <f>IF(AP439="","No revenue data",IF(AP439&lt;0.15,"Under 0.15x",IF(AP439&lt;0.3,"0.15-0.30x",IF(AP439&lt;0.5,"0.30-0.50x",IF(AP439&lt;1,"0.50-1.00x","1.00x+")))))</f>
        <v/>
      </c>
      <c r="AY439" s="5">
        <f>IF(J439="","No SIC",IFERROR(VLOOKUP(J439,Ref!$A$4:$C$67,2,FALSE()),"Unclassified"))</f>
        <v/>
      </c>
      <c r="AZ439" s="5">
        <f>IF(E439="","",TEXT(E439,"YYYY")&amp;"-Q"&amp;ROUNDUP(MONTH(E439)/3,0))</f>
        <v/>
      </c>
      <c r="BA439" s="5">
        <f>IF(E439="","",TEXT(E439,"YYYY-MM"))</f>
        <v/>
      </c>
      <c r="BB439" s="5">
        <f>IF(E439="","",TEXT(E439,"YYYY"))</f>
        <v/>
      </c>
      <c r="BC439" s="92">
        <f>IF($E439="","",NETWORKDAYS($E439,Controls!$B$9,Ref!$F$4:$F$47))</f>
        <v/>
      </c>
      <c r="BD439" s="92">
        <f>IF(OR($AH439=1,$AJ439=1),1,0)</f>
        <v/>
      </c>
      <c r="BE439" s="95">
        <f>IF(OR($BD439=1,AND($AE439&lt;&gt;"",$BC439&gt;=Controls!$B$10*$AE439)),1,0)</f>
        <v/>
      </c>
    </row>
    <row r="440" ht="15.75" customHeight="1" s="79">
      <c r="A440" s="5" t="inlineStr">
        <is>
          <t>5674174218</t>
        </is>
      </c>
      <c r="B440" s="5" t="inlineStr">
        <is>
          <t>LOS JIMADORES TEX MEX &amp; TEQUILA FACTORY</t>
        </is>
      </c>
      <c r="C440" s="5" t="inlineStr">
        <is>
          <t>LOS JIMADORES TEX MEX &amp; TEQUILA FACTORY</t>
        </is>
      </c>
      <c r="D440" s="5" t="inlineStr">
        <is>
          <t>Closed</t>
        </is>
      </c>
      <c r="E440" s="16" t="n">
        <v>46003</v>
      </c>
      <c r="F440" s="16" t="n">
        <v>46216</v>
      </c>
      <c r="G440" s="17" t="n">
        <v>3</v>
      </c>
      <c r="H440" s="5" t="inlineStr">
        <is>
          <t>5812</t>
        </is>
      </c>
      <c r="I440" s="5" t="inlineStr">
        <is>
          <t>Snack and Nonalcoholic Beverage Bars</t>
        </is>
      </c>
      <c r="J440" s="5" t="inlineStr">
        <is>
          <t>58</t>
        </is>
      </c>
      <c r="K440" s="5" t="n">
        <v>5812</v>
      </c>
      <c r="L440" s="5" t="inlineStr">
        <is>
          <t>TX</t>
        </is>
      </c>
      <c r="M440" s="5" t="inlineStr">
        <is>
          <t>Westwood</t>
        </is>
      </c>
      <c r="N440" s="5" t="inlineStr">
        <is>
          <t>New Deal</t>
        </is>
      </c>
      <c r="O440" s="19" t="n">
        <v>1.37</v>
      </c>
      <c r="P440" s="20" t="n">
        <v>22000</v>
      </c>
      <c r="Q440" s="20" t="n">
        <v>1760</v>
      </c>
      <c r="R440" s="20" t="n">
        <v>30140</v>
      </c>
      <c r="S440" s="20" t="n">
        <v>30140</v>
      </c>
      <c r="T440" s="20" t="n">
        <v>3.63797880709171e-12</v>
      </c>
      <c r="U440" s="21" t="n">
        <v>1</v>
      </c>
      <c r="V440" s="22" t="n">
        <v>2.623</v>
      </c>
      <c r="W440" s="17" t="n">
        <v>37</v>
      </c>
      <c r="X440" s="17" t="n">
        <v>10</v>
      </c>
      <c r="Y440" s="20" t="n">
        <v>62114.87</v>
      </c>
      <c r="Z440" s="21" t="n">
        <v>0.1274</v>
      </c>
      <c r="AA440" s="16" t="n">
        <v>40625</v>
      </c>
      <c r="AB440" s="5">
        <f>IF(V440="","",IF(V440&lt;12,"Months","Weeks"))</f>
        <v/>
      </c>
      <c r="AC440" s="5">
        <f>IF(AB440="","",IF(AB440="Months","Daily","Weekly"))</f>
        <v/>
      </c>
      <c r="AD440" s="17">
        <f>IF(V440="","",IF(AC440="Daily",V440*Controls!$B$13,V440))</f>
        <v/>
      </c>
      <c r="AE440" s="17">
        <f>IF(V440="","",IF(AC440="Daily",V440*Controls!$B$13,V440*Controls!$B$12))</f>
        <v/>
      </c>
      <c r="AF440" s="17">
        <f>IF(OR(E440="",F440=""),"",F440-E440)</f>
        <v/>
      </c>
      <c r="AG440" s="17">
        <f>IF(OR(E440="",F440=""),"",NETWORKDAYS(E440,F440,Ref!$F$4:$F$47))</f>
        <v/>
      </c>
      <c r="AH440" s="39">
        <f>IF(IFERROR(VLOOKUP(D440,Controls!$A$25:$D$35,2,FALSE()),"No")="Yes",1,0)</f>
        <v/>
      </c>
      <c r="AI440" s="39">
        <f>IF(IFERROR(VLOOKUP(D440,Controls!$A$25:$D$35,3,FALSE()),"No")="Yes",1,0)</f>
        <v/>
      </c>
      <c r="AJ440" s="39">
        <f>IF(IFERROR(VLOOKUP(D440,Controls!$A$25:$D$35,4,FALSE()),"No")="Yes",1,0)</f>
        <v/>
      </c>
      <c r="AK440" s="96">
        <f>IF(AND($E440&gt;=Controls!$B$5,$E440&lt;=Controls!$B$6,OR(Controls!$E$9&lt;&gt;"Y",$BE440=1)),1,0)</f>
        <v/>
      </c>
      <c r="AL440" s="39">
        <f>1</f>
        <v/>
      </c>
      <c r="AM440" s="20">
        <f>S440-P440</f>
        <v/>
      </c>
      <c r="AN440" s="20">
        <f>IF(AH440=1,MAX(0,P440-S440),0)</f>
        <v/>
      </c>
      <c r="AO440" s="21">
        <f>IFERROR(S440/P440,"")</f>
        <v/>
      </c>
      <c r="AP440" s="22">
        <f>IF(Y440="","",P440/Y440)</f>
        <v/>
      </c>
      <c r="AQ440" s="39">
        <f>IF(Y440="",0,1)</f>
        <v/>
      </c>
      <c r="AR440" s="39">
        <f>IF(S440&lt;=0,1,0)</f>
        <v/>
      </c>
      <c r="AS440" s="17">
        <f>IF(AH440=1,AG440,"")</f>
        <v/>
      </c>
      <c r="AT440" s="17">
        <f>IF(AND(AH440=0,AJ440=1),AG440,"")</f>
        <v/>
      </c>
      <c r="AU440" s="5">
        <f>IF(P440&lt;10000,"Under $10K",IF(P440&lt;20000,"$10-20K",IF(P440&lt;30000,"$20-30K",IF(P440&lt;50000,"$30-50K",IF(P440&lt;100000,"$50-100K","$100K+")))))</f>
        <v/>
      </c>
      <c r="AV440" s="5">
        <f>IF(O440&lt;=1.35,"1.35 and under",IF(O440&lt;=1.42,"1.36-1.42",IF(O440&lt;=1.45,"1.43-1.45",IF(O440&lt;1.49,"1.46-1.48",IF(O440&lt;=1.49,"1.49","Above 1.49")))))</f>
        <v/>
      </c>
      <c r="AW440" s="5">
        <f>IF(AE440="","",IF(AE440&lt;60,"Under 60",IF(AE440&lt;90,"60-89",IF(AE440&lt;120,"90-119",IF(AE440&lt;150,"120-149","150+")))))</f>
        <v/>
      </c>
      <c r="AX440" s="5">
        <f>IF(AP440="","No revenue data",IF(AP440&lt;0.15,"Under 0.15x",IF(AP440&lt;0.3,"0.15-0.30x",IF(AP440&lt;0.5,"0.30-0.50x",IF(AP440&lt;1,"0.50-1.00x","1.00x+")))))</f>
        <v/>
      </c>
      <c r="AY440" s="5">
        <f>IF(J440="","No SIC",IFERROR(VLOOKUP(J440,Ref!$A$4:$C$67,2,FALSE()),"Unclassified"))</f>
        <v/>
      </c>
      <c r="AZ440" s="5">
        <f>IF(E440="","",TEXT(E440,"YYYY")&amp;"-Q"&amp;ROUNDUP(MONTH(E440)/3,0))</f>
        <v/>
      </c>
      <c r="BA440" s="5">
        <f>IF(E440="","",TEXT(E440,"YYYY-MM"))</f>
        <v/>
      </c>
      <c r="BB440" s="5">
        <f>IF(E440="","",TEXT(E440,"YYYY"))</f>
        <v/>
      </c>
      <c r="BC440" s="92">
        <f>IF($E440="","",NETWORKDAYS($E440,Controls!$B$9,Ref!$F$4:$F$47))</f>
        <v/>
      </c>
      <c r="BD440" s="92">
        <f>IF(OR($AH440=1,$AJ440=1),1,0)</f>
        <v/>
      </c>
      <c r="BE440" s="95">
        <f>IF(OR($BD440=1,AND($AE440&lt;&gt;"",$BC440&gt;=Controls!$B$10*$AE440)),1,0)</f>
        <v/>
      </c>
    </row>
    <row r="441" ht="15.75" customHeight="1" s="79">
      <c r="A441" s="5" t="inlineStr">
        <is>
          <t>5674174240</t>
        </is>
      </c>
      <c r="B441" s="5" t="inlineStr">
        <is>
          <t>CAROL &amp; COMPANY LLC</t>
        </is>
      </c>
      <c r="C441" s="5" t="inlineStr">
        <is>
          <t>CAROL &amp; COMPANY LLC</t>
        </is>
      </c>
      <c r="D441" s="5" t="inlineStr">
        <is>
          <t>Legal</t>
        </is>
      </c>
      <c r="E441" s="16" t="n">
        <v>46006</v>
      </c>
      <c r="F441" s="16" t="n">
        <v>46234</v>
      </c>
      <c r="G441" s="17" t="n">
        <v>4</v>
      </c>
      <c r="H441" s="5" t="inlineStr">
        <is>
          <t>5399</t>
        </is>
      </c>
      <c r="I441" s="5" t="inlineStr">
        <is>
          <t>All Other General Merchandise Stores</t>
        </is>
      </c>
      <c r="J441" s="5" t="inlineStr">
        <is>
          <t>53</t>
        </is>
      </c>
      <c r="K441" s="5" t="n">
        <v>5399</v>
      </c>
      <c r="L441" s="5" t="inlineStr">
        <is>
          <t>FL</t>
        </is>
      </c>
      <c r="M441" s="5" t="inlineStr">
        <is>
          <t>PMF</t>
        </is>
      </c>
      <c r="N441" s="5" t="inlineStr">
        <is>
          <t>New Deal</t>
        </is>
      </c>
      <c r="O441" s="19" t="n">
        <v>1.5</v>
      </c>
      <c r="P441" s="20" t="n">
        <v>15000</v>
      </c>
      <c r="Q441" s="20" t="n">
        <v>2100</v>
      </c>
      <c r="R441" s="20" t="n">
        <v>22500</v>
      </c>
      <c r="S441" s="20" t="n">
        <v>7080.48</v>
      </c>
      <c r="T441" s="20" t="n">
        <v>15419.52</v>
      </c>
      <c r="U441" s="21" t="n">
        <v>0.314688</v>
      </c>
      <c r="V441" s="22" t="n">
        <v>2.787</v>
      </c>
      <c r="W441" s="17" t="n">
        <v>19</v>
      </c>
      <c r="X441" s="17" t="n">
        <v>40</v>
      </c>
      <c r="Y441" s="20" t="n">
        <v>45042.55</v>
      </c>
      <c r="Z441" s="21" t="n">
        <v>0.1226</v>
      </c>
      <c r="AA441" s="16" t="n">
        <v>44652</v>
      </c>
      <c r="AB441" s="5">
        <f>IF(V441="","",IF(V441&lt;12,"Months","Weeks"))</f>
        <v/>
      </c>
      <c r="AC441" s="5">
        <f>IF(AB441="","",IF(AB441="Months","Daily","Weekly"))</f>
        <v/>
      </c>
      <c r="AD441" s="17">
        <f>IF(V441="","",IF(AC441="Daily",V441*Controls!$B$13,V441))</f>
        <v/>
      </c>
      <c r="AE441" s="17">
        <f>IF(V441="","",IF(AC441="Daily",V441*Controls!$B$13,V441*Controls!$B$12))</f>
        <v/>
      </c>
      <c r="AF441" s="17">
        <f>IF(OR(E441="",F441=""),"",F441-E441)</f>
        <v/>
      </c>
      <c r="AG441" s="17">
        <f>IF(OR(E441="",F441=""),"",NETWORKDAYS(E441,F441,Ref!$F$4:$F$47))</f>
        <v/>
      </c>
      <c r="AH441" s="39">
        <f>IF(IFERROR(VLOOKUP(D441,Controls!$A$25:$D$35,2,FALSE()),"No")="Yes",1,0)</f>
        <v/>
      </c>
      <c r="AI441" s="39">
        <f>IF(IFERROR(VLOOKUP(D441,Controls!$A$25:$D$35,3,FALSE()),"No")="Yes",1,0)</f>
        <v/>
      </c>
      <c r="AJ441" s="39">
        <f>IF(IFERROR(VLOOKUP(D441,Controls!$A$25:$D$35,4,FALSE()),"No")="Yes",1,0)</f>
        <v/>
      </c>
      <c r="AK441" s="96">
        <f>IF(AND($E441&gt;=Controls!$B$5,$E441&lt;=Controls!$B$6,OR(Controls!$E$9&lt;&gt;"Y",$BE441=1)),1,0)</f>
        <v/>
      </c>
      <c r="AL441" s="39">
        <f>1</f>
        <v/>
      </c>
      <c r="AM441" s="20">
        <f>S441-P441</f>
        <v/>
      </c>
      <c r="AN441" s="20">
        <f>IF(AH441=1,MAX(0,P441-S441),0)</f>
        <v/>
      </c>
      <c r="AO441" s="21">
        <f>IFERROR(S441/P441,"")</f>
        <v/>
      </c>
      <c r="AP441" s="22">
        <f>IF(Y441="","",P441/Y441)</f>
        <v/>
      </c>
      <c r="AQ441" s="39">
        <f>IF(Y441="",0,1)</f>
        <v/>
      </c>
      <c r="AR441" s="39">
        <f>IF(S441&lt;=0,1,0)</f>
        <v/>
      </c>
      <c r="AS441" s="17">
        <f>IF(AH441=1,AG441,"")</f>
        <v/>
      </c>
      <c r="AT441" s="17">
        <f>IF(AND(AH441=0,AJ441=1),AG441,"")</f>
        <v/>
      </c>
      <c r="AU441" s="5">
        <f>IF(P441&lt;10000,"Under $10K",IF(P441&lt;20000,"$10-20K",IF(P441&lt;30000,"$20-30K",IF(P441&lt;50000,"$30-50K",IF(P441&lt;100000,"$50-100K","$100K+")))))</f>
        <v/>
      </c>
      <c r="AV441" s="5">
        <f>IF(O441&lt;=1.35,"1.35 and under",IF(O441&lt;=1.42,"1.36-1.42",IF(O441&lt;=1.45,"1.43-1.45",IF(O441&lt;1.49,"1.46-1.48",IF(O441&lt;=1.49,"1.49","Above 1.49")))))</f>
        <v/>
      </c>
      <c r="AW441" s="5">
        <f>IF(AE441="","",IF(AE441&lt;60,"Under 60",IF(AE441&lt;90,"60-89",IF(AE441&lt;120,"90-119",IF(AE441&lt;150,"120-149","150+")))))</f>
        <v/>
      </c>
      <c r="AX441" s="5">
        <f>IF(AP441="","No revenue data",IF(AP441&lt;0.15,"Under 0.15x",IF(AP441&lt;0.3,"0.15-0.30x",IF(AP441&lt;0.5,"0.30-0.50x",IF(AP441&lt;1,"0.50-1.00x","1.00x+")))))</f>
        <v/>
      </c>
      <c r="AY441" s="5">
        <f>IF(J441="","No SIC",IFERROR(VLOOKUP(J441,Ref!$A$4:$C$67,2,FALSE()),"Unclassified"))</f>
        <v/>
      </c>
      <c r="AZ441" s="5">
        <f>IF(E441="","",TEXT(E441,"YYYY")&amp;"-Q"&amp;ROUNDUP(MONTH(E441)/3,0))</f>
        <v/>
      </c>
      <c r="BA441" s="5">
        <f>IF(E441="","",TEXT(E441,"YYYY-MM"))</f>
        <v/>
      </c>
      <c r="BB441" s="5">
        <f>IF(E441="","",TEXT(E441,"YYYY"))</f>
        <v/>
      </c>
      <c r="BC441" s="92">
        <f>IF($E441="","",NETWORKDAYS($E441,Controls!$B$9,Ref!$F$4:$F$47))</f>
        <v/>
      </c>
      <c r="BD441" s="92">
        <f>IF(OR($AH441=1,$AJ441=1),1,0)</f>
        <v/>
      </c>
      <c r="BE441" s="95">
        <f>IF(OR($BD441=1,AND($AE441&lt;&gt;"",$BC441&gt;=Controls!$B$10*$AE441)),1,0)</f>
        <v/>
      </c>
    </row>
    <row r="442" ht="15.75" customHeight="1" s="79">
      <c r="A442" s="5" t="inlineStr">
        <is>
          <t>5674174299</t>
        </is>
      </c>
      <c r="B442" s="5" t="inlineStr">
        <is>
          <t>pivotal key</t>
        </is>
      </c>
      <c r="C442" s="5" t="inlineStr">
        <is>
          <t>PIVOTAL KEY, LLC</t>
        </is>
      </c>
      <c r="D442" s="5" t="inlineStr">
        <is>
          <t>Closed</t>
        </is>
      </c>
      <c r="E442" s="16" t="n">
        <v>46006</v>
      </c>
      <c r="F442" s="16" t="n">
        <v>46125</v>
      </c>
      <c r="G442" s="17" t="n">
        <v>3</v>
      </c>
      <c r="H442" s="5" t="inlineStr">
        <is>
          <t>6311</t>
        </is>
      </c>
      <c r="I442" s="5" t="inlineStr">
        <is>
          <t>Direct Life Insurance Carriers</t>
        </is>
      </c>
      <c r="J442" s="5" t="inlineStr">
        <is>
          <t>63</t>
        </is>
      </c>
      <c r="K442" s="5" t="n">
        <v>6381</v>
      </c>
      <c r="L442" s="5" t="inlineStr">
        <is>
          <t>FL</t>
        </is>
      </c>
      <c r="M442" s="5" t="inlineStr">
        <is>
          <t>Fundwell</t>
        </is>
      </c>
      <c r="N442" s="5" t="inlineStr">
        <is>
          <t>New Deal</t>
        </is>
      </c>
      <c r="O442" s="19" t="n">
        <v>1.41</v>
      </c>
      <c r="P442" s="20" t="n">
        <v>17000</v>
      </c>
      <c r="Q442" s="20" t="n">
        <v>2295</v>
      </c>
      <c r="R442" s="20" t="n">
        <v>23970</v>
      </c>
      <c r="S442" s="20" t="n">
        <v>23970</v>
      </c>
      <c r="T442" s="20" t="n">
        <v>0</v>
      </c>
      <c r="U442" s="21" t="n">
        <v>1</v>
      </c>
      <c r="V442" s="22" t="n">
        <v>24</v>
      </c>
      <c r="W442" s="17" t="n">
        <v>128</v>
      </c>
      <c r="X442" s="17" t="n">
        <v>0</v>
      </c>
      <c r="Y442" s="20" t="n">
        <v>133410.6</v>
      </c>
      <c r="Z442" s="21" t="n">
        <v>0.0299</v>
      </c>
      <c r="AA442" s="16" t="n">
        <v>42340</v>
      </c>
      <c r="AB442" s="5">
        <f>IF(V442="","",IF(V442&lt;12,"Months","Weeks"))</f>
        <v/>
      </c>
      <c r="AC442" s="5">
        <f>IF(AB442="","",IF(AB442="Months","Daily","Weekly"))</f>
        <v/>
      </c>
      <c r="AD442" s="17">
        <f>IF(V442="","",IF(AC442="Daily",V442*Controls!$B$13,V442))</f>
        <v/>
      </c>
      <c r="AE442" s="17">
        <f>IF(V442="","",IF(AC442="Daily",V442*Controls!$B$13,V442*Controls!$B$12))</f>
        <v/>
      </c>
      <c r="AF442" s="17">
        <f>IF(OR(E442="",F442=""),"",F442-E442)</f>
        <v/>
      </c>
      <c r="AG442" s="17">
        <f>IF(OR(E442="",F442=""),"",NETWORKDAYS(E442,F442,Ref!$F$4:$F$47))</f>
        <v/>
      </c>
      <c r="AH442" s="39">
        <f>IF(IFERROR(VLOOKUP(D442,Controls!$A$25:$D$35,2,FALSE()),"No")="Yes",1,0)</f>
        <v/>
      </c>
      <c r="AI442" s="39">
        <f>IF(IFERROR(VLOOKUP(D442,Controls!$A$25:$D$35,3,FALSE()),"No")="Yes",1,0)</f>
        <v/>
      </c>
      <c r="AJ442" s="39">
        <f>IF(IFERROR(VLOOKUP(D442,Controls!$A$25:$D$35,4,FALSE()),"No")="Yes",1,0)</f>
        <v/>
      </c>
      <c r="AK442" s="96">
        <f>IF(AND($E442&gt;=Controls!$B$5,$E442&lt;=Controls!$B$6,OR(Controls!$E$9&lt;&gt;"Y",$BE442=1)),1,0)</f>
        <v/>
      </c>
      <c r="AL442" s="39">
        <f>1</f>
        <v/>
      </c>
      <c r="AM442" s="20">
        <f>S442-P442</f>
        <v/>
      </c>
      <c r="AN442" s="20">
        <f>IF(AH442=1,MAX(0,P442-S442),0)</f>
        <v/>
      </c>
      <c r="AO442" s="21">
        <f>IFERROR(S442/P442,"")</f>
        <v/>
      </c>
      <c r="AP442" s="22">
        <f>IF(Y442="","",P442/Y442)</f>
        <v/>
      </c>
      <c r="AQ442" s="39">
        <f>IF(Y442="",0,1)</f>
        <v/>
      </c>
      <c r="AR442" s="39">
        <f>IF(S442&lt;=0,1,0)</f>
        <v/>
      </c>
      <c r="AS442" s="17">
        <f>IF(AH442=1,AG442,"")</f>
        <v/>
      </c>
      <c r="AT442" s="17">
        <f>IF(AND(AH442=0,AJ442=1),AG442,"")</f>
        <v/>
      </c>
      <c r="AU442" s="5">
        <f>IF(P442&lt;10000,"Under $10K",IF(P442&lt;20000,"$10-20K",IF(P442&lt;30000,"$20-30K",IF(P442&lt;50000,"$30-50K",IF(P442&lt;100000,"$50-100K","$100K+")))))</f>
        <v/>
      </c>
      <c r="AV442" s="5">
        <f>IF(O442&lt;=1.35,"1.35 and under",IF(O442&lt;=1.42,"1.36-1.42",IF(O442&lt;=1.45,"1.43-1.45",IF(O442&lt;1.49,"1.46-1.48",IF(O442&lt;=1.49,"1.49","Above 1.49")))))</f>
        <v/>
      </c>
      <c r="AW442" s="5">
        <f>IF(AE442="","",IF(AE442&lt;60,"Under 60",IF(AE442&lt;90,"60-89",IF(AE442&lt;120,"90-119",IF(AE442&lt;150,"120-149","150+")))))</f>
        <v/>
      </c>
      <c r="AX442" s="5">
        <f>IF(AP442="","No revenue data",IF(AP442&lt;0.15,"Under 0.15x",IF(AP442&lt;0.3,"0.15-0.30x",IF(AP442&lt;0.5,"0.30-0.50x",IF(AP442&lt;1,"0.50-1.00x","1.00x+")))))</f>
        <v/>
      </c>
      <c r="AY442" s="5">
        <f>IF(J442="","No SIC",IFERROR(VLOOKUP(J442,Ref!$A$4:$C$67,2,FALSE()),"Unclassified"))</f>
        <v/>
      </c>
      <c r="AZ442" s="5">
        <f>IF(E442="","",TEXT(E442,"YYYY")&amp;"-Q"&amp;ROUNDUP(MONTH(E442)/3,0))</f>
        <v/>
      </c>
      <c r="BA442" s="5">
        <f>IF(E442="","",TEXT(E442,"YYYY-MM"))</f>
        <v/>
      </c>
      <c r="BB442" s="5">
        <f>IF(E442="","",TEXT(E442,"YYYY"))</f>
        <v/>
      </c>
      <c r="BC442" s="92">
        <f>IF($E442="","",NETWORKDAYS($E442,Controls!$B$9,Ref!$F$4:$F$47))</f>
        <v/>
      </c>
      <c r="BD442" s="92">
        <f>IF(OR($AH442=1,$AJ442=1),1,0)</f>
        <v/>
      </c>
      <c r="BE442" s="95">
        <f>IF(OR($BD442=1,AND($AE442&lt;&gt;"",$BC442&gt;=Controls!$B$10*$AE442)),1,0)</f>
        <v/>
      </c>
    </row>
    <row r="443" ht="15.75" customHeight="1" s="79">
      <c r="A443" s="5" t="inlineStr">
        <is>
          <t>5674174308</t>
        </is>
      </c>
      <c r="B443" s="5" t="inlineStr">
        <is>
          <t>America's Best Vacuum LLC</t>
        </is>
      </c>
      <c r="C443" s="5" t="inlineStr">
        <is>
          <t>America's Best Vacuum LLC</t>
        </is>
      </c>
      <c r="D443" s="5" t="inlineStr">
        <is>
          <t>Closed</t>
        </is>
      </c>
      <c r="E443" s="16" t="n">
        <v>46006</v>
      </c>
      <c r="F443" s="16" t="n">
        <v>46122</v>
      </c>
      <c r="G443" s="17" t="n">
        <v>5</v>
      </c>
      <c r="H443" s="5" t="inlineStr">
        <is>
          <t>5999</t>
        </is>
      </c>
      <c r="I443" s="5" t="inlineStr">
        <is>
          <t>All Other Misc. Store Retailers (Except Tobacco Stores)</t>
        </is>
      </c>
      <c r="J443" s="5" t="inlineStr">
        <is>
          <t>59</t>
        </is>
      </c>
      <c r="K443" s="5" t="n">
        <v>5999</v>
      </c>
      <c r="L443" s="5" t="inlineStr">
        <is>
          <t>TX</t>
        </is>
      </c>
      <c r="M443" s="5" t="inlineStr">
        <is>
          <t>Westwood</t>
        </is>
      </c>
      <c r="N443" s="5" t="inlineStr">
        <is>
          <t>New Deal</t>
        </is>
      </c>
      <c r="O443" s="19" t="n">
        <v>1.5</v>
      </c>
      <c r="P443" s="20" t="n">
        <v>20000</v>
      </c>
      <c r="Q443" s="20" t="n">
        <v>2800</v>
      </c>
      <c r="R443" s="20" t="n">
        <v>30000</v>
      </c>
      <c r="S443" s="20" t="n">
        <v>30000</v>
      </c>
      <c r="T443" s="20" t="n">
        <v>0</v>
      </c>
      <c r="U443" s="21" t="n">
        <v>1</v>
      </c>
      <c r="V443" s="22" t="n">
        <v>2.623</v>
      </c>
      <c r="W443" s="17" t="n">
        <v>131</v>
      </c>
      <c r="X443" s="17" t="n">
        <v>0</v>
      </c>
      <c r="Y443" s="20" t="n">
        <v>98681.22</v>
      </c>
      <c r="Z443" s="21" t="n">
        <v>0.0793</v>
      </c>
      <c r="AA443" s="16" t="n">
        <v>36739</v>
      </c>
      <c r="AB443" s="5">
        <f>IF(V443="","",IF(V443&lt;12,"Months","Weeks"))</f>
        <v/>
      </c>
      <c r="AC443" s="5">
        <f>IF(AB443="","",IF(AB443="Months","Daily","Weekly"))</f>
        <v/>
      </c>
      <c r="AD443" s="17">
        <f>IF(V443="","",IF(AC443="Daily",V443*Controls!$B$13,V443))</f>
        <v/>
      </c>
      <c r="AE443" s="17">
        <f>IF(V443="","",IF(AC443="Daily",V443*Controls!$B$13,V443*Controls!$B$12))</f>
        <v/>
      </c>
      <c r="AF443" s="17">
        <f>IF(OR(E443="",F443=""),"",F443-E443)</f>
        <v/>
      </c>
      <c r="AG443" s="17">
        <f>IF(OR(E443="",F443=""),"",NETWORKDAYS(E443,F443,Ref!$F$4:$F$47))</f>
        <v/>
      </c>
      <c r="AH443" s="39">
        <f>IF(IFERROR(VLOOKUP(D443,Controls!$A$25:$D$35,2,FALSE()),"No")="Yes",1,0)</f>
        <v/>
      </c>
      <c r="AI443" s="39">
        <f>IF(IFERROR(VLOOKUP(D443,Controls!$A$25:$D$35,3,FALSE()),"No")="Yes",1,0)</f>
        <v/>
      </c>
      <c r="AJ443" s="39">
        <f>IF(IFERROR(VLOOKUP(D443,Controls!$A$25:$D$35,4,FALSE()),"No")="Yes",1,0)</f>
        <v/>
      </c>
      <c r="AK443" s="96">
        <f>IF(AND($E443&gt;=Controls!$B$5,$E443&lt;=Controls!$B$6,OR(Controls!$E$9&lt;&gt;"Y",$BE443=1)),1,0)</f>
        <v/>
      </c>
      <c r="AL443" s="39">
        <f>1</f>
        <v/>
      </c>
      <c r="AM443" s="20">
        <f>S443-P443</f>
        <v/>
      </c>
      <c r="AN443" s="20">
        <f>IF(AH443=1,MAX(0,P443-S443),0)</f>
        <v/>
      </c>
      <c r="AO443" s="21">
        <f>IFERROR(S443/P443,"")</f>
        <v/>
      </c>
      <c r="AP443" s="22">
        <f>IF(Y443="","",P443/Y443)</f>
        <v/>
      </c>
      <c r="AQ443" s="39">
        <f>IF(Y443="",0,1)</f>
        <v/>
      </c>
      <c r="AR443" s="39">
        <f>IF(S443&lt;=0,1,0)</f>
        <v/>
      </c>
      <c r="AS443" s="17">
        <f>IF(AH443=1,AG443,"")</f>
        <v/>
      </c>
      <c r="AT443" s="17">
        <f>IF(AND(AH443=0,AJ443=1),AG443,"")</f>
        <v/>
      </c>
      <c r="AU443" s="5">
        <f>IF(P443&lt;10000,"Under $10K",IF(P443&lt;20000,"$10-20K",IF(P443&lt;30000,"$20-30K",IF(P443&lt;50000,"$30-50K",IF(P443&lt;100000,"$50-100K","$100K+")))))</f>
        <v/>
      </c>
      <c r="AV443" s="5">
        <f>IF(O443&lt;=1.35,"1.35 and under",IF(O443&lt;=1.42,"1.36-1.42",IF(O443&lt;=1.45,"1.43-1.45",IF(O443&lt;1.49,"1.46-1.48",IF(O443&lt;=1.49,"1.49","Above 1.49")))))</f>
        <v/>
      </c>
      <c r="AW443" s="5">
        <f>IF(AE443="","",IF(AE443&lt;60,"Under 60",IF(AE443&lt;90,"60-89",IF(AE443&lt;120,"90-119",IF(AE443&lt;150,"120-149","150+")))))</f>
        <v/>
      </c>
      <c r="AX443" s="5">
        <f>IF(AP443="","No revenue data",IF(AP443&lt;0.15,"Under 0.15x",IF(AP443&lt;0.3,"0.15-0.30x",IF(AP443&lt;0.5,"0.30-0.50x",IF(AP443&lt;1,"0.50-1.00x","1.00x+")))))</f>
        <v/>
      </c>
      <c r="AY443" s="5">
        <f>IF(J443="","No SIC",IFERROR(VLOOKUP(J443,Ref!$A$4:$C$67,2,FALSE()),"Unclassified"))</f>
        <v/>
      </c>
      <c r="AZ443" s="5">
        <f>IF(E443="","",TEXT(E443,"YYYY")&amp;"-Q"&amp;ROUNDUP(MONTH(E443)/3,0))</f>
        <v/>
      </c>
      <c r="BA443" s="5">
        <f>IF(E443="","",TEXT(E443,"YYYY-MM"))</f>
        <v/>
      </c>
      <c r="BB443" s="5">
        <f>IF(E443="","",TEXT(E443,"YYYY"))</f>
        <v/>
      </c>
      <c r="BC443" s="92">
        <f>IF($E443="","",NETWORKDAYS($E443,Controls!$B$9,Ref!$F$4:$F$47))</f>
        <v/>
      </c>
      <c r="BD443" s="92">
        <f>IF(OR($AH443=1,$AJ443=1),1,0)</f>
        <v/>
      </c>
      <c r="BE443" s="95">
        <f>IF(OR($BD443=1,AND($AE443&lt;&gt;"",$BC443&gt;=Controls!$B$10*$AE443)),1,0)</f>
        <v/>
      </c>
    </row>
    <row r="444" ht="15.75" customHeight="1" s="79">
      <c r="A444" s="5" t="inlineStr">
        <is>
          <t>5674174336</t>
        </is>
      </c>
      <c r="B444" s="5" t="inlineStr">
        <is>
          <t>SOUTH CITY SHOP LLC</t>
        </is>
      </c>
      <c r="C444" s="5" t="inlineStr">
        <is>
          <t>SOUTH CITY SHOP LLC</t>
        </is>
      </c>
      <c r="D444" s="5" t="inlineStr">
        <is>
          <t>Closed</t>
        </is>
      </c>
      <c r="E444" s="16" t="n">
        <v>46007</v>
      </c>
      <c r="F444" s="16" t="n">
        <v>46169</v>
      </c>
      <c r="G444" s="17" t="n">
        <v>2</v>
      </c>
      <c r="H444" s="5" t="inlineStr">
        <is>
          <t>5399</t>
        </is>
      </c>
      <c r="I444" s="5" t="inlineStr">
        <is>
          <t>All Other General Merchandise Stores</t>
        </is>
      </c>
      <c r="J444" s="5" t="inlineStr">
        <is>
          <t>53</t>
        </is>
      </c>
      <c r="K444" s="5" t="n">
        <v>5399</v>
      </c>
      <c r="L444" s="5" t="inlineStr">
        <is>
          <t>GA</t>
        </is>
      </c>
      <c r="M444" s="5" t="inlineStr">
        <is>
          <t>Llama Loan</t>
        </is>
      </c>
      <c r="N444" s="5" t="inlineStr">
        <is>
          <t>New Deal</t>
        </is>
      </c>
      <c r="O444" s="19" t="n">
        <v>1.35</v>
      </c>
      <c r="P444" s="20" t="n">
        <v>7000</v>
      </c>
      <c r="Q444" s="20" t="n">
        <v>490</v>
      </c>
      <c r="R444" s="20" t="n">
        <v>9450</v>
      </c>
      <c r="S444" s="20" t="n">
        <v>9450</v>
      </c>
      <c r="T444" s="20" t="n">
        <v>0</v>
      </c>
      <c r="U444" s="21" t="n">
        <v>1</v>
      </c>
      <c r="V444" s="22" t="n">
        <v>3.607</v>
      </c>
      <c r="W444" s="17" t="n">
        <v>84</v>
      </c>
      <c r="X444" s="17" t="n">
        <v>1</v>
      </c>
      <c r="Y444" s="20" t="n">
        <v>23892.05</v>
      </c>
      <c r="Z444" s="21" t="n">
        <v>0.0755</v>
      </c>
      <c r="AA444" s="16" t="n">
        <v>44520</v>
      </c>
      <c r="AB444" s="5">
        <f>IF(V444="","",IF(V444&lt;12,"Months","Weeks"))</f>
        <v/>
      </c>
      <c r="AC444" s="5">
        <f>IF(AB444="","",IF(AB444="Months","Daily","Weekly"))</f>
        <v/>
      </c>
      <c r="AD444" s="17">
        <f>IF(V444="","",IF(AC444="Daily",V444*Controls!$B$13,V444))</f>
        <v/>
      </c>
      <c r="AE444" s="17">
        <f>IF(V444="","",IF(AC444="Daily",V444*Controls!$B$13,V444*Controls!$B$12))</f>
        <v/>
      </c>
      <c r="AF444" s="17">
        <f>IF(OR(E444="",F444=""),"",F444-E444)</f>
        <v/>
      </c>
      <c r="AG444" s="17">
        <f>IF(OR(E444="",F444=""),"",NETWORKDAYS(E444,F444,Ref!$F$4:$F$47))</f>
        <v/>
      </c>
      <c r="AH444" s="39">
        <f>IF(IFERROR(VLOOKUP(D444,Controls!$A$25:$D$35,2,FALSE()),"No")="Yes",1,0)</f>
        <v/>
      </c>
      <c r="AI444" s="39">
        <f>IF(IFERROR(VLOOKUP(D444,Controls!$A$25:$D$35,3,FALSE()),"No")="Yes",1,0)</f>
        <v/>
      </c>
      <c r="AJ444" s="39">
        <f>IF(IFERROR(VLOOKUP(D444,Controls!$A$25:$D$35,4,FALSE()),"No")="Yes",1,0)</f>
        <v/>
      </c>
      <c r="AK444" s="96">
        <f>IF(AND($E444&gt;=Controls!$B$5,$E444&lt;=Controls!$B$6,OR(Controls!$E$9&lt;&gt;"Y",$BE444=1)),1,0)</f>
        <v/>
      </c>
      <c r="AL444" s="39">
        <f>1</f>
        <v/>
      </c>
      <c r="AM444" s="20">
        <f>S444-P444</f>
        <v/>
      </c>
      <c r="AN444" s="20">
        <f>IF(AH444=1,MAX(0,P444-S444),0)</f>
        <v/>
      </c>
      <c r="AO444" s="21">
        <f>IFERROR(S444/P444,"")</f>
        <v/>
      </c>
      <c r="AP444" s="22">
        <f>IF(Y444="","",P444/Y444)</f>
        <v/>
      </c>
      <c r="AQ444" s="39">
        <f>IF(Y444="",0,1)</f>
        <v/>
      </c>
      <c r="AR444" s="39">
        <f>IF(S444&lt;=0,1,0)</f>
        <v/>
      </c>
      <c r="AS444" s="17">
        <f>IF(AH444=1,AG444,"")</f>
        <v/>
      </c>
      <c r="AT444" s="17">
        <f>IF(AND(AH444=0,AJ444=1),AG444,"")</f>
        <v/>
      </c>
      <c r="AU444" s="5">
        <f>IF(P444&lt;10000,"Under $10K",IF(P444&lt;20000,"$10-20K",IF(P444&lt;30000,"$20-30K",IF(P444&lt;50000,"$30-50K",IF(P444&lt;100000,"$50-100K","$100K+")))))</f>
        <v/>
      </c>
      <c r="AV444" s="5">
        <f>IF(O444&lt;=1.35,"1.35 and under",IF(O444&lt;=1.42,"1.36-1.42",IF(O444&lt;=1.45,"1.43-1.45",IF(O444&lt;1.49,"1.46-1.48",IF(O444&lt;=1.49,"1.49","Above 1.49")))))</f>
        <v/>
      </c>
      <c r="AW444" s="5">
        <f>IF(AE444="","",IF(AE444&lt;60,"Under 60",IF(AE444&lt;90,"60-89",IF(AE444&lt;120,"90-119",IF(AE444&lt;150,"120-149","150+")))))</f>
        <v/>
      </c>
      <c r="AX444" s="5">
        <f>IF(AP444="","No revenue data",IF(AP444&lt;0.15,"Under 0.15x",IF(AP444&lt;0.3,"0.15-0.30x",IF(AP444&lt;0.5,"0.30-0.50x",IF(AP444&lt;1,"0.50-1.00x","1.00x+")))))</f>
        <v/>
      </c>
      <c r="AY444" s="5">
        <f>IF(J444="","No SIC",IFERROR(VLOOKUP(J444,Ref!$A$4:$C$67,2,FALSE()),"Unclassified"))</f>
        <v/>
      </c>
      <c r="AZ444" s="5">
        <f>IF(E444="","",TEXT(E444,"YYYY")&amp;"-Q"&amp;ROUNDUP(MONTH(E444)/3,0))</f>
        <v/>
      </c>
      <c r="BA444" s="5">
        <f>IF(E444="","",TEXT(E444,"YYYY-MM"))</f>
        <v/>
      </c>
      <c r="BB444" s="5">
        <f>IF(E444="","",TEXT(E444,"YYYY"))</f>
        <v/>
      </c>
      <c r="BC444" s="92">
        <f>IF($E444="","",NETWORKDAYS($E444,Controls!$B$9,Ref!$F$4:$F$47))</f>
        <v/>
      </c>
      <c r="BD444" s="92">
        <f>IF(OR($AH444=1,$AJ444=1),1,0)</f>
        <v/>
      </c>
      <c r="BE444" s="95">
        <f>IF(OR($BD444=1,AND($AE444&lt;&gt;"",$BC444&gt;=Controls!$B$10*$AE444)),1,0)</f>
        <v/>
      </c>
    </row>
    <row r="445" ht="15.75" customHeight="1" s="79">
      <c r="A445" s="5" t="inlineStr">
        <is>
          <t>5674174341</t>
        </is>
      </c>
      <c r="B445" s="5" t="inlineStr">
        <is>
          <t>Triple D Financial Inc</t>
        </is>
      </c>
      <c r="C445" s="5" t="inlineStr">
        <is>
          <t>Triple D Financial Inc</t>
        </is>
      </c>
      <c r="D445" s="5" t="inlineStr">
        <is>
          <t>Closed/NSF</t>
        </is>
      </c>
      <c r="E445" s="16" t="n">
        <v>46007</v>
      </c>
      <c r="F445" s="16" t="n">
        <v>46225</v>
      </c>
      <c r="G445" s="17" t="n">
        <v>2</v>
      </c>
      <c r="H445" s="5" t="inlineStr">
        <is>
          <t>7291</t>
        </is>
      </c>
      <c r="I445" s="5" t="inlineStr">
        <is>
          <t>Tax Preparation Services</t>
        </is>
      </c>
      <c r="J445" s="5" t="inlineStr">
        <is>
          <t>72</t>
        </is>
      </c>
      <c r="K445" s="5" t="n">
        <v>9311</v>
      </c>
      <c r="L445" s="5" t="inlineStr">
        <is>
          <t>TX</t>
        </is>
      </c>
      <c r="M445" s="5" t="inlineStr">
        <is>
          <t>Fundwell</t>
        </is>
      </c>
      <c r="N445" s="5" t="inlineStr">
        <is>
          <t>Renewal</t>
        </is>
      </c>
      <c r="O445" s="19" t="n">
        <v>1.41</v>
      </c>
      <c r="P445" s="20" t="n">
        <v>40000</v>
      </c>
      <c r="Q445" s="20" t="n">
        <v>5400</v>
      </c>
      <c r="R445" s="20" t="n">
        <v>56400</v>
      </c>
      <c r="S445" s="20" t="n">
        <v>56400</v>
      </c>
      <c r="T445" s="20" t="n">
        <v>0</v>
      </c>
      <c r="U445" s="21" t="n">
        <v>1</v>
      </c>
      <c r="V445" s="22" t="n">
        <v>28</v>
      </c>
      <c r="W445" s="17" t="n">
        <v>28</v>
      </c>
      <c r="X445" s="17" t="n">
        <v>3</v>
      </c>
      <c r="Y445" s="20" t="n">
        <v>64826.4</v>
      </c>
      <c r="Z445" s="21" t="n">
        <v>0.1726</v>
      </c>
      <c r="AA445" s="16" t="n">
        <v>44490</v>
      </c>
      <c r="AB445" s="5">
        <f>IF(V445="","",IF(V445&lt;12,"Months","Weeks"))</f>
        <v/>
      </c>
      <c r="AC445" s="5">
        <f>IF(AB445="","",IF(AB445="Months","Daily","Weekly"))</f>
        <v/>
      </c>
      <c r="AD445" s="17">
        <f>IF(V445="","",IF(AC445="Daily",V445*Controls!$B$13,V445))</f>
        <v/>
      </c>
      <c r="AE445" s="17">
        <f>IF(V445="","",IF(AC445="Daily",V445*Controls!$B$13,V445*Controls!$B$12))</f>
        <v/>
      </c>
      <c r="AF445" s="17">
        <f>IF(OR(E445="",F445=""),"",F445-E445)</f>
        <v/>
      </c>
      <c r="AG445" s="17">
        <f>IF(OR(E445="",F445=""),"",NETWORKDAYS(E445,F445,Ref!$F$4:$F$47))</f>
        <v/>
      </c>
      <c r="AH445" s="39">
        <f>IF(IFERROR(VLOOKUP(D445,Controls!$A$25:$D$35,2,FALSE()),"No")="Yes",1,0)</f>
        <v/>
      </c>
      <c r="AI445" s="39">
        <f>IF(IFERROR(VLOOKUP(D445,Controls!$A$25:$D$35,3,FALSE()),"No")="Yes",1,0)</f>
        <v/>
      </c>
      <c r="AJ445" s="39">
        <f>IF(IFERROR(VLOOKUP(D445,Controls!$A$25:$D$35,4,FALSE()),"No")="Yes",1,0)</f>
        <v/>
      </c>
      <c r="AK445" s="96">
        <f>IF(AND($E445&gt;=Controls!$B$5,$E445&lt;=Controls!$B$6,OR(Controls!$E$9&lt;&gt;"Y",$BE445=1)),1,0)</f>
        <v/>
      </c>
      <c r="AL445" s="39">
        <f>1</f>
        <v/>
      </c>
      <c r="AM445" s="20">
        <f>S445-P445</f>
        <v/>
      </c>
      <c r="AN445" s="20">
        <f>IF(AH445=1,MAX(0,P445-S445),0)</f>
        <v/>
      </c>
      <c r="AO445" s="21">
        <f>IFERROR(S445/P445,"")</f>
        <v/>
      </c>
      <c r="AP445" s="22">
        <f>IF(Y445="","",P445/Y445)</f>
        <v/>
      </c>
      <c r="AQ445" s="39">
        <f>IF(Y445="",0,1)</f>
        <v/>
      </c>
      <c r="AR445" s="39">
        <f>IF(S445&lt;=0,1,0)</f>
        <v/>
      </c>
      <c r="AS445" s="17">
        <f>IF(AH445=1,AG445,"")</f>
        <v/>
      </c>
      <c r="AT445" s="17">
        <f>IF(AND(AH445=0,AJ445=1),AG445,"")</f>
        <v/>
      </c>
      <c r="AU445" s="5">
        <f>IF(P445&lt;10000,"Under $10K",IF(P445&lt;20000,"$10-20K",IF(P445&lt;30000,"$20-30K",IF(P445&lt;50000,"$30-50K",IF(P445&lt;100000,"$50-100K","$100K+")))))</f>
        <v/>
      </c>
      <c r="AV445" s="5">
        <f>IF(O445&lt;=1.35,"1.35 and under",IF(O445&lt;=1.42,"1.36-1.42",IF(O445&lt;=1.45,"1.43-1.45",IF(O445&lt;1.49,"1.46-1.48",IF(O445&lt;=1.49,"1.49","Above 1.49")))))</f>
        <v/>
      </c>
      <c r="AW445" s="5">
        <f>IF(AE445="","",IF(AE445&lt;60,"Under 60",IF(AE445&lt;90,"60-89",IF(AE445&lt;120,"90-119",IF(AE445&lt;150,"120-149","150+")))))</f>
        <v/>
      </c>
      <c r="AX445" s="5">
        <f>IF(AP445="","No revenue data",IF(AP445&lt;0.15,"Under 0.15x",IF(AP445&lt;0.3,"0.15-0.30x",IF(AP445&lt;0.5,"0.30-0.50x",IF(AP445&lt;1,"0.50-1.00x","1.00x+")))))</f>
        <v/>
      </c>
      <c r="AY445" s="5">
        <f>IF(J445="","No SIC",IFERROR(VLOOKUP(J445,Ref!$A$4:$C$67,2,FALSE()),"Unclassified"))</f>
        <v/>
      </c>
      <c r="AZ445" s="5">
        <f>IF(E445="","",TEXT(E445,"YYYY")&amp;"-Q"&amp;ROUNDUP(MONTH(E445)/3,0))</f>
        <v/>
      </c>
      <c r="BA445" s="5">
        <f>IF(E445="","",TEXT(E445,"YYYY-MM"))</f>
        <v/>
      </c>
      <c r="BB445" s="5">
        <f>IF(E445="","",TEXT(E445,"YYYY"))</f>
        <v/>
      </c>
      <c r="BC445" s="92">
        <f>IF($E445="","",NETWORKDAYS($E445,Controls!$B$9,Ref!$F$4:$F$47))</f>
        <v/>
      </c>
      <c r="BD445" s="92">
        <f>IF(OR($AH445=1,$AJ445=1),1,0)</f>
        <v/>
      </c>
      <c r="BE445" s="95">
        <f>IF(OR($BD445=1,AND($AE445&lt;&gt;"",$BC445&gt;=Controls!$B$10*$AE445)),1,0)</f>
        <v/>
      </c>
    </row>
    <row r="446" ht="15.75" customHeight="1" s="79">
      <c r="A446" s="5" t="inlineStr">
        <is>
          <t>5674174352</t>
        </is>
      </c>
      <c r="B446" s="5" t="inlineStr">
        <is>
          <t>EVERSAFE</t>
        </is>
      </c>
      <c r="C446" s="5" t="inlineStr">
        <is>
          <t>ElderScan LLC</t>
        </is>
      </c>
      <c r="D446" s="5" t="inlineStr">
        <is>
          <t>Closed</t>
        </is>
      </c>
      <c r="E446" s="16" t="n">
        <v>46007</v>
      </c>
      <c r="F446" s="16" t="n">
        <v>46098</v>
      </c>
      <c r="G446" s="17" t="n">
        <v>5</v>
      </c>
      <c r="H446" s="5" t="inlineStr">
        <is>
          <t>7382</t>
        </is>
      </c>
      <c r="I446" s="5" t="inlineStr">
        <is>
          <t>Security Systems Services (Except Locksmiths)</t>
        </is>
      </c>
      <c r="J446" s="5" t="inlineStr">
        <is>
          <t>73</t>
        </is>
      </c>
      <c r="K446" s="5" t="n">
        <v>7393</v>
      </c>
      <c r="L446" s="5" t="inlineStr">
        <is>
          <t>MD</t>
        </is>
      </c>
      <c r="M446" s="5" t="inlineStr">
        <is>
          <t>PMF</t>
        </is>
      </c>
      <c r="N446" s="5" t="inlineStr">
        <is>
          <t>Renewal</t>
        </is>
      </c>
      <c r="O446" s="19" t="n">
        <v>1.46</v>
      </c>
      <c r="P446" s="20" t="n">
        <v>60000</v>
      </c>
      <c r="Q446" s="20" t="n">
        <v>7200</v>
      </c>
      <c r="R446" s="20" t="n">
        <v>87600</v>
      </c>
      <c r="S446" s="20" t="n">
        <v>87600</v>
      </c>
      <c r="T446" s="20" t="n">
        <v>0</v>
      </c>
      <c r="U446" s="21" t="n">
        <v>1</v>
      </c>
      <c r="V446" s="22" t="n">
        <v>30</v>
      </c>
      <c r="W446" s="17" t="n">
        <v>155</v>
      </c>
      <c r="X446" s="17" t="n">
        <v>0</v>
      </c>
      <c r="Y446" s="20" t="n">
        <v>127582.63</v>
      </c>
      <c r="Z446" s="21" t="n">
        <v>0.4806</v>
      </c>
      <c r="AA446" s="16" t="n">
        <v>40920</v>
      </c>
      <c r="AB446" s="5">
        <f>IF(V446="","",IF(V446&lt;12,"Months","Weeks"))</f>
        <v/>
      </c>
      <c r="AC446" s="5">
        <f>IF(AB446="","",IF(AB446="Months","Daily","Weekly"))</f>
        <v/>
      </c>
      <c r="AD446" s="17">
        <f>IF(V446="","",IF(AC446="Daily",V446*Controls!$B$13,V446))</f>
        <v/>
      </c>
      <c r="AE446" s="17">
        <f>IF(V446="","",IF(AC446="Daily",V446*Controls!$B$13,V446*Controls!$B$12))</f>
        <v/>
      </c>
      <c r="AF446" s="17">
        <f>IF(OR(E446="",F446=""),"",F446-E446)</f>
        <v/>
      </c>
      <c r="AG446" s="17">
        <f>IF(OR(E446="",F446=""),"",NETWORKDAYS(E446,F446,Ref!$F$4:$F$47))</f>
        <v/>
      </c>
      <c r="AH446" s="39">
        <f>IF(IFERROR(VLOOKUP(D446,Controls!$A$25:$D$35,2,FALSE()),"No")="Yes",1,0)</f>
        <v/>
      </c>
      <c r="AI446" s="39">
        <f>IF(IFERROR(VLOOKUP(D446,Controls!$A$25:$D$35,3,FALSE()),"No")="Yes",1,0)</f>
        <v/>
      </c>
      <c r="AJ446" s="39">
        <f>IF(IFERROR(VLOOKUP(D446,Controls!$A$25:$D$35,4,FALSE()),"No")="Yes",1,0)</f>
        <v/>
      </c>
      <c r="AK446" s="96">
        <f>IF(AND($E446&gt;=Controls!$B$5,$E446&lt;=Controls!$B$6,OR(Controls!$E$9&lt;&gt;"Y",$BE446=1)),1,0)</f>
        <v/>
      </c>
      <c r="AL446" s="39">
        <f>1</f>
        <v/>
      </c>
      <c r="AM446" s="20">
        <f>S446-P446</f>
        <v/>
      </c>
      <c r="AN446" s="20">
        <f>IF(AH446=1,MAX(0,P446-S446),0)</f>
        <v/>
      </c>
      <c r="AO446" s="21">
        <f>IFERROR(S446/P446,"")</f>
        <v/>
      </c>
      <c r="AP446" s="22">
        <f>IF(Y446="","",P446/Y446)</f>
        <v/>
      </c>
      <c r="AQ446" s="39">
        <f>IF(Y446="",0,1)</f>
        <v/>
      </c>
      <c r="AR446" s="39">
        <f>IF(S446&lt;=0,1,0)</f>
        <v/>
      </c>
      <c r="AS446" s="17">
        <f>IF(AH446=1,AG446,"")</f>
        <v/>
      </c>
      <c r="AT446" s="17">
        <f>IF(AND(AH446=0,AJ446=1),AG446,"")</f>
        <v/>
      </c>
      <c r="AU446" s="5">
        <f>IF(P446&lt;10000,"Under $10K",IF(P446&lt;20000,"$10-20K",IF(P446&lt;30000,"$20-30K",IF(P446&lt;50000,"$30-50K",IF(P446&lt;100000,"$50-100K","$100K+")))))</f>
        <v/>
      </c>
      <c r="AV446" s="5">
        <f>IF(O446&lt;=1.35,"1.35 and under",IF(O446&lt;=1.42,"1.36-1.42",IF(O446&lt;=1.45,"1.43-1.45",IF(O446&lt;1.49,"1.46-1.48",IF(O446&lt;=1.49,"1.49","Above 1.49")))))</f>
        <v/>
      </c>
      <c r="AW446" s="5">
        <f>IF(AE446="","",IF(AE446&lt;60,"Under 60",IF(AE446&lt;90,"60-89",IF(AE446&lt;120,"90-119",IF(AE446&lt;150,"120-149","150+")))))</f>
        <v/>
      </c>
      <c r="AX446" s="5">
        <f>IF(AP446="","No revenue data",IF(AP446&lt;0.15,"Under 0.15x",IF(AP446&lt;0.3,"0.15-0.30x",IF(AP446&lt;0.5,"0.30-0.50x",IF(AP446&lt;1,"0.50-1.00x","1.00x+")))))</f>
        <v/>
      </c>
      <c r="AY446" s="5">
        <f>IF(J446="","No SIC",IFERROR(VLOOKUP(J446,Ref!$A$4:$C$67,2,FALSE()),"Unclassified"))</f>
        <v/>
      </c>
      <c r="AZ446" s="5">
        <f>IF(E446="","",TEXT(E446,"YYYY")&amp;"-Q"&amp;ROUNDUP(MONTH(E446)/3,0))</f>
        <v/>
      </c>
      <c r="BA446" s="5">
        <f>IF(E446="","",TEXT(E446,"YYYY-MM"))</f>
        <v/>
      </c>
      <c r="BB446" s="5">
        <f>IF(E446="","",TEXT(E446,"YYYY"))</f>
        <v/>
      </c>
      <c r="BC446" s="92">
        <f>IF($E446="","",NETWORKDAYS($E446,Controls!$B$9,Ref!$F$4:$F$47))</f>
        <v/>
      </c>
      <c r="BD446" s="92">
        <f>IF(OR($AH446=1,$AJ446=1),1,0)</f>
        <v/>
      </c>
      <c r="BE446" s="95">
        <f>IF(OR($BD446=1,AND($AE446&lt;&gt;"",$BC446&gt;=Controls!$B$10*$AE446)),1,0)</f>
        <v/>
      </c>
    </row>
    <row r="447" ht="15.75" customHeight="1" s="79">
      <c r="A447" s="5" t="inlineStr">
        <is>
          <t>5674174365</t>
        </is>
      </c>
      <c r="B447" s="5" t="inlineStr">
        <is>
          <t>DBA EL TACO LOCO AL VAPOR</t>
        </is>
      </c>
      <c r="C447" s="5" t="inlineStr">
        <is>
          <t>DBA EL TACO LOCO AL VAPOR</t>
        </is>
      </c>
      <c r="D447" s="5" t="inlineStr">
        <is>
          <t>Closed</t>
        </is>
      </c>
      <c r="E447" s="16" t="n">
        <v>46007</v>
      </c>
      <c r="F447" s="16" t="n">
        <v>46120</v>
      </c>
      <c r="G447" s="17" t="n">
        <v>1</v>
      </c>
      <c r="H447" s="5" t="inlineStr">
        <is>
          <t>5812</t>
        </is>
      </c>
      <c r="I447" s="5" t="inlineStr">
        <is>
          <t>Snack and Nonalcoholic Beverage Bars</t>
        </is>
      </c>
      <c r="J447" s="5" t="inlineStr">
        <is>
          <t>58</t>
        </is>
      </c>
      <c r="K447" s="5" t="n">
        <v>5812</v>
      </c>
      <c r="L447" s="5" t="inlineStr">
        <is>
          <t>TX</t>
        </is>
      </c>
      <c r="M447" s="5" t="inlineStr">
        <is>
          <t>Westwood</t>
        </is>
      </c>
      <c r="N447" s="5" t="inlineStr">
        <is>
          <t>Renewal</t>
        </is>
      </c>
      <c r="O447" s="19" t="n">
        <v>1.49</v>
      </c>
      <c r="P447" s="20" t="n">
        <v>20000</v>
      </c>
      <c r="Q447" s="20" t="n">
        <v>2800</v>
      </c>
      <c r="R447" s="20" t="n">
        <v>29800</v>
      </c>
      <c r="S447" s="20" t="n">
        <v>29800</v>
      </c>
      <c r="T447" s="20" t="n">
        <v>0</v>
      </c>
      <c r="U447" s="21" t="n">
        <v>1</v>
      </c>
      <c r="V447" s="22" t="n">
        <v>3.934</v>
      </c>
      <c r="W447" s="17" t="n">
        <v>133</v>
      </c>
      <c r="X447" s="17" t="n">
        <v>0</v>
      </c>
      <c r="Y447" s="20" t="n">
        <v>52000</v>
      </c>
      <c r="Z447" s="21" t="n">
        <v>0.1043</v>
      </c>
      <c r="AA447" s="16" t="n">
        <v>44977</v>
      </c>
      <c r="AB447" s="5">
        <f>IF(V447="","",IF(V447&lt;12,"Months","Weeks"))</f>
        <v/>
      </c>
      <c r="AC447" s="5">
        <f>IF(AB447="","",IF(AB447="Months","Daily","Weekly"))</f>
        <v/>
      </c>
      <c r="AD447" s="17">
        <f>IF(V447="","",IF(AC447="Daily",V447*Controls!$B$13,V447))</f>
        <v/>
      </c>
      <c r="AE447" s="17">
        <f>IF(V447="","",IF(AC447="Daily",V447*Controls!$B$13,V447*Controls!$B$12))</f>
        <v/>
      </c>
      <c r="AF447" s="17">
        <f>IF(OR(E447="",F447=""),"",F447-E447)</f>
        <v/>
      </c>
      <c r="AG447" s="17">
        <f>IF(OR(E447="",F447=""),"",NETWORKDAYS(E447,F447,Ref!$F$4:$F$47))</f>
        <v/>
      </c>
      <c r="AH447" s="39">
        <f>IF(IFERROR(VLOOKUP(D447,Controls!$A$25:$D$35,2,FALSE()),"No")="Yes",1,0)</f>
        <v/>
      </c>
      <c r="AI447" s="39">
        <f>IF(IFERROR(VLOOKUP(D447,Controls!$A$25:$D$35,3,FALSE()),"No")="Yes",1,0)</f>
        <v/>
      </c>
      <c r="AJ447" s="39">
        <f>IF(IFERROR(VLOOKUP(D447,Controls!$A$25:$D$35,4,FALSE()),"No")="Yes",1,0)</f>
        <v/>
      </c>
      <c r="AK447" s="96">
        <f>IF(AND($E447&gt;=Controls!$B$5,$E447&lt;=Controls!$B$6,OR(Controls!$E$9&lt;&gt;"Y",$BE447=1)),1,0)</f>
        <v/>
      </c>
      <c r="AL447" s="39">
        <f>1</f>
        <v/>
      </c>
      <c r="AM447" s="20">
        <f>S447-P447</f>
        <v/>
      </c>
      <c r="AN447" s="20">
        <f>IF(AH447=1,MAX(0,P447-S447),0)</f>
        <v/>
      </c>
      <c r="AO447" s="21">
        <f>IFERROR(S447/P447,"")</f>
        <v/>
      </c>
      <c r="AP447" s="22">
        <f>IF(Y447="","",P447/Y447)</f>
        <v/>
      </c>
      <c r="AQ447" s="39">
        <f>IF(Y447="",0,1)</f>
        <v/>
      </c>
      <c r="AR447" s="39">
        <f>IF(S447&lt;=0,1,0)</f>
        <v/>
      </c>
      <c r="AS447" s="17">
        <f>IF(AH447=1,AG447,"")</f>
        <v/>
      </c>
      <c r="AT447" s="17">
        <f>IF(AND(AH447=0,AJ447=1),AG447,"")</f>
        <v/>
      </c>
      <c r="AU447" s="5">
        <f>IF(P447&lt;10000,"Under $10K",IF(P447&lt;20000,"$10-20K",IF(P447&lt;30000,"$20-30K",IF(P447&lt;50000,"$30-50K",IF(P447&lt;100000,"$50-100K","$100K+")))))</f>
        <v/>
      </c>
      <c r="AV447" s="5">
        <f>IF(O447&lt;=1.35,"1.35 and under",IF(O447&lt;=1.42,"1.36-1.42",IF(O447&lt;=1.45,"1.43-1.45",IF(O447&lt;1.49,"1.46-1.48",IF(O447&lt;=1.49,"1.49","Above 1.49")))))</f>
        <v/>
      </c>
      <c r="AW447" s="5">
        <f>IF(AE447="","",IF(AE447&lt;60,"Under 60",IF(AE447&lt;90,"60-89",IF(AE447&lt;120,"90-119",IF(AE447&lt;150,"120-149","150+")))))</f>
        <v/>
      </c>
      <c r="AX447" s="5">
        <f>IF(AP447="","No revenue data",IF(AP447&lt;0.15,"Under 0.15x",IF(AP447&lt;0.3,"0.15-0.30x",IF(AP447&lt;0.5,"0.30-0.50x",IF(AP447&lt;1,"0.50-1.00x","1.00x+")))))</f>
        <v/>
      </c>
      <c r="AY447" s="5">
        <f>IF(J447="","No SIC",IFERROR(VLOOKUP(J447,Ref!$A$4:$C$67,2,FALSE()),"Unclassified"))</f>
        <v/>
      </c>
      <c r="AZ447" s="5">
        <f>IF(E447="","",TEXT(E447,"YYYY")&amp;"-Q"&amp;ROUNDUP(MONTH(E447)/3,0))</f>
        <v/>
      </c>
      <c r="BA447" s="5">
        <f>IF(E447="","",TEXT(E447,"YYYY-MM"))</f>
        <v/>
      </c>
      <c r="BB447" s="5">
        <f>IF(E447="","",TEXT(E447,"YYYY"))</f>
        <v/>
      </c>
      <c r="BC447" s="92">
        <f>IF($E447="","",NETWORKDAYS($E447,Controls!$B$9,Ref!$F$4:$F$47))</f>
        <v/>
      </c>
      <c r="BD447" s="92">
        <f>IF(OR($AH447=1,$AJ447=1),1,0)</f>
        <v/>
      </c>
      <c r="BE447" s="95">
        <f>IF(OR($BD447=1,AND($AE447&lt;&gt;"",$BC447&gt;=Controls!$B$10*$AE447)),1,0)</f>
        <v/>
      </c>
    </row>
    <row r="448" ht="15.75" customHeight="1" s="79">
      <c r="A448" s="5" t="inlineStr">
        <is>
          <t>5674174367</t>
        </is>
      </c>
      <c r="B448" s="5" t="inlineStr">
        <is>
          <t>Shells and tails</t>
        </is>
      </c>
      <c r="C448" s="5" t="inlineStr">
        <is>
          <t>Shells and tails 2 Geaux</t>
        </is>
      </c>
      <c r="D448" s="5" t="inlineStr">
        <is>
          <t>Closed</t>
        </is>
      </c>
      <c r="E448" s="16" t="n">
        <v>46007</v>
      </c>
      <c r="F448" s="16" t="n">
        <v>46132</v>
      </c>
      <c r="G448" s="17" t="n">
        <v>3</v>
      </c>
      <c r="H448" s="5" t="inlineStr">
        <is>
          <t>5812</t>
        </is>
      </c>
      <c r="I448" s="5" t="inlineStr">
        <is>
          <t>Snack and Nonalcoholic Beverage Bars</t>
        </is>
      </c>
      <c r="J448" s="5" t="inlineStr">
        <is>
          <t>58</t>
        </is>
      </c>
      <c r="K448" s="5" t="n">
        <v>5812</v>
      </c>
      <c r="L448" s="5" t="inlineStr">
        <is>
          <t>TX</t>
        </is>
      </c>
      <c r="M448" s="5" t="inlineStr">
        <is>
          <t>Bingo advance LLC</t>
        </is>
      </c>
      <c r="N448" s="5" t="inlineStr">
        <is>
          <t>New Deal</t>
        </is>
      </c>
      <c r="O448" s="19" t="n">
        <v>1.45</v>
      </c>
      <c r="P448" s="20" t="n">
        <v>10000</v>
      </c>
      <c r="Q448" s="20" t="n">
        <v>1200</v>
      </c>
      <c r="R448" s="20" t="n">
        <v>14500</v>
      </c>
      <c r="S448" s="20" t="n">
        <v>14500</v>
      </c>
      <c r="T448" s="20" t="n">
        <v>0</v>
      </c>
      <c r="U448" s="21" t="n">
        <v>1</v>
      </c>
      <c r="V448" s="22" t="n">
        <v>2.787</v>
      </c>
      <c r="W448" s="17" t="n">
        <v>121</v>
      </c>
      <c r="X448" s="17" t="n">
        <v>1</v>
      </c>
      <c r="Y448" s="20" t="n">
        <v>49623.58</v>
      </c>
      <c r="Z448" s="21" t="n">
        <v>0.0722</v>
      </c>
      <c r="AA448" s="16" t="n">
        <v>42353</v>
      </c>
      <c r="AB448" s="5">
        <f>IF(V448="","",IF(V448&lt;12,"Months","Weeks"))</f>
        <v/>
      </c>
      <c r="AC448" s="5">
        <f>IF(AB448="","",IF(AB448="Months","Daily","Weekly"))</f>
        <v/>
      </c>
      <c r="AD448" s="17">
        <f>IF(V448="","",IF(AC448="Daily",V448*Controls!$B$13,V448))</f>
        <v/>
      </c>
      <c r="AE448" s="17">
        <f>IF(V448="","",IF(AC448="Daily",V448*Controls!$B$13,V448*Controls!$B$12))</f>
        <v/>
      </c>
      <c r="AF448" s="17">
        <f>IF(OR(E448="",F448=""),"",F448-E448)</f>
        <v/>
      </c>
      <c r="AG448" s="17">
        <f>IF(OR(E448="",F448=""),"",NETWORKDAYS(E448,F448,Ref!$F$4:$F$47))</f>
        <v/>
      </c>
      <c r="AH448" s="39">
        <f>IF(IFERROR(VLOOKUP(D448,Controls!$A$25:$D$35,2,FALSE()),"No")="Yes",1,0)</f>
        <v/>
      </c>
      <c r="AI448" s="39">
        <f>IF(IFERROR(VLOOKUP(D448,Controls!$A$25:$D$35,3,FALSE()),"No")="Yes",1,0)</f>
        <v/>
      </c>
      <c r="AJ448" s="39">
        <f>IF(IFERROR(VLOOKUP(D448,Controls!$A$25:$D$35,4,FALSE()),"No")="Yes",1,0)</f>
        <v/>
      </c>
      <c r="AK448" s="96">
        <f>IF(AND($E448&gt;=Controls!$B$5,$E448&lt;=Controls!$B$6,OR(Controls!$E$9&lt;&gt;"Y",$BE448=1)),1,0)</f>
        <v/>
      </c>
      <c r="AL448" s="39">
        <f>1</f>
        <v/>
      </c>
      <c r="AM448" s="20">
        <f>S448-P448</f>
        <v/>
      </c>
      <c r="AN448" s="20">
        <f>IF(AH448=1,MAX(0,P448-S448),0)</f>
        <v/>
      </c>
      <c r="AO448" s="21">
        <f>IFERROR(S448/P448,"")</f>
        <v/>
      </c>
      <c r="AP448" s="22">
        <f>IF(Y448="","",P448/Y448)</f>
        <v/>
      </c>
      <c r="AQ448" s="39">
        <f>IF(Y448="",0,1)</f>
        <v/>
      </c>
      <c r="AR448" s="39">
        <f>IF(S448&lt;=0,1,0)</f>
        <v/>
      </c>
      <c r="AS448" s="17">
        <f>IF(AH448=1,AG448,"")</f>
        <v/>
      </c>
      <c r="AT448" s="17">
        <f>IF(AND(AH448=0,AJ448=1),AG448,"")</f>
        <v/>
      </c>
      <c r="AU448" s="5">
        <f>IF(P448&lt;10000,"Under $10K",IF(P448&lt;20000,"$10-20K",IF(P448&lt;30000,"$20-30K",IF(P448&lt;50000,"$30-50K",IF(P448&lt;100000,"$50-100K","$100K+")))))</f>
        <v/>
      </c>
      <c r="AV448" s="5">
        <f>IF(O448&lt;=1.35,"1.35 and under",IF(O448&lt;=1.42,"1.36-1.42",IF(O448&lt;=1.45,"1.43-1.45",IF(O448&lt;1.49,"1.46-1.48",IF(O448&lt;=1.49,"1.49","Above 1.49")))))</f>
        <v/>
      </c>
      <c r="AW448" s="5">
        <f>IF(AE448="","",IF(AE448&lt;60,"Under 60",IF(AE448&lt;90,"60-89",IF(AE448&lt;120,"90-119",IF(AE448&lt;150,"120-149","150+")))))</f>
        <v/>
      </c>
      <c r="AX448" s="5">
        <f>IF(AP448="","No revenue data",IF(AP448&lt;0.15,"Under 0.15x",IF(AP448&lt;0.3,"0.15-0.30x",IF(AP448&lt;0.5,"0.30-0.50x",IF(AP448&lt;1,"0.50-1.00x","1.00x+")))))</f>
        <v/>
      </c>
      <c r="AY448" s="5">
        <f>IF(J448="","No SIC",IFERROR(VLOOKUP(J448,Ref!$A$4:$C$67,2,FALSE()),"Unclassified"))</f>
        <v/>
      </c>
      <c r="AZ448" s="5">
        <f>IF(E448="","",TEXT(E448,"YYYY")&amp;"-Q"&amp;ROUNDUP(MONTH(E448)/3,0))</f>
        <v/>
      </c>
      <c r="BA448" s="5">
        <f>IF(E448="","",TEXT(E448,"YYYY-MM"))</f>
        <v/>
      </c>
      <c r="BB448" s="5">
        <f>IF(E448="","",TEXT(E448,"YYYY"))</f>
        <v/>
      </c>
      <c r="BC448" s="92">
        <f>IF($E448="","",NETWORKDAYS($E448,Controls!$B$9,Ref!$F$4:$F$47))</f>
        <v/>
      </c>
      <c r="BD448" s="92">
        <f>IF(OR($AH448=1,$AJ448=1),1,0)</f>
        <v/>
      </c>
      <c r="BE448" s="95">
        <f>IF(OR($BD448=1,AND($AE448&lt;&gt;"",$BC448&gt;=Controls!$B$10*$AE448)),1,0)</f>
        <v/>
      </c>
    </row>
    <row r="449" ht="15.75" customHeight="1" s="79">
      <c r="A449" s="5" t="inlineStr">
        <is>
          <t>5674174403</t>
        </is>
      </c>
      <c r="B449" s="5" t="inlineStr">
        <is>
          <t>RIVERSIDE AUTOMOTIVE AND TIRE LLC</t>
        </is>
      </c>
      <c r="C449" s="5" t="inlineStr">
        <is>
          <t>RIVERSIDE AUTOMOTIVE AND TIRE LLC</t>
        </is>
      </c>
      <c r="D449" s="5" t="inlineStr">
        <is>
          <t>Closed/NSF</t>
        </is>
      </c>
      <c r="E449" s="16" t="n">
        <v>46007</v>
      </c>
      <c r="F449" s="16" t="n">
        <v>46230</v>
      </c>
      <c r="G449" s="17" t="n">
        <v>5</v>
      </c>
      <c r="H449" s="5" t="inlineStr">
        <is>
          <t>7538</t>
        </is>
      </c>
      <c r="I449" s="5" t="inlineStr">
        <is>
          <t>General Automotive Repair</t>
        </is>
      </c>
      <c r="J449" s="5" t="inlineStr">
        <is>
          <t>75</t>
        </is>
      </c>
      <c r="K449" s="5" t="n">
        <v>7538</v>
      </c>
      <c r="L449" s="5" t="inlineStr">
        <is>
          <t>NC</t>
        </is>
      </c>
      <c r="M449" s="5" t="inlineStr">
        <is>
          <t>GROWTH RATE CAPITAL INC</t>
        </is>
      </c>
      <c r="N449" s="5" t="inlineStr">
        <is>
          <t>New Deal</t>
        </is>
      </c>
      <c r="O449" s="19" t="n">
        <v>1.49</v>
      </c>
      <c r="P449" s="20" t="n">
        <v>20000</v>
      </c>
      <c r="Q449" s="20" t="n">
        <v>2800</v>
      </c>
      <c r="R449" s="20" t="n">
        <v>29800</v>
      </c>
      <c r="S449" s="20" t="n">
        <v>29800</v>
      </c>
      <c r="T449" s="20" t="n">
        <v>0</v>
      </c>
      <c r="U449" s="21" t="n">
        <v>1</v>
      </c>
      <c r="V449" s="22" t="n">
        <v>28</v>
      </c>
      <c r="W449" s="17" t="n">
        <v>23</v>
      </c>
      <c r="X449" s="17" t="n">
        <v>1</v>
      </c>
      <c r="Y449" s="20" t="n">
        <v>155935.8</v>
      </c>
      <c r="Z449" s="21" t="n">
        <v>0.0273</v>
      </c>
      <c r="AA449" s="5" t="n"/>
      <c r="AB449" s="5">
        <f>IF(V449="","",IF(V449&lt;12,"Months","Weeks"))</f>
        <v/>
      </c>
      <c r="AC449" s="5">
        <f>IF(AB449="","",IF(AB449="Months","Daily","Weekly"))</f>
        <v/>
      </c>
      <c r="AD449" s="17">
        <f>IF(V449="","",IF(AC449="Daily",V449*Controls!$B$13,V449))</f>
        <v/>
      </c>
      <c r="AE449" s="17">
        <f>IF(V449="","",IF(AC449="Daily",V449*Controls!$B$13,V449*Controls!$B$12))</f>
        <v/>
      </c>
      <c r="AF449" s="17">
        <f>IF(OR(E449="",F449=""),"",F449-E449)</f>
        <v/>
      </c>
      <c r="AG449" s="17">
        <f>IF(OR(E449="",F449=""),"",NETWORKDAYS(E449,F449,Ref!$F$4:$F$47))</f>
        <v/>
      </c>
      <c r="AH449" s="39">
        <f>IF(IFERROR(VLOOKUP(D449,Controls!$A$25:$D$35,2,FALSE()),"No")="Yes",1,0)</f>
        <v/>
      </c>
      <c r="AI449" s="39">
        <f>IF(IFERROR(VLOOKUP(D449,Controls!$A$25:$D$35,3,FALSE()),"No")="Yes",1,0)</f>
        <v/>
      </c>
      <c r="AJ449" s="39">
        <f>IF(IFERROR(VLOOKUP(D449,Controls!$A$25:$D$35,4,FALSE()),"No")="Yes",1,0)</f>
        <v/>
      </c>
      <c r="AK449" s="96">
        <f>IF(AND($E449&gt;=Controls!$B$5,$E449&lt;=Controls!$B$6,OR(Controls!$E$9&lt;&gt;"Y",$BE449=1)),1,0)</f>
        <v/>
      </c>
      <c r="AL449" s="39">
        <f>1</f>
        <v/>
      </c>
      <c r="AM449" s="20">
        <f>S449-P449</f>
        <v/>
      </c>
      <c r="AN449" s="20">
        <f>IF(AH449=1,MAX(0,P449-S449),0)</f>
        <v/>
      </c>
      <c r="AO449" s="21">
        <f>IFERROR(S449/P449,"")</f>
        <v/>
      </c>
      <c r="AP449" s="22">
        <f>IF(Y449="","",P449/Y449)</f>
        <v/>
      </c>
      <c r="AQ449" s="39">
        <f>IF(Y449="",0,1)</f>
        <v/>
      </c>
      <c r="AR449" s="39">
        <f>IF(S449&lt;=0,1,0)</f>
        <v/>
      </c>
      <c r="AS449" s="17">
        <f>IF(AH449=1,AG449,"")</f>
        <v/>
      </c>
      <c r="AT449" s="17">
        <f>IF(AND(AH449=0,AJ449=1),AG449,"")</f>
        <v/>
      </c>
      <c r="AU449" s="5">
        <f>IF(P449&lt;10000,"Under $10K",IF(P449&lt;20000,"$10-20K",IF(P449&lt;30000,"$20-30K",IF(P449&lt;50000,"$30-50K",IF(P449&lt;100000,"$50-100K","$100K+")))))</f>
        <v/>
      </c>
      <c r="AV449" s="5">
        <f>IF(O449&lt;=1.35,"1.35 and under",IF(O449&lt;=1.42,"1.36-1.42",IF(O449&lt;=1.45,"1.43-1.45",IF(O449&lt;1.49,"1.46-1.48",IF(O449&lt;=1.49,"1.49","Above 1.49")))))</f>
        <v/>
      </c>
      <c r="AW449" s="5">
        <f>IF(AE449="","",IF(AE449&lt;60,"Under 60",IF(AE449&lt;90,"60-89",IF(AE449&lt;120,"90-119",IF(AE449&lt;150,"120-149","150+")))))</f>
        <v/>
      </c>
      <c r="AX449" s="5">
        <f>IF(AP449="","No revenue data",IF(AP449&lt;0.15,"Under 0.15x",IF(AP449&lt;0.3,"0.15-0.30x",IF(AP449&lt;0.5,"0.30-0.50x",IF(AP449&lt;1,"0.50-1.00x","1.00x+")))))</f>
        <v/>
      </c>
      <c r="AY449" s="5">
        <f>IF(J449="","No SIC",IFERROR(VLOOKUP(J449,Ref!$A$4:$C$67,2,FALSE()),"Unclassified"))</f>
        <v/>
      </c>
      <c r="AZ449" s="5">
        <f>IF(E449="","",TEXT(E449,"YYYY")&amp;"-Q"&amp;ROUNDUP(MONTH(E449)/3,0))</f>
        <v/>
      </c>
      <c r="BA449" s="5">
        <f>IF(E449="","",TEXT(E449,"YYYY-MM"))</f>
        <v/>
      </c>
      <c r="BB449" s="5">
        <f>IF(E449="","",TEXT(E449,"YYYY"))</f>
        <v/>
      </c>
      <c r="BC449" s="92">
        <f>IF($E449="","",NETWORKDAYS($E449,Controls!$B$9,Ref!$F$4:$F$47))</f>
        <v/>
      </c>
      <c r="BD449" s="92">
        <f>IF(OR($AH449=1,$AJ449=1),1,0)</f>
        <v/>
      </c>
      <c r="BE449" s="95">
        <f>IF(OR($BD449=1,AND($AE449&lt;&gt;"",$BC449&gt;=Controls!$B$10*$AE449)),1,0)</f>
        <v/>
      </c>
    </row>
    <row r="450" ht="15.75" customHeight="1" s="79">
      <c r="A450" s="5" t="inlineStr">
        <is>
          <t>5674174433</t>
        </is>
      </c>
      <c r="B450" s="5" t="inlineStr">
        <is>
          <t>Wcs All Immigration Document Service</t>
        </is>
      </c>
      <c r="C450" s="5" t="inlineStr">
        <is>
          <t>WORLD COMPUTER SYSTEMS INC</t>
        </is>
      </c>
      <c r="D450" s="5" t="inlineStr">
        <is>
          <t>Closed</t>
        </is>
      </c>
      <c r="E450" s="16" t="n">
        <v>46007</v>
      </c>
      <c r="F450" s="16" t="n">
        <v>46105</v>
      </c>
      <c r="G450" s="17" t="n">
        <v>2</v>
      </c>
      <c r="H450" s="5" t="inlineStr">
        <is>
          <t>7371</t>
        </is>
      </c>
      <c r="I450" s="5" t="inlineStr">
        <is>
          <t>Custom Computer Programming Services</t>
        </is>
      </c>
      <c r="J450" s="5" t="inlineStr">
        <is>
          <t>73</t>
        </is>
      </c>
      <c r="K450" s="5" t="n">
        <v>7372</v>
      </c>
      <c r="L450" s="5" t="inlineStr">
        <is>
          <t>DC</t>
        </is>
      </c>
      <c r="M450" s="5" t="inlineStr">
        <is>
          <t>LENDCAP SOLUTIONS</t>
        </is>
      </c>
      <c r="N450" s="5" t="inlineStr">
        <is>
          <t>New Deal</t>
        </is>
      </c>
      <c r="O450" s="19" t="n">
        <v>1.499</v>
      </c>
      <c r="P450" s="20" t="n">
        <v>12000</v>
      </c>
      <c r="Q450" s="20" t="n">
        <v>1680</v>
      </c>
      <c r="R450" s="20" t="n">
        <v>17988</v>
      </c>
      <c r="S450" s="20" t="n">
        <v>17988</v>
      </c>
      <c r="T450" s="20" t="n">
        <v>0</v>
      </c>
      <c r="U450" s="21" t="n">
        <v>1</v>
      </c>
      <c r="V450" s="22" t="n">
        <v>1.967</v>
      </c>
      <c r="W450" s="17" t="n">
        <v>148</v>
      </c>
      <c r="X450" s="17" t="n">
        <v>4</v>
      </c>
      <c r="Y450" s="20" t="n">
        <v>51809.99</v>
      </c>
      <c r="Z450" s="21" t="n">
        <v>0.1208</v>
      </c>
      <c r="AA450" s="5" t="n"/>
      <c r="AB450" s="5">
        <f>IF(V450="","",IF(V450&lt;12,"Months","Weeks"))</f>
        <v/>
      </c>
      <c r="AC450" s="5">
        <f>IF(AB450="","",IF(AB450="Months","Daily","Weekly"))</f>
        <v/>
      </c>
      <c r="AD450" s="17">
        <f>IF(V450="","",IF(AC450="Daily",V450*Controls!$B$13,V450))</f>
        <v/>
      </c>
      <c r="AE450" s="17">
        <f>IF(V450="","",IF(AC450="Daily",V450*Controls!$B$13,V450*Controls!$B$12))</f>
        <v/>
      </c>
      <c r="AF450" s="17">
        <f>IF(OR(E450="",F450=""),"",F450-E450)</f>
        <v/>
      </c>
      <c r="AG450" s="17">
        <f>IF(OR(E450="",F450=""),"",NETWORKDAYS(E450,F450,Ref!$F$4:$F$47))</f>
        <v/>
      </c>
      <c r="AH450" s="39">
        <f>IF(IFERROR(VLOOKUP(D450,Controls!$A$25:$D$35,2,FALSE()),"No")="Yes",1,0)</f>
        <v/>
      </c>
      <c r="AI450" s="39">
        <f>IF(IFERROR(VLOOKUP(D450,Controls!$A$25:$D$35,3,FALSE()),"No")="Yes",1,0)</f>
        <v/>
      </c>
      <c r="AJ450" s="39">
        <f>IF(IFERROR(VLOOKUP(D450,Controls!$A$25:$D$35,4,FALSE()),"No")="Yes",1,0)</f>
        <v/>
      </c>
      <c r="AK450" s="96">
        <f>IF(AND($E450&gt;=Controls!$B$5,$E450&lt;=Controls!$B$6,OR(Controls!$E$9&lt;&gt;"Y",$BE450=1)),1,0)</f>
        <v/>
      </c>
      <c r="AL450" s="39">
        <f>1</f>
        <v/>
      </c>
      <c r="AM450" s="20">
        <f>S450-P450</f>
        <v/>
      </c>
      <c r="AN450" s="20">
        <f>IF(AH450=1,MAX(0,P450-S450),0)</f>
        <v/>
      </c>
      <c r="AO450" s="21">
        <f>IFERROR(S450/P450,"")</f>
        <v/>
      </c>
      <c r="AP450" s="22">
        <f>IF(Y450="","",P450/Y450)</f>
        <v/>
      </c>
      <c r="AQ450" s="39">
        <f>IF(Y450="",0,1)</f>
        <v/>
      </c>
      <c r="AR450" s="39">
        <f>IF(S450&lt;=0,1,0)</f>
        <v/>
      </c>
      <c r="AS450" s="17">
        <f>IF(AH450=1,AG450,"")</f>
        <v/>
      </c>
      <c r="AT450" s="17">
        <f>IF(AND(AH450=0,AJ450=1),AG450,"")</f>
        <v/>
      </c>
      <c r="AU450" s="5">
        <f>IF(P450&lt;10000,"Under $10K",IF(P450&lt;20000,"$10-20K",IF(P450&lt;30000,"$20-30K",IF(P450&lt;50000,"$30-50K",IF(P450&lt;100000,"$50-100K","$100K+")))))</f>
        <v/>
      </c>
      <c r="AV450" s="5">
        <f>IF(O450&lt;=1.35,"1.35 and under",IF(O450&lt;=1.42,"1.36-1.42",IF(O450&lt;=1.45,"1.43-1.45",IF(O450&lt;1.49,"1.46-1.48",IF(O450&lt;=1.49,"1.49","Above 1.49")))))</f>
        <v/>
      </c>
      <c r="AW450" s="5">
        <f>IF(AE450="","",IF(AE450&lt;60,"Under 60",IF(AE450&lt;90,"60-89",IF(AE450&lt;120,"90-119",IF(AE450&lt;150,"120-149","150+")))))</f>
        <v/>
      </c>
      <c r="AX450" s="5">
        <f>IF(AP450="","No revenue data",IF(AP450&lt;0.15,"Under 0.15x",IF(AP450&lt;0.3,"0.15-0.30x",IF(AP450&lt;0.5,"0.30-0.50x",IF(AP450&lt;1,"0.50-1.00x","1.00x+")))))</f>
        <v/>
      </c>
      <c r="AY450" s="5">
        <f>IF(J450="","No SIC",IFERROR(VLOOKUP(J450,Ref!$A$4:$C$67,2,FALSE()),"Unclassified"))</f>
        <v/>
      </c>
      <c r="AZ450" s="5">
        <f>IF(E450="","",TEXT(E450,"YYYY")&amp;"-Q"&amp;ROUNDUP(MONTH(E450)/3,0))</f>
        <v/>
      </c>
      <c r="BA450" s="5">
        <f>IF(E450="","",TEXT(E450,"YYYY-MM"))</f>
        <v/>
      </c>
      <c r="BB450" s="5">
        <f>IF(E450="","",TEXT(E450,"YYYY"))</f>
        <v/>
      </c>
      <c r="BC450" s="92">
        <f>IF($E450="","",NETWORKDAYS($E450,Controls!$B$9,Ref!$F$4:$F$47))</f>
        <v/>
      </c>
      <c r="BD450" s="92">
        <f>IF(OR($AH450=1,$AJ450=1),1,0)</f>
        <v/>
      </c>
      <c r="BE450" s="95">
        <f>IF(OR($BD450=1,AND($AE450&lt;&gt;"",$BC450&gt;=Controls!$B$10*$AE450)),1,0)</f>
        <v/>
      </c>
    </row>
    <row r="451" ht="15.75" customHeight="1" s="79">
      <c r="A451" s="5" t="inlineStr">
        <is>
          <t>5674174462</t>
        </is>
      </c>
      <c r="B451" s="5" t="inlineStr">
        <is>
          <t>Roseville Walmart Baugus Corporation d/b/a Subway</t>
        </is>
      </c>
      <c r="C451" s="5" t="inlineStr">
        <is>
          <t>Roseville Walmart Baugus Corporation</t>
        </is>
      </c>
      <c r="D451" s="5" t="inlineStr">
        <is>
          <t>Open</t>
        </is>
      </c>
      <c r="E451" s="16" t="n">
        <v>46008</v>
      </c>
      <c r="F451" s="16" t="n">
        <v>46252</v>
      </c>
      <c r="G451" s="17" t="n">
        <v>1</v>
      </c>
      <c r="H451" s="5" t="inlineStr">
        <is>
          <t>3556</t>
        </is>
      </c>
      <c r="I451" s="5" t="inlineStr">
        <is>
          <t>Food Product Machinery Mfg.</t>
        </is>
      </c>
      <c r="J451" s="5" t="inlineStr">
        <is>
          <t>35</t>
        </is>
      </c>
      <c r="K451" s="5" t="n">
        <v>5499</v>
      </c>
      <c r="L451" s="5" t="inlineStr">
        <is>
          <t>MN</t>
        </is>
      </c>
      <c r="M451" s="5" t="inlineStr">
        <is>
          <t>Fundwell</t>
        </is>
      </c>
      <c r="N451" s="5" t="inlineStr">
        <is>
          <t>New Deal</t>
        </is>
      </c>
      <c r="O451" s="19" t="n">
        <v>1.35</v>
      </c>
      <c r="P451" s="20" t="n">
        <v>125000</v>
      </c>
      <c r="Q451" s="20" t="n">
        <v>11250</v>
      </c>
      <c r="R451" s="20" t="n">
        <v>168750</v>
      </c>
      <c r="S451" s="20" t="n">
        <v>113631.35</v>
      </c>
      <c r="T451" s="20" t="n">
        <v>55118.65</v>
      </c>
      <c r="U451" s="21" t="n">
        <v>0.6733709629629629</v>
      </c>
      <c r="V451" s="22" t="n">
        <v>52</v>
      </c>
      <c r="W451" s="17" t="n">
        <v>1</v>
      </c>
      <c r="X451" s="17" t="n">
        <v>0</v>
      </c>
      <c r="Y451" s="20" t="n">
        <v>50132.07</v>
      </c>
      <c r="Z451" s="21" t="n">
        <v>0.08649999999999999</v>
      </c>
      <c r="AA451" s="16" t="n">
        <v>43384</v>
      </c>
      <c r="AB451" s="5">
        <f>IF(V451="","",IF(V451&lt;12,"Months","Weeks"))</f>
        <v/>
      </c>
      <c r="AC451" s="5">
        <f>IF(AB451="","",IF(AB451="Months","Daily","Weekly"))</f>
        <v/>
      </c>
      <c r="AD451" s="17">
        <f>IF(V451="","",IF(AC451="Daily",V451*Controls!$B$13,V451))</f>
        <v/>
      </c>
      <c r="AE451" s="17">
        <f>IF(V451="","",IF(AC451="Daily",V451*Controls!$B$13,V451*Controls!$B$12))</f>
        <v/>
      </c>
      <c r="AF451" s="17">
        <f>IF(OR(E451="",F451=""),"",F451-E451)</f>
        <v/>
      </c>
      <c r="AG451" s="17">
        <f>IF(OR(E451="",F451=""),"",NETWORKDAYS(E451,F451,Ref!$F$4:$F$47))</f>
        <v/>
      </c>
      <c r="AH451" s="39">
        <f>IF(IFERROR(VLOOKUP(D451,Controls!$A$25:$D$35,2,FALSE()),"No")="Yes",1,0)</f>
        <v/>
      </c>
      <c r="AI451" s="39">
        <f>IF(IFERROR(VLOOKUP(D451,Controls!$A$25:$D$35,3,FALSE()),"No")="Yes",1,0)</f>
        <v/>
      </c>
      <c r="AJ451" s="39">
        <f>IF(IFERROR(VLOOKUP(D451,Controls!$A$25:$D$35,4,FALSE()),"No")="Yes",1,0)</f>
        <v/>
      </c>
      <c r="AK451" s="96">
        <f>IF(AND($E451&gt;=Controls!$B$5,$E451&lt;=Controls!$B$6,OR(Controls!$E$9&lt;&gt;"Y",$BE451=1)),1,0)</f>
        <v/>
      </c>
      <c r="AL451" s="39">
        <f>1</f>
        <v/>
      </c>
      <c r="AM451" s="20">
        <f>S451-P451</f>
        <v/>
      </c>
      <c r="AN451" s="20">
        <f>IF(AH451=1,MAX(0,P451-S451),0)</f>
        <v/>
      </c>
      <c r="AO451" s="21">
        <f>IFERROR(S451/P451,"")</f>
        <v/>
      </c>
      <c r="AP451" s="22">
        <f>IF(Y451="","",P451/Y451)</f>
        <v/>
      </c>
      <c r="AQ451" s="39">
        <f>IF(Y451="",0,1)</f>
        <v/>
      </c>
      <c r="AR451" s="39">
        <f>IF(S451&lt;=0,1,0)</f>
        <v/>
      </c>
      <c r="AS451" s="17">
        <f>IF(AH451=1,AG451,"")</f>
        <v/>
      </c>
      <c r="AT451" s="17">
        <f>IF(AND(AH451=0,AJ451=1),AG451,"")</f>
        <v/>
      </c>
      <c r="AU451" s="5">
        <f>IF(P451&lt;10000,"Under $10K",IF(P451&lt;20000,"$10-20K",IF(P451&lt;30000,"$20-30K",IF(P451&lt;50000,"$30-50K",IF(P451&lt;100000,"$50-100K","$100K+")))))</f>
        <v/>
      </c>
      <c r="AV451" s="5">
        <f>IF(O451&lt;=1.35,"1.35 and under",IF(O451&lt;=1.42,"1.36-1.42",IF(O451&lt;=1.45,"1.43-1.45",IF(O451&lt;1.49,"1.46-1.48",IF(O451&lt;=1.49,"1.49","Above 1.49")))))</f>
        <v/>
      </c>
      <c r="AW451" s="5">
        <f>IF(AE451="","",IF(AE451&lt;60,"Under 60",IF(AE451&lt;90,"60-89",IF(AE451&lt;120,"90-119",IF(AE451&lt;150,"120-149","150+")))))</f>
        <v/>
      </c>
      <c r="AX451" s="5">
        <f>IF(AP451="","No revenue data",IF(AP451&lt;0.15,"Under 0.15x",IF(AP451&lt;0.3,"0.15-0.30x",IF(AP451&lt;0.5,"0.30-0.50x",IF(AP451&lt;1,"0.50-1.00x","1.00x+")))))</f>
        <v/>
      </c>
      <c r="AY451" s="5">
        <f>IF(J451="","No SIC",IFERROR(VLOOKUP(J451,Ref!$A$4:$C$67,2,FALSE()),"Unclassified"))</f>
        <v/>
      </c>
      <c r="AZ451" s="5">
        <f>IF(E451="","",TEXT(E451,"YYYY")&amp;"-Q"&amp;ROUNDUP(MONTH(E451)/3,0))</f>
        <v/>
      </c>
      <c r="BA451" s="5">
        <f>IF(E451="","",TEXT(E451,"YYYY-MM"))</f>
        <v/>
      </c>
      <c r="BB451" s="5">
        <f>IF(E451="","",TEXT(E451,"YYYY"))</f>
        <v/>
      </c>
      <c r="BC451" s="92">
        <f>IF($E451="","",NETWORKDAYS($E451,Controls!$B$9,Ref!$F$4:$F$47))</f>
        <v/>
      </c>
      <c r="BD451" s="92">
        <f>IF(OR($AH451=1,$AJ451=1),1,0)</f>
        <v/>
      </c>
      <c r="BE451" s="95">
        <f>IF(OR($BD451=1,AND($AE451&lt;&gt;"",$BC451&gt;=Controls!$B$10*$AE451)),1,0)</f>
        <v/>
      </c>
    </row>
    <row r="452" ht="15.75" customHeight="1" s="79">
      <c r="A452" s="5" t="inlineStr">
        <is>
          <t>5674174514</t>
        </is>
      </c>
      <c r="B452" s="5" t="inlineStr">
        <is>
          <t>Compassionate Heart Services LLC</t>
        </is>
      </c>
      <c r="C452" s="5" t="inlineStr">
        <is>
          <t>Compassionate Heart Services LLC</t>
        </is>
      </c>
      <c r="D452" s="5" t="inlineStr">
        <is>
          <t>Legal</t>
        </is>
      </c>
      <c r="E452" s="16" t="n">
        <v>46008</v>
      </c>
      <c r="F452" s="16" t="n">
        <v>46080</v>
      </c>
      <c r="G452" s="17" t="n">
        <v>3</v>
      </c>
      <c r="H452" s="5" t="inlineStr">
        <is>
          <t>8082</t>
        </is>
      </c>
      <c r="I452" s="5" t="inlineStr">
        <is>
          <t>Home Health Care Services</t>
        </is>
      </c>
      <c r="J452" s="5" t="inlineStr">
        <is>
          <t>80</t>
        </is>
      </c>
      <c r="K452" s="5" t="n">
        <v>8050</v>
      </c>
      <c r="L452" s="5" t="inlineStr">
        <is>
          <t>PA</t>
        </is>
      </c>
      <c r="M452" s="5" t="inlineStr">
        <is>
          <t>LENDCAP SOLUTIONS</t>
        </is>
      </c>
      <c r="N452" s="5" t="inlineStr">
        <is>
          <t>New Deal</t>
        </is>
      </c>
      <c r="O452" s="19" t="n">
        <v>1.499</v>
      </c>
      <c r="P452" s="20" t="n">
        <v>18000</v>
      </c>
      <c r="Q452" s="20" t="n">
        <v>2520</v>
      </c>
      <c r="R452" s="20" t="n">
        <v>26982</v>
      </c>
      <c r="S452" s="20" t="n">
        <v>5960.2</v>
      </c>
      <c r="T452" s="20" t="n">
        <v>21021.8</v>
      </c>
      <c r="U452" s="21" t="n">
        <v>0.220895411755985</v>
      </c>
      <c r="V452" s="22" t="n">
        <v>18</v>
      </c>
      <c r="W452" s="17" t="n">
        <v>222</v>
      </c>
      <c r="X452" s="17" t="n">
        <v>8</v>
      </c>
      <c r="Y452" s="20" t="n">
        <v>72596.8</v>
      </c>
      <c r="Z452" s="21" t="n">
        <v>0.08210000000000001</v>
      </c>
      <c r="AA452" s="16" t="n">
        <v>43770</v>
      </c>
      <c r="AB452" s="5">
        <f>IF(V452="","",IF(V452&lt;12,"Months","Weeks"))</f>
        <v/>
      </c>
      <c r="AC452" s="5">
        <f>IF(AB452="","",IF(AB452="Months","Daily","Weekly"))</f>
        <v/>
      </c>
      <c r="AD452" s="17">
        <f>IF(V452="","",IF(AC452="Daily",V452*Controls!$B$13,V452))</f>
        <v/>
      </c>
      <c r="AE452" s="17">
        <f>IF(V452="","",IF(AC452="Daily",V452*Controls!$B$13,V452*Controls!$B$12))</f>
        <v/>
      </c>
      <c r="AF452" s="17">
        <f>IF(OR(E452="",F452=""),"",F452-E452)</f>
        <v/>
      </c>
      <c r="AG452" s="17">
        <f>IF(OR(E452="",F452=""),"",NETWORKDAYS(E452,F452,Ref!$F$4:$F$47))</f>
        <v/>
      </c>
      <c r="AH452" s="39">
        <f>IF(IFERROR(VLOOKUP(D452,Controls!$A$25:$D$35,2,FALSE()),"No")="Yes",1,0)</f>
        <v/>
      </c>
      <c r="AI452" s="39">
        <f>IF(IFERROR(VLOOKUP(D452,Controls!$A$25:$D$35,3,FALSE()),"No")="Yes",1,0)</f>
        <v/>
      </c>
      <c r="AJ452" s="39">
        <f>IF(IFERROR(VLOOKUP(D452,Controls!$A$25:$D$35,4,FALSE()),"No")="Yes",1,0)</f>
        <v/>
      </c>
      <c r="AK452" s="96">
        <f>IF(AND($E452&gt;=Controls!$B$5,$E452&lt;=Controls!$B$6,OR(Controls!$E$9&lt;&gt;"Y",$BE452=1)),1,0)</f>
        <v/>
      </c>
      <c r="AL452" s="39">
        <f>1</f>
        <v/>
      </c>
      <c r="AM452" s="20">
        <f>S452-P452</f>
        <v/>
      </c>
      <c r="AN452" s="20">
        <f>IF(AH452=1,MAX(0,P452-S452),0)</f>
        <v/>
      </c>
      <c r="AO452" s="21">
        <f>IFERROR(S452/P452,"")</f>
        <v/>
      </c>
      <c r="AP452" s="22">
        <f>IF(Y452="","",P452/Y452)</f>
        <v/>
      </c>
      <c r="AQ452" s="39">
        <f>IF(Y452="",0,1)</f>
        <v/>
      </c>
      <c r="AR452" s="39">
        <f>IF(S452&lt;=0,1,0)</f>
        <v/>
      </c>
      <c r="AS452" s="17">
        <f>IF(AH452=1,AG452,"")</f>
        <v/>
      </c>
      <c r="AT452" s="17">
        <f>IF(AND(AH452=0,AJ452=1),AG452,"")</f>
        <v/>
      </c>
      <c r="AU452" s="5">
        <f>IF(P452&lt;10000,"Under $10K",IF(P452&lt;20000,"$10-20K",IF(P452&lt;30000,"$20-30K",IF(P452&lt;50000,"$30-50K",IF(P452&lt;100000,"$50-100K","$100K+")))))</f>
        <v/>
      </c>
      <c r="AV452" s="5">
        <f>IF(O452&lt;=1.35,"1.35 and under",IF(O452&lt;=1.42,"1.36-1.42",IF(O452&lt;=1.45,"1.43-1.45",IF(O452&lt;1.49,"1.46-1.48",IF(O452&lt;=1.49,"1.49","Above 1.49")))))</f>
        <v/>
      </c>
      <c r="AW452" s="5">
        <f>IF(AE452="","",IF(AE452&lt;60,"Under 60",IF(AE452&lt;90,"60-89",IF(AE452&lt;120,"90-119",IF(AE452&lt;150,"120-149","150+")))))</f>
        <v/>
      </c>
      <c r="AX452" s="5">
        <f>IF(AP452="","No revenue data",IF(AP452&lt;0.15,"Under 0.15x",IF(AP452&lt;0.3,"0.15-0.30x",IF(AP452&lt;0.5,"0.30-0.50x",IF(AP452&lt;1,"0.50-1.00x","1.00x+")))))</f>
        <v/>
      </c>
      <c r="AY452" s="5">
        <f>IF(J452="","No SIC",IFERROR(VLOOKUP(J452,Ref!$A$4:$C$67,2,FALSE()),"Unclassified"))</f>
        <v/>
      </c>
      <c r="AZ452" s="5">
        <f>IF(E452="","",TEXT(E452,"YYYY")&amp;"-Q"&amp;ROUNDUP(MONTH(E452)/3,0))</f>
        <v/>
      </c>
      <c r="BA452" s="5">
        <f>IF(E452="","",TEXT(E452,"YYYY-MM"))</f>
        <v/>
      </c>
      <c r="BB452" s="5">
        <f>IF(E452="","",TEXT(E452,"YYYY"))</f>
        <v/>
      </c>
      <c r="BC452" s="92">
        <f>IF($E452="","",NETWORKDAYS($E452,Controls!$B$9,Ref!$F$4:$F$47))</f>
        <v/>
      </c>
      <c r="BD452" s="92">
        <f>IF(OR($AH452=1,$AJ452=1),1,0)</f>
        <v/>
      </c>
      <c r="BE452" s="95">
        <f>IF(OR($BD452=1,AND($AE452&lt;&gt;"",$BC452&gt;=Controls!$B$10*$AE452)),1,0)</f>
        <v/>
      </c>
    </row>
    <row r="453" ht="15.75" customHeight="1" s="79">
      <c r="A453" s="5" t="inlineStr">
        <is>
          <t>5674174537</t>
        </is>
      </c>
      <c r="B453" s="5" t="inlineStr">
        <is>
          <t>ECW lawn &amp; Tree Service LLC</t>
        </is>
      </c>
      <c r="C453" s="5" t="inlineStr">
        <is>
          <t>ECW lawn &amp; Tree Service LLC</t>
        </is>
      </c>
      <c r="D453" s="5" t="inlineStr">
        <is>
          <t>Lowered Payments</t>
        </is>
      </c>
      <c r="E453" s="16" t="n">
        <v>46008</v>
      </c>
      <c r="F453" s="16" t="n">
        <v>46253</v>
      </c>
      <c r="G453" s="17" t="n">
        <v>4</v>
      </c>
      <c r="H453" s="5" t="inlineStr">
        <is>
          <t>3524</t>
        </is>
      </c>
      <c r="I453" s="5" t="inlineStr">
        <is>
          <t>Lawn and Garden Tractor and Home Lawn and Garden Equipment Mfg.</t>
        </is>
      </c>
      <c r="J453" s="5" t="inlineStr">
        <is>
          <t>35</t>
        </is>
      </c>
      <c r="K453" s="5" t="n">
        <v>5261</v>
      </c>
      <c r="L453" s="5" t="inlineStr">
        <is>
          <t>TX</t>
        </is>
      </c>
      <c r="M453" s="5" t="inlineStr">
        <is>
          <t>Fundwell</t>
        </is>
      </c>
      <c r="N453" s="5" t="inlineStr">
        <is>
          <t>Renewal</t>
        </is>
      </c>
      <c r="O453" s="19" t="n">
        <v>1.46</v>
      </c>
      <c r="P453" s="20" t="n">
        <v>11000</v>
      </c>
      <c r="Q453" s="20" t="n">
        <v>1705</v>
      </c>
      <c r="R453" s="20" t="n">
        <v>16060</v>
      </c>
      <c r="S453" s="20" t="n">
        <v>11066.02</v>
      </c>
      <c r="T453" s="20" t="n">
        <v>4993.98</v>
      </c>
      <c r="U453" s="21" t="n">
        <v>0.689042341220423</v>
      </c>
      <c r="V453" s="22" t="n">
        <v>29</v>
      </c>
      <c r="W453" s="17" t="n">
        <v>0</v>
      </c>
      <c r="X453" s="17" t="n">
        <v>50</v>
      </c>
      <c r="Y453" s="20" t="n">
        <v>39796.88</v>
      </c>
      <c r="Z453" s="21" t="n">
        <v>0.0508</v>
      </c>
      <c r="AA453" s="16" t="n">
        <v>43770</v>
      </c>
      <c r="AB453" s="5">
        <f>IF(V453="","",IF(V453&lt;12,"Months","Weeks"))</f>
        <v/>
      </c>
      <c r="AC453" s="5">
        <f>IF(AB453="","",IF(AB453="Months","Daily","Weekly"))</f>
        <v/>
      </c>
      <c r="AD453" s="17">
        <f>IF(V453="","",IF(AC453="Daily",V453*Controls!$B$13,V453))</f>
        <v/>
      </c>
      <c r="AE453" s="17">
        <f>IF(V453="","",IF(AC453="Daily",V453*Controls!$B$13,V453*Controls!$B$12))</f>
        <v/>
      </c>
      <c r="AF453" s="17">
        <f>IF(OR(E453="",F453=""),"",F453-E453)</f>
        <v/>
      </c>
      <c r="AG453" s="17">
        <f>IF(OR(E453="",F453=""),"",NETWORKDAYS(E453,F453,Ref!$F$4:$F$47))</f>
        <v/>
      </c>
      <c r="AH453" s="39">
        <f>IF(IFERROR(VLOOKUP(D453,Controls!$A$25:$D$35,2,FALSE()),"No")="Yes",1,0)</f>
        <v/>
      </c>
      <c r="AI453" s="39">
        <f>IF(IFERROR(VLOOKUP(D453,Controls!$A$25:$D$35,3,FALSE()),"No")="Yes",1,0)</f>
        <v/>
      </c>
      <c r="AJ453" s="39">
        <f>IF(IFERROR(VLOOKUP(D453,Controls!$A$25:$D$35,4,FALSE()),"No")="Yes",1,0)</f>
        <v/>
      </c>
      <c r="AK453" s="96">
        <f>IF(AND($E453&gt;=Controls!$B$5,$E453&lt;=Controls!$B$6,OR(Controls!$E$9&lt;&gt;"Y",$BE453=1)),1,0)</f>
        <v/>
      </c>
      <c r="AL453" s="39">
        <f>1</f>
        <v/>
      </c>
      <c r="AM453" s="20">
        <f>S453-P453</f>
        <v/>
      </c>
      <c r="AN453" s="20">
        <f>IF(AH453=1,MAX(0,P453-S453),0)</f>
        <v/>
      </c>
      <c r="AO453" s="21">
        <f>IFERROR(S453/P453,"")</f>
        <v/>
      </c>
      <c r="AP453" s="22">
        <f>IF(Y453="","",P453/Y453)</f>
        <v/>
      </c>
      <c r="AQ453" s="39">
        <f>IF(Y453="",0,1)</f>
        <v/>
      </c>
      <c r="AR453" s="39">
        <f>IF(S453&lt;=0,1,0)</f>
        <v/>
      </c>
      <c r="AS453" s="17">
        <f>IF(AH453=1,AG453,"")</f>
        <v/>
      </c>
      <c r="AT453" s="17">
        <f>IF(AND(AH453=0,AJ453=1),AG453,"")</f>
        <v/>
      </c>
      <c r="AU453" s="5">
        <f>IF(P453&lt;10000,"Under $10K",IF(P453&lt;20000,"$10-20K",IF(P453&lt;30000,"$20-30K",IF(P453&lt;50000,"$30-50K",IF(P453&lt;100000,"$50-100K","$100K+")))))</f>
        <v/>
      </c>
      <c r="AV453" s="5">
        <f>IF(O453&lt;=1.35,"1.35 and under",IF(O453&lt;=1.42,"1.36-1.42",IF(O453&lt;=1.45,"1.43-1.45",IF(O453&lt;1.49,"1.46-1.48",IF(O453&lt;=1.49,"1.49","Above 1.49")))))</f>
        <v/>
      </c>
      <c r="AW453" s="5">
        <f>IF(AE453="","",IF(AE453&lt;60,"Under 60",IF(AE453&lt;90,"60-89",IF(AE453&lt;120,"90-119",IF(AE453&lt;150,"120-149","150+")))))</f>
        <v/>
      </c>
      <c r="AX453" s="5">
        <f>IF(AP453="","No revenue data",IF(AP453&lt;0.15,"Under 0.15x",IF(AP453&lt;0.3,"0.15-0.30x",IF(AP453&lt;0.5,"0.30-0.50x",IF(AP453&lt;1,"0.50-1.00x","1.00x+")))))</f>
        <v/>
      </c>
      <c r="AY453" s="5">
        <f>IF(J453="","No SIC",IFERROR(VLOOKUP(J453,Ref!$A$4:$C$67,2,FALSE()),"Unclassified"))</f>
        <v/>
      </c>
      <c r="AZ453" s="5">
        <f>IF(E453="","",TEXT(E453,"YYYY")&amp;"-Q"&amp;ROUNDUP(MONTH(E453)/3,0))</f>
        <v/>
      </c>
      <c r="BA453" s="5">
        <f>IF(E453="","",TEXT(E453,"YYYY-MM"))</f>
        <v/>
      </c>
      <c r="BB453" s="5">
        <f>IF(E453="","",TEXT(E453,"YYYY"))</f>
        <v/>
      </c>
      <c r="BC453" s="92">
        <f>IF($E453="","",NETWORKDAYS($E453,Controls!$B$9,Ref!$F$4:$F$47))</f>
        <v/>
      </c>
      <c r="BD453" s="92">
        <f>IF(OR($AH453=1,$AJ453=1),1,0)</f>
        <v/>
      </c>
      <c r="BE453" s="95">
        <f>IF(OR($BD453=1,AND($AE453&lt;&gt;"",$BC453&gt;=Controls!$B$10*$AE453)),1,0)</f>
        <v/>
      </c>
    </row>
    <row r="454" ht="15.75" customHeight="1" s="79">
      <c r="A454" s="5" t="inlineStr">
        <is>
          <t>5674174583</t>
        </is>
      </c>
      <c r="B454" s="5" t="inlineStr">
        <is>
          <t>ELITE ROOFING LLC</t>
        </is>
      </c>
      <c r="C454" s="5" t="inlineStr">
        <is>
          <t>ELITE ROOFING LLC</t>
        </is>
      </c>
      <c r="D454" s="5" t="inlineStr">
        <is>
          <t>Legal</t>
        </is>
      </c>
      <c r="E454" s="16" t="n">
        <v>46009</v>
      </c>
      <c r="F454" s="16" t="n">
        <v>46128</v>
      </c>
      <c r="G454" s="17" t="n">
        <v>3</v>
      </c>
      <c r="H454" s="5" t="inlineStr">
        <is>
          <t>1761</t>
        </is>
      </c>
      <c r="I454" s="5" t="inlineStr">
        <is>
          <t>Roofing Contractors</t>
        </is>
      </c>
      <c r="J454" s="5" t="inlineStr">
        <is>
          <t>17</t>
        </is>
      </c>
      <c r="K454" s="5" t="n">
        <v>1761</v>
      </c>
      <c r="L454" s="5" t="inlineStr">
        <is>
          <t>ID</t>
        </is>
      </c>
      <c r="M454" s="5" t="inlineStr">
        <is>
          <t>Fidelity Funding</t>
        </is>
      </c>
      <c r="N454" s="5" t="inlineStr">
        <is>
          <t>New Deal</t>
        </is>
      </c>
      <c r="O454" s="19" t="n">
        <v>1.32</v>
      </c>
      <c r="P454" s="20" t="n">
        <v>60000</v>
      </c>
      <c r="Q454" s="20" t="n">
        <v>3600</v>
      </c>
      <c r="R454" s="20" t="n">
        <v>79200</v>
      </c>
      <c r="S454" s="20" t="n">
        <v>42246.4</v>
      </c>
      <c r="T454" s="20" t="n">
        <v>36953.6</v>
      </c>
      <c r="U454" s="21" t="n">
        <v>0.533414141414142</v>
      </c>
      <c r="V454" s="22" t="n">
        <v>30</v>
      </c>
      <c r="W454" s="17" t="n">
        <v>132</v>
      </c>
      <c r="X454" s="17" t="n">
        <v>1</v>
      </c>
      <c r="Y454" s="20" t="n">
        <v>162987.84</v>
      </c>
      <c r="Z454" s="21" t="n">
        <v>0.0648</v>
      </c>
      <c r="AA454" s="16" t="n">
        <v>44044</v>
      </c>
      <c r="AB454" s="5">
        <f>IF(V454="","",IF(V454&lt;12,"Months","Weeks"))</f>
        <v/>
      </c>
      <c r="AC454" s="5">
        <f>IF(AB454="","",IF(AB454="Months","Daily","Weekly"))</f>
        <v/>
      </c>
      <c r="AD454" s="17">
        <f>IF(V454="","",IF(AC454="Daily",V454*Controls!$B$13,V454))</f>
        <v/>
      </c>
      <c r="AE454" s="17">
        <f>IF(V454="","",IF(AC454="Daily",V454*Controls!$B$13,V454*Controls!$B$12))</f>
        <v/>
      </c>
      <c r="AF454" s="17">
        <f>IF(OR(E454="",F454=""),"",F454-E454)</f>
        <v/>
      </c>
      <c r="AG454" s="17">
        <f>IF(OR(E454="",F454=""),"",NETWORKDAYS(E454,F454,Ref!$F$4:$F$47))</f>
        <v/>
      </c>
      <c r="AH454" s="39">
        <f>IF(IFERROR(VLOOKUP(D454,Controls!$A$25:$D$35,2,FALSE()),"No")="Yes",1,0)</f>
        <v/>
      </c>
      <c r="AI454" s="39">
        <f>IF(IFERROR(VLOOKUP(D454,Controls!$A$25:$D$35,3,FALSE()),"No")="Yes",1,0)</f>
        <v/>
      </c>
      <c r="AJ454" s="39">
        <f>IF(IFERROR(VLOOKUP(D454,Controls!$A$25:$D$35,4,FALSE()),"No")="Yes",1,0)</f>
        <v/>
      </c>
      <c r="AK454" s="96">
        <f>IF(AND($E454&gt;=Controls!$B$5,$E454&lt;=Controls!$B$6,OR(Controls!$E$9&lt;&gt;"Y",$BE454=1)),1,0)</f>
        <v/>
      </c>
      <c r="AL454" s="39">
        <f>1</f>
        <v/>
      </c>
      <c r="AM454" s="20">
        <f>S454-P454</f>
        <v/>
      </c>
      <c r="AN454" s="20">
        <f>IF(AH454=1,MAX(0,P454-S454),0)</f>
        <v/>
      </c>
      <c r="AO454" s="21">
        <f>IFERROR(S454/P454,"")</f>
        <v/>
      </c>
      <c r="AP454" s="22">
        <f>IF(Y454="","",P454/Y454)</f>
        <v/>
      </c>
      <c r="AQ454" s="39">
        <f>IF(Y454="",0,1)</f>
        <v/>
      </c>
      <c r="AR454" s="39">
        <f>IF(S454&lt;=0,1,0)</f>
        <v/>
      </c>
      <c r="AS454" s="17">
        <f>IF(AH454=1,AG454,"")</f>
        <v/>
      </c>
      <c r="AT454" s="17">
        <f>IF(AND(AH454=0,AJ454=1),AG454,"")</f>
        <v/>
      </c>
      <c r="AU454" s="5">
        <f>IF(P454&lt;10000,"Under $10K",IF(P454&lt;20000,"$10-20K",IF(P454&lt;30000,"$20-30K",IF(P454&lt;50000,"$30-50K",IF(P454&lt;100000,"$50-100K","$100K+")))))</f>
        <v/>
      </c>
      <c r="AV454" s="5">
        <f>IF(O454&lt;=1.35,"1.35 and under",IF(O454&lt;=1.42,"1.36-1.42",IF(O454&lt;=1.45,"1.43-1.45",IF(O454&lt;1.49,"1.46-1.48",IF(O454&lt;=1.49,"1.49","Above 1.49")))))</f>
        <v/>
      </c>
      <c r="AW454" s="5">
        <f>IF(AE454="","",IF(AE454&lt;60,"Under 60",IF(AE454&lt;90,"60-89",IF(AE454&lt;120,"90-119",IF(AE454&lt;150,"120-149","150+")))))</f>
        <v/>
      </c>
      <c r="AX454" s="5">
        <f>IF(AP454="","No revenue data",IF(AP454&lt;0.15,"Under 0.15x",IF(AP454&lt;0.3,"0.15-0.30x",IF(AP454&lt;0.5,"0.30-0.50x",IF(AP454&lt;1,"0.50-1.00x","1.00x+")))))</f>
        <v/>
      </c>
      <c r="AY454" s="5">
        <f>IF(J454="","No SIC",IFERROR(VLOOKUP(J454,Ref!$A$4:$C$67,2,FALSE()),"Unclassified"))</f>
        <v/>
      </c>
      <c r="AZ454" s="5">
        <f>IF(E454="","",TEXT(E454,"YYYY")&amp;"-Q"&amp;ROUNDUP(MONTH(E454)/3,0))</f>
        <v/>
      </c>
      <c r="BA454" s="5">
        <f>IF(E454="","",TEXT(E454,"YYYY-MM"))</f>
        <v/>
      </c>
      <c r="BB454" s="5">
        <f>IF(E454="","",TEXT(E454,"YYYY"))</f>
        <v/>
      </c>
      <c r="BC454" s="92">
        <f>IF($E454="","",NETWORKDAYS($E454,Controls!$B$9,Ref!$F$4:$F$47))</f>
        <v/>
      </c>
      <c r="BD454" s="92">
        <f>IF(OR($AH454=1,$AJ454=1),1,0)</f>
        <v/>
      </c>
      <c r="BE454" s="95">
        <f>IF(OR($BD454=1,AND($AE454&lt;&gt;"",$BC454&gt;=Controls!$B$10*$AE454)),1,0)</f>
        <v/>
      </c>
    </row>
    <row r="455" ht="15.75" customHeight="1" s="79">
      <c r="A455" s="5" t="inlineStr">
        <is>
          <t>5674174595</t>
        </is>
      </c>
      <c r="B455" s="5" t="inlineStr">
        <is>
          <t>KNIGHT MAINTENANCE LLC</t>
        </is>
      </c>
      <c r="C455" s="5" t="inlineStr">
        <is>
          <t>KNIGHT MAINTENANCE LLC</t>
        </is>
      </c>
      <c r="D455" s="5" t="inlineStr">
        <is>
          <t>Closed</t>
        </is>
      </c>
      <c r="E455" s="16" t="n">
        <v>46009</v>
      </c>
      <c r="F455" s="16" t="n">
        <v>46129</v>
      </c>
      <c r="G455" s="17" t="n">
        <v>7</v>
      </c>
      <c r="H455" s="5" t="inlineStr">
        <is>
          <t>7349</t>
        </is>
      </c>
      <c r="I455" s="5" t="inlineStr">
        <is>
          <t>Janitorial Services</t>
        </is>
      </c>
      <c r="J455" s="5" t="inlineStr">
        <is>
          <t>73</t>
        </is>
      </c>
      <c r="K455" s="5" t="n">
        <v>7349</v>
      </c>
      <c r="L455" s="5" t="inlineStr">
        <is>
          <t>NJ</t>
        </is>
      </c>
      <c r="M455" s="5" t="inlineStr">
        <is>
          <t>Triumph Cap Fund</t>
        </is>
      </c>
      <c r="N455" s="5" t="inlineStr">
        <is>
          <t>New Deal</t>
        </is>
      </c>
      <c r="O455" s="19" t="n">
        <v>1.49</v>
      </c>
      <c r="P455" s="20" t="n">
        <v>10000</v>
      </c>
      <c r="Q455" s="20" t="n">
        <v>1400</v>
      </c>
      <c r="R455" s="20" t="n">
        <v>14900</v>
      </c>
      <c r="S455" s="20" t="n">
        <v>14900</v>
      </c>
      <c r="T455" s="20" t="n">
        <v>0</v>
      </c>
      <c r="U455" s="21" t="n">
        <v>1</v>
      </c>
      <c r="V455" s="22" t="n">
        <v>3.279</v>
      </c>
      <c r="W455" s="17" t="n">
        <v>124</v>
      </c>
      <c r="X455" s="17" t="n">
        <v>1</v>
      </c>
      <c r="Y455" s="20" t="n">
        <v>56609.08</v>
      </c>
      <c r="Z455" s="21" t="n">
        <v>0.0553</v>
      </c>
      <c r="AA455" s="16" t="n">
        <v>42223</v>
      </c>
      <c r="AB455" s="5">
        <f>IF(V455="","",IF(V455&lt;12,"Months","Weeks"))</f>
        <v/>
      </c>
      <c r="AC455" s="5">
        <f>IF(AB455="","",IF(AB455="Months","Daily","Weekly"))</f>
        <v/>
      </c>
      <c r="AD455" s="17">
        <f>IF(V455="","",IF(AC455="Daily",V455*Controls!$B$13,V455))</f>
        <v/>
      </c>
      <c r="AE455" s="17">
        <f>IF(V455="","",IF(AC455="Daily",V455*Controls!$B$13,V455*Controls!$B$12))</f>
        <v/>
      </c>
      <c r="AF455" s="17">
        <f>IF(OR(E455="",F455=""),"",F455-E455)</f>
        <v/>
      </c>
      <c r="AG455" s="17">
        <f>IF(OR(E455="",F455=""),"",NETWORKDAYS(E455,F455,Ref!$F$4:$F$47))</f>
        <v/>
      </c>
      <c r="AH455" s="39">
        <f>IF(IFERROR(VLOOKUP(D455,Controls!$A$25:$D$35,2,FALSE()),"No")="Yes",1,0)</f>
        <v/>
      </c>
      <c r="AI455" s="39">
        <f>IF(IFERROR(VLOOKUP(D455,Controls!$A$25:$D$35,3,FALSE()),"No")="Yes",1,0)</f>
        <v/>
      </c>
      <c r="AJ455" s="39">
        <f>IF(IFERROR(VLOOKUP(D455,Controls!$A$25:$D$35,4,FALSE()),"No")="Yes",1,0)</f>
        <v/>
      </c>
      <c r="AK455" s="96">
        <f>IF(AND($E455&gt;=Controls!$B$5,$E455&lt;=Controls!$B$6,OR(Controls!$E$9&lt;&gt;"Y",$BE455=1)),1,0)</f>
        <v/>
      </c>
      <c r="AL455" s="39">
        <f>1</f>
        <v/>
      </c>
      <c r="AM455" s="20">
        <f>S455-P455</f>
        <v/>
      </c>
      <c r="AN455" s="20">
        <f>IF(AH455=1,MAX(0,P455-S455),0)</f>
        <v/>
      </c>
      <c r="AO455" s="21">
        <f>IFERROR(S455/P455,"")</f>
        <v/>
      </c>
      <c r="AP455" s="22">
        <f>IF(Y455="","",P455/Y455)</f>
        <v/>
      </c>
      <c r="AQ455" s="39">
        <f>IF(Y455="",0,1)</f>
        <v/>
      </c>
      <c r="AR455" s="39">
        <f>IF(S455&lt;=0,1,0)</f>
        <v/>
      </c>
      <c r="AS455" s="17">
        <f>IF(AH455=1,AG455,"")</f>
        <v/>
      </c>
      <c r="AT455" s="17">
        <f>IF(AND(AH455=0,AJ455=1),AG455,"")</f>
        <v/>
      </c>
      <c r="AU455" s="5">
        <f>IF(P455&lt;10000,"Under $10K",IF(P455&lt;20000,"$10-20K",IF(P455&lt;30000,"$20-30K",IF(P455&lt;50000,"$30-50K",IF(P455&lt;100000,"$50-100K","$100K+")))))</f>
        <v/>
      </c>
      <c r="AV455" s="5">
        <f>IF(O455&lt;=1.35,"1.35 and under",IF(O455&lt;=1.42,"1.36-1.42",IF(O455&lt;=1.45,"1.43-1.45",IF(O455&lt;1.49,"1.46-1.48",IF(O455&lt;=1.49,"1.49","Above 1.49")))))</f>
        <v/>
      </c>
      <c r="AW455" s="5">
        <f>IF(AE455="","",IF(AE455&lt;60,"Under 60",IF(AE455&lt;90,"60-89",IF(AE455&lt;120,"90-119",IF(AE455&lt;150,"120-149","150+")))))</f>
        <v/>
      </c>
      <c r="AX455" s="5">
        <f>IF(AP455="","No revenue data",IF(AP455&lt;0.15,"Under 0.15x",IF(AP455&lt;0.3,"0.15-0.30x",IF(AP455&lt;0.5,"0.30-0.50x",IF(AP455&lt;1,"0.50-1.00x","1.00x+")))))</f>
        <v/>
      </c>
      <c r="AY455" s="5">
        <f>IF(J455="","No SIC",IFERROR(VLOOKUP(J455,Ref!$A$4:$C$67,2,FALSE()),"Unclassified"))</f>
        <v/>
      </c>
      <c r="AZ455" s="5">
        <f>IF(E455="","",TEXT(E455,"YYYY")&amp;"-Q"&amp;ROUNDUP(MONTH(E455)/3,0))</f>
        <v/>
      </c>
      <c r="BA455" s="5">
        <f>IF(E455="","",TEXT(E455,"YYYY-MM"))</f>
        <v/>
      </c>
      <c r="BB455" s="5">
        <f>IF(E455="","",TEXT(E455,"YYYY"))</f>
        <v/>
      </c>
      <c r="BC455" s="92">
        <f>IF($E455="","",NETWORKDAYS($E455,Controls!$B$9,Ref!$F$4:$F$47))</f>
        <v/>
      </c>
      <c r="BD455" s="92">
        <f>IF(OR($AH455=1,$AJ455=1),1,0)</f>
        <v/>
      </c>
      <c r="BE455" s="95">
        <f>IF(OR($BD455=1,AND($AE455&lt;&gt;"",$BC455&gt;=Controls!$B$10*$AE455)),1,0)</f>
        <v/>
      </c>
    </row>
    <row r="456" ht="15.75" customHeight="1" s="79">
      <c r="A456" s="5" t="inlineStr">
        <is>
          <t>5674174626</t>
        </is>
      </c>
      <c r="B456" s="5" t="inlineStr">
        <is>
          <t>PAUGUS BAY LANDSCAPE LLC</t>
        </is>
      </c>
      <c r="C456" s="5" t="inlineStr">
        <is>
          <t>PAUGUS BAY LANDSCAPE LLC</t>
        </is>
      </c>
      <c r="D456" s="5" t="inlineStr">
        <is>
          <t>Closed</t>
        </is>
      </c>
      <c r="E456" s="16" t="n">
        <v>46009</v>
      </c>
      <c r="F456" s="16" t="n">
        <v>46055</v>
      </c>
      <c r="G456" s="17" t="n">
        <v>1</v>
      </c>
      <c r="H456" s="5" t="inlineStr">
        <is>
          <t>0781</t>
        </is>
      </c>
      <c r="I456" s="5" t="inlineStr">
        <is>
          <t>Landscape Architectural Services</t>
        </is>
      </c>
      <c r="J456" s="5" t="inlineStr">
        <is>
          <t>07</t>
        </is>
      </c>
      <c r="K456" s="5" t="n">
        <v>8911</v>
      </c>
      <c r="L456" s="5" t="inlineStr">
        <is>
          <t>NH</t>
        </is>
      </c>
      <c r="M456" s="5" t="inlineStr">
        <is>
          <t>United Secured Capital 8</t>
        </is>
      </c>
      <c r="N456" s="5" t="inlineStr">
        <is>
          <t>New Deal</t>
        </is>
      </c>
      <c r="O456" s="19" t="n">
        <v>1.49</v>
      </c>
      <c r="P456" s="20" t="n">
        <v>7500</v>
      </c>
      <c r="Q456" s="20" t="n">
        <v>1050</v>
      </c>
      <c r="R456" s="20" t="n">
        <v>11175</v>
      </c>
      <c r="S456" s="20" t="n">
        <v>11175</v>
      </c>
      <c r="T456" s="20" t="n">
        <v>0</v>
      </c>
      <c r="U456" s="21" t="n">
        <v>1</v>
      </c>
      <c r="V456" s="22" t="n">
        <v>2.295</v>
      </c>
      <c r="W456" s="17" t="n">
        <v>198</v>
      </c>
      <c r="X456" s="17" t="n">
        <v>0</v>
      </c>
      <c r="Y456" s="20" t="n">
        <v>25000</v>
      </c>
      <c r="Z456" s="21" t="n">
        <v>0.1812</v>
      </c>
      <c r="AA456" s="16" t="n">
        <v>45292</v>
      </c>
      <c r="AB456" s="5">
        <f>IF(V456="","",IF(V456&lt;12,"Months","Weeks"))</f>
        <v/>
      </c>
      <c r="AC456" s="5">
        <f>IF(AB456="","",IF(AB456="Months","Daily","Weekly"))</f>
        <v/>
      </c>
      <c r="AD456" s="17">
        <f>IF(V456="","",IF(AC456="Daily",V456*Controls!$B$13,V456))</f>
        <v/>
      </c>
      <c r="AE456" s="17">
        <f>IF(V456="","",IF(AC456="Daily",V456*Controls!$B$13,V456*Controls!$B$12))</f>
        <v/>
      </c>
      <c r="AF456" s="17">
        <f>IF(OR(E456="",F456=""),"",F456-E456)</f>
        <v/>
      </c>
      <c r="AG456" s="17">
        <f>IF(OR(E456="",F456=""),"",NETWORKDAYS(E456,F456,Ref!$F$4:$F$47))</f>
        <v/>
      </c>
      <c r="AH456" s="39">
        <f>IF(IFERROR(VLOOKUP(D456,Controls!$A$25:$D$35,2,FALSE()),"No")="Yes",1,0)</f>
        <v/>
      </c>
      <c r="AI456" s="39">
        <f>IF(IFERROR(VLOOKUP(D456,Controls!$A$25:$D$35,3,FALSE()),"No")="Yes",1,0)</f>
        <v/>
      </c>
      <c r="AJ456" s="39">
        <f>IF(IFERROR(VLOOKUP(D456,Controls!$A$25:$D$35,4,FALSE()),"No")="Yes",1,0)</f>
        <v/>
      </c>
      <c r="AK456" s="96">
        <f>IF(AND($E456&gt;=Controls!$B$5,$E456&lt;=Controls!$B$6,OR(Controls!$E$9&lt;&gt;"Y",$BE456=1)),1,0)</f>
        <v/>
      </c>
      <c r="AL456" s="39">
        <f>1</f>
        <v/>
      </c>
      <c r="AM456" s="20">
        <f>S456-P456</f>
        <v/>
      </c>
      <c r="AN456" s="20">
        <f>IF(AH456=1,MAX(0,P456-S456),0)</f>
        <v/>
      </c>
      <c r="AO456" s="21">
        <f>IFERROR(S456/P456,"")</f>
        <v/>
      </c>
      <c r="AP456" s="22">
        <f>IF(Y456="","",P456/Y456)</f>
        <v/>
      </c>
      <c r="AQ456" s="39">
        <f>IF(Y456="",0,1)</f>
        <v/>
      </c>
      <c r="AR456" s="39">
        <f>IF(S456&lt;=0,1,0)</f>
        <v/>
      </c>
      <c r="AS456" s="17">
        <f>IF(AH456=1,AG456,"")</f>
        <v/>
      </c>
      <c r="AT456" s="17">
        <f>IF(AND(AH456=0,AJ456=1),AG456,"")</f>
        <v/>
      </c>
      <c r="AU456" s="5">
        <f>IF(P456&lt;10000,"Under $10K",IF(P456&lt;20000,"$10-20K",IF(P456&lt;30000,"$20-30K",IF(P456&lt;50000,"$30-50K",IF(P456&lt;100000,"$50-100K","$100K+")))))</f>
        <v/>
      </c>
      <c r="AV456" s="5">
        <f>IF(O456&lt;=1.35,"1.35 and under",IF(O456&lt;=1.42,"1.36-1.42",IF(O456&lt;=1.45,"1.43-1.45",IF(O456&lt;1.49,"1.46-1.48",IF(O456&lt;=1.49,"1.49","Above 1.49")))))</f>
        <v/>
      </c>
      <c r="AW456" s="5">
        <f>IF(AE456="","",IF(AE456&lt;60,"Under 60",IF(AE456&lt;90,"60-89",IF(AE456&lt;120,"90-119",IF(AE456&lt;150,"120-149","150+")))))</f>
        <v/>
      </c>
      <c r="AX456" s="5">
        <f>IF(AP456="","No revenue data",IF(AP456&lt;0.15,"Under 0.15x",IF(AP456&lt;0.3,"0.15-0.30x",IF(AP456&lt;0.5,"0.30-0.50x",IF(AP456&lt;1,"0.50-1.00x","1.00x+")))))</f>
        <v/>
      </c>
      <c r="AY456" s="5">
        <f>IF(J456="","No SIC",IFERROR(VLOOKUP(J456,Ref!$A$4:$C$67,2,FALSE()),"Unclassified"))</f>
        <v/>
      </c>
      <c r="AZ456" s="5">
        <f>IF(E456="","",TEXT(E456,"YYYY")&amp;"-Q"&amp;ROUNDUP(MONTH(E456)/3,0))</f>
        <v/>
      </c>
      <c r="BA456" s="5">
        <f>IF(E456="","",TEXT(E456,"YYYY-MM"))</f>
        <v/>
      </c>
      <c r="BB456" s="5">
        <f>IF(E456="","",TEXT(E456,"YYYY"))</f>
        <v/>
      </c>
      <c r="BC456" s="92">
        <f>IF($E456="","",NETWORKDAYS($E456,Controls!$B$9,Ref!$F$4:$F$47))</f>
        <v/>
      </c>
      <c r="BD456" s="92">
        <f>IF(OR($AH456=1,$AJ456=1),1,0)</f>
        <v/>
      </c>
      <c r="BE456" s="95">
        <f>IF(OR($BD456=1,AND($AE456&lt;&gt;"",$BC456&gt;=Controls!$B$10*$AE456)),1,0)</f>
        <v/>
      </c>
    </row>
    <row r="457" ht="15.75" customHeight="1" s="79">
      <c r="A457" s="5" t="inlineStr">
        <is>
          <t>5674174627</t>
        </is>
      </c>
      <c r="B457" s="5" t="inlineStr">
        <is>
          <t>VILLI ELECTRICAL SERVICES</t>
        </is>
      </c>
      <c r="C457" s="5" t="inlineStr">
        <is>
          <t>LUNA LUCE LLC</t>
        </is>
      </c>
      <c r="D457" s="5" t="inlineStr">
        <is>
          <t>Closed</t>
        </is>
      </c>
      <c r="E457" s="16" t="n">
        <v>46009</v>
      </c>
      <c r="F457" s="16" t="n">
        <v>46132</v>
      </c>
      <c r="G457" s="17" t="n">
        <v>1</v>
      </c>
      <c r="H457" s="5" t="inlineStr">
        <is>
          <t>1731</t>
        </is>
      </c>
      <c r="I457" s="5" t="inlineStr">
        <is>
          <t>Electrical Contractors and Other Wiring Installation Contractors</t>
        </is>
      </c>
      <c r="J457" s="5" t="inlineStr">
        <is>
          <t>17</t>
        </is>
      </c>
      <c r="K457" s="5" t="n">
        <v>1731</v>
      </c>
      <c r="L457" s="5" t="inlineStr">
        <is>
          <t>PA</t>
        </is>
      </c>
      <c r="M457" s="5" t="inlineStr">
        <is>
          <t>Fundwell</t>
        </is>
      </c>
      <c r="N457" s="5" t="inlineStr">
        <is>
          <t>New Deal</t>
        </is>
      </c>
      <c r="O457" s="19" t="n">
        <v>1.38</v>
      </c>
      <c r="P457" s="20" t="n">
        <v>75000</v>
      </c>
      <c r="Q457" s="20" t="n">
        <v>9375</v>
      </c>
      <c r="R457" s="20" t="n">
        <v>103500</v>
      </c>
      <c r="S457" s="20" t="n">
        <v>103500</v>
      </c>
      <c r="T457" s="20" t="n">
        <v>-1.45519152283669e-11</v>
      </c>
      <c r="U457" s="21" t="n">
        <v>1</v>
      </c>
      <c r="V457" s="22" t="n">
        <v>28</v>
      </c>
      <c r="W457" s="17" t="n">
        <v>121</v>
      </c>
      <c r="X457" s="17" t="n">
        <v>1</v>
      </c>
      <c r="Y457" s="20" t="n">
        <v>125984.36</v>
      </c>
      <c r="Z457" s="21" t="n">
        <v>0.1174</v>
      </c>
      <c r="AA457" s="16" t="n">
        <v>43283</v>
      </c>
      <c r="AB457" s="5">
        <f>IF(V457="","",IF(V457&lt;12,"Months","Weeks"))</f>
        <v/>
      </c>
      <c r="AC457" s="5">
        <f>IF(AB457="","",IF(AB457="Months","Daily","Weekly"))</f>
        <v/>
      </c>
      <c r="AD457" s="17">
        <f>IF(V457="","",IF(AC457="Daily",V457*Controls!$B$13,V457))</f>
        <v/>
      </c>
      <c r="AE457" s="17">
        <f>IF(V457="","",IF(AC457="Daily",V457*Controls!$B$13,V457*Controls!$B$12))</f>
        <v/>
      </c>
      <c r="AF457" s="17">
        <f>IF(OR(E457="",F457=""),"",F457-E457)</f>
        <v/>
      </c>
      <c r="AG457" s="17">
        <f>IF(OR(E457="",F457=""),"",NETWORKDAYS(E457,F457,Ref!$F$4:$F$47))</f>
        <v/>
      </c>
      <c r="AH457" s="39">
        <f>IF(IFERROR(VLOOKUP(D457,Controls!$A$25:$D$35,2,FALSE()),"No")="Yes",1,0)</f>
        <v/>
      </c>
      <c r="AI457" s="39">
        <f>IF(IFERROR(VLOOKUP(D457,Controls!$A$25:$D$35,3,FALSE()),"No")="Yes",1,0)</f>
        <v/>
      </c>
      <c r="AJ457" s="39">
        <f>IF(IFERROR(VLOOKUP(D457,Controls!$A$25:$D$35,4,FALSE()),"No")="Yes",1,0)</f>
        <v/>
      </c>
      <c r="AK457" s="96">
        <f>IF(AND($E457&gt;=Controls!$B$5,$E457&lt;=Controls!$B$6,OR(Controls!$E$9&lt;&gt;"Y",$BE457=1)),1,0)</f>
        <v/>
      </c>
      <c r="AL457" s="39">
        <f>1</f>
        <v/>
      </c>
      <c r="AM457" s="20">
        <f>S457-P457</f>
        <v/>
      </c>
      <c r="AN457" s="20">
        <f>IF(AH457=1,MAX(0,P457-S457),0)</f>
        <v/>
      </c>
      <c r="AO457" s="21">
        <f>IFERROR(S457/P457,"")</f>
        <v/>
      </c>
      <c r="AP457" s="22">
        <f>IF(Y457="","",P457/Y457)</f>
        <v/>
      </c>
      <c r="AQ457" s="39">
        <f>IF(Y457="",0,1)</f>
        <v/>
      </c>
      <c r="AR457" s="39">
        <f>IF(S457&lt;=0,1,0)</f>
        <v/>
      </c>
      <c r="AS457" s="17">
        <f>IF(AH457=1,AG457,"")</f>
        <v/>
      </c>
      <c r="AT457" s="17">
        <f>IF(AND(AH457=0,AJ457=1),AG457,"")</f>
        <v/>
      </c>
      <c r="AU457" s="5">
        <f>IF(P457&lt;10000,"Under $10K",IF(P457&lt;20000,"$10-20K",IF(P457&lt;30000,"$20-30K",IF(P457&lt;50000,"$30-50K",IF(P457&lt;100000,"$50-100K","$100K+")))))</f>
        <v/>
      </c>
      <c r="AV457" s="5">
        <f>IF(O457&lt;=1.35,"1.35 and under",IF(O457&lt;=1.42,"1.36-1.42",IF(O457&lt;=1.45,"1.43-1.45",IF(O457&lt;1.49,"1.46-1.48",IF(O457&lt;=1.49,"1.49","Above 1.49")))))</f>
        <v/>
      </c>
      <c r="AW457" s="5">
        <f>IF(AE457="","",IF(AE457&lt;60,"Under 60",IF(AE457&lt;90,"60-89",IF(AE457&lt;120,"90-119",IF(AE457&lt;150,"120-149","150+")))))</f>
        <v/>
      </c>
      <c r="AX457" s="5">
        <f>IF(AP457="","No revenue data",IF(AP457&lt;0.15,"Under 0.15x",IF(AP457&lt;0.3,"0.15-0.30x",IF(AP457&lt;0.5,"0.30-0.50x",IF(AP457&lt;1,"0.50-1.00x","1.00x+")))))</f>
        <v/>
      </c>
      <c r="AY457" s="5">
        <f>IF(J457="","No SIC",IFERROR(VLOOKUP(J457,Ref!$A$4:$C$67,2,FALSE()),"Unclassified"))</f>
        <v/>
      </c>
      <c r="AZ457" s="5">
        <f>IF(E457="","",TEXT(E457,"YYYY")&amp;"-Q"&amp;ROUNDUP(MONTH(E457)/3,0))</f>
        <v/>
      </c>
      <c r="BA457" s="5">
        <f>IF(E457="","",TEXT(E457,"YYYY-MM"))</f>
        <v/>
      </c>
      <c r="BB457" s="5">
        <f>IF(E457="","",TEXT(E457,"YYYY"))</f>
        <v/>
      </c>
      <c r="BC457" s="92">
        <f>IF($E457="","",NETWORKDAYS($E457,Controls!$B$9,Ref!$F$4:$F$47))</f>
        <v/>
      </c>
      <c r="BD457" s="92">
        <f>IF(OR($AH457=1,$AJ457=1),1,0)</f>
        <v/>
      </c>
      <c r="BE457" s="95">
        <f>IF(OR($BD457=1,AND($AE457&lt;&gt;"",$BC457&gt;=Controls!$B$10*$AE457)),1,0)</f>
        <v/>
      </c>
    </row>
    <row r="458" ht="15.75" customHeight="1" s="79">
      <c r="A458" s="5" t="inlineStr">
        <is>
          <t>5674174652</t>
        </is>
      </c>
      <c r="B458" s="5" t="inlineStr">
        <is>
          <t>PROFESSIONAL SYSTEMS INSTALLATION</t>
        </is>
      </c>
      <c r="C458" s="5" t="inlineStr">
        <is>
          <t>professional systems installation, inc</t>
        </is>
      </c>
      <c r="D458" s="5" t="inlineStr">
        <is>
          <t>Closed</t>
        </is>
      </c>
      <c r="E458" s="16" t="n">
        <v>46009</v>
      </c>
      <c r="F458" s="16" t="n">
        <v>46150</v>
      </c>
      <c r="G458" s="17" t="n">
        <v>3</v>
      </c>
      <c r="H458" s="5" t="inlineStr">
        <is>
          <t>4225</t>
        </is>
      </c>
      <c r="I458" s="5" t="inlineStr">
        <is>
          <t>General Warehousing and Storage</t>
        </is>
      </c>
      <c r="J458" s="5" t="inlineStr">
        <is>
          <t>42</t>
        </is>
      </c>
      <c r="K458" s="5" t="n">
        <v>4225</v>
      </c>
      <c r="L458" s="5" t="inlineStr">
        <is>
          <t>MI</t>
        </is>
      </c>
      <c r="M458" s="5" t="inlineStr">
        <is>
          <t>EZ ADVANCE LLC</t>
        </is>
      </c>
      <c r="N458" s="5" t="inlineStr">
        <is>
          <t>New Deal</t>
        </is>
      </c>
      <c r="O458" s="19" t="n">
        <v>1.42</v>
      </c>
      <c r="P458" s="20" t="n">
        <v>200000</v>
      </c>
      <c r="Q458" s="20" t="n">
        <v>21000</v>
      </c>
      <c r="R458" s="20" t="n">
        <v>284000</v>
      </c>
      <c r="S458" s="20" t="n">
        <v>284000</v>
      </c>
      <c r="T458" s="20" t="n">
        <v>0</v>
      </c>
      <c r="U458" s="21" t="n">
        <v>1</v>
      </c>
      <c r="V458" s="22" t="n">
        <v>38</v>
      </c>
      <c r="W458" s="17" t="n">
        <v>103</v>
      </c>
      <c r="X458" s="17" t="n">
        <v>0</v>
      </c>
      <c r="Y458" s="20" t="n">
        <v>619888.4399999999</v>
      </c>
      <c r="Z458" s="21" t="n">
        <v>0.0482</v>
      </c>
      <c r="AA458" s="16" t="n">
        <v>41377</v>
      </c>
      <c r="AB458" s="5">
        <f>IF(V458="","",IF(V458&lt;12,"Months","Weeks"))</f>
        <v/>
      </c>
      <c r="AC458" s="5">
        <f>IF(AB458="","",IF(AB458="Months","Daily","Weekly"))</f>
        <v/>
      </c>
      <c r="AD458" s="17">
        <f>IF(V458="","",IF(AC458="Daily",V458*Controls!$B$13,V458))</f>
        <v/>
      </c>
      <c r="AE458" s="17">
        <f>IF(V458="","",IF(AC458="Daily",V458*Controls!$B$13,V458*Controls!$B$12))</f>
        <v/>
      </c>
      <c r="AF458" s="17">
        <f>IF(OR(E458="",F458=""),"",F458-E458)</f>
        <v/>
      </c>
      <c r="AG458" s="17">
        <f>IF(OR(E458="",F458=""),"",NETWORKDAYS(E458,F458,Ref!$F$4:$F$47))</f>
        <v/>
      </c>
      <c r="AH458" s="39">
        <f>IF(IFERROR(VLOOKUP(D458,Controls!$A$25:$D$35,2,FALSE()),"No")="Yes",1,0)</f>
        <v/>
      </c>
      <c r="AI458" s="39">
        <f>IF(IFERROR(VLOOKUP(D458,Controls!$A$25:$D$35,3,FALSE()),"No")="Yes",1,0)</f>
        <v/>
      </c>
      <c r="AJ458" s="39">
        <f>IF(IFERROR(VLOOKUP(D458,Controls!$A$25:$D$35,4,FALSE()),"No")="Yes",1,0)</f>
        <v/>
      </c>
      <c r="AK458" s="96">
        <f>IF(AND($E458&gt;=Controls!$B$5,$E458&lt;=Controls!$B$6,OR(Controls!$E$9&lt;&gt;"Y",$BE458=1)),1,0)</f>
        <v/>
      </c>
      <c r="AL458" s="39">
        <f>1</f>
        <v/>
      </c>
      <c r="AM458" s="20">
        <f>S458-P458</f>
        <v/>
      </c>
      <c r="AN458" s="20">
        <f>IF(AH458=1,MAX(0,P458-S458),0)</f>
        <v/>
      </c>
      <c r="AO458" s="21">
        <f>IFERROR(S458/P458,"")</f>
        <v/>
      </c>
      <c r="AP458" s="22">
        <f>IF(Y458="","",P458/Y458)</f>
        <v/>
      </c>
      <c r="AQ458" s="39">
        <f>IF(Y458="",0,1)</f>
        <v/>
      </c>
      <c r="AR458" s="39">
        <f>IF(S458&lt;=0,1,0)</f>
        <v/>
      </c>
      <c r="AS458" s="17">
        <f>IF(AH458=1,AG458,"")</f>
        <v/>
      </c>
      <c r="AT458" s="17">
        <f>IF(AND(AH458=0,AJ458=1),AG458,"")</f>
        <v/>
      </c>
      <c r="AU458" s="5">
        <f>IF(P458&lt;10000,"Under $10K",IF(P458&lt;20000,"$10-20K",IF(P458&lt;30000,"$20-30K",IF(P458&lt;50000,"$30-50K",IF(P458&lt;100000,"$50-100K","$100K+")))))</f>
        <v/>
      </c>
      <c r="AV458" s="5">
        <f>IF(O458&lt;=1.35,"1.35 and under",IF(O458&lt;=1.42,"1.36-1.42",IF(O458&lt;=1.45,"1.43-1.45",IF(O458&lt;1.49,"1.46-1.48",IF(O458&lt;=1.49,"1.49","Above 1.49")))))</f>
        <v/>
      </c>
      <c r="AW458" s="5">
        <f>IF(AE458="","",IF(AE458&lt;60,"Under 60",IF(AE458&lt;90,"60-89",IF(AE458&lt;120,"90-119",IF(AE458&lt;150,"120-149","150+")))))</f>
        <v/>
      </c>
      <c r="AX458" s="5">
        <f>IF(AP458="","No revenue data",IF(AP458&lt;0.15,"Under 0.15x",IF(AP458&lt;0.3,"0.15-0.30x",IF(AP458&lt;0.5,"0.30-0.50x",IF(AP458&lt;1,"0.50-1.00x","1.00x+")))))</f>
        <v/>
      </c>
      <c r="AY458" s="5">
        <f>IF(J458="","No SIC",IFERROR(VLOOKUP(J458,Ref!$A$4:$C$67,2,FALSE()),"Unclassified"))</f>
        <v/>
      </c>
      <c r="AZ458" s="5">
        <f>IF(E458="","",TEXT(E458,"YYYY")&amp;"-Q"&amp;ROUNDUP(MONTH(E458)/3,0))</f>
        <v/>
      </c>
      <c r="BA458" s="5">
        <f>IF(E458="","",TEXT(E458,"YYYY-MM"))</f>
        <v/>
      </c>
      <c r="BB458" s="5">
        <f>IF(E458="","",TEXT(E458,"YYYY"))</f>
        <v/>
      </c>
      <c r="BC458" s="92">
        <f>IF($E458="","",NETWORKDAYS($E458,Controls!$B$9,Ref!$F$4:$F$47))</f>
        <v/>
      </c>
      <c r="BD458" s="92">
        <f>IF(OR($AH458=1,$AJ458=1),1,0)</f>
        <v/>
      </c>
      <c r="BE458" s="95">
        <f>IF(OR($BD458=1,AND($AE458&lt;&gt;"",$BC458&gt;=Controls!$B$10*$AE458)),1,0)</f>
        <v/>
      </c>
    </row>
    <row r="459" ht="15.75" customHeight="1" s="79">
      <c r="A459" s="5" t="inlineStr">
        <is>
          <t>5674174654</t>
        </is>
      </c>
      <c r="B459" s="5" t="inlineStr">
        <is>
          <t>Obys Auto Restoration LLC</t>
        </is>
      </c>
      <c r="C459" s="5" t="inlineStr">
        <is>
          <t>Obys Auto Restoration LLC</t>
        </is>
      </c>
      <c r="D459" s="5" t="inlineStr">
        <is>
          <t>Closed</t>
        </is>
      </c>
      <c r="E459" s="16" t="n">
        <v>46009</v>
      </c>
      <c r="F459" s="16" t="n">
        <v>46118</v>
      </c>
      <c r="G459" s="17" t="n">
        <v>1</v>
      </c>
      <c r="H459" s="5" t="inlineStr">
        <is>
          <t>7538</t>
        </is>
      </c>
      <c r="I459" s="5" t="inlineStr">
        <is>
          <t>General Automotive Repair</t>
        </is>
      </c>
      <c r="J459" s="5" t="inlineStr">
        <is>
          <t>75</t>
        </is>
      </c>
      <c r="K459" s="5" t="n">
        <v>7538</v>
      </c>
      <c r="L459" s="5" t="inlineStr">
        <is>
          <t>WI</t>
        </is>
      </c>
      <c r="M459" s="5" t="inlineStr">
        <is>
          <t>United Secured Capital 8</t>
        </is>
      </c>
      <c r="N459" s="5" t="inlineStr">
        <is>
          <t>New Deal</t>
        </is>
      </c>
      <c r="O459" s="19" t="n">
        <v>1.49</v>
      </c>
      <c r="P459" s="20" t="n">
        <v>15000</v>
      </c>
      <c r="Q459" s="20" t="n">
        <v>2100</v>
      </c>
      <c r="R459" s="20" t="n">
        <v>22350</v>
      </c>
      <c r="S459" s="20" t="n">
        <v>22350</v>
      </c>
      <c r="T459" s="20" t="n">
        <v>0</v>
      </c>
      <c r="U459" s="21" t="n">
        <v>1</v>
      </c>
      <c r="V459" s="22" t="n">
        <v>18</v>
      </c>
      <c r="W459" s="17" t="n">
        <v>135</v>
      </c>
      <c r="X459" s="17" t="n">
        <v>2</v>
      </c>
      <c r="Y459" s="20" t="n">
        <v>36089.77</v>
      </c>
      <c r="Z459" s="21" t="n">
        <v>0.1376</v>
      </c>
      <c r="AA459" s="16" t="n">
        <v>45812</v>
      </c>
      <c r="AB459" s="5">
        <f>IF(V459="","",IF(V459&lt;12,"Months","Weeks"))</f>
        <v/>
      </c>
      <c r="AC459" s="5">
        <f>IF(AB459="","",IF(AB459="Months","Daily","Weekly"))</f>
        <v/>
      </c>
      <c r="AD459" s="17">
        <f>IF(V459="","",IF(AC459="Daily",V459*Controls!$B$13,V459))</f>
        <v/>
      </c>
      <c r="AE459" s="17">
        <f>IF(V459="","",IF(AC459="Daily",V459*Controls!$B$13,V459*Controls!$B$12))</f>
        <v/>
      </c>
      <c r="AF459" s="17">
        <f>IF(OR(E459="",F459=""),"",F459-E459)</f>
        <v/>
      </c>
      <c r="AG459" s="17">
        <f>IF(OR(E459="",F459=""),"",NETWORKDAYS(E459,F459,Ref!$F$4:$F$47))</f>
        <v/>
      </c>
      <c r="AH459" s="39">
        <f>IF(IFERROR(VLOOKUP(D459,Controls!$A$25:$D$35,2,FALSE()),"No")="Yes",1,0)</f>
        <v/>
      </c>
      <c r="AI459" s="39">
        <f>IF(IFERROR(VLOOKUP(D459,Controls!$A$25:$D$35,3,FALSE()),"No")="Yes",1,0)</f>
        <v/>
      </c>
      <c r="AJ459" s="39">
        <f>IF(IFERROR(VLOOKUP(D459,Controls!$A$25:$D$35,4,FALSE()),"No")="Yes",1,0)</f>
        <v/>
      </c>
      <c r="AK459" s="96">
        <f>IF(AND($E459&gt;=Controls!$B$5,$E459&lt;=Controls!$B$6,OR(Controls!$E$9&lt;&gt;"Y",$BE459=1)),1,0)</f>
        <v/>
      </c>
      <c r="AL459" s="39">
        <f>1</f>
        <v/>
      </c>
      <c r="AM459" s="20">
        <f>S459-P459</f>
        <v/>
      </c>
      <c r="AN459" s="20">
        <f>IF(AH459=1,MAX(0,P459-S459),0)</f>
        <v/>
      </c>
      <c r="AO459" s="21">
        <f>IFERROR(S459/P459,"")</f>
        <v/>
      </c>
      <c r="AP459" s="22">
        <f>IF(Y459="","",P459/Y459)</f>
        <v/>
      </c>
      <c r="AQ459" s="39">
        <f>IF(Y459="",0,1)</f>
        <v/>
      </c>
      <c r="AR459" s="39">
        <f>IF(S459&lt;=0,1,0)</f>
        <v/>
      </c>
      <c r="AS459" s="17">
        <f>IF(AH459=1,AG459,"")</f>
        <v/>
      </c>
      <c r="AT459" s="17">
        <f>IF(AND(AH459=0,AJ459=1),AG459,"")</f>
        <v/>
      </c>
      <c r="AU459" s="5">
        <f>IF(P459&lt;10000,"Under $10K",IF(P459&lt;20000,"$10-20K",IF(P459&lt;30000,"$20-30K",IF(P459&lt;50000,"$30-50K",IF(P459&lt;100000,"$50-100K","$100K+")))))</f>
        <v/>
      </c>
      <c r="AV459" s="5">
        <f>IF(O459&lt;=1.35,"1.35 and under",IF(O459&lt;=1.42,"1.36-1.42",IF(O459&lt;=1.45,"1.43-1.45",IF(O459&lt;1.49,"1.46-1.48",IF(O459&lt;=1.49,"1.49","Above 1.49")))))</f>
        <v/>
      </c>
      <c r="AW459" s="5">
        <f>IF(AE459="","",IF(AE459&lt;60,"Under 60",IF(AE459&lt;90,"60-89",IF(AE459&lt;120,"90-119",IF(AE459&lt;150,"120-149","150+")))))</f>
        <v/>
      </c>
      <c r="AX459" s="5">
        <f>IF(AP459="","No revenue data",IF(AP459&lt;0.15,"Under 0.15x",IF(AP459&lt;0.3,"0.15-0.30x",IF(AP459&lt;0.5,"0.30-0.50x",IF(AP459&lt;1,"0.50-1.00x","1.00x+")))))</f>
        <v/>
      </c>
      <c r="AY459" s="5">
        <f>IF(J459="","No SIC",IFERROR(VLOOKUP(J459,Ref!$A$4:$C$67,2,FALSE()),"Unclassified"))</f>
        <v/>
      </c>
      <c r="AZ459" s="5">
        <f>IF(E459="","",TEXT(E459,"YYYY")&amp;"-Q"&amp;ROUNDUP(MONTH(E459)/3,0))</f>
        <v/>
      </c>
      <c r="BA459" s="5">
        <f>IF(E459="","",TEXT(E459,"YYYY-MM"))</f>
        <v/>
      </c>
      <c r="BB459" s="5">
        <f>IF(E459="","",TEXT(E459,"YYYY"))</f>
        <v/>
      </c>
      <c r="BC459" s="92">
        <f>IF($E459="","",NETWORKDAYS($E459,Controls!$B$9,Ref!$F$4:$F$47))</f>
        <v/>
      </c>
      <c r="BD459" s="92">
        <f>IF(OR($AH459=1,$AJ459=1),1,0)</f>
        <v/>
      </c>
      <c r="BE459" s="95">
        <f>IF(OR($BD459=1,AND($AE459&lt;&gt;"",$BC459&gt;=Controls!$B$10*$AE459)),1,0)</f>
        <v/>
      </c>
    </row>
    <row r="460" ht="15.75" customHeight="1" s="79">
      <c r="A460" s="5" t="inlineStr">
        <is>
          <t>5674174716</t>
        </is>
      </c>
      <c r="B460" s="5" t="inlineStr">
        <is>
          <t>WILLIAMS FIRE PROTECTION</t>
        </is>
      </c>
      <c r="C460" s="5" t="inlineStr">
        <is>
          <t>WILLIAMS FIRE PROTECTION</t>
        </is>
      </c>
      <c r="D460" s="5" t="inlineStr">
        <is>
          <t>Lowered Payments</t>
        </is>
      </c>
      <c r="E460" s="16" t="n">
        <v>46010</v>
      </c>
      <c r="F460" s="16" t="n">
        <v>46227</v>
      </c>
      <c r="G460" s="17" t="n">
        <v>1</v>
      </c>
      <c r="H460" s="5" t="inlineStr">
        <is>
          <t>9224</t>
        </is>
      </c>
      <c r="I460" s="5" t="inlineStr">
        <is>
          <t>Fire Protection</t>
        </is>
      </c>
      <c r="J460" s="5" t="inlineStr">
        <is>
          <t>92</t>
        </is>
      </c>
      <c r="K460" s="5" t="n">
        <v>5718</v>
      </c>
      <c r="L460" s="5" t="inlineStr">
        <is>
          <t>CA</t>
        </is>
      </c>
      <c r="M460" s="5" t="inlineStr">
        <is>
          <t>Fundwell</t>
        </is>
      </c>
      <c r="N460" s="5" t="inlineStr">
        <is>
          <t>New Deal</t>
        </is>
      </c>
      <c r="O460" s="19" t="n">
        <v>1.46</v>
      </c>
      <c r="P460" s="20" t="n">
        <v>30000</v>
      </c>
      <c r="Q460" s="20" t="n">
        <v>4650</v>
      </c>
      <c r="R460" s="20" t="n">
        <v>43800</v>
      </c>
      <c r="S460" s="20" t="n">
        <v>13928.32</v>
      </c>
      <c r="T460" s="20" t="n">
        <v>29871.68</v>
      </c>
      <c r="U460" s="21" t="n">
        <v>0.317998173515982</v>
      </c>
      <c r="V460" s="22" t="n">
        <v>30</v>
      </c>
      <c r="W460" s="17" t="n">
        <v>96</v>
      </c>
      <c r="X460" s="17" t="n">
        <v>20</v>
      </c>
      <c r="Y460" s="20" t="n">
        <v>78496.8</v>
      </c>
      <c r="Z460" s="21" t="n">
        <v>0.07439999999999999</v>
      </c>
      <c r="AA460" s="16" t="n">
        <v>45273</v>
      </c>
      <c r="AB460" s="5">
        <f>IF(V460="","",IF(V460&lt;12,"Months","Weeks"))</f>
        <v/>
      </c>
      <c r="AC460" s="5">
        <f>IF(AB460="","",IF(AB460="Months","Daily","Weekly"))</f>
        <v/>
      </c>
      <c r="AD460" s="17">
        <f>IF(V460="","",IF(AC460="Daily",V460*Controls!$B$13,V460))</f>
        <v/>
      </c>
      <c r="AE460" s="17">
        <f>IF(V460="","",IF(AC460="Daily",V460*Controls!$B$13,V460*Controls!$B$12))</f>
        <v/>
      </c>
      <c r="AF460" s="17">
        <f>IF(OR(E460="",F460=""),"",F460-E460)</f>
        <v/>
      </c>
      <c r="AG460" s="17">
        <f>IF(OR(E460="",F460=""),"",NETWORKDAYS(E460,F460,Ref!$F$4:$F$47))</f>
        <v/>
      </c>
      <c r="AH460" s="39">
        <f>IF(IFERROR(VLOOKUP(D460,Controls!$A$25:$D$35,2,FALSE()),"No")="Yes",1,0)</f>
        <v/>
      </c>
      <c r="AI460" s="39">
        <f>IF(IFERROR(VLOOKUP(D460,Controls!$A$25:$D$35,3,FALSE()),"No")="Yes",1,0)</f>
        <v/>
      </c>
      <c r="AJ460" s="39">
        <f>IF(IFERROR(VLOOKUP(D460,Controls!$A$25:$D$35,4,FALSE()),"No")="Yes",1,0)</f>
        <v/>
      </c>
      <c r="AK460" s="96">
        <f>IF(AND($E460&gt;=Controls!$B$5,$E460&lt;=Controls!$B$6,OR(Controls!$E$9&lt;&gt;"Y",$BE460=1)),1,0)</f>
        <v/>
      </c>
      <c r="AL460" s="39">
        <f>1</f>
        <v/>
      </c>
      <c r="AM460" s="20">
        <f>S460-P460</f>
        <v/>
      </c>
      <c r="AN460" s="20">
        <f>IF(AH460=1,MAX(0,P460-S460),0)</f>
        <v/>
      </c>
      <c r="AO460" s="21">
        <f>IFERROR(S460/P460,"")</f>
        <v/>
      </c>
      <c r="AP460" s="22">
        <f>IF(Y460="","",P460/Y460)</f>
        <v/>
      </c>
      <c r="AQ460" s="39">
        <f>IF(Y460="",0,1)</f>
        <v/>
      </c>
      <c r="AR460" s="39">
        <f>IF(S460&lt;=0,1,0)</f>
        <v/>
      </c>
      <c r="AS460" s="17">
        <f>IF(AH460=1,AG460,"")</f>
        <v/>
      </c>
      <c r="AT460" s="17">
        <f>IF(AND(AH460=0,AJ460=1),AG460,"")</f>
        <v/>
      </c>
      <c r="AU460" s="5">
        <f>IF(P460&lt;10000,"Under $10K",IF(P460&lt;20000,"$10-20K",IF(P460&lt;30000,"$20-30K",IF(P460&lt;50000,"$30-50K",IF(P460&lt;100000,"$50-100K","$100K+")))))</f>
        <v/>
      </c>
      <c r="AV460" s="5">
        <f>IF(O460&lt;=1.35,"1.35 and under",IF(O460&lt;=1.42,"1.36-1.42",IF(O460&lt;=1.45,"1.43-1.45",IF(O460&lt;1.49,"1.46-1.48",IF(O460&lt;=1.49,"1.49","Above 1.49")))))</f>
        <v/>
      </c>
      <c r="AW460" s="5">
        <f>IF(AE460="","",IF(AE460&lt;60,"Under 60",IF(AE460&lt;90,"60-89",IF(AE460&lt;120,"90-119",IF(AE460&lt;150,"120-149","150+")))))</f>
        <v/>
      </c>
      <c r="AX460" s="5">
        <f>IF(AP460="","No revenue data",IF(AP460&lt;0.15,"Under 0.15x",IF(AP460&lt;0.3,"0.15-0.30x",IF(AP460&lt;0.5,"0.30-0.50x",IF(AP460&lt;1,"0.50-1.00x","1.00x+")))))</f>
        <v/>
      </c>
      <c r="AY460" s="5">
        <f>IF(J460="","No SIC",IFERROR(VLOOKUP(J460,Ref!$A$4:$C$67,2,FALSE()),"Unclassified"))</f>
        <v/>
      </c>
      <c r="AZ460" s="5">
        <f>IF(E460="","",TEXT(E460,"YYYY")&amp;"-Q"&amp;ROUNDUP(MONTH(E460)/3,0))</f>
        <v/>
      </c>
      <c r="BA460" s="5">
        <f>IF(E460="","",TEXT(E460,"YYYY-MM"))</f>
        <v/>
      </c>
      <c r="BB460" s="5">
        <f>IF(E460="","",TEXT(E460,"YYYY"))</f>
        <v/>
      </c>
      <c r="BC460" s="92">
        <f>IF($E460="","",NETWORKDAYS($E460,Controls!$B$9,Ref!$F$4:$F$47))</f>
        <v/>
      </c>
      <c r="BD460" s="92">
        <f>IF(OR($AH460=1,$AJ460=1),1,0)</f>
        <v/>
      </c>
      <c r="BE460" s="95">
        <f>IF(OR($BD460=1,AND($AE460&lt;&gt;"",$BC460&gt;=Controls!$B$10*$AE460)),1,0)</f>
        <v/>
      </c>
    </row>
    <row r="461" ht="15.75" customHeight="1" s="79">
      <c r="A461" s="5" t="inlineStr">
        <is>
          <t>5674174762</t>
        </is>
      </c>
      <c r="B461" s="5" t="inlineStr">
        <is>
          <t>ON SITE REPAIR SERVICES LLC</t>
        </is>
      </c>
      <c r="C461" s="5" t="inlineStr">
        <is>
          <t>ON SITE REPAIR SERVICES LLC</t>
        </is>
      </c>
      <c r="D461" s="5" t="inlineStr">
        <is>
          <t>Closed</t>
        </is>
      </c>
      <c r="E461" s="16" t="n">
        <v>46010</v>
      </c>
      <c r="F461" s="16" t="n">
        <v>46113</v>
      </c>
      <c r="G461" s="17" t="n">
        <v>2</v>
      </c>
      <c r="H461" s="5" t="inlineStr">
        <is>
          <t>1522</t>
        </is>
      </c>
      <c r="I461" s="5" t="inlineStr">
        <is>
          <t>New Multifamily Housing Construction (Except For-Sale Builders)</t>
        </is>
      </c>
      <c r="J461" s="5" t="inlineStr">
        <is>
          <t>15</t>
        </is>
      </c>
      <c r="K461" s="5" t="n">
        <v>1520</v>
      </c>
      <c r="L461" s="5" t="inlineStr">
        <is>
          <t>TX</t>
        </is>
      </c>
      <c r="M461" s="5" t="inlineStr">
        <is>
          <t>Ballicci</t>
        </is>
      </c>
      <c r="N461" s="5" t="inlineStr">
        <is>
          <t>New Deal</t>
        </is>
      </c>
      <c r="O461" s="19" t="n">
        <v>1.39</v>
      </c>
      <c r="P461" s="20" t="n">
        <v>30000</v>
      </c>
      <c r="Q461" s="20" t="n">
        <v>2700</v>
      </c>
      <c r="R461" s="20" t="n">
        <v>41700</v>
      </c>
      <c r="S461" s="20" t="n">
        <v>41700</v>
      </c>
      <c r="T461" s="20" t="n">
        <v>0</v>
      </c>
      <c r="U461" s="21" t="n">
        <v>1</v>
      </c>
      <c r="V461" s="22" t="n">
        <v>3.607</v>
      </c>
      <c r="W461" s="17" t="n">
        <v>140</v>
      </c>
      <c r="X461" s="17" t="n">
        <v>0</v>
      </c>
      <c r="Y461" s="20" t="n">
        <v>63010.24</v>
      </c>
      <c r="Z461" s="21" t="n">
        <v>0.1263</v>
      </c>
      <c r="AA461" s="5" t="n"/>
      <c r="AB461" s="5">
        <f>IF(V461="","",IF(V461&lt;12,"Months","Weeks"))</f>
        <v/>
      </c>
      <c r="AC461" s="5">
        <f>IF(AB461="","",IF(AB461="Months","Daily","Weekly"))</f>
        <v/>
      </c>
      <c r="AD461" s="17">
        <f>IF(V461="","",IF(AC461="Daily",V461*Controls!$B$13,V461))</f>
        <v/>
      </c>
      <c r="AE461" s="17">
        <f>IF(V461="","",IF(AC461="Daily",V461*Controls!$B$13,V461*Controls!$B$12))</f>
        <v/>
      </c>
      <c r="AF461" s="17">
        <f>IF(OR(E461="",F461=""),"",F461-E461)</f>
        <v/>
      </c>
      <c r="AG461" s="17">
        <f>IF(OR(E461="",F461=""),"",NETWORKDAYS(E461,F461,Ref!$F$4:$F$47))</f>
        <v/>
      </c>
      <c r="AH461" s="39">
        <f>IF(IFERROR(VLOOKUP(D461,Controls!$A$25:$D$35,2,FALSE()),"No")="Yes",1,0)</f>
        <v/>
      </c>
      <c r="AI461" s="39">
        <f>IF(IFERROR(VLOOKUP(D461,Controls!$A$25:$D$35,3,FALSE()),"No")="Yes",1,0)</f>
        <v/>
      </c>
      <c r="AJ461" s="39">
        <f>IF(IFERROR(VLOOKUP(D461,Controls!$A$25:$D$35,4,FALSE()),"No")="Yes",1,0)</f>
        <v/>
      </c>
      <c r="AK461" s="96">
        <f>IF(AND($E461&gt;=Controls!$B$5,$E461&lt;=Controls!$B$6,OR(Controls!$E$9&lt;&gt;"Y",$BE461=1)),1,0)</f>
        <v/>
      </c>
      <c r="AL461" s="39">
        <f>1</f>
        <v/>
      </c>
      <c r="AM461" s="20">
        <f>S461-P461</f>
        <v/>
      </c>
      <c r="AN461" s="20">
        <f>IF(AH461=1,MAX(0,P461-S461),0)</f>
        <v/>
      </c>
      <c r="AO461" s="21">
        <f>IFERROR(S461/P461,"")</f>
        <v/>
      </c>
      <c r="AP461" s="22">
        <f>IF(Y461="","",P461/Y461)</f>
        <v/>
      </c>
      <c r="AQ461" s="39">
        <f>IF(Y461="",0,1)</f>
        <v/>
      </c>
      <c r="AR461" s="39">
        <f>IF(S461&lt;=0,1,0)</f>
        <v/>
      </c>
      <c r="AS461" s="17">
        <f>IF(AH461=1,AG461,"")</f>
        <v/>
      </c>
      <c r="AT461" s="17">
        <f>IF(AND(AH461=0,AJ461=1),AG461,"")</f>
        <v/>
      </c>
      <c r="AU461" s="5">
        <f>IF(P461&lt;10000,"Under $10K",IF(P461&lt;20000,"$10-20K",IF(P461&lt;30000,"$20-30K",IF(P461&lt;50000,"$30-50K",IF(P461&lt;100000,"$50-100K","$100K+")))))</f>
        <v/>
      </c>
      <c r="AV461" s="5">
        <f>IF(O461&lt;=1.35,"1.35 and under",IF(O461&lt;=1.42,"1.36-1.42",IF(O461&lt;=1.45,"1.43-1.45",IF(O461&lt;1.49,"1.46-1.48",IF(O461&lt;=1.49,"1.49","Above 1.49")))))</f>
        <v/>
      </c>
      <c r="AW461" s="5">
        <f>IF(AE461="","",IF(AE461&lt;60,"Under 60",IF(AE461&lt;90,"60-89",IF(AE461&lt;120,"90-119",IF(AE461&lt;150,"120-149","150+")))))</f>
        <v/>
      </c>
      <c r="AX461" s="5">
        <f>IF(AP461="","No revenue data",IF(AP461&lt;0.15,"Under 0.15x",IF(AP461&lt;0.3,"0.15-0.30x",IF(AP461&lt;0.5,"0.30-0.50x",IF(AP461&lt;1,"0.50-1.00x","1.00x+")))))</f>
        <v/>
      </c>
      <c r="AY461" s="5">
        <f>IF(J461="","No SIC",IFERROR(VLOOKUP(J461,Ref!$A$4:$C$67,2,FALSE()),"Unclassified"))</f>
        <v/>
      </c>
      <c r="AZ461" s="5">
        <f>IF(E461="","",TEXT(E461,"YYYY")&amp;"-Q"&amp;ROUNDUP(MONTH(E461)/3,0))</f>
        <v/>
      </c>
      <c r="BA461" s="5">
        <f>IF(E461="","",TEXT(E461,"YYYY-MM"))</f>
        <v/>
      </c>
      <c r="BB461" s="5">
        <f>IF(E461="","",TEXT(E461,"YYYY"))</f>
        <v/>
      </c>
      <c r="BC461" s="92">
        <f>IF($E461="","",NETWORKDAYS($E461,Controls!$B$9,Ref!$F$4:$F$47))</f>
        <v/>
      </c>
      <c r="BD461" s="92">
        <f>IF(OR($AH461=1,$AJ461=1),1,0)</f>
        <v/>
      </c>
      <c r="BE461" s="95">
        <f>IF(OR($BD461=1,AND($AE461&lt;&gt;"",$BC461&gt;=Controls!$B$10*$AE461)),1,0)</f>
        <v/>
      </c>
    </row>
    <row r="462" ht="15.75" customHeight="1" s="79">
      <c r="A462" s="5" t="inlineStr">
        <is>
          <t>5674174763</t>
        </is>
      </c>
      <c r="B462" s="5" t="inlineStr">
        <is>
          <t>Hd Builders And Construction LLC</t>
        </is>
      </c>
      <c r="C462" s="5" t="inlineStr">
        <is>
          <t>Hd Builders And Construction LLC</t>
        </is>
      </c>
      <c r="D462" s="5" t="inlineStr">
        <is>
          <t>Closed</t>
        </is>
      </c>
      <c r="E462" s="16" t="n">
        <v>46010</v>
      </c>
      <c r="F462" s="16" t="n">
        <v>46090</v>
      </c>
      <c r="G462" s="17" t="n">
        <v>2</v>
      </c>
      <c r="H462" s="5" t="inlineStr">
        <is>
          <t>1521</t>
        </is>
      </c>
      <c r="I462" s="5" t="inlineStr">
        <is>
          <t>New Single-Family Housing Construction (Except For-Sale Builders)</t>
        </is>
      </c>
      <c r="J462" s="5" t="inlineStr">
        <is>
          <t>15</t>
        </is>
      </c>
      <c r="K462" s="5" t="n">
        <v>1520</v>
      </c>
      <c r="L462" s="5" t="inlineStr">
        <is>
          <t>NM</t>
        </is>
      </c>
      <c r="M462" s="5" t="inlineStr">
        <is>
          <t>AVON ADVANCE</t>
        </is>
      </c>
      <c r="N462" s="5" t="inlineStr">
        <is>
          <t>New Deal</t>
        </is>
      </c>
      <c r="O462" s="19" t="n">
        <v>1.49</v>
      </c>
      <c r="P462" s="20" t="n">
        <v>6000</v>
      </c>
      <c r="Q462" s="20" t="n">
        <v>840</v>
      </c>
      <c r="R462" s="20" t="n">
        <v>8940</v>
      </c>
      <c r="S462" s="20" t="n">
        <v>8940</v>
      </c>
      <c r="T462" s="20" t="n">
        <v>0</v>
      </c>
      <c r="U462" s="21" t="n">
        <v>1</v>
      </c>
      <c r="V462" s="22" t="n">
        <v>2.623</v>
      </c>
      <c r="W462" s="17" t="n">
        <v>163</v>
      </c>
      <c r="X462" s="17" t="n">
        <v>4</v>
      </c>
      <c r="Y462" s="20" t="n">
        <v>50226.03</v>
      </c>
      <c r="Z462" s="21" t="n">
        <v>0.0467</v>
      </c>
      <c r="AA462" s="16" t="n">
        <v>44627</v>
      </c>
      <c r="AB462" s="5">
        <f>IF(V462="","",IF(V462&lt;12,"Months","Weeks"))</f>
        <v/>
      </c>
      <c r="AC462" s="5">
        <f>IF(AB462="","",IF(AB462="Months","Daily","Weekly"))</f>
        <v/>
      </c>
      <c r="AD462" s="17">
        <f>IF(V462="","",IF(AC462="Daily",V462*Controls!$B$13,V462))</f>
        <v/>
      </c>
      <c r="AE462" s="17">
        <f>IF(V462="","",IF(AC462="Daily",V462*Controls!$B$13,V462*Controls!$B$12))</f>
        <v/>
      </c>
      <c r="AF462" s="17">
        <f>IF(OR(E462="",F462=""),"",F462-E462)</f>
        <v/>
      </c>
      <c r="AG462" s="17">
        <f>IF(OR(E462="",F462=""),"",NETWORKDAYS(E462,F462,Ref!$F$4:$F$47))</f>
        <v/>
      </c>
      <c r="AH462" s="39">
        <f>IF(IFERROR(VLOOKUP(D462,Controls!$A$25:$D$35,2,FALSE()),"No")="Yes",1,0)</f>
        <v/>
      </c>
      <c r="AI462" s="39">
        <f>IF(IFERROR(VLOOKUP(D462,Controls!$A$25:$D$35,3,FALSE()),"No")="Yes",1,0)</f>
        <v/>
      </c>
      <c r="AJ462" s="39">
        <f>IF(IFERROR(VLOOKUP(D462,Controls!$A$25:$D$35,4,FALSE()),"No")="Yes",1,0)</f>
        <v/>
      </c>
      <c r="AK462" s="96">
        <f>IF(AND($E462&gt;=Controls!$B$5,$E462&lt;=Controls!$B$6,OR(Controls!$E$9&lt;&gt;"Y",$BE462=1)),1,0)</f>
        <v/>
      </c>
      <c r="AL462" s="39">
        <f>1</f>
        <v/>
      </c>
      <c r="AM462" s="20">
        <f>S462-P462</f>
        <v/>
      </c>
      <c r="AN462" s="20">
        <f>IF(AH462=1,MAX(0,P462-S462),0)</f>
        <v/>
      </c>
      <c r="AO462" s="21">
        <f>IFERROR(S462/P462,"")</f>
        <v/>
      </c>
      <c r="AP462" s="22">
        <f>IF(Y462="","",P462/Y462)</f>
        <v/>
      </c>
      <c r="AQ462" s="39">
        <f>IF(Y462="",0,1)</f>
        <v/>
      </c>
      <c r="AR462" s="39">
        <f>IF(S462&lt;=0,1,0)</f>
        <v/>
      </c>
      <c r="AS462" s="17">
        <f>IF(AH462=1,AG462,"")</f>
        <v/>
      </c>
      <c r="AT462" s="17">
        <f>IF(AND(AH462=0,AJ462=1),AG462,"")</f>
        <v/>
      </c>
      <c r="AU462" s="5">
        <f>IF(P462&lt;10000,"Under $10K",IF(P462&lt;20000,"$10-20K",IF(P462&lt;30000,"$20-30K",IF(P462&lt;50000,"$30-50K",IF(P462&lt;100000,"$50-100K","$100K+")))))</f>
        <v/>
      </c>
      <c r="AV462" s="5">
        <f>IF(O462&lt;=1.35,"1.35 and under",IF(O462&lt;=1.42,"1.36-1.42",IF(O462&lt;=1.45,"1.43-1.45",IF(O462&lt;1.49,"1.46-1.48",IF(O462&lt;=1.49,"1.49","Above 1.49")))))</f>
        <v/>
      </c>
      <c r="AW462" s="5">
        <f>IF(AE462="","",IF(AE462&lt;60,"Under 60",IF(AE462&lt;90,"60-89",IF(AE462&lt;120,"90-119",IF(AE462&lt;150,"120-149","150+")))))</f>
        <v/>
      </c>
      <c r="AX462" s="5">
        <f>IF(AP462="","No revenue data",IF(AP462&lt;0.15,"Under 0.15x",IF(AP462&lt;0.3,"0.15-0.30x",IF(AP462&lt;0.5,"0.30-0.50x",IF(AP462&lt;1,"0.50-1.00x","1.00x+")))))</f>
        <v/>
      </c>
      <c r="AY462" s="5">
        <f>IF(J462="","No SIC",IFERROR(VLOOKUP(J462,Ref!$A$4:$C$67,2,FALSE()),"Unclassified"))</f>
        <v/>
      </c>
      <c r="AZ462" s="5">
        <f>IF(E462="","",TEXT(E462,"YYYY")&amp;"-Q"&amp;ROUNDUP(MONTH(E462)/3,0))</f>
        <v/>
      </c>
      <c r="BA462" s="5">
        <f>IF(E462="","",TEXT(E462,"YYYY-MM"))</f>
        <v/>
      </c>
      <c r="BB462" s="5">
        <f>IF(E462="","",TEXT(E462,"YYYY"))</f>
        <v/>
      </c>
      <c r="BC462" s="92">
        <f>IF($E462="","",NETWORKDAYS($E462,Controls!$B$9,Ref!$F$4:$F$47))</f>
        <v/>
      </c>
      <c r="BD462" s="92">
        <f>IF(OR($AH462=1,$AJ462=1),1,0)</f>
        <v/>
      </c>
      <c r="BE462" s="95">
        <f>IF(OR($BD462=1,AND($AE462&lt;&gt;"",$BC462&gt;=Controls!$B$10*$AE462)),1,0)</f>
        <v/>
      </c>
    </row>
    <row r="463" ht="15.75" customHeight="1" s="79">
      <c r="A463" s="5" t="inlineStr">
        <is>
          <t>5674174814</t>
        </is>
      </c>
      <c r="B463" s="5" t="inlineStr">
        <is>
          <t>LOW-COUNTRY INSURANCE SOLUTIONS</t>
        </is>
      </c>
      <c r="C463" s="5" t="inlineStr">
        <is>
          <t>FORREST S SMITH</t>
        </is>
      </c>
      <c r="D463" s="5" t="inlineStr">
        <is>
          <t>Closed</t>
        </is>
      </c>
      <c r="E463" s="16" t="n">
        <v>46013</v>
      </c>
      <c r="F463" s="16" t="n">
        <v>46092</v>
      </c>
      <c r="G463" s="17" t="n">
        <v>1</v>
      </c>
      <c r="H463" s="5" t="inlineStr">
        <is>
          <t>6411</t>
        </is>
      </c>
      <c r="I463" s="5" t="inlineStr">
        <is>
          <t>Insurance Agencies and Brokerages</t>
        </is>
      </c>
      <c r="J463" s="5" t="inlineStr">
        <is>
          <t>64</t>
        </is>
      </c>
      <c r="K463" s="5" t="n">
        <v>5960</v>
      </c>
      <c r="L463" s="5" t="inlineStr">
        <is>
          <t>SC</t>
        </is>
      </c>
      <c r="M463" s="5" t="inlineStr">
        <is>
          <t>United Secured Capital 8</t>
        </is>
      </c>
      <c r="N463" s="5" t="inlineStr">
        <is>
          <t>New Deal</t>
        </is>
      </c>
      <c r="O463" s="19" t="n">
        <v>1.49</v>
      </c>
      <c r="P463" s="20" t="n">
        <v>15000</v>
      </c>
      <c r="Q463" s="20" t="n">
        <v>2100</v>
      </c>
      <c r="R463" s="20" t="n">
        <v>22350</v>
      </c>
      <c r="S463" s="20" t="n">
        <v>22350</v>
      </c>
      <c r="T463" s="20" t="n">
        <v>0</v>
      </c>
      <c r="U463" s="21" t="n">
        <v>1</v>
      </c>
      <c r="V463" s="22" t="n">
        <v>2.951</v>
      </c>
      <c r="W463" s="17" t="n">
        <v>161</v>
      </c>
      <c r="X463" s="17" t="n">
        <v>1</v>
      </c>
      <c r="Y463" s="20" t="n">
        <v>40000</v>
      </c>
      <c r="Z463" s="21" t="n">
        <v>0.1159</v>
      </c>
      <c r="AA463" s="16" t="n">
        <v>38325</v>
      </c>
      <c r="AB463" s="5">
        <f>IF(V463="","",IF(V463&lt;12,"Months","Weeks"))</f>
        <v/>
      </c>
      <c r="AC463" s="5">
        <f>IF(AB463="","",IF(AB463="Months","Daily","Weekly"))</f>
        <v/>
      </c>
      <c r="AD463" s="17">
        <f>IF(V463="","",IF(AC463="Daily",V463*Controls!$B$13,V463))</f>
        <v/>
      </c>
      <c r="AE463" s="17">
        <f>IF(V463="","",IF(AC463="Daily",V463*Controls!$B$13,V463*Controls!$B$12))</f>
        <v/>
      </c>
      <c r="AF463" s="17">
        <f>IF(OR(E463="",F463=""),"",F463-E463)</f>
        <v/>
      </c>
      <c r="AG463" s="17">
        <f>IF(OR(E463="",F463=""),"",NETWORKDAYS(E463,F463,Ref!$F$4:$F$47))</f>
        <v/>
      </c>
      <c r="AH463" s="39">
        <f>IF(IFERROR(VLOOKUP(D463,Controls!$A$25:$D$35,2,FALSE()),"No")="Yes",1,0)</f>
        <v/>
      </c>
      <c r="AI463" s="39">
        <f>IF(IFERROR(VLOOKUP(D463,Controls!$A$25:$D$35,3,FALSE()),"No")="Yes",1,0)</f>
        <v/>
      </c>
      <c r="AJ463" s="39">
        <f>IF(IFERROR(VLOOKUP(D463,Controls!$A$25:$D$35,4,FALSE()),"No")="Yes",1,0)</f>
        <v/>
      </c>
      <c r="AK463" s="96">
        <f>IF(AND($E463&gt;=Controls!$B$5,$E463&lt;=Controls!$B$6,OR(Controls!$E$9&lt;&gt;"Y",$BE463=1)),1,0)</f>
        <v/>
      </c>
      <c r="AL463" s="39">
        <f>1</f>
        <v/>
      </c>
      <c r="AM463" s="20">
        <f>S463-P463</f>
        <v/>
      </c>
      <c r="AN463" s="20">
        <f>IF(AH463=1,MAX(0,P463-S463),0)</f>
        <v/>
      </c>
      <c r="AO463" s="21">
        <f>IFERROR(S463/P463,"")</f>
        <v/>
      </c>
      <c r="AP463" s="22">
        <f>IF(Y463="","",P463/Y463)</f>
        <v/>
      </c>
      <c r="AQ463" s="39">
        <f>IF(Y463="",0,1)</f>
        <v/>
      </c>
      <c r="AR463" s="39">
        <f>IF(S463&lt;=0,1,0)</f>
        <v/>
      </c>
      <c r="AS463" s="17">
        <f>IF(AH463=1,AG463,"")</f>
        <v/>
      </c>
      <c r="AT463" s="17">
        <f>IF(AND(AH463=0,AJ463=1),AG463,"")</f>
        <v/>
      </c>
      <c r="AU463" s="5">
        <f>IF(P463&lt;10000,"Under $10K",IF(P463&lt;20000,"$10-20K",IF(P463&lt;30000,"$20-30K",IF(P463&lt;50000,"$30-50K",IF(P463&lt;100000,"$50-100K","$100K+")))))</f>
        <v/>
      </c>
      <c r="AV463" s="5">
        <f>IF(O463&lt;=1.35,"1.35 and under",IF(O463&lt;=1.42,"1.36-1.42",IF(O463&lt;=1.45,"1.43-1.45",IF(O463&lt;1.49,"1.46-1.48",IF(O463&lt;=1.49,"1.49","Above 1.49")))))</f>
        <v/>
      </c>
      <c r="AW463" s="5">
        <f>IF(AE463="","",IF(AE463&lt;60,"Under 60",IF(AE463&lt;90,"60-89",IF(AE463&lt;120,"90-119",IF(AE463&lt;150,"120-149","150+")))))</f>
        <v/>
      </c>
      <c r="AX463" s="5">
        <f>IF(AP463="","No revenue data",IF(AP463&lt;0.15,"Under 0.15x",IF(AP463&lt;0.3,"0.15-0.30x",IF(AP463&lt;0.5,"0.30-0.50x",IF(AP463&lt;1,"0.50-1.00x","1.00x+")))))</f>
        <v/>
      </c>
      <c r="AY463" s="5">
        <f>IF(J463="","No SIC",IFERROR(VLOOKUP(J463,Ref!$A$4:$C$67,2,FALSE()),"Unclassified"))</f>
        <v/>
      </c>
      <c r="AZ463" s="5">
        <f>IF(E463="","",TEXT(E463,"YYYY")&amp;"-Q"&amp;ROUNDUP(MONTH(E463)/3,0))</f>
        <v/>
      </c>
      <c r="BA463" s="5">
        <f>IF(E463="","",TEXT(E463,"YYYY-MM"))</f>
        <v/>
      </c>
      <c r="BB463" s="5">
        <f>IF(E463="","",TEXT(E463,"YYYY"))</f>
        <v/>
      </c>
      <c r="BC463" s="92">
        <f>IF($E463="","",NETWORKDAYS($E463,Controls!$B$9,Ref!$F$4:$F$47))</f>
        <v/>
      </c>
      <c r="BD463" s="92">
        <f>IF(OR($AH463=1,$AJ463=1),1,0)</f>
        <v/>
      </c>
      <c r="BE463" s="95">
        <f>IF(OR($BD463=1,AND($AE463&lt;&gt;"",$BC463&gt;=Controls!$B$10*$AE463)),1,0)</f>
        <v/>
      </c>
    </row>
    <row r="464" ht="15.75" customHeight="1" s="79">
      <c r="A464" s="5" t="inlineStr">
        <is>
          <t>5674174820</t>
        </is>
      </c>
      <c r="B464" s="5" t="inlineStr">
        <is>
          <t>Cream Ridge Golf Course</t>
        </is>
      </c>
      <c r="C464" s="5" t="inlineStr">
        <is>
          <t>CR Golf Management LLC</t>
        </is>
      </c>
      <c r="D464" s="5" t="inlineStr">
        <is>
          <t>Lowered Payments</t>
        </is>
      </c>
      <c r="E464" s="16" t="n">
        <v>46013</v>
      </c>
      <c r="F464" s="16" t="n">
        <v>46253</v>
      </c>
      <c r="G464" s="17" t="n">
        <v>1</v>
      </c>
      <c r="H464" s="5" t="inlineStr">
        <is>
          <t>7992</t>
        </is>
      </c>
      <c r="I464" s="5" t="inlineStr">
        <is>
          <t>Golf Courses and Country Clubs</t>
        </is>
      </c>
      <c r="J464" s="5" t="inlineStr">
        <is>
          <t>79</t>
        </is>
      </c>
      <c r="K464" s="5" t="n">
        <v>7992</v>
      </c>
      <c r="L464" s="5" t="inlineStr">
        <is>
          <t>NJ</t>
        </is>
      </c>
      <c r="M464" s="5" t="inlineStr">
        <is>
          <t>Fundwell</t>
        </is>
      </c>
      <c r="N464" s="5" t="inlineStr">
        <is>
          <t>New Deal</t>
        </is>
      </c>
      <c r="O464" s="19" t="n">
        <v>1.38</v>
      </c>
      <c r="P464" s="20" t="n">
        <v>50000</v>
      </c>
      <c r="Q464" s="20" t="n">
        <v>6250</v>
      </c>
      <c r="R464" s="20" t="n">
        <v>69000</v>
      </c>
      <c r="S464" s="20" t="n">
        <v>37385.22</v>
      </c>
      <c r="T464" s="20" t="n">
        <v>31614.78</v>
      </c>
      <c r="U464" s="21" t="n">
        <v>0.541814782608696</v>
      </c>
      <c r="V464" s="22" t="n">
        <v>24</v>
      </c>
      <c r="W464" s="17" t="n">
        <v>0</v>
      </c>
      <c r="X464" s="17" t="n">
        <v>31</v>
      </c>
      <c r="Y464" s="20" t="n">
        <v>87944.36</v>
      </c>
      <c r="Z464" s="21" t="n">
        <v>0.1308</v>
      </c>
      <c r="AA464" s="16" t="n">
        <v>43339</v>
      </c>
      <c r="AB464" s="5">
        <f>IF(V464="","",IF(V464&lt;12,"Months","Weeks"))</f>
        <v/>
      </c>
      <c r="AC464" s="5">
        <f>IF(AB464="","",IF(AB464="Months","Daily","Weekly"))</f>
        <v/>
      </c>
      <c r="AD464" s="17">
        <f>IF(V464="","",IF(AC464="Daily",V464*Controls!$B$13,V464))</f>
        <v/>
      </c>
      <c r="AE464" s="17">
        <f>IF(V464="","",IF(AC464="Daily",V464*Controls!$B$13,V464*Controls!$B$12))</f>
        <v/>
      </c>
      <c r="AF464" s="17">
        <f>IF(OR(E464="",F464=""),"",F464-E464)</f>
        <v/>
      </c>
      <c r="AG464" s="17">
        <f>IF(OR(E464="",F464=""),"",NETWORKDAYS(E464,F464,Ref!$F$4:$F$47))</f>
        <v/>
      </c>
      <c r="AH464" s="39">
        <f>IF(IFERROR(VLOOKUP(D464,Controls!$A$25:$D$35,2,FALSE()),"No")="Yes",1,0)</f>
        <v/>
      </c>
      <c r="AI464" s="39">
        <f>IF(IFERROR(VLOOKUP(D464,Controls!$A$25:$D$35,3,FALSE()),"No")="Yes",1,0)</f>
        <v/>
      </c>
      <c r="AJ464" s="39">
        <f>IF(IFERROR(VLOOKUP(D464,Controls!$A$25:$D$35,4,FALSE()),"No")="Yes",1,0)</f>
        <v/>
      </c>
      <c r="AK464" s="96">
        <f>IF(AND($E464&gt;=Controls!$B$5,$E464&lt;=Controls!$B$6,OR(Controls!$E$9&lt;&gt;"Y",$BE464=1)),1,0)</f>
        <v/>
      </c>
      <c r="AL464" s="39">
        <f>1</f>
        <v/>
      </c>
      <c r="AM464" s="20">
        <f>S464-P464</f>
        <v/>
      </c>
      <c r="AN464" s="20">
        <f>IF(AH464=1,MAX(0,P464-S464),0)</f>
        <v/>
      </c>
      <c r="AO464" s="21">
        <f>IFERROR(S464/P464,"")</f>
        <v/>
      </c>
      <c r="AP464" s="22">
        <f>IF(Y464="","",P464/Y464)</f>
        <v/>
      </c>
      <c r="AQ464" s="39">
        <f>IF(Y464="",0,1)</f>
        <v/>
      </c>
      <c r="AR464" s="39">
        <f>IF(S464&lt;=0,1,0)</f>
        <v/>
      </c>
      <c r="AS464" s="17">
        <f>IF(AH464=1,AG464,"")</f>
        <v/>
      </c>
      <c r="AT464" s="17">
        <f>IF(AND(AH464=0,AJ464=1),AG464,"")</f>
        <v/>
      </c>
      <c r="AU464" s="5">
        <f>IF(P464&lt;10000,"Under $10K",IF(P464&lt;20000,"$10-20K",IF(P464&lt;30000,"$20-30K",IF(P464&lt;50000,"$30-50K",IF(P464&lt;100000,"$50-100K","$100K+")))))</f>
        <v/>
      </c>
      <c r="AV464" s="5">
        <f>IF(O464&lt;=1.35,"1.35 and under",IF(O464&lt;=1.42,"1.36-1.42",IF(O464&lt;=1.45,"1.43-1.45",IF(O464&lt;1.49,"1.46-1.48",IF(O464&lt;=1.49,"1.49","Above 1.49")))))</f>
        <v/>
      </c>
      <c r="AW464" s="5">
        <f>IF(AE464="","",IF(AE464&lt;60,"Under 60",IF(AE464&lt;90,"60-89",IF(AE464&lt;120,"90-119",IF(AE464&lt;150,"120-149","150+")))))</f>
        <v/>
      </c>
      <c r="AX464" s="5">
        <f>IF(AP464="","No revenue data",IF(AP464&lt;0.15,"Under 0.15x",IF(AP464&lt;0.3,"0.15-0.30x",IF(AP464&lt;0.5,"0.30-0.50x",IF(AP464&lt;1,"0.50-1.00x","1.00x+")))))</f>
        <v/>
      </c>
      <c r="AY464" s="5">
        <f>IF(J464="","No SIC",IFERROR(VLOOKUP(J464,Ref!$A$4:$C$67,2,FALSE()),"Unclassified"))</f>
        <v/>
      </c>
      <c r="AZ464" s="5">
        <f>IF(E464="","",TEXT(E464,"YYYY")&amp;"-Q"&amp;ROUNDUP(MONTH(E464)/3,0))</f>
        <v/>
      </c>
      <c r="BA464" s="5">
        <f>IF(E464="","",TEXT(E464,"YYYY-MM"))</f>
        <v/>
      </c>
      <c r="BB464" s="5">
        <f>IF(E464="","",TEXT(E464,"YYYY"))</f>
        <v/>
      </c>
      <c r="BC464" s="92">
        <f>IF($E464="","",NETWORKDAYS($E464,Controls!$B$9,Ref!$F$4:$F$47))</f>
        <v/>
      </c>
      <c r="BD464" s="92">
        <f>IF(OR($AH464=1,$AJ464=1),1,0)</f>
        <v/>
      </c>
      <c r="BE464" s="95">
        <f>IF(OR($BD464=1,AND($AE464&lt;&gt;"",$BC464&gt;=Controls!$B$10*$AE464)),1,0)</f>
        <v/>
      </c>
    </row>
    <row r="465" ht="15.75" customHeight="1" s="79">
      <c r="A465" s="5" t="inlineStr">
        <is>
          <t>5674174823</t>
        </is>
      </c>
      <c r="B465" s="5" t="inlineStr">
        <is>
          <t>Jacalito Taqueria Inc</t>
        </is>
      </c>
      <c r="C465" s="5" t="inlineStr">
        <is>
          <t>Jacalito Taqueria Inc</t>
        </is>
      </c>
      <c r="D465" s="5" t="inlineStr">
        <is>
          <t>Open</t>
        </is>
      </c>
      <c r="E465" s="16" t="n">
        <v>46013</v>
      </c>
      <c r="F465" s="16" t="n">
        <v>46253</v>
      </c>
      <c r="G465" s="17" t="n">
        <v>5</v>
      </c>
      <c r="H465" s="5" t="inlineStr">
        <is>
          <t>5812</t>
        </is>
      </c>
      <c r="I465" s="5" t="inlineStr">
        <is>
          <t>Snack and Nonalcoholic Beverage Bars</t>
        </is>
      </c>
      <c r="J465" s="5" t="inlineStr">
        <is>
          <t>58</t>
        </is>
      </c>
      <c r="K465" s="5" t="n">
        <v>5812</v>
      </c>
      <c r="L465" s="5" t="inlineStr">
        <is>
          <t>FL</t>
        </is>
      </c>
      <c r="M465" s="5" t="inlineStr">
        <is>
          <t>Ballicci</t>
        </is>
      </c>
      <c r="N465" s="5" t="inlineStr">
        <is>
          <t>New Deal</t>
        </is>
      </c>
      <c r="O465" s="19" t="n">
        <v>1.49</v>
      </c>
      <c r="P465" s="20" t="n">
        <v>30000</v>
      </c>
      <c r="Q465" s="20" t="n">
        <v>4200</v>
      </c>
      <c r="R465" s="20" t="n">
        <v>44700</v>
      </c>
      <c r="S465" s="20" t="n">
        <v>32038.44</v>
      </c>
      <c r="T465" s="20" t="n">
        <v>12661.56</v>
      </c>
      <c r="U465" s="21" t="n">
        <v>0.716743624161074</v>
      </c>
      <c r="V465" s="22" t="n">
        <v>3.934</v>
      </c>
      <c r="W465" s="17" t="n">
        <v>0</v>
      </c>
      <c r="X465" s="17" t="n">
        <v>81</v>
      </c>
      <c r="Y465" s="20" t="n">
        <v>58513.79</v>
      </c>
      <c r="Z465" s="21" t="n">
        <v>0.1337</v>
      </c>
      <c r="AA465" s="16" t="n">
        <v>40118</v>
      </c>
      <c r="AB465" s="5">
        <f>IF(V465="","",IF(V465&lt;12,"Months","Weeks"))</f>
        <v/>
      </c>
      <c r="AC465" s="5">
        <f>IF(AB465="","",IF(AB465="Months","Daily","Weekly"))</f>
        <v/>
      </c>
      <c r="AD465" s="17">
        <f>IF(V465="","",IF(AC465="Daily",V465*Controls!$B$13,V465))</f>
        <v/>
      </c>
      <c r="AE465" s="17">
        <f>IF(V465="","",IF(AC465="Daily",V465*Controls!$B$13,V465*Controls!$B$12))</f>
        <v/>
      </c>
      <c r="AF465" s="17">
        <f>IF(OR(E465="",F465=""),"",F465-E465)</f>
        <v/>
      </c>
      <c r="AG465" s="17">
        <f>IF(OR(E465="",F465=""),"",NETWORKDAYS(E465,F465,Ref!$F$4:$F$47))</f>
        <v/>
      </c>
      <c r="AH465" s="39">
        <f>IF(IFERROR(VLOOKUP(D465,Controls!$A$25:$D$35,2,FALSE()),"No")="Yes",1,0)</f>
        <v/>
      </c>
      <c r="AI465" s="39">
        <f>IF(IFERROR(VLOOKUP(D465,Controls!$A$25:$D$35,3,FALSE()),"No")="Yes",1,0)</f>
        <v/>
      </c>
      <c r="AJ465" s="39">
        <f>IF(IFERROR(VLOOKUP(D465,Controls!$A$25:$D$35,4,FALSE()),"No")="Yes",1,0)</f>
        <v/>
      </c>
      <c r="AK465" s="96">
        <f>IF(AND($E465&gt;=Controls!$B$5,$E465&lt;=Controls!$B$6,OR(Controls!$E$9&lt;&gt;"Y",$BE465=1)),1,0)</f>
        <v/>
      </c>
      <c r="AL465" s="39">
        <f>1</f>
        <v/>
      </c>
      <c r="AM465" s="20">
        <f>S465-P465</f>
        <v/>
      </c>
      <c r="AN465" s="20">
        <f>IF(AH465=1,MAX(0,P465-S465),0)</f>
        <v/>
      </c>
      <c r="AO465" s="21">
        <f>IFERROR(S465/P465,"")</f>
        <v/>
      </c>
      <c r="AP465" s="22">
        <f>IF(Y465="","",P465/Y465)</f>
        <v/>
      </c>
      <c r="AQ465" s="39">
        <f>IF(Y465="",0,1)</f>
        <v/>
      </c>
      <c r="AR465" s="39">
        <f>IF(S465&lt;=0,1,0)</f>
        <v/>
      </c>
      <c r="AS465" s="17">
        <f>IF(AH465=1,AG465,"")</f>
        <v/>
      </c>
      <c r="AT465" s="17">
        <f>IF(AND(AH465=0,AJ465=1),AG465,"")</f>
        <v/>
      </c>
      <c r="AU465" s="5">
        <f>IF(P465&lt;10000,"Under $10K",IF(P465&lt;20000,"$10-20K",IF(P465&lt;30000,"$20-30K",IF(P465&lt;50000,"$30-50K",IF(P465&lt;100000,"$50-100K","$100K+")))))</f>
        <v/>
      </c>
      <c r="AV465" s="5">
        <f>IF(O465&lt;=1.35,"1.35 and under",IF(O465&lt;=1.42,"1.36-1.42",IF(O465&lt;=1.45,"1.43-1.45",IF(O465&lt;1.49,"1.46-1.48",IF(O465&lt;=1.49,"1.49","Above 1.49")))))</f>
        <v/>
      </c>
      <c r="AW465" s="5">
        <f>IF(AE465="","",IF(AE465&lt;60,"Under 60",IF(AE465&lt;90,"60-89",IF(AE465&lt;120,"90-119",IF(AE465&lt;150,"120-149","150+")))))</f>
        <v/>
      </c>
      <c r="AX465" s="5">
        <f>IF(AP465="","No revenue data",IF(AP465&lt;0.15,"Under 0.15x",IF(AP465&lt;0.3,"0.15-0.30x",IF(AP465&lt;0.5,"0.30-0.50x",IF(AP465&lt;1,"0.50-1.00x","1.00x+")))))</f>
        <v/>
      </c>
      <c r="AY465" s="5">
        <f>IF(J465="","No SIC",IFERROR(VLOOKUP(J465,Ref!$A$4:$C$67,2,FALSE()),"Unclassified"))</f>
        <v/>
      </c>
      <c r="AZ465" s="5">
        <f>IF(E465="","",TEXT(E465,"YYYY")&amp;"-Q"&amp;ROUNDUP(MONTH(E465)/3,0))</f>
        <v/>
      </c>
      <c r="BA465" s="5">
        <f>IF(E465="","",TEXT(E465,"YYYY-MM"))</f>
        <v/>
      </c>
      <c r="BB465" s="5">
        <f>IF(E465="","",TEXT(E465,"YYYY"))</f>
        <v/>
      </c>
      <c r="BC465" s="92">
        <f>IF($E465="","",NETWORKDAYS($E465,Controls!$B$9,Ref!$F$4:$F$47))</f>
        <v/>
      </c>
      <c r="BD465" s="92">
        <f>IF(OR($AH465=1,$AJ465=1),1,0)</f>
        <v/>
      </c>
      <c r="BE465" s="95">
        <f>IF(OR($BD465=1,AND($AE465&lt;&gt;"",$BC465&gt;=Controls!$B$10*$AE465)),1,0)</f>
        <v/>
      </c>
    </row>
    <row r="466" ht="15.75" customHeight="1" s="79">
      <c r="A466" s="5" t="inlineStr">
        <is>
          <t>5674174897</t>
        </is>
      </c>
      <c r="B466" s="5" t="inlineStr">
        <is>
          <t>Carlyle Care Clinic PLLC</t>
        </is>
      </c>
      <c r="C466" s="5" t="inlineStr">
        <is>
          <t>Carlyle Care Clinic PLLC</t>
        </is>
      </c>
      <c r="D466" s="5" t="inlineStr">
        <is>
          <t>Legal</t>
        </is>
      </c>
      <c r="E466" s="16" t="n">
        <v>46014</v>
      </c>
      <c r="F466" s="16" t="n">
        <v>46149</v>
      </c>
      <c r="G466" s="17" t="n">
        <v>3</v>
      </c>
      <c r="H466" s="5" t="inlineStr">
        <is>
          <t>8082</t>
        </is>
      </c>
      <c r="I466" s="5" t="inlineStr">
        <is>
          <t>Home Health Care Services</t>
        </is>
      </c>
      <c r="J466" s="5" t="inlineStr">
        <is>
          <t>80</t>
        </is>
      </c>
      <c r="K466" s="5" t="n">
        <v>8050</v>
      </c>
      <c r="L466" s="5" t="inlineStr">
        <is>
          <t>AR</t>
        </is>
      </c>
      <c r="M466" s="5" t="inlineStr">
        <is>
          <t>United Secured Capital 8</t>
        </is>
      </c>
      <c r="N466" s="5" t="inlineStr">
        <is>
          <t>New Deal</t>
        </is>
      </c>
      <c r="O466" s="19" t="n">
        <v>1.49</v>
      </c>
      <c r="P466" s="20" t="n">
        <v>40000</v>
      </c>
      <c r="Q466" s="20" t="n">
        <v>0</v>
      </c>
      <c r="R466" s="20" t="n">
        <v>59600</v>
      </c>
      <c r="S466" s="20" t="n">
        <v>9535.440000000001</v>
      </c>
      <c r="T466" s="20" t="n">
        <v>50064.56</v>
      </c>
      <c r="U466" s="21" t="n">
        <v>0.159990604026846</v>
      </c>
      <c r="V466" s="22" t="n">
        <v>2.459</v>
      </c>
      <c r="W466" s="17" t="n">
        <v>166</v>
      </c>
      <c r="X466" s="17" t="n">
        <v>73</v>
      </c>
      <c r="Y466" s="20" t="n">
        <v>31520.5</v>
      </c>
      <c r="Z466" s="21" t="n">
        <v>0.5294</v>
      </c>
      <c r="AA466" s="16" t="n">
        <v>44655</v>
      </c>
      <c r="AB466" s="5">
        <f>IF(V466="","",IF(V466&lt;12,"Months","Weeks"))</f>
        <v/>
      </c>
      <c r="AC466" s="5">
        <f>IF(AB466="","",IF(AB466="Months","Daily","Weekly"))</f>
        <v/>
      </c>
      <c r="AD466" s="17">
        <f>IF(V466="","",IF(AC466="Daily",V466*Controls!$B$13,V466))</f>
        <v/>
      </c>
      <c r="AE466" s="17">
        <f>IF(V466="","",IF(AC466="Daily",V466*Controls!$B$13,V466*Controls!$B$12))</f>
        <v/>
      </c>
      <c r="AF466" s="17">
        <f>IF(OR(E466="",F466=""),"",F466-E466)</f>
        <v/>
      </c>
      <c r="AG466" s="17">
        <f>IF(OR(E466="",F466=""),"",NETWORKDAYS(E466,F466,Ref!$F$4:$F$47))</f>
        <v/>
      </c>
      <c r="AH466" s="39">
        <f>IF(IFERROR(VLOOKUP(D466,Controls!$A$25:$D$35,2,FALSE()),"No")="Yes",1,0)</f>
        <v/>
      </c>
      <c r="AI466" s="39">
        <f>IF(IFERROR(VLOOKUP(D466,Controls!$A$25:$D$35,3,FALSE()),"No")="Yes",1,0)</f>
        <v/>
      </c>
      <c r="AJ466" s="39">
        <f>IF(IFERROR(VLOOKUP(D466,Controls!$A$25:$D$35,4,FALSE()),"No")="Yes",1,0)</f>
        <v/>
      </c>
      <c r="AK466" s="96">
        <f>IF(AND($E466&gt;=Controls!$B$5,$E466&lt;=Controls!$B$6,OR(Controls!$E$9&lt;&gt;"Y",$BE466=1)),1,0)</f>
        <v/>
      </c>
      <c r="AL466" s="39">
        <f>1</f>
        <v/>
      </c>
      <c r="AM466" s="20">
        <f>S466-P466</f>
        <v/>
      </c>
      <c r="AN466" s="20">
        <f>IF(AH466=1,MAX(0,P466-S466),0)</f>
        <v/>
      </c>
      <c r="AO466" s="21">
        <f>IFERROR(S466/P466,"")</f>
        <v/>
      </c>
      <c r="AP466" s="22">
        <f>IF(Y466="","",P466/Y466)</f>
        <v/>
      </c>
      <c r="AQ466" s="39">
        <f>IF(Y466="",0,1)</f>
        <v/>
      </c>
      <c r="AR466" s="39">
        <f>IF(S466&lt;=0,1,0)</f>
        <v/>
      </c>
      <c r="AS466" s="17">
        <f>IF(AH466=1,AG466,"")</f>
        <v/>
      </c>
      <c r="AT466" s="17">
        <f>IF(AND(AH466=0,AJ466=1),AG466,"")</f>
        <v/>
      </c>
      <c r="AU466" s="5">
        <f>IF(P466&lt;10000,"Under $10K",IF(P466&lt;20000,"$10-20K",IF(P466&lt;30000,"$20-30K",IF(P466&lt;50000,"$30-50K",IF(P466&lt;100000,"$50-100K","$100K+")))))</f>
        <v/>
      </c>
      <c r="AV466" s="5">
        <f>IF(O466&lt;=1.35,"1.35 and under",IF(O466&lt;=1.42,"1.36-1.42",IF(O466&lt;=1.45,"1.43-1.45",IF(O466&lt;1.49,"1.46-1.48",IF(O466&lt;=1.49,"1.49","Above 1.49")))))</f>
        <v/>
      </c>
      <c r="AW466" s="5">
        <f>IF(AE466="","",IF(AE466&lt;60,"Under 60",IF(AE466&lt;90,"60-89",IF(AE466&lt;120,"90-119",IF(AE466&lt;150,"120-149","150+")))))</f>
        <v/>
      </c>
      <c r="AX466" s="5">
        <f>IF(AP466="","No revenue data",IF(AP466&lt;0.15,"Under 0.15x",IF(AP466&lt;0.3,"0.15-0.30x",IF(AP466&lt;0.5,"0.30-0.50x",IF(AP466&lt;1,"0.50-1.00x","1.00x+")))))</f>
        <v/>
      </c>
      <c r="AY466" s="5">
        <f>IF(J466="","No SIC",IFERROR(VLOOKUP(J466,Ref!$A$4:$C$67,2,FALSE()),"Unclassified"))</f>
        <v/>
      </c>
      <c r="AZ466" s="5">
        <f>IF(E466="","",TEXT(E466,"YYYY")&amp;"-Q"&amp;ROUNDUP(MONTH(E466)/3,0))</f>
        <v/>
      </c>
      <c r="BA466" s="5">
        <f>IF(E466="","",TEXT(E466,"YYYY-MM"))</f>
        <v/>
      </c>
      <c r="BB466" s="5">
        <f>IF(E466="","",TEXT(E466,"YYYY"))</f>
        <v/>
      </c>
      <c r="BC466" s="92">
        <f>IF($E466="","",NETWORKDAYS($E466,Controls!$B$9,Ref!$F$4:$F$47))</f>
        <v/>
      </c>
      <c r="BD466" s="92">
        <f>IF(OR($AH466=1,$AJ466=1),1,0)</f>
        <v/>
      </c>
      <c r="BE466" s="95">
        <f>IF(OR($BD466=1,AND($AE466&lt;&gt;"",$BC466&gt;=Controls!$B$10*$AE466)),1,0)</f>
        <v/>
      </c>
    </row>
    <row r="467" ht="15.75" customHeight="1" s="79">
      <c r="A467" s="5" t="inlineStr">
        <is>
          <t>5674174903</t>
        </is>
      </c>
      <c r="B467" s="5" t="inlineStr">
        <is>
          <t>JB AUTOMOTIVE REPAIRS, JB AUTOMOTIVE</t>
        </is>
      </c>
      <c r="C467" s="5" t="inlineStr">
        <is>
          <t>WILLIAMS MOBILE LLC</t>
        </is>
      </c>
      <c r="D467" s="5" t="inlineStr">
        <is>
          <t>In House Collection</t>
        </is>
      </c>
      <c r="E467" s="16" t="n">
        <v>46014</v>
      </c>
      <c r="F467" s="16" t="n">
        <v>46150</v>
      </c>
      <c r="G467" s="17" t="n">
        <v>1</v>
      </c>
      <c r="H467" s="5" t="inlineStr">
        <is>
          <t>7538</t>
        </is>
      </c>
      <c r="I467" s="5" t="inlineStr">
        <is>
          <t>General Automotive Repair</t>
        </is>
      </c>
      <c r="J467" s="5" t="inlineStr">
        <is>
          <t>75</t>
        </is>
      </c>
      <c r="K467" s="5" t="n">
        <v>7538</v>
      </c>
      <c r="L467" s="5" t="inlineStr">
        <is>
          <t>CA</t>
        </is>
      </c>
      <c r="M467" s="5" t="inlineStr">
        <is>
          <t>PMF</t>
        </is>
      </c>
      <c r="N467" s="5" t="inlineStr">
        <is>
          <t>New Deal</t>
        </is>
      </c>
      <c r="O467" s="19" t="n">
        <v>1.49</v>
      </c>
      <c r="P467" s="20" t="n">
        <v>20000</v>
      </c>
      <c r="Q467" s="20" t="n">
        <v>2800</v>
      </c>
      <c r="R467" s="20" t="n">
        <v>29800</v>
      </c>
      <c r="S467" s="20" t="n">
        <v>13020.24</v>
      </c>
      <c r="T467" s="20" t="n">
        <v>16779.76</v>
      </c>
      <c r="U467" s="21" t="n">
        <v>0.436920805369128</v>
      </c>
      <c r="V467" s="22" t="n">
        <v>26</v>
      </c>
      <c r="W467" s="17" t="n">
        <v>117</v>
      </c>
      <c r="X467" s="17" t="n">
        <v>4</v>
      </c>
      <c r="Y467" s="20" t="n">
        <v>37862.35</v>
      </c>
      <c r="Z467" s="21" t="n">
        <v>0.1211</v>
      </c>
      <c r="AA467" s="16" t="n">
        <v>44825</v>
      </c>
      <c r="AB467" s="5">
        <f>IF(V467="","",IF(V467&lt;12,"Months","Weeks"))</f>
        <v/>
      </c>
      <c r="AC467" s="5">
        <f>IF(AB467="","",IF(AB467="Months","Daily","Weekly"))</f>
        <v/>
      </c>
      <c r="AD467" s="17">
        <f>IF(V467="","",IF(AC467="Daily",V467*Controls!$B$13,V467))</f>
        <v/>
      </c>
      <c r="AE467" s="17">
        <f>IF(V467="","",IF(AC467="Daily",V467*Controls!$B$13,V467*Controls!$B$12))</f>
        <v/>
      </c>
      <c r="AF467" s="17">
        <f>IF(OR(E467="",F467=""),"",F467-E467)</f>
        <v/>
      </c>
      <c r="AG467" s="17">
        <f>IF(OR(E467="",F467=""),"",NETWORKDAYS(E467,F467,Ref!$F$4:$F$47))</f>
        <v/>
      </c>
      <c r="AH467" s="39">
        <f>IF(IFERROR(VLOOKUP(D467,Controls!$A$25:$D$35,2,FALSE()),"No")="Yes",1,0)</f>
        <v/>
      </c>
      <c r="AI467" s="39">
        <f>IF(IFERROR(VLOOKUP(D467,Controls!$A$25:$D$35,3,FALSE()),"No")="Yes",1,0)</f>
        <v/>
      </c>
      <c r="AJ467" s="39">
        <f>IF(IFERROR(VLOOKUP(D467,Controls!$A$25:$D$35,4,FALSE()),"No")="Yes",1,0)</f>
        <v/>
      </c>
      <c r="AK467" s="96">
        <f>IF(AND($E467&gt;=Controls!$B$5,$E467&lt;=Controls!$B$6,OR(Controls!$E$9&lt;&gt;"Y",$BE467=1)),1,0)</f>
        <v/>
      </c>
      <c r="AL467" s="39">
        <f>1</f>
        <v/>
      </c>
      <c r="AM467" s="20">
        <f>S467-P467</f>
        <v/>
      </c>
      <c r="AN467" s="20">
        <f>IF(AH467=1,MAX(0,P467-S467),0)</f>
        <v/>
      </c>
      <c r="AO467" s="21">
        <f>IFERROR(S467/P467,"")</f>
        <v/>
      </c>
      <c r="AP467" s="22">
        <f>IF(Y467="","",P467/Y467)</f>
        <v/>
      </c>
      <c r="AQ467" s="39">
        <f>IF(Y467="",0,1)</f>
        <v/>
      </c>
      <c r="AR467" s="39">
        <f>IF(S467&lt;=0,1,0)</f>
        <v/>
      </c>
      <c r="AS467" s="17">
        <f>IF(AH467=1,AG467,"")</f>
        <v/>
      </c>
      <c r="AT467" s="17">
        <f>IF(AND(AH467=0,AJ467=1),AG467,"")</f>
        <v/>
      </c>
      <c r="AU467" s="5">
        <f>IF(P467&lt;10000,"Under $10K",IF(P467&lt;20000,"$10-20K",IF(P467&lt;30000,"$20-30K",IF(P467&lt;50000,"$30-50K",IF(P467&lt;100000,"$50-100K","$100K+")))))</f>
        <v/>
      </c>
      <c r="AV467" s="5">
        <f>IF(O467&lt;=1.35,"1.35 and under",IF(O467&lt;=1.42,"1.36-1.42",IF(O467&lt;=1.45,"1.43-1.45",IF(O467&lt;1.49,"1.46-1.48",IF(O467&lt;=1.49,"1.49","Above 1.49")))))</f>
        <v/>
      </c>
      <c r="AW467" s="5">
        <f>IF(AE467="","",IF(AE467&lt;60,"Under 60",IF(AE467&lt;90,"60-89",IF(AE467&lt;120,"90-119",IF(AE467&lt;150,"120-149","150+")))))</f>
        <v/>
      </c>
      <c r="AX467" s="5">
        <f>IF(AP467="","No revenue data",IF(AP467&lt;0.15,"Under 0.15x",IF(AP467&lt;0.3,"0.15-0.30x",IF(AP467&lt;0.5,"0.30-0.50x",IF(AP467&lt;1,"0.50-1.00x","1.00x+")))))</f>
        <v/>
      </c>
      <c r="AY467" s="5">
        <f>IF(J467="","No SIC",IFERROR(VLOOKUP(J467,Ref!$A$4:$C$67,2,FALSE()),"Unclassified"))</f>
        <v/>
      </c>
      <c r="AZ467" s="5">
        <f>IF(E467="","",TEXT(E467,"YYYY")&amp;"-Q"&amp;ROUNDUP(MONTH(E467)/3,0))</f>
        <v/>
      </c>
      <c r="BA467" s="5">
        <f>IF(E467="","",TEXT(E467,"YYYY-MM"))</f>
        <v/>
      </c>
      <c r="BB467" s="5">
        <f>IF(E467="","",TEXT(E467,"YYYY"))</f>
        <v/>
      </c>
      <c r="BC467" s="92">
        <f>IF($E467="","",NETWORKDAYS($E467,Controls!$B$9,Ref!$F$4:$F$47))</f>
        <v/>
      </c>
      <c r="BD467" s="92">
        <f>IF(OR($AH467=1,$AJ467=1),1,0)</f>
        <v/>
      </c>
      <c r="BE467" s="95">
        <f>IF(OR($BD467=1,AND($AE467&lt;&gt;"",$BC467&gt;=Controls!$B$10*$AE467)),1,0)</f>
        <v/>
      </c>
    </row>
    <row r="468" ht="15.75" customHeight="1" s="79">
      <c r="A468" s="5" t="inlineStr">
        <is>
          <t>5674174932</t>
        </is>
      </c>
      <c r="B468" s="5" t="inlineStr">
        <is>
          <t>EL TACO LOCO AL VAPOR II,</t>
        </is>
      </c>
      <c r="C468" s="5" t="inlineStr">
        <is>
          <t>EL TACO LOCO AL VAPOR II,</t>
        </is>
      </c>
      <c r="D468" s="5" t="inlineStr">
        <is>
          <t>Closed</t>
        </is>
      </c>
      <c r="E468" s="16" t="n">
        <v>46014</v>
      </c>
      <c r="F468" s="16" t="n">
        <v>46078</v>
      </c>
      <c r="G468" s="17" t="n">
        <v>1</v>
      </c>
      <c r="H468" s="5" t="inlineStr">
        <is>
          <t>5812</t>
        </is>
      </c>
      <c r="I468" s="5" t="inlineStr">
        <is>
          <t>Snack and Nonalcoholic Beverage Bars</t>
        </is>
      </c>
      <c r="J468" s="5" t="inlineStr">
        <is>
          <t>58</t>
        </is>
      </c>
      <c r="K468" s="5" t="n">
        <v>5812</v>
      </c>
      <c r="L468" s="5" t="inlineStr">
        <is>
          <t>TX</t>
        </is>
      </c>
      <c r="M468" s="5" t="inlineStr">
        <is>
          <t>Westwood</t>
        </is>
      </c>
      <c r="N468" s="5" t="inlineStr">
        <is>
          <t>New Deal</t>
        </is>
      </c>
      <c r="O468" s="19" t="n">
        <v>1.49</v>
      </c>
      <c r="P468" s="20" t="n">
        <v>12000</v>
      </c>
      <c r="Q468" s="20" t="n">
        <v>1680</v>
      </c>
      <c r="R468" s="20" t="n">
        <v>17880</v>
      </c>
      <c r="S468" s="20" t="n">
        <v>17880</v>
      </c>
      <c r="T468" s="20" t="n">
        <v>0</v>
      </c>
      <c r="U468" s="21" t="n">
        <v>1</v>
      </c>
      <c r="V468" s="22" t="n">
        <v>2.951</v>
      </c>
      <c r="W468" s="17" t="n">
        <v>175</v>
      </c>
      <c r="X468" s="17" t="n">
        <v>0</v>
      </c>
      <c r="Y468" s="20" t="n">
        <v>30000</v>
      </c>
      <c r="Z468" s="21" t="n">
        <v>0.1192</v>
      </c>
      <c r="AA468" s="5" t="n"/>
      <c r="AB468" s="5">
        <f>IF(V468="","",IF(V468&lt;12,"Months","Weeks"))</f>
        <v/>
      </c>
      <c r="AC468" s="5">
        <f>IF(AB468="","",IF(AB468="Months","Daily","Weekly"))</f>
        <v/>
      </c>
      <c r="AD468" s="17">
        <f>IF(V468="","",IF(AC468="Daily",V468*Controls!$B$13,V468))</f>
        <v/>
      </c>
      <c r="AE468" s="17">
        <f>IF(V468="","",IF(AC468="Daily",V468*Controls!$B$13,V468*Controls!$B$12))</f>
        <v/>
      </c>
      <c r="AF468" s="17">
        <f>IF(OR(E468="",F468=""),"",F468-E468)</f>
        <v/>
      </c>
      <c r="AG468" s="17">
        <f>IF(OR(E468="",F468=""),"",NETWORKDAYS(E468,F468,Ref!$F$4:$F$47))</f>
        <v/>
      </c>
      <c r="AH468" s="39">
        <f>IF(IFERROR(VLOOKUP(D468,Controls!$A$25:$D$35,2,FALSE()),"No")="Yes",1,0)</f>
        <v/>
      </c>
      <c r="AI468" s="39">
        <f>IF(IFERROR(VLOOKUP(D468,Controls!$A$25:$D$35,3,FALSE()),"No")="Yes",1,0)</f>
        <v/>
      </c>
      <c r="AJ468" s="39">
        <f>IF(IFERROR(VLOOKUP(D468,Controls!$A$25:$D$35,4,FALSE()),"No")="Yes",1,0)</f>
        <v/>
      </c>
      <c r="AK468" s="96">
        <f>IF(AND($E468&gt;=Controls!$B$5,$E468&lt;=Controls!$B$6,OR(Controls!$E$9&lt;&gt;"Y",$BE468=1)),1,0)</f>
        <v/>
      </c>
      <c r="AL468" s="39">
        <f>1</f>
        <v/>
      </c>
      <c r="AM468" s="20">
        <f>S468-P468</f>
        <v/>
      </c>
      <c r="AN468" s="20">
        <f>IF(AH468=1,MAX(0,P468-S468),0)</f>
        <v/>
      </c>
      <c r="AO468" s="21">
        <f>IFERROR(S468/P468,"")</f>
        <v/>
      </c>
      <c r="AP468" s="22">
        <f>IF(Y468="","",P468/Y468)</f>
        <v/>
      </c>
      <c r="AQ468" s="39">
        <f>IF(Y468="",0,1)</f>
        <v/>
      </c>
      <c r="AR468" s="39">
        <f>IF(S468&lt;=0,1,0)</f>
        <v/>
      </c>
      <c r="AS468" s="17">
        <f>IF(AH468=1,AG468,"")</f>
        <v/>
      </c>
      <c r="AT468" s="17">
        <f>IF(AND(AH468=0,AJ468=1),AG468,"")</f>
        <v/>
      </c>
      <c r="AU468" s="5">
        <f>IF(P468&lt;10000,"Under $10K",IF(P468&lt;20000,"$10-20K",IF(P468&lt;30000,"$20-30K",IF(P468&lt;50000,"$30-50K",IF(P468&lt;100000,"$50-100K","$100K+")))))</f>
        <v/>
      </c>
      <c r="AV468" s="5">
        <f>IF(O468&lt;=1.35,"1.35 and under",IF(O468&lt;=1.42,"1.36-1.42",IF(O468&lt;=1.45,"1.43-1.45",IF(O468&lt;1.49,"1.46-1.48",IF(O468&lt;=1.49,"1.49","Above 1.49")))))</f>
        <v/>
      </c>
      <c r="AW468" s="5">
        <f>IF(AE468="","",IF(AE468&lt;60,"Under 60",IF(AE468&lt;90,"60-89",IF(AE468&lt;120,"90-119",IF(AE468&lt;150,"120-149","150+")))))</f>
        <v/>
      </c>
      <c r="AX468" s="5">
        <f>IF(AP468="","No revenue data",IF(AP468&lt;0.15,"Under 0.15x",IF(AP468&lt;0.3,"0.15-0.30x",IF(AP468&lt;0.5,"0.30-0.50x",IF(AP468&lt;1,"0.50-1.00x","1.00x+")))))</f>
        <v/>
      </c>
      <c r="AY468" s="5">
        <f>IF(J468="","No SIC",IFERROR(VLOOKUP(J468,Ref!$A$4:$C$67,2,FALSE()),"Unclassified"))</f>
        <v/>
      </c>
      <c r="AZ468" s="5">
        <f>IF(E468="","",TEXT(E468,"YYYY")&amp;"-Q"&amp;ROUNDUP(MONTH(E468)/3,0))</f>
        <v/>
      </c>
      <c r="BA468" s="5">
        <f>IF(E468="","",TEXT(E468,"YYYY-MM"))</f>
        <v/>
      </c>
      <c r="BB468" s="5">
        <f>IF(E468="","",TEXT(E468,"YYYY"))</f>
        <v/>
      </c>
      <c r="BC468" s="92">
        <f>IF($E468="","",NETWORKDAYS($E468,Controls!$B$9,Ref!$F$4:$F$47))</f>
        <v/>
      </c>
      <c r="BD468" s="92">
        <f>IF(OR($AH468=1,$AJ468=1),1,0)</f>
        <v/>
      </c>
      <c r="BE468" s="95">
        <f>IF(OR($BD468=1,AND($AE468&lt;&gt;"",$BC468&gt;=Controls!$B$10*$AE468)),1,0)</f>
        <v/>
      </c>
    </row>
    <row r="469" ht="15.75" customHeight="1" s="79">
      <c r="A469" s="5" t="inlineStr">
        <is>
          <t>5674174937</t>
        </is>
      </c>
      <c r="B469" s="5" t="inlineStr">
        <is>
          <t>JACKS PEST MGMT LLC</t>
        </is>
      </c>
      <c r="C469" s="5" t="inlineStr">
        <is>
          <t>JACKS PEST MGMT LLC</t>
        </is>
      </c>
      <c r="D469" s="5" t="inlineStr">
        <is>
          <t>Closed</t>
        </is>
      </c>
      <c r="E469" s="16" t="n">
        <v>46014</v>
      </c>
      <c r="F469" s="16" t="n">
        <v>46162</v>
      </c>
      <c r="G469" s="17" t="n">
        <v>2</v>
      </c>
      <c r="H469" s="5" t="inlineStr">
        <is>
          <t>7342</t>
        </is>
      </c>
      <c r="I469" s="5" t="inlineStr">
        <is>
          <t>Exterminating and Pest Control Services</t>
        </is>
      </c>
      <c r="J469" s="5" t="inlineStr">
        <is>
          <t>73</t>
        </is>
      </c>
      <c r="K469" s="5" t="n">
        <v>7342</v>
      </c>
      <c r="L469" s="5" t="inlineStr">
        <is>
          <t>MO</t>
        </is>
      </c>
      <c r="M469" s="5" t="inlineStr">
        <is>
          <t>Samson Funding</t>
        </is>
      </c>
      <c r="N469" s="5" t="inlineStr">
        <is>
          <t>Renewal</t>
        </is>
      </c>
      <c r="O469" s="19" t="n">
        <v>1.45</v>
      </c>
      <c r="P469" s="20" t="n">
        <v>10000</v>
      </c>
      <c r="Q469" s="20" t="n">
        <v>1200</v>
      </c>
      <c r="R469" s="20" t="n">
        <v>14500</v>
      </c>
      <c r="S469" s="20" t="n">
        <v>14500</v>
      </c>
      <c r="T469" s="20" t="n">
        <v>0</v>
      </c>
      <c r="U469" s="21" t="n">
        <v>1</v>
      </c>
      <c r="V469" s="22" t="n">
        <v>3.934</v>
      </c>
      <c r="W469" s="17" t="n">
        <v>91</v>
      </c>
      <c r="X469" s="17" t="n">
        <v>0</v>
      </c>
      <c r="Y469" s="20" t="n">
        <v>12993</v>
      </c>
      <c r="Z469" s="21" t="n">
        <v>0.1953</v>
      </c>
      <c r="AA469" s="16" t="n">
        <v>45280</v>
      </c>
      <c r="AB469" s="5">
        <f>IF(V469="","",IF(V469&lt;12,"Months","Weeks"))</f>
        <v/>
      </c>
      <c r="AC469" s="5">
        <f>IF(AB469="","",IF(AB469="Months","Daily","Weekly"))</f>
        <v/>
      </c>
      <c r="AD469" s="17">
        <f>IF(V469="","",IF(AC469="Daily",V469*Controls!$B$13,V469))</f>
        <v/>
      </c>
      <c r="AE469" s="17">
        <f>IF(V469="","",IF(AC469="Daily",V469*Controls!$B$13,V469*Controls!$B$12))</f>
        <v/>
      </c>
      <c r="AF469" s="17">
        <f>IF(OR(E469="",F469=""),"",F469-E469)</f>
        <v/>
      </c>
      <c r="AG469" s="17">
        <f>IF(OR(E469="",F469=""),"",NETWORKDAYS(E469,F469,Ref!$F$4:$F$47))</f>
        <v/>
      </c>
      <c r="AH469" s="39">
        <f>IF(IFERROR(VLOOKUP(D469,Controls!$A$25:$D$35,2,FALSE()),"No")="Yes",1,0)</f>
        <v/>
      </c>
      <c r="AI469" s="39">
        <f>IF(IFERROR(VLOOKUP(D469,Controls!$A$25:$D$35,3,FALSE()),"No")="Yes",1,0)</f>
        <v/>
      </c>
      <c r="AJ469" s="39">
        <f>IF(IFERROR(VLOOKUP(D469,Controls!$A$25:$D$35,4,FALSE()),"No")="Yes",1,0)</f>
        <v/>
      </c>
      <c r="AK469" s="96">
        <f>IF(AND($E469&gt;=Controls!$B$5,$E469&lt;=Controls!$B$6,OR(Controls!$E$9&lt;&gt;"Y",$BE469=1)),1,0)</f>
        <v/>
      </c>
      <c r="AL469" s="39">
        <f>1</f>
        <v/>
      </c>
      <c r="AM469" s="20">
        <f>S469-P469</f>
        <v/>
      </c>
      <c r="AN469" s="20">
        <f>IF(AH469=1,MAX(0,P469-S469),0)</f>
        <v/>
      </c>
      <c r="AO469" s="21">
        <f>IFERROR(S469/P469,"")</f>
        <v/>
      </c>
      <c r="AP469" s="22">
        <f>IF(Y469="","",P469/Y469)</f>
        <v/>
      </c>
      <c r="AQ469" s="39">
        <f>IF(Y469="",0,1)</f>
        <v/>
      </c>
      <c r="AR469" s="39">
        <f>IF(S469&lt;=0,1,0)</f>
        <v/>
      </c>
      <c r="AS469" s="17">
        <f>IF(AH469=1,AG469,"")</f>
        <v/>
      </c>
      <c r="AT469" s="17">
        <f>IF(AND(AH469=0,AJ469=1),AG469,"")</f>
        <v/>
      </c>
      <c r="AU469" s="5">
        <f>IF(P469&lt;10000,"Under $10K",IF(P469&lt;20000,"$10-20K",IF(P469&lt;30000,"$20-30K",IF(P469&lt;50000,"$30-50K",IF(P469&lt;100000,"$50-100K","$100K+")))))</f>
        <v/>
      </c>
      <c r="AV469" s="5">
        <f>IF(O469&lt;=1.35,"1.35 and under",IF(O469&lt;=1.42,"1.36-1.42",IF(O469&lt;=1.45,"1.43-1.45",IF(O469&lt;1.49,"1.46-1.48",IF(O469&lt;=1.49,"1.49","Above 1.49")))))</f>
        <v/>
      </c>
      <c r="AW469" s="5">
        <f>IF(AE469="","",IF(AE469&lt;60,"Under 60",IF(AE469&lt;90,"60-89",IF(AE469&lt;120,"90-119",IF(AE469&lt;150,"120-149","150+")))))</f>
        <v/>
      </c>
      <c r="AX469" s="5">
        <f>IF(AP469="","No revenue data",IF(AP469&lt;0.15,"Under 0.15x",IF(AP469&lt;0.3,"0.15-0.30x",IF(AP469&lt;0.5,"0.30-0.50x",IF(AP469&lt;1,"0.50-1.00x","1.00x+")))))</f>
        <v/>
      </c>
      <c r="AY469" s="5">
        <f>IF(J469="","No SIC",IFERROR(VLOOKUP(J469,Ref!$A$4:$C$67,2,FALSE()),"Unclassified"))</f>
        <v/>
      </c>
      <c r="AZ469" s="5">
        <f>IF(E469="","",TEXT(E469,"YYYY")&amp;"-Q"&amp;ROUNDUP(MONTH(E469)/3,0))</f>
        <v/>
      </c>
      <c r="BA469" s="5">
        <f>IF(E469="","",TEXT(E469,"YYYY-MM"))</f>
        <v/>
      </c>
      <c r="BB469" s="5">
        <f>IF(E469="","",TEXT(E469,"YYYY"))</f>
        <v/>
      </c>
      <c r="BC469" s="92">
        <f>IF($E469="","",NETWORKDAYS($E469,Controls!$B$9,Ref!$F$4:$F$47))</f>
        <v/>
      </c>
      <c r="BD469" s="92">
        <f>IF(OR($AH469=1,$AJ469=1),1,0)</f>
        <v/>
      </c>
      <c r="BE469" s="95">
        <f>IF(OR($BD469=1,AND($AE469&lt;&gt;"",$BC469&gt;=Controls!$B$10*$AE469)),1,0)</f>
        <v/>
      </c>
    </row>
    <row r="470" ht="15.75" customHeight="1" s="79">
      <c r="A470" s="5" t="inlineStr">
        <is>
          <t>5674174940</t>
        </is>
      </c>
      <c r="B470" s="5" t="inlineStr">
        <is>
          <t>Precisely Pandas LLC</t>
        </is>
      </c>
      <c r="C470" s="5" t="inlineStr">
        <is>
          <t>Precisely Pandas LLC</t>
        </is>
      </c>
      <c r="D470" s="5" t="inlineStr">
        <is>
          <t>Closed</t>
        </is>
      </c>
      <c r="E470" s="16" t="n">
        <v>46014</v>
      </c>
      <c r="F470" s="16" t="n">
        <v>46223</v>
      </c>
      <c r="G470" s="17" t="n">
        <v>3</v>
      </c>
      <c r="H470" s="5" t="inlineStr">
        <is>
          <t>8351</t>
        </is>
      </c>
      <c r="I470" s="5" t="inlineStr">
        <is>
          <t>Child Day Care Services</t>
        </is>
      </c>
      <c r="J470" s="5" t="inlineStr">
        <is>
          <t>83</t>
        </is>
      </c>
      <c r="K470" s="5" t="n">
        <v>8351</v>
      </c>
      <c r="L470" s="5" t="inlineStr">
        <is>
          <t>CT</t>
        </is>
      </c>
      <c r="M470" s="5" t="inlineStr">
        <is>
          <t>National Business Capital</t>
        </is>
      </c>
      <c r="N470" s="5" t="inlineStr">
        <is>
          <t>Renewal</t>
        </is>
      </c>
      <c r="O470" s="19" t="n">
        <v>1.39</v>
      </c>
      <c r="P470" s="20" t="n">
        <v>30000</v>
      </c>
      <c r="Q470" s="20" t="n">
        <v>2700</v>
      </c>
      <c r="R470" s="20" t="n">
        <v>41700</v>
      </c>
      <c r="S470" s="20" t="n">
        <v>41700</v>
      </c>
      <c r="T470" s="20" t="n">
        <v>0</v>
      </c>
      <c r="U470" s="21" t="n">
        <v>1</v>
      </c>
      <c r="V470" s="22" t="n">
        <v>30</v>
      </c>
      <c r="W470" s="17" t="n">
        <v>30</v>
      </c>
      <c r="X470" s="17" t="n">
        <v>1</v>
      </c>
      <c r="Y470" s="20" t="n">
        <v>80453.13</v>
      </c>
      <c r="Z470" s="21" t="n">
        <v>0.0619</v>
      </c>
      <c r="AA470" s="5" t="n"/>
      <c r="AB470" s="5">
        <f>IF(V470="","",IF(V470&lt;12,"Months","Weeks"))</f>
        <v/>
      </c>
      <c r="AC470" s="5">
        <f>IF(AB470="","",IF(AB470="Months","Daily","Weekly"))</f>
        <v/>
      </c>
      <c r="AD470" s="17">
        <f>IF(V470="","",IF(AC470="Daily",V470*Controls!$B$13,V470))</f>
        <v/>
      </c>
      <c r="AE470" s="17">
        <f>IF(V470="","",IF(AC470="Daily",V470*Controls!$B$13,V470*Controls!$B$12))</f>
        <v/>
      </c>
      <c r="AF470" s="17">
        <f>IF(OR(E470="",F470=""),"",F470-E470)</f>
        <v/>
      </c>
      <c r="AG470" s="17">
        <f>IF(OR(E470="",F470=""),"",NETWORKDAYS(E470,F470,Ref!$F$4:$F$47))</f>
        <v/>
      </c>
      <c r="AH470" s="39">
        <f>IF(IFERROR(VLOOKUP(D470,Controls!$A$25:$D$35,2,FALSE()),"No")="Yes",1,0)</f>
        <v/>
      </c>
      <c r="AI470" s="39">
        <f>IF(IFERROR(VLOOKUP(D470,Controls!$A$25:$D$35,3,FALSE()),"No")="Yes",1,0)</f>
        <v/>
      </c>
      <c r="AJ470" s="39">
        <f>IF(IFERROR(VLOOKUP(D470,Controls!$A$25:$D$35,4,FALSE()),"No")="Yes",1,0)</f>
        <v/>
      </c>
      <c r="AK470" s="96">
        <f>IF(AND($E470&gt;=Controls!$B$5,$E470&lt;=Controls!$B$6,OR(Controls!$E$9&lt;&gt;"Y",$BE470=1)),1,0)</f>
        <v/>
      </c>
      <c r="AL470" s="39">
        <f>1</f>
        <v/>
      </c>
      <c r="AM470" s="20">
        <f>S470-P470</f>
        <v/>
      </c>
      <c r="AN470" s="20">
        <f>IF(AH470=1,MAX(0,P470-S470),0)</f>
        <v/>
      </c>
      <c r="AO470" s="21">
        <f>IFERROR(S470/P470,"")</f>
        <v/>
      </c>
      <c r="AP470" s="22">
        <f>IF(Y470="","",P470/Y470)</f>
        <v/>
      </c>
      <c r="AQ470" s="39">
        <f>IF(Y470="",0,1)</f>
        <v/>
      </c>
      <c r="AR470" s="39">
        <f>IF(S470&lt;=0,1,0)</f>
        <v/>
      </c>
      <c r="AS470" s="17">
        <f>IF(AH470=1,AG470,"")</f>
        <v/>
      </c>
      <c r="AT470" s="17">
        <f>IF(AND(AH470=0,AJ470=1),AG470,"")</f>
        <v/>
      </c>
      <c r="AU470" s="5">
        <f>IF(P470&lt;10000,"Under $10K",IF(P470&lt;20000,"$10-20K",IF(P470&lt;30000,"$20-30K",IF(P470&lt;50000,"$30-50K",IF(P470&lt;100000,"$50-100K","$100K+")))))</f>
        <v/>
      </c>
      <c r="AV470" s="5">
        <f>IF(O470&lt;=1.35,"1.35 and under",IF(O470&lt;=1.42,"1.36-1.42",IF(O470&lt;=1.45,"1.43-1.45",IF(O470&lt;1.49,"1.46-1.48",IF(O470&lt;=1.49,"1.49","Above 1.49")))))</f>
        <v/>
      </c>
      <c r="AW470" s="5">
        <f>IF(AE470="","",IF(AE470&lt;60,"Under 60",IF(AE470&lt;90,"60-89",IF(AE470&lt;120,"90-119",IF(AE470&lt;150,"120-149","150+")))))</f>
        <v/>
      </c>
      <c r="AX470" s="5">
        <f>IF(AP470="","No revenue data",IF(AP470&lt;0.15,"Under 0.15x",IF(AP470&lt;0.3,"0.15-0.30x",IF(AP470&lt;0.5,"0.30-0.50x",IF(AP470&lt;1,"0.50-1.00x","1.00x+")))))</f>
        <v/>
      </c>
      <c r="AY470" s="5">
        <f>IF(J470="","No SIC",IFERROR(VLOOKUP(J470,Ref!$A$4:$C$67,2,FALSE()),"Unclassified"))</f>
        <v/>
      </c>
      <c r="AZ470" s="5">
        <f>IF(E470="","",TEXT(E470,"YYYY")&amp;"-Q"&amp;ROUNDUP(MONTH(E470)/3,0))</f>
        <v/>
      </c>
      <c r="BA470" s="5">
        <f>IF(E470="","",TEXT(E470,"YYYY-MM"))</f>
        <v/>
      </c>
      <c r="BB470" s="5">
        <f>IF(E470="","",TEXT(E470,"YYYY"))</f>
        <v/>
      </c>
      <c r="BC470" s="92">
        <f>IF($E470="","",NETWORKDAYS($E470,Controls!$B$9,Ref!$F$4:$F$47))</f>
        <v/>
      </c>
      <c r="BD470" s="92">
        <f>IF(OR($AH470=1,$AJ470=1),1,0)</f>
        <v/>
      </c>
      <c r="BE470" s="95">
        <f>IF(OR($BD470=1,AND($AE470&lt;&gt;"",$BC470&gt;=Controls!$B$10*$AE470)),1,0)</f>
        <v/>
      </c>
    </row>
    <row r="471" ht="15.75" customHeight="1" s="79">
      <c r="A471" s="5" t="inlineStr">
        <is>
          <t>5674174945</t>
        </is>
      </c>
      <c r="B471" s="5" t="inlineStr">
        <is>
          <t>S&amp;R JANITORIAL SERVICE LLC</t>
        </is>
      </c>
      <c r="C471" s="5" t="inlineStr">
        <is>
          <t>S&amp;R JANITORIAL SERVICE LLC</t>
        </is>
      </c>
      <c r="D471" s="5" t="inlineStr">
        <is>
          <t>Closed</t>
        </is>
      </c>
      <c r="E471" s="16" t="n">
        <v>46014</v>
      </c>
      <c r="F471" s="16" t="n">
        <v>46163</v>
      </c>
      <c r="G471" s="17" t="n">
        <v>4</v>
      </c>
      <c r="H471" s="5" t="n"/>
      <c r="I471" s="5" t="n"/>
      <c r="J471" s="5" t="n"/>
      <c r="K471" s="5" t="n">
        <v>7349</v>
      </c>
      <c r="L471" s="5" t="inlineStr">
        <is>
          <t>CA</t>
        </is>
      </c>
      <c r="M471" s="5" t="inlineStr">
        <is>
          <t>Linked In Funding</t>
        </is>
      </c>
      <c r="N471" s="5" t="inlineStr">
        <is>
          <t>New Deal</t>
        </is>
      </c>
      <c r="O471" s="19" t="n">
        <v>1.49</v>
      </c>
      <c r="P471" s="20" t="n">
        <v>15000</v>
      </c>
      <c r="Q471" s="20" t="n">
        <v>2100</v>
      </c>
      <c r="R471" s="20" t="n">
        <v>22350</v>
      </c>
      <c r="S471" s="20" t="n">
        <v>22350</v>
      </c>
      <c r="T471" s="20" t="n">
        <v>0</v>
      </c>
      <c r="U471" s="21" t="n">
        <v>1</v>
      </c>
      <c r="V471" s="22" t="n">
        <v>3.279</v>
      </c>
      <c r="W471" s="17" t="n">
        <v>90</v>
      </c>
      <c r="X471" s="17" t="n">
        <v>1</v>
      </c>
      <c r="Y471" s="20" t="n">
        <v>94527.25999999999</v>
      </c>
      <c r="Z471" s="21" t="n">
        <v>0.0497</v>
      </c>
      <c r="AA471" s="16" t="n">
        <v>42906</v>
      </c>
      <c r="AB471" s="5">
        <f>IF(V471="","",IF(V471&lt;12,"Months","Weeks"))</f>
        <v/>
      </c>
      <c r="AC471" s="5">
        <f>IF(AB471="","",IF(AB471="Months","Daily","Weekly"))</f>
        <v/>
      </c>
      <c r="AD471" s="17">
        <f>IF(V471="","",IF(AC471="Daily",V471*Controls!$B$13,V471))</f>
        <v/>
      </c>
      <c r="AE471" s="17">
        <f>IF(V471="","",IF(AC471="Daily",V471*Controls!$B$13,V471*Controls!$B$12))</f>
        <v/>
      </c>
      <c r="AF471" s="17">
        <f>IF(OR(E471="",F471=""),"",F471-E471)</f>
        <v/>
      </c>
      <c r="AG471" s="17">
        <f>IF(OR(E471="",F471=""),"",NETWORKDAYS(E471,F471,Ref!$F$4:$F$47))</f>
        <v/>
      </c>
      <c r="AH471" s="39">
        <f>IF(IFERROR(VLOOKUP(D471,Controls!$A$25:$D$35,2,FALSE()),"No")="Yes",1,0)</f>
        <v/>
      </c>
      <c r="AI471" s="39">
        <f>IF(IFERROR(VLOOKUP(D471,Controls!$A$25:$D$35,3,FALSE()),"No")="Yes",1,0)</f>
        <v/>
      </c>
      <c r="AJ471" s="39">
        <f>IF(IFERROR(VLOOKUP(D471,Controls!$A$25:$D$35,4,FALSE()),"No")="Yes",1,0)</f>
        <v/>
      </c>
      <c r="AK471" s="96">
        <f>IF(AND($E471&gt;=Controls!$B$5,$E471&lt;=Controls!$B$6,OR(Controls!$E$9&lt;&gt;"Y",$BE471=1)),1,0)</f>
        <v/>
      </c>
      <c r="AL471" s="39">
        <f>1</f>
        <v/>
      </c>
      <c r="AM471" s="20">
        <f>S471-P471</f>
        <v/>
      </c>
      <c r="AN471" s="20">
        <f>IF(AH471=1,MAX(0,P471-S471),0)</f>
        <v/>
      </c>
      <c r="AO471" s="21">
        <f>IFERROR(S471/P471,"")</f>
        <v/>
      </c>
      <c r="AP471" s="22">
        <f>IF(Y471="","",P471/Y471)</f>
        <v/>
      </c>
      <c r="AQ471" s="39">
        <f>IF(Y471="",0,1)</f>
        <v/>
      </c>
      <c r="AR471" s="39">
        <f>IF(S471&lt;=0,1,0)</f>
        <v/>
      </c>
      <c r="AS471" s="17">
        <f>IF(AH471=1,AG471,"")</f>
        <v/>
      </c>
      <c r="AT471" s="17">
        <f>IF(AND(AH471=0,AJ471=1),AG471,"")</f>
        <v/>
      </c>
      <c r="AU471" s="5">
        <f>IF(P471&lt;10000,"Under $10K",IF(P471&lt;20000,"$10-20K",IF(P471&lt;30000,"$20-30K",IF(P471&lt;50000,"$30-50K",IF(P471&lt;100000,"$50-100K","$100K+")))))</f>
        <v/>
      </c>
      <c r="AV471" s="5">
        <f>IF(O471&lt;=1.35,"1.35 and under",IF(O471&lt;=1.42,"1.36-1.42",IF(O471&lt;=1.45,"1.43-1.45",IF(O471&lt;1.49,"1.46-1.48",IF(O471&lt;=1.49,"1.49","Above 1.49")))))</f>
        <v/>
      </c>
      <c r="AW471" s="5">
        <f>IF(AE471="","",IF(AE471&lt;60,"Under 60",IF(AE471&lt;90,"60-89",IF(AE471&lt;120,"90-119",IF(AE471&lt;150,"120-149","150+")))))</f>
        <v/>
      </c>
      <c r="AX471" s="5">
        <f>IF(AP471="","No revenue data",IF(AP471&lt;0.15,"Under 0.15x",IF(AP471&lt;0.3,"0.15-0.30x",IF(AP471&lt;0.5,"0.30-0.50x",IF(AP471&lt;1,"0.50-1.00x","1.00x+")))))</f>
        <v/>
      </c>
      <c r="AY471" s="5">
        <f>IF(J471="","No SIC",IFERROR(VLOOKUP(J471,Ref!$A$4:$C$67,2,FALSE()),"Unclassified"))</f>
        <v/>
      </c>
      <c r="AZ471" s="5">
        <f>IF(E471="","",TEXT(E471,"YYYY")&amp;"-Q"&amp;ROUNDUP(MONTH(E471)/3,0))</f>
        <v/>
      </c>
      <c r="BA471" s="5">
        <f>IF(E471="","",TEXT(E471,"YYYY-MM"))</f>
        <v/>
      </c>
      <c r="BB471" s="5">
        <f>IF(E471="","",TEXT(E471,"YYYY"))</f>
        <v/>
      </c>
      <c r="BC471" s="92">
        <f>IF($E471="","",NETWORKDAYS($E471,Controls!$B$9,Ref!$F$4:$F$47))</f>
        <v/>
      </c>
      <c r="BD471" s="92">
        <f>IF(OR($AH471=1,$AJ471=1),1,0)</f>
        <v/>
      </c>
      <c r="BE471" s="95">
        <f>IF(OR($BD471=1,AND($AE471&lt;&gt;"",$BC471&gt;=Controls!$B$10*$AE471)),1,0)</f>
        <v/>
      </c>
    </row>
    <row r="472" ht="15.75" customHeight="1" s="79">
      <c r="A472" s="5" t="inlineStr">
        <is>
          <t>5674174958</t>
        </is>
      </c>
      <c r="B472" s="5" t="inlineStr">
        <is>
          <t>Oaceus Insurance Services LLC</t>
        </is>
      </c>
      <c r="C472" s="5" t="inlineStr">
        <is>
          <t>Smith Delliquadri &amp; Co</t>
        </is>
      </c>
      <c r="D472" s="5" t="inlineStr">
        <is>
          <t>In House Collection</t>
        </is>
      </c>
      <c r="E472" s="16" t="n">
        <v>46014</v>
      </c>
      <c r="F472" s="16" t="n">
        <v>46252</v>
      </c>
      <c r="G472" s="17" t="n">
        <v>3</v>
      </c>
      <c r="H472" s="5" t="inlineStr">
        <is>
          <t>6311</t>
        </is>
      </c>
      <c r="I472" s="5" t="inlineStr">
        <is>
          <t>Direct Life Insurance Carriers</t>
        </is>
      </c>
      <c r="J472" s="5" t="inlineStr">
        <is>
          <t>63</t>
        </is>
      </c>
      <c r="K472" s="5" t="n">
        <v>6300</v>
      </c>
      <c r="L472" s="5" t="inlineStr">
        <is>
          <t>CA</t>
        </is>
      </c>
      <c r="M472" s="5" t="inlineStr">
        <is>
          <t>Fundwell</t>
        </is>
      </c>
      <c r="N472" s="5" t="inlineStr">
        <is>
          <t>New Deal</t>
        </is>
      </c>
      <c r="O472" s="19" t="n">
        <v>1.39</v>
      </c>
      <c r="P472" s="20" t="n">
        <v>155000</v>
      </c>
      <c r="Q472" s="20" t="n">
        <v>19375</v>
      </c>
      <c r="R472" s="20" t="n">
        <v>215450</v>
      </c>
      <c r="S472" s="20" t="n">
        <v>132370.03</v>
      </c>
      <c r="T472" s="20" t="n">
        <v>83079.97</v>
      </c>
      <c r="U472" s="21" t="n">
        <v>0.614388628452077</v>
      </c>
      <c r="V472" s="22" t="n">
        <v>30</v>
      </c>
      <c r="W472" s="17" t="n">
        <v>1</v>
      </c>
      <c r="X472" s="17" t="n">
        <v>6</v>
      </c>
      <c r="Y472" s="20" t="n">
        <v>668121.63</v>
      </c>
      <c r="Z472" s="21" t="n">
        <v>0.043</v>
      </c>
      <c r="AA472" s="16" t="n">
        <v>43466</v>
      </c>
      <c r="AB472" s="5">
        <f>IF(V472="","",IF(V472&lt;12,"Months","Weeks"))</f>
        <v/>
      </c>
      <c r="AC472" s="5">
        <f>IF(AB472="","",IF(AB472="Months","Daily","Weekly"))</f>
        <v/>
      </c>
      <c r="AD472" s="17">
        <f>IF(V472="","",IF(AC472="Daily",V472*Controls!$B$13,V472))</f>
        <v/>
      </c>
      <c r="AE472" s="17">
        <f>IF(V472="","",IF(AC472="Daily",V472*Controls!$B$13,V472*Controls!$B$12))</f>
        <v/>
      </c>
      <c r="AF472" s="17">
        <f>IF(OR(E472="",F472=""),"",F472-E472)</f>
        <v/>
      </c>
      <c r="AG472" s="17">
        <f>IF(OR(E472="",F472=""),"",NETWORKDAYS(E472,F472,Ref!$F$4:$F$47))</f>
        <v/>
      </c>
      <c r="AH472" s="39">
        <f>IF(IFERROR(VLOOKUP(D472,Controls!$A$25:$D$35,2,FALSE()),"No")="Yes",1,0)</f>
        <v/>
      </c>
      <c r="AI472" s="39">
        <f>IF(IFERROR(VLOOKUP(D472,Controls!$A$25:$D$35,3,FALSE()),"No")="Yes",1,0)</f>
        <v/>
      </c>
      <c r="AJ472" s="39">
        <f>IF(IFERROR(VLOOKUP(D472,Controls!$A$25:$D$35,4,FALSE()),"No")="Yes",1,0)</f>
        <v/>
      </c>
      <c r="AK472" s="96">
        <f>IF(AND($E472&gt;=Controls!$B$5,$E472&lt;=Controls!$B$6,OR(Controls!$E$9&lt;&gt;"Y",$BE472=1)),1,0)</f>
        <v/>
      </c>
      <c r="AL472" s="39">
        <f>1</f>
        <v/>
      </c>
      <c r="AM472" s="20">
        <f>S472-P472</f>
        <v/>
      </c>
      <c r="AN472" s="20">
        <f>IF(AH472=1,MAX(0,P472-S472),0)</f>
        <v/>
      </c>
      <c r="AO472" s="21">
        <f>IFERROR(S472/P472,"")</f>
        <v/>
      </c>
      <c r="AP472" s="22">
        <f>IF(Y472="","",P472/Y472)</f>
        <v/>
      </c>
      <c r="AQ472" s="39">
        <f>IF(Y472="",0,1)</f>
        <v/>
      </c>
      <c r="AR472" s="39">
        <f>IF(S472&lt;=0,1,0)</f>
        <v/>
      </c>
      <c r="AS472" s="17">
        <f>IF(AH472=1,AG472,"")</f>
        <v/>
      </c>
      <c r="AT472" s="17">
        <f>IF(AND(AH472=0,AJ472=1),AG472,"")</f>
        <v/>
      </c>
      <c r="AU472" s="5">
        <f>IF(P472&lt;10000,"Under $10K",IF(P472&lt;20000,"$10-20K",IF(P472&lt;30000,"$20-30K",IF(P472&lt;50000,"$30-50K",IF(P472&lt;100000,"$50-100K","$100K+")))))</f>
        <v/>
      </c>
      <c r="AV472" s="5">
        <f>IF(O472&lt;=1.35,"1.35 and under",IF(O472&lt;=1.42,"1.36-1.42",IF(O472&lt;=1.45,"1.43-1.45",IF(O472&lt;1.49,"1.46-1.48",IF(O472&lt;=1.49,"1.49","Above 1.49")))))</f>
        <v/>
      </c>
      <c r="AW472" s="5">
        <f>IF(AE472="","",IF(AE472&lt;60,"Under 60",IF(AE472&lt;90,"60-89",IF(AE472&lt;120,"90-119",IF(AE472&lt;150,"120-149","150+")))))</f>
        <v/>
      </c>
      <c r="AX472" s="5">
        <f>IF(AP472="","No revenue data",IF(AP472&lt;0.15,"Under 0.15x",IF(AP472&lt;0.3,"0.15-0.30x",IF(AP472&lt;0.5,"0.30-0.50x",IF(AP472&lt;1,"0.50-1.00x","1.00x+")))))</f>
        <v/>
      </c>
      <c r="AY472" s="5">
        <f>IF(J472="","No SIC",IFERROR(VLOOKUP(J472,Ref!$A$4:$C$67,2,FALSE()),"Unclassified"))</f>
        <v/>
      </c>
      <c r="AZ472" s="5">
        <f>IF(E472="","",TEXT(E472,"YYYY")&amp;"-Q"&amp;ROUNDUP(MONTH(E472)/3,0))</f>
        <v/>
      </c>
      <c r="BA472" s="5">
        <f>IF(E472="","",TEXT(E472,"YYYY-MM"))</f>
        <v/>
      </c>
      <c r="BB472" s="5">
        <f>IF(E472="","",TEXT(E472,"YYYY"))</f>
        <v/>
      </c>
      <c r="BC472" s="92">
        <f>IF($E472="","",NETWORKDAYS($E472,Controls!$B$9,Ref!$F$4:$F$47))</f>
        <v/>
      </c>
      <c r="BD472" s="92">
        <f>IF(OR($AH472=1,$AJ472=1),1,0)</f>
        <v/>
      </c>
      <c r="BE472" s="95">
        <f>IF(OR($BD472=1,AND($AE472&lt;&gt;"",$BC472&gt;=Controls!$B$10*$AE472)),1,0)</f>
        <v/>
      </c>
    </row>
    <row r="473" ht="15.75" customHeight="1" s="79">
      <c r="A473" s="5" t="inlineStr">
        <is>
          <t>5674174960</t>
        </is>
      </c>
      <c r="B473" s="5" t="inlineStr">
        <is>
          <t>PROSPECT MASTER</t>
        </is>
      </c>
      <c r="C473" s="5" t="inlineStr">
        <is>
          <t>PROSPECT MASTER LLC</t>
        </is>
      </c>
      <c r="D473" s="5" t="inlineStr">
        <is>
          <t>Closed</t>
        </is>
      </c>
      <c r="E473" s="16" t="n">
        <v>46014</v>
      </c>
      <c r="F473" s="16" t="n">
        <v>46100</v>
      </c>
      <c r="G473" s="17" t="n">
        <v>3</v>
      </c>
      <c r="H473" s="5" t="inlineStr">
        <is>
          <t>6531</t>
        </is>
      </c>
      <c r="I473" s="5" t="inlineStr">
        <is>
          <t>Other Activities Related to Real Estate</t>
        </is>
      </c>
      <c r="J473" s="5" t="inlineStr">
        <is>
          <t>65</t>
        </is>
      </c>
      <c r="K473" s="5" t="n">
        <v>6513</v>
      </c>
      <c r="L473" s="5" t="inlineStr">
        <is>
          <t>FL</t>
        </is>
      </c>
      <c r="M473" s="5" t="inlineStr">
        <is>
          <t>Fundwell</t>
        </is>
      </c>
      <c r="N473" s="5" t="inlineStr">
        <is>
          <t>New Deal</t>
        </is>
      </c>
      <c r="O473" s="19" t="n">
        <v>1.42</v>
      </c>
      <c r="P473" s="20" t="n">
        <v>21500</v>
      </c>
      <c r="Q473" s="20" t="n">
        <v>3117.5</v>
      </c>
      <c r="R473" s="20" t="n">
        <v>30530</v>
      </c>
      <c r="S473" s="20" t="n">
        <v>30530</v>
      </c>
      <c r="T473" s="20" t="n">
        <v>0</v>
      </c>
      <c r="U473" s="21" t="n">
        <v>1</v>
      </c>
      <c r="V473" s="22" t="n">
        <v>3.934</v>
      </c>
      <c r="W473" s="17" t="n">
        <v>153</v>
      </c>
      <c r="X473" s="17" t="n">
        <v>0</v>
      </c>
      <c r="Y473" s="20" t="n">
        <v>23515.99</v>
      </c>
      <c r="Z473" s="21" t="n">
        <v>0.2272</v>
      </c>
      <c r="AA473" s="16" t="n">
        <v>42017</v>
      </c>
      <c r="AB473" s="5">
        <f>IF(V473="","",IF(V473&lt;12,"Months","Weeks"))</f>
        <v/>
      </c>
      <c r="AC473" s="5">
        <f>IF(AB473="","",IF(AB473="Months","Daily","Weekly"))</f>
        <v/>
      </c>
      <c r="AD473" s="17">
        <f>IF(V473="","",IF(AC473="Daily",V473*Controls!$B$13,V473))</f>
        <v/>
      </c>
      <c r="AE473" s="17">
        <f>IF(V473="","",IF(AC473="Daily",V473*Controls!$B$13,V473*Controls!$B$12))</f>
        <v/>
      </c>
      <c r="AF473" s="17">
        <f>IF(OR(E473="",F473=""),"",F473-E473)</f>
        <v/>
      </c>
      <c r="AG473" s="17">
        <f>IF(OR(E473="",F473=""),"",NETWORKDAYS(E473,F473,Ref!$F$4:$F$47))</f>
        <v/>
      </c>
      <c r="AH473" s="39">
        <f>IF(IFERROR(VLOOKUP(D473,Controls!$A$25:$D$35,2,FALSE()),"No")="Yes",1,0)</f>
        <v/>
      </c>
      <c r="AI473" s="39">
        <f>IF(IFERROR(VLOOKUP(D473,Controls!$A$25:$D$35,3,FALSE()),"No")="Yes",1,0)</f>
        <v/>
      </c>
      <c r="AJ473" s="39">
        <f>IF(IFERROR(VLOOKUP(D473,Controls!$A$25:$D$35,4,FALSE()),"No")="Yes",1,0)</f>
        <v/>
      </c>
      <c r="AK473" s="96">
        <f>IF(AND($E473&gt;=Controls!$B$5,$E473&lt;=Controls!$B$6,OR(Controls!$E$9&lt;&gt;"Y",$BE473=1)),1,0)</f>
        <v/>
      </c>
      <c r="AL473" s="39">
        <f>1</f>
        <v/>
      </c>
      <c r="AM473" s="20">
        <f>S473-P473</f>
        <v/>
      </c>
      <c r="AN473" s="20">
        <f>IF(AH473=1,MAX(0,P473-S473),0)</f>
        <v/>
      </c>
      <c r="AO473" s="21">
        <f>IFERROR(S473/P473,"")</f>
        <v/>
      </c>
      <c r="AP473" s="22">
        <f>IF(Y473="","",P473/Y473)</f>
        <v/>
      </c>
      <c r="AQ473" s="39">
        <f>IF(Y473="",0,1)</f>
        <v/>
      </c>
      <c r="AR473" s="39">
        <f>IF(S473&lt;=0,1,0)</f>
        <v/>
      </c>
      <c r="AS473" s="17">
        <f>IF(AH473=1,AG473,"")</f>
        <v/>
      </c>
      <c r="AT473" s="17">
        <f>IF(AND(AH473=0,AJ473=1),AG473,"")</f>
        <v/>
      </c>
      <c r="AU473" s="5">
        <f>IF(P473&lt;10000,"Under $10K",IF(P473&lt;20000,"$10-20K",IF(P473&lt;30000,"$20-30K",IF(P473&lt;50000,"$30-50K",IF(P473&lt;100000,"$50-100K","$100K+")))))</f>
        <v/>
      </c>
      <c r="AV473" s="5">
        <f>IF(O473&lt;=1.35,"1.35 and under",IF(O473&lt;=1.42,"1.36-1.42",IF(O473&lt;=1.45,"1.43-1.45",IF(O473&lt;1.49,"1.46-1.48",IF(O473&lt;=1.49,"1.49","Above 1.49")))))</f>
        <v/>
      </c>
      <c r="AW473" s="5">
        <f>IF(AE473="","",IF(AE473&lt;60,"Under 60",IF(AE473&lt;90,"60-89",IF(AE473&lt;120,"90-119",IF(AE473&lt;150,"120-149","150+")))))</f>
        <v/>
      </c>
      <c r="AX473" s="5">
        <f>IF(AP473="","No revenue data",IF(AP473&lt;0.15,"Under 0.15x",IF(AP473&lt;0.3,"0.15-0.30x",IF(AP473&lt;0.5,"0.30-0.50x",IF(AP473&lt;1,"0.50-1.00x","1.00x+")))))</f>
        <v/>
      </c>
      <c r="AY473" s="5">
        <f>IF(J473="","No SIC",IFERROR(VLOOKUP(J473,Ref!$A$4:$C$67,2,FALSE()),"Unclassified"))</f>
        <v/>
      </c>
      <c r="AZ473" s="5">
        <f>IF(E473="","",TEXT(E473,"YYYY")&amp;"-Q"&amp;ROUNDUP(MONTH(E473)/3,0))</f>
        <v/>
      </c>
      <c r="BA473" s="5">
        <f>IF(E473="","",TEXT(E473,"YYYY-MM"))</f>
        <v/>
      </c>
      <c r="BB473" s="5">
        <f>IF(E473="","",TEXT(E473,"YYYY"))</f>
        <v/>
      </c>
      <c r="BC473" s="92">
        <f>IF($E473="","",NETWORKDAYS($E473,Controls!$B$9,Ref!$F$4:$F$47))</f>
        <v/>
      </c>
      <c r="BD473" s="92">
        <f>IF(OR($AH473=1,$AJ473=1),1,0)</f>
        <v/>
      </c>
      <c r="BE473" s="95">
        <f>IF(OR($BD473=1,AND($AE473&lt;&gt;"",$BC473&gt;=Controls!$B$10*$AE473)),1,0)</f>
        <v/>
      </c>
    </row>
    <row r="474" ht="15.75" customHeight="1" s="79">
      <c r="A474" s="5" t="inlineStr">
        <is>
          <t>5674174968</t>
        </is>
      </c>
      <c r="B474" s="5" t="inlineStr">
        <is>
          <t>Rodeo 29 Bar &amp; Grill</t>
        </is>
      </c>
      <c r="C474" s="5" t="inlineStr">
        <is>
          <t>Rodeo 29 Bar &amp; Grill</t>
        </is>
      </c>
      <c r="D474" s="5" t="inlineStr">
        <is>
          <t>Closed</t>
        </is>
      </c>
      <c r="E474" s="16" t="n">
        <v>46014</v>
      </c>
      <c r="F474" s="16" t="n">
        <v>46079</v>
      </c>
      <c r="G474" s="17" t="n">
        <v>2</v>
      </c>
      <c r="H474" s="5" t="inlineStr">
        <is>
          <t>5812</t>
        </is>
      </c>
      <c r="I474" s="5" t="inlineStr">
        <is>
          <t>Snack and Nonalcoholic Beverage Bars</t>
        </is>
      </c>
      <c r="J474" s="5" t="inlineStr">
        <is>
          <t>58</t>
        </is>
      </c>
      <c r="K474" s="5" t="n">
        <v>5812</v>
      </c>
      <c r="L474" s="5" t="inlineStr">
        <is>
          <t>IL</t>
        </is>
      </c>
      <c r="M474" s="5" t="inlineStr">
        <is>
          <t>Ballicci</t>
        </is>
      </c>
      <c r="N474" s="5" t="inlineStr">
        <is>
          <t>New Deal</t>
        </is>
      </c>
      <c r="O474" s="19" t="n">
        <v>1.49</v>
      </c>
      <c r="P474" s="20" t="n">
        <v>20000</v>
      </c>
      <c r="Q474" s="20" t="n">
        <v>2800</v>
      </c>
      <c r="R474" s="20" t="n">
        <v>29800</v>
      </c>
      <c r="S474" s="20" t="n">
        <v>29800</v>
      </c>
      <c r="T474" s="20" t="n">
        <v>0</v>
      </c>
      <c r="U474" s="21" t="n">
        <v>1</v>
      </c>
      <c r="V474" s="22" t="n">
        <v>2.951</v>
      </c>
      <c r="W474" s="17" t="n">
        <v>174</v>
      </c>
      <c r="X474" s="17" t="n">
        <v>0</v>
      </c>
      <c r="Y474" s="20" t="n">
        <v>51003.83</v>
      </c>
      <c r="Z474" s="21" t="n">
        <v>0.1363</v>
      </c>
      <c r="AA474" s="5" t="n"/>
      <c r="AB474" s="5">
        <f>IF(V474="","",IF(V474&lt;12,"Months","Weeks"))</f>
        <v/>
      </c>
      <c r="AC474" s="5">
        <f>IF(AB474="","",IF(AB474="Months","Daily","Weekly"))</f>
        <v/>
      </c>
      <c r="AD474" s="17">
        <f>IF(V474="","",IF(AC474="Daily",V474*Controls!$B$13,V474))</f>
        <v/>
      </c>
      <c r="AE474" s="17">
        <f>IF(V474="","",IF(AC474="Daily",V474*Controls!$B$13,V474*Controls!$B$12))</f>
        <v/>
      </c>
      <c r="AF474" s="17">
        <f>IF(OR(E474="",F474=""),"",F474-E474)</f>
        <v/>
      </c>
      <c r="AG474" s="17">
        <f>IF(OR(E474="",F474=""),"",NETWORKDAYS(E474,F474,Ref!$F$4:$F$47))</f>
        <v/>
      </c>
      <c r="AH474" s="39">
        <f>IF(IFERROR(VLOOKUP(D474,Controls!$A$25:$D$35,2,FALSE()),"No")="Yes",1,0)</f>
        <v/>
      </c>
      <c r="AI474" s="39">
        <f>IF(IFERROR(VLOOKUP(D474,Controls!$A$25:$D$35,3,FALSE()),"No")="Yes",1,0)</f>
        <v/>
      </c>
      <c r="AJ474" s="39">
        <f>IF(IFERROR(VLOOKUP(D474,Controls!$A$25:$D$35,4,FALSE()),"No")="Yes",1,0)</f>
        <v/>
      </c>
      <c r="AK474" s="96">
        <f>IF(AND($E474&gt;=Controls!$B$5,$E474&lt;=Controls!$B$6,OR(Controls!$E$9&lt;&gt;"Y",$BE474=1)),1,0)</f>
        <v/>
      </c>
      <c r="AL474" s="39">
        <f>1</f>
        <v/>
      </c>
      <c r="AM474" s="20">
        <f>S474-P474</f>
        <v/>
      </c>
      <c r="AN474" s="20">
        <f>IF(AH474=1,MAX(0,P474-S474),0)</f>
        <v/>
      </c>
      <c r="AO474" s="21">
        <f>IFERROR(S474/P474,"")</f>
        <v/>
      </c>
      <c r="AP474" s="22">
        <f>IF(Y474="","",P474/Y474)</f>
        <v/>
      </c>
      <c r="AQ474" s="39">
        <f>IF(Y474="",0,1)</f>
        <v/>
      </c>
      <c r="AR474" s="39">
        <f>IF(S474&lt;=0,1,0)</f>
        <v/>
      </c>
      <c r="AS474" s="17">
        <f>IF(AH474=1,AG474,"")</f>
        <v/>
      </c>
      <c r="AT474" s="17">
        <f>IF(AND(AH474=0,AJ474=1),AG474,"")</f>
        <v/>
      </c>
      <c r="AU474" s="5">
        <f>IF(P474&lt;10000,"Under $10K",IF(P474&lt;20000,"$10-20K",IF(P474&lt;30000,"$20-30K",IF(P474&lt;50000,"$30-50K",IF(P474&lt;100000,"$50-100K","$100K+")))))</f>
        <v/>
      </c>
      <c r="AV474" s="5">
        <f>IF(O474&lt;=1.35,"1.35 and under",IF(O474&lt;=1.42,"1.36-1.42",IF(O474&lt;=1.45,"1.43-1.45",IF(O474&lt;1.49,"1.46-1.48",IF(O474&lt;=1.49,"1.49","Above 1.49")))))</f>
        <v/>
      </c>
      <c r="AW474" s="5">
        <f>IF(AE474="","",IF(AE474&lt;60,"Under 60",IF(AE474&lt;90,"60-89",IF(AE474&lt;120,"90-119",IF(AE474&lt;150,"120-149","150+")))))</f>
        <v/>
      </c>
      <c r="AX474" s="5">
        <f>IF(AP474="","No revenue data",IF(AP474&lt;0.15,"Under 0.15x",IF(AP474&lt;0.3,"0.15-0.30x",IF(AP474&lt;0.5,"0.30-0.50x",IF(AP474&lt;1,"0.50-1.00x","1.00x+")))))</f>
        <v/>
      </c>
      <c r="AY474" s="5">
        <f>IF(J474="","No SIC",IFERROR(VLOOKUP(J474,Ref!$A$4:$C$67,2,FALSE()),"Unclassified"))</f>
        <v/>
      </c>
      <c r="AZ474" s="5">
        <f>IF(E474="","",TEXT(E474,"YYYY")&amp;"-Q"&amp;ROUNDUP(MONTH(E474)/3,0))</f>
        <v/>
      </c>
      <c r="BA474" s="5">
        <f>IF(E474="","",TEXT(E474,"YYYY-MM"))</f>
        <v/>
      </c>
      <c r="BB474" s="5">
        <f>IF(E474="","",TEXT(E474,"YYYY"))</f>
        <v/>
      </c>
      <c r="BC474" s="92">
        <f>IF($E474="","",NETWORKDAYS($E474,Controls!$B$9,Ref!$F$4:$F$47))</f>
        <v/>
      </c>
      <c r="BD474" s="92">
        <f>IF(OR($AH474=1,$AJ474=1),1,0)</f>
        <v/>
      </c>
      <c r="BE474" s="95">
        <f>IF(OR($BD474=1,AND($AE474&lt;&gt;"",$BC474&gt;=Controls!$B$10*$AE474)),1,0)</f>
        <v/>
      </c>
    </row>
    <row r="475" ht="15.75" customHeight="1" s="79">
      <c r="A475" s="5" t="inlineStr">
        <is>
          <t>5674174982</t>
        </is>
      </c>
      <c r="B475" s="5" t="inlineStr">
        <is>
          <t>GEM TAKEOFFS</t>
        </is>
      </c>
      <c r="C475" s="5" t="inlineStr">
        <is>
          <t>GEM TAKEOFFS</t>
        </is>
      </c>
      <c r="D475" s="5" t="inlineStr">
        <is>
          <t>Closed</t>
        </is>
      </c>
      <c r="E475" s="16" t="n">
        <v>46014</v>
      </c>
      <c r="F475" s="16" t="n">
        <v>46105</v>
      </c>
      <c r="G475" s="17" t="n">
        <v>3</v>
      </c>
      <c r="H475" s="5" t="inlineStr">
        <is>
          <t>1499</t>
        </is>
      </c>
      <c r="I475" s="5" t="inlineStr">
        <is>
          <t>All Other Nonmetallic Mineral Mining</t>
        </is>
      </c>
      <c r="J475" s="5" t="inlineStr">
        <is>
          <t>14</t>
        </is>
      </c>
      <c r="K475" s="5" t="n">
        <v>5094</v>
      </c>
      <c r="L475" s="5" t="inlineStr">
        <is>
          <t>TX</t>
        </is>
      </c>
      <c r="M475" s="5" t="inlineStr">
        <is>
          <t>GROWTH RATE CAPITAL INC</t>
        </is>
      </c>
      <c r="N475" s="5" t="inlineStr">
        <is>
          <t>New Deal</t>
        </is>
      </c>
      <c r="O475" s="19" t="n">
        <v>1.499</v>
      </c>
      <c r="P475" s="20" t="n">
        <v>7500</v>
      </c>
      <c r="Q475" s="20" t="n">
        <v>1050</v>
      </c>
      <c r="R475" s="20" t="n">
        <v>11242.5</v>
      </c>
      <c r="S475" s="20" t="n">
        <v>11242.5</v>
      </c>
      <c r="T475" s="20" t="n">
        <v>0</v>
      </c>
      <c r="U475" s="21" t="n">
        <v>1</v>
      </c>
      <c r="V475" s="22" t="n">
        <v>1.967</v>
      </c>
      <c r="W475" s="17" t="n">
        <v>148</v>
      </c>
      <c r="X475" s="17" t="n">
        <v>2</v>
      </c>
      <c r="Y475" s="20" t="n">
        <v>28125.72</v>
      </c>
      <c r="Z475" s="21" t="n">
        <v>0.1297</v>
      </c>
      <c r="AA475" s="5" t="n"/>
      <c r="AB475" s="5">
        <f>IF(V475="","",IF(V475&lt;12,"Months","Weeks"))</f>
        <v/>
      </c>
      <c r="AC475" s="5">
        <f>IF(AB475="","",IF(AB475="Months","Daily","Weekly"))</f>
        <v/>
      </c>
      <c r="AD475" s="17">
        <f>IF(V475="","",IF(AC475="Daily",V475*Controls!$B$13,V475))</f>
        <v/>
      </c>
      <c r="AE475" s="17">
        <f>IF(V475="","",IF(AC475="Daily",V475*Controls!$B$13,V475*Controls!$B$12))</f>
        <v/>
      </c>
      <c r="AF475" s="17">
        <f>IF(OR(E475="",F475=""),"",F475-E475)</f>
        <v/>
      </c>
      <c r="AG475" s="17">
        <f>IF(OR(E475="",F475=""),"",NETWORKDAYS(E475,F475,Ref!$F$4:$F$47))</f>
        <v/>
      </c>
      <c r="AH475" s="39">
        <f>IF(IFERROR(VLOOKUP(D475,Controls!$A$25:$D$35,2,FALSE()),"No")="Yes",1,0)</f>
        <v/>
      </c>
      <c r="AI475" s="39">
        <f>IF(IFERROR(VLOOKUP(D475,Controls!$A$25:$D$35,3,FALSE()),"No")="Yes",1,0)</f>
        <v/>
      </c>
      <c r="AJ475" s="39">
        <f>IF(IFERROR(VLOOKUP(D475,Controls!$A$25:$D$35,4,FALSE()),"No")="Yes",1,0)</f>
        <v/>
      </c>
      <c r="AK475" s="96">
        <f>IF(AND($E475&gt;=Controls!$B$5,$E475&lt;=Controls!$B$6,OR(Controls!$E$9&lt;&gt;"Y",$BE475=1)),1,0)</f>
        <v/>
      </c>
      <c r="AL475" s="39">
        <f>1</f>
        <v/>
      </c>
      <c r="AM475" s="20">
        <f>S475-P475</f>
        <v/>
      </c>
      <c r="AN475" s="20">
        <f>IF(AH475=1,MAX(0,P475-S475),0)</f>
        <v/>
      </c>
      <c r="AO475" s="21">
        <f>IFERROR(S475/P475,"")</f>
        <v/>
      </c>
      <c r="AP475" s="22">
        <f>IF(Y475="","",P475/Y475)</f>
        <v/>
      </c>
      <c r="AQ475" s="39">
        <f>IF(Y475="",0,1)</f>
        <v/>
      </c>
      <c r="AR475" s="39">
        <f>IF(S475&lt;=0,1,0)</f>
        <v/>
      </c>
      <c r="AS475" s="17">
        <f>IF(AH475=1,AG475,"")</f>
        <v/>
      </c>
      <c r="AT475" s="17">
        <f>IF(AND(AH475=0,AJ475=1),AG475,"")</f>
        <v/>
      </c>
      <c r="AU475" s="5">
        <f>IF(P475&lt;10000,"Under $10K",IF(P475&lt;20000,"$10-20K",IF(P475&lt;30000,"$20-30K",IF(P475&lt;50000,"$30-50K",IF(P475&lt;100000,"$50-100K","$100K+")))))</f>
        <v/>
      </c>
      <c r="AV475" s="5">
        <f>IF(O475&lt;=1.35,"1.35 and under",IF(O475&lt;=1.42,"1.36-1.42",IF(O475&lt;=1.45,"1.43-1.45",IF(O475&lt;1.49,"1.46-1.48",IF(O475&lt;=1.49,"1.49","Above 1.49")))))</f>
        <v/>
      </c>
      <c r="AW475" s="5">
        <f>IF(AE475="","",IF(AE475&lt;60,"Under 60",IF(AE475&lt;90,"60-89",IF(AE475&lt;120,"90-119",IF(AE475&lt;150,"120-149","150+")))))</f>
        <v/>
      </c>
      <c r="AX475" s="5">
        <f>IF(AP475="","No revenue data",IF(AP475&lt;0.15,"Under 0.15x",IF(AP475&lt;0.3,"0.15-0.30x",IF(AP475&lt;0.5,"0.30-0.50x",IF(AP475&lt;1,"0.50-1.00x","1.00x+")))))</f>
        <v/>
      </c>
      <c r="AY475" s="5">
        <f>IF(J475="","No SIC",IFERROR(VLOOKUP(J475,Ref!$A$4:$C$67,2,FALSE()),"Unclassified"))</f>
        <v/>
      </c>
      <c r="AZ475" s="5">
        <f>IF(E475="","",TEXT(E475,"YYYY")&amp;"-Q"&amp;ROUNDUP(MONTH(E475)/3,0))</f>
        <v/>
      </c>
      <c r="BA475" s="5">
        <f>IF(E475="","",TEXT(E475,"YYYY-MM"))</f>
        <v/>
      </c>
      <c r="BB475" s="5">
        <f>IF(E475="","",TEXT(E475,"YYYY"))</f>
        <v/>
      </c>
      <c r="BC475" s="92">
        <f>IF($E475="","",NETWORKDAYS($E475,Controls!$B$9,Ref!$F$4:$F$47))</f>
        <v/>
      </c>
      <c r="BD475" s="92">
        <f>IF(OR($AH475=1,$AJ475=1),1,0)</f>
        <v/>
      </c>
      <c r="BE475" s="95">
        <f>IF(OR($BD475=1,AND($AE475&lt;&gt;"",$BC475&gt;=Controls!$B$10*$AE475)),1,0)</f>
        <v/>
      </c>
    </row>
    <row r="476" ht="15.75" customHeight="1" s="79">
      <c r="A476" s="5" t="inlineStr">
        <is>
          <t>5674175013</t>
        </is>
      </c>
      <c r="B476" s="5" t="inlineStr">
        <is>
          <t>R And R Transit LLC</t>
        </is>
      </c>
      <c r="C476" s="5" t="inlineStr">
        <is>
          <t>R And R Transit LLC</t>
        </is>
      </c>
      <c r="D476" s="5" t="inlineStr">
        <is>
          <t>Closed</t>
        </is>
      </c>
      <c r="E476" s="16" t="n">
        <v>46015</v>
      </c>
      <c r="F476" s="16" t="n">
        <v>46252</v>
      </c>
      <c r="G476" s="17" t="n">
        <v>4</v>
      </c>
      <c r="H476" s="5" t="inlineStr">
        <is>
          <t>4213</t>
        </is>
      </c>
      <c r="I476" s="5" t="inlineStr">
        <is>
          <t>Specialized Freight (Except Used Goods) Trucking, Long Distance</t>
        </is>
      </c>
      <c r="J476" s="5" t="inlineStr">
        <is>
          <t>42</t>
        </is>
      </c>
      <c r="K476" s="5" t="n">
        <v>4131</v>
      </c>
      <c r="L476" s="5" t="inlineStr">
        <is>
          <t>FL</t>
        </is>
      </c>
      <c r="M476" s="5" t="inlineStr">
        <is>
          <t>EZ ADVANCE LLC</t>
        </is>
      </c>
      <c r="N476" s="5" t="inlineStr">
        <is>
          <t>New Deal</t>
        </is>
      </c>
      <c r="O476" s="19" t="n">
        <v>1.49</v>
      </c>
      <c r="P476" s="20" t="n">
        <v>15000</v>
      </c>
      <c r="Q476" s="20" t="n">
        <v>2100</v>
      </c>
      <c r="R476" s="20" t="n">
        <v>22350</v>
      </c>
      <c r="S476" s="20" t="n">
        <v>22350</v>
      </c>
      <c r="T476" s="20" t="n">
        <v>0</v>
      </c>
      <c r="U476" s="21" t="n">
        <v>1</v>
      </c>
      <c r="V476" s="22" t="n">
        <v>24</v>
      </c>
      <c r="W476" s="17" t="n">
        <v>1</v>
      </c>
      <c r="X476" s="17" t="n">
        <v>3</v>
      </c>
      <c r="Y476" s="20" t="n">
        <v>83734.99000000001</v>
      </c>
      <c r="Z476" s="21" t="n">
        <v>0.0445</v>
      </c>
      <c r="AA476" s="5" t="n"/>
      <c r="AB476" s="5">
        <f>IF(V476="","",IF(V476&lt;12,"Months","Weeks"))</f>
        <v/>
      </c>
      <c r="AC476" s="5">
        <f>IF(AB476="","",IF(AB476="Months","Daily","Weekly"))</f>
        <v/>
      </c>
      <c r="AD476" s="17">
        <f>IF(V476="","",IF(AC476="Daily",V476*Controls!$B$13,V476))</f>
        <v/>
      </c>
      <c r="AE476" s="17">
        <f>IF(V476="","",IF(AC476="Daily",V476*Controls!$B$13,V476*Controls!$B$12))</f>
        <v/>
      </c>
      <c r="AF476" s="17">
        <f>IF(OR(E476="",F476=""),"",F476-E476)</f>
        <v/>
      </c>
      <c r="AG476" s="17">
        <f>IF(OR(E476="",F476=""),"",NETWORKDAYS(E476,F476,Ref!$F$4:$F$47))</f>
        <v/>
      </c>
      <c r="AH476" s="39">
        <f>IF(IFERROR(VLOOKUP(D476,Controls!$A$25:$D$35,2,FALSE()),"No")="Yes",1,0)</f>
        <v/>
      </c>
      <c r="AI476" s="39">
        <f>IF(IFERROR(VLOOKUP(D476,Controls!$A$25:$D$35,3,FALSE()),"No")="Yes",1,0)</f>
        <v/>
      </c>
      <c r="AJ476" s="39">
        <f>IF(IFERROR(VLOOKUP(D476,Controls!$A$25:$D$35,4,FALSE()),"No")="Yes",1,0)</f>
        <v/>
      </c>
      <c r="AK476" s="96">
        <f>IF(AND($E476&gt;=Controls!$B$5,$E476&lt;=Controls!$B$6,OR(Controls!$E$9&lt;&gt;"Y",$BE476=1)),1,0)</f>
        <v/>
      </c>
      <c r="AL476" s="39">
        <f>1</f>
        <v/>
      </c>
      <c r="AM476" s="20">
        <f>S476-P476</f>
        <v/>
      </c>
      <c r="AN476" s="20">
        <f>IF(AH476=1,MAX(0,P476-S476),0)</f>
        <v/>
      </c>
      <c r="AO476" s="21">
        <f>IFERROR(S476/P476,"")</f>
        <v/>
      </c>
      <c r="AP476" s="22">
        <f>IF(Y476="","",P476/Y476)</f>
        <v/>
      </c>
      <c r="AQ476" s="39">
        <f>IF(Y476="",0,1)</f>
        <v/>
      </c>
      <c r="AR476" s="39">
        <f>IF(S476&lt;=0,1,0)</f>
        <v/>
      </c>
      <c r="AS476" s="17">
        <f>IF(AH476=1,AG476,"")</f>
        <v/>
      </c>
      <c r="AT476" s="17">
        <f>IF(AND(AH476=0,AJ476=1),AG476,"")</f>
        <v/>
      </c>
      <c r="AU476" s="5">
        <f>IF(P476&lt;10000,"Under $10K",IF(P476&lt;20000,"$10-20K",IF(P476&lt;30000,"$20-30K",IF(P476&lt;50000,"$30-50K",IF(P476&lt;100000,"$50-100K","$100K+")))))</f>
        <v/>
      </c>
      <c r="AV476" s="5">
        <f>IF(O476&lt;=1.35,"1.35 and under",IF(O476&lt;=1.42,"1.36-1.42",IF(O476&lt;=1.45,"1.43-1.45",IF(O476&lt;1.49,"1.46-1.48",IF(O476&lt;=1.49,"1.49","Above 1.49")))))</f>
        <v/>
      </c>
      <c r="AW476" s="5">
        <f>IF(AE476="","",IF(AE476&lt;60,"Under 60",IF(AE476&lt;90,"60-89",IF(AE476&lt;120,"90-119",IF(AE476&lt;150,"120-149","150+")))))</f>
        <v/>
      </c>
      <c r="AX476" s="5">
        <f>IF(AP476="","No revenue data",IF(AP476&lt;0.15,"Under 0.15x",IF(AP476&lt;0.3,"0.15-0.30x",IF(AP476&lt;0.5,"0.30-0.50x",IF(AP476&lt;1,"0.50-1.00x","1.00x+")))))</f>
        <v/>
      </c>
      <c r="AY476" s="5">
        <f>IF(J476="","No SIC",IFERROR(VLOOKUP(J476,Ref!$A$4:$C$67,2,FALSE()),"Unclassified"))</f>
        <v/>
      </c>
      <c r="AZ476" s="5">
        <f>IF(E476="","",TEXT(E476,"YYYY")&amp;"-Q"&amp;ROUNDUP(MONTH(E476)/3,0))</f>
        <v/>
      </c>
      <c r="BA476" s="5">
        <f>IF(E476="","",TEXT(E476,"YYYY-MM"))</f>
        <v/>
      </c>
      <c r="BB476" s="5">
        <f>IF(E476="","",TEXT(E476,"YYYY"))</f>
        <v/>
      </c>
      <c r="BC476" s="92">
        <f>IF($E476="","",NETWORKDAYS($E476,Controls!$B$9,Ref!$F$4:$F$47))</f>
        <v/>
      </c>
      <c r="BD476" s="92">
        <f>IF(OR($AH476=1,$AJ476=1),1,0)</f>
        <v/>
      </c>
      <c r="BE476" s="95">
        <f>IF(OR($BD476=1,AND($AE476&lt;&gt;"",$BC476&gt;=Controls!$B$10*$AE476)),1,0)</f>
        <v/>
      </c>
    </row>
    <row r="477" ht="15.75" customHeight="1" s="79">
      <c r="A477" s="5" t="inlineStr">
        <is>
          <t>5674175022</t>
        </is>
      </c>
      <c r="B477" s="5" t="inlineStr">
        <is>
          <t>FIT MEDICAL SUPPLY LLC</t>
        </is>
      </c>
      <c r="C477" s="5" t="inlineStr">
        <is>
          <t>FIT MEDICAL SUPPLY LLC</t>
        </is>
      </c>
      <c r="D477" s="5" t="inlineStr">
        <is>
          <t>Lowered Payments</t>
        </is>
      </c>
      <c r="E477" s="16" t="n">
        <v>46015</v>
      </c>
      <c r="F477" s="16" t="n">
        <v>46247</v>
      </c>
      <c r="G477" s="17" t="n">
        <v>2</v>
      </c>
      <c r="H477" s="5" t="inlineStr">
        <is>
          <t>5047</t>
        </is>
      </c>
      <c r="I477" s="5" t="inlineStr">
        <is>
          <t>Medical, Dental, and Hospital Equipment and Supplies Merchant Wholesalers</t>
        </is>
      </c>
      <c r="J477" s="5" t="inlineStr">
        <is>
          <t>50</t>
        </is>
      </c>
      <c r="K477" s="5" t="n">
        <v>5047</v>
      </c>
      <c r="L477" s="5" t="inlineStr">
        <is>
          <t>FL</t>
        </is>
      </c>
      <c r="M477" s="5" t="inlineStr">
        <is>
          <t>Fundwell</t>
        </is>
      </c>
      <c r="N477" s="5" t="inlineStr">
        <is>
          <t>New Deal</t>
        </is>
      </c>
      <c r="O477" s="19" t="n">
        <v>1.38</v>
      </c>
      <c r="P477" s="20" t="n">
        <v>30000</v>
      </c>
      <c r="Q477" s="20" t="n">
        <v>3450</v>
      </c>
      <c r="R477" s="20" t="n">
        <v>41400</v>
      </c>
      <c r="S477" s="20" t="n">
        <v>13926.88</v>
      </c>
      <c r="T477" s="20" t="n">
        <v>27473.12</v>
      </c>
      <c r="U477" s="21" t="n">
        <v>0.33639806763285</v>
      </c>
      <c r="V477" s="22" t="n">
        <v>32</v>
      </c>
      <c r="W477" s="17" t="n">
        <v>6</v>
      </c>
      <c r="X477" s="17" t="n">
        <v>0</v>
      </c>
      <c r="Y477" s="20" t="n">
        <v>64130.95</v>
      </c>
      <c r="Z477" s="21" t="n">
        <v>0.08069999999999999</v>
      </c>
      <c r="AA477" s="16" t="n">
        <v>45383</v>
      </c>
      <c r="AB477" s="5">
        <f>IF(V477="","",IF(V477&lt;12,"Months","Weeks"))</f>
        <v/>
      </c>
      <c r="AC477" s="5">
        <f>IF(AB477="","",IF(AB477="Months","Daily","Weekly"))</f>
        <v/>
      </c>
      <c r="AD477" s="17">
        <f>IF(V477="","",IF(AC477="Daily",V477*Controls!$B$13,V477))</f>
        <v/>
      </c>
      <c r="AE477" s="17">
        <f>IF(V477="","",IF(AC477="Daily",V477*Controls!$B$13,V477*Controls!$B$12))</f>
        <v/>
      </c>
      <c r="AF477" s="17">
        <f>IF(OR(E477="",F477=""),"",F477-E477)</f>
        <v/>
      </c>
      <c r="AG477" s="17">
        <f>IF(OR(E477="",F477=""),"",NETWORKDAYS(E477,F477,Ref!$F$4:$F$47))</f>
        <v/>
      </c>
      <c r="AH477" s="39">
        <f>IF(IFERROR(VLOOKUP(D477,Controls!$A$25:$D$35,2,FALSE()),"No")="Yes",1,0)</f>
        <v/>
      </c>
      <c r="AI477" s="39">
        <f>IF(IFERROR(VLOOKUP(D477,Controls!$A$25:$D$35,3,FALSE()),"No")="Yes",1,0)</f>
        <v/>
      </c>
      <c r="AJ477" s="39">
        <f>IF(IFERROR(VLOOKUP(D477,Controls!$A$25:$D$35,4,FALSE()),"No")="Yes",1,0)</f>
        <v/>
      </c>
      <c r="AK477" s="96">
        <f>IF(AND($E477&gt;=Controls!$B$5,$E477&lt;=Controls!$B$6,OR(Controls!$E$9&lt;&gt;"Y",$BE477=1)),1,0)</f>
        <v/>
      </c>
      <c r="AL477" s="39">
        <f>1</f>
        <v/>
      </c>
      <c r="AM477" s="20">
        <f>S477-P477</f>
        <v/>
      </c>
      <c r="AN477" s="20">
        <f>IF(AH477=1,MAX(0,P477-S477),0)</f>
        <v/>
      </c>
      <c r="AO477" s="21">
        <f>IFERROR(S477/P477,"")</f>
        <v/>
      </c>
      <c r="AP477" s="22">
        <f>IF(Y477="","",P477/Y477)</f>
        <v/>
      </c>
      <c r="AQ477" s="39">
        <f>IF(Y477="",0,1)</f>
        <v/>
      </c>
      <c r="AR477" s="39">
        <f>IF(S477&lt;=0,1,0)</f>
        <v/>
      </c>
      <c r="AS477" s="17">
        <f>IF(AH477=1,AG477,"")</f>
        <v/>
      </c>
      <c r="AT477" s="17">
        <f>IF(AND(AH477=0,AJ477=1),AG477,"")</f>
        <v/>
      </c>
      <c r="AU477" s="5">
        <f>IF(P477&lt;10000,"Under $10K",IF(P477&lt;20000,"$10-20K",IF(P477&lt;30000,"$20-30K",IF(P477&lt;50000,"$30-50K",IF(P477&lt;100000,"$50-100K","$100K+")))))</f>
        <v/>
      </c>
      <c r="AV477" s="5">
        <f>IF(O477&lt;=1.35,"1.35 and under",IF(O477&lt;=1.42,"1.36-1.42",IF(O477&lt;=1.45,"1.43-1.45",IF(O477&lt;1.49,"1.46-1.48",IF(O477&lt;=1.49,"1.49","Above 1.49")))))</f>
        <v/>
      </c>
      <c r="AW477" s="5">
        <f>IF(AE477="","",IF(AE477&lt;60,"Under 60",IF(AE477&lt;90,"60-89",IF(AE477&lt;120,"90-119",IF(AE477&lt;150,"120-149","150+")))))</f>
        <v/>
      </c>
      <c r="AX477" s="5">
        <f>IF(AP477="","No revenue data",IF(AP477&lt;0.15,"Under 0.15x",IF(AP477&lt;0.3,"0.15-0.30x",IF(AP477&lt;0.5,"0.30-0.50x",IF(AP477&lt;1,"0.50-1.00x","1.00x+")))))</f>
        <v/>
      </c>
      <c r="AY477" s="5">
        <f>IF(J477="","No SIC",IFERROR(VLOOKUP(J477,Ref!$A$4:$C$67,2,FALSE()),"Unclassified"))</f>
        <v/>
      </c>
      <c r="AZ477" s="5">
        <f>IF(E477="","",TEXT(E477,"YYYY")&amp;"-Q"&amp;ROUNDUP(MONTH(E477)/3,0))</f>
        <v/>
      </c>
      <c r="BA477" s="5">
        <f>IF(E477="","",TEXT(E477,"YYYY-MM"))</f>
        <v/>
      </c>
      <c r="BB477" s="5">
        <f>IF(E477="","",TEXT(E477,"YYYY"))</f>
        <v/>
      </c>
      <c r="BC477" s="92">
        <f>IF($E477="","",NETWORKDAYS($E477,Controls!$B$9,Ref!$F$4:$F$47))</f>
        <v/>
      </c>
      <c r="BD477" s="92">
        <f>IF(OR($AH477=1,$AJ477=1),1,0)</f>
        <v/>
      </c>
      <c r="BE477" s="95">
        <f>IF(OR($BD477=1,AND($AE477&lt;&gt;"",$BC477&gt;=Controls!$B$10*$AE477)),1,0)</f>
        <v/>
      </c>
    </row>
    <row r="478" ht="15.75" customHeight="1" s="79">
      <c r="A478" s="5" t="inlineStr">
        <is>
          <t>5674175024</t>
        </is>
      </c>
      <c r="B478" s="5" t="inlineStr">
        <is>
          <t>c BROOKS TRANS LLC</t>
        </is>
      </c>
      <c r="C478" s="5" t="inlineStr">
        <is>
          <t>c BROOKS TRANS LLC</t>
        </is>
      </c>
      <c r="D478" s="5" t="inlineStr">
        <is>
          <t>Closed</t>
        </is>
      </c>
      <c r="E478" s="16" t="n">
        <v>46015</v>
      </c>
      <c r="F478" s="16" t="n">
        <v>46129</v>
      </c>
      <c r="G478" s="17" t="n">
        <v>3</v>
      </c>
      <c r="H478" s="5" t="inlineStr">
        <is>
          <t>4212</t>
        </is>
      </c>
      <c r="I478" s="5" t="inlineStr">
        <is>
          <t>Specialized Freight (Except Used Goods) Trucking, Local</t>
        </is>
      </c>
      <c r="J478" s="5" t="inlineStr">
        <is>
          <t>42</t>
        </is>
      </c>
      <c r="K478" s="5" t="n">
        <v>4214</v>
      </c>
      <c r="L478" s="5" t="inlineStr">
        <is>
          <t>MD</t>
        </is>
      </c>
      <c r="M478" s="5" t="inlineStr">
        <is>
          <t>penco holdings</t>
        </is>
      </c>
      <c r="N478" s="5" t="inlineStr">
        <is>
          <t>New Deal</t>
        </is>
      </c>
      <c r="O478" s="19" t="n">
        <v>1.49</v>
      </c>
      <c r="P478" s="20" t="n">
        <v>3500</v>
      </c>
      <c r="Q478" s="20" t="n">
        <v>490</v>
      </c>
      <c r="R478" s="20" t="n">
        <v>5215</v>
      </c>
      <c r="S478" s="20" t="n">
        <v>5215</v>
      </c>
      <c r="T478" s="20" t="n">
        <v>0</v>
      </c>
      <c r="U478" s="21" t="n">
        <v>1</v>
      </c>
      <c r="V478" s="22" t="n">
        <v>16</v>
      </c>
      <c r="W478" s="17" t="n">
        <v>124</v>
      </c>
      <c r="X478" s="17" t="n">
        <v>0</v>
      </c>
      <c r="Y478" s="20" t="n">
        <v>21609.52</v>
      </c>
      <c r="Z478" s="21" t="n">
        <v>0.0603</v>
      </c>
      <c r="AA478" s="16" t="n">
        <v>43277</v>
      </c>
      <c r="AB478" s="5">
        <f>IF(V478="","",IF(V478&lt;12,"Months","Weeks"))</f>
        <v/>
      </c>
      <c r="AC478" s="5">
        <f>IF(AB478="","",IF(AB478="Months","Daily","Weekly"))</f>
        <v/>
      </c>
      <c r="AD478" s="17">
        <f>IF(V478="","",IF(AC478="Daily",V478*Controls!$B$13,V478))</f>
        <v/>
      </c>
      <c r="AE478" s="17">
        <f>IF(V478="","",IF(AC478="Daily",V478*Controls!$B$13,V478*Controls!$B$12))</f>
        <v/>
      </c>
      <c r="AF478" s="17">
        <f>IF(OR(E478="",F478=""),"",F478-E478)</f>
        <v/>
      </c>
      <c r="AG478" s="17">
        <f>IF(OR(E478="",F478=""),"",NETWORKDAYS(E478,F478,Ref!$F$4:$F$47))</f>
        <v/>
      </c>
      <c r="AH478" s="39">
        <f>IF(IFERROR(VLOOKUP(D478,Controls!$A$25:$D$35,2,FALSE()),"No")="Yes",1,0)</f>
        <v/>
      </c>
      <c r="AI478" s="39">
        <f>IF(IFERROR(VLOOKUP(D478,Controls!$A$25:$D$35,3,FALSE()),"No")="Yes",1,0)</f>
        <v/>
      </c>
      <c r="AJ478" s="39">
        <f>IF(IFERROR(VLOOKUP(D478,Controls!$A$25:$D$35,4,FALSE()),"No")="Yes",1,0)</f>
        <v/>
      </c>
      <c r="AK478" s="96">
        <f>IF(AND($E478&gt;=Controls!$B$5,$E478&lt;=Controls!$B$6,OR(Controls!$E$9&lt;&gt;"Y",$BE478=1)),1,0)</f>
        <v/>
      </c>
      <c r="AL478" s="39">
        <f>1</f>
        <v/>
      </c>
      <c r="AM478" s="20">
        <f>S478-P478</f>
        <v/>
      </c>
      <c r="AN478" s="20">
        <f>IF(AH478=1,MAX(0,P478-S478),0)</f>
        <v/>
      </c>
      <c r="AO478" s="21">
        <f>IFERROR(S478/P478,"")</f>
        <v/>
      </c>
      <c r="AP478" s="22">
        <f>IF(Y478="","",P478/Y478)</f>
        <v/>
      </c>
      <c r="AQ478" s="39">
        <f>IF(Y478="",0,1)</f>
        <v/>
      </c>
      <c r="AR478" s="39">
        <f>IF(S478&lt;=0,1,0)</f>
        <v/>
      </c>
      <c r="AS478" s="17">
        <f>IF(AH478=1,AG478,"")</f>
        <v/>
      </c>
      <c r="AT478" s="17">
        <f>IF(AND(AH478=0,AJ478=1),AG478,"")</f>
        <v/>
      </c>
      <c r="AU478" s="5">
        <f>IF(P478&lt;10000,"Under $10K",IF(P478&lt;20000,"$10-20K",IF(P478&lt;30000,"$20-30K",IF(P478&lt;50000,"$30-50K",IF(P478&lt;100000,"$50-100K","$100K+")))))</f>
        <v/>
      </c>
      <c r="AV478" s="5">
        <f>IF(O478&lt;=1.35,"1.35 and under",IF(O478&lt;=1.42,"1.36-1.42",IF(O478&lt;=1.45,"1.43-1.45",IF(O478&lt;1.49,"1.46-1.48",IF(O478&lt;=1.49,"1.49","Above 1.49")))))</f>
        <v/>
      </c>
      <c r="AW478" s="5">
        <f>IF(AE478="","",IF(AE478&lt;60,"Under 60",IF(AE478&lt;90,"60-89",IF(AE478&lt;120,"90-119",IF(AE478&lt;150,"120-149","150+")))))</f>
        <v/>
      </c>
      <c r="AX478" s="5">
        <f>IF(AP478="","No revenue data",IF(AP478&lt;0.15,"Under 0.15x",IF(AP478&lt;0.3,"0.15-0.30x",IF(AP478&lt;0.5,"0.30-0.50x",IF(AP478&lt;1,"0.50-1.00x","1.00x+")))))</f>
        <v/>
      </c>
      <c r="AY478" s="5">
        <f>IF(J478="","No SIC",IFERROR(VLOOKUP(J478,Ref!$A$4:$C$67,2,FALSE()),"Unclassified"))</f>
        <v/>
      </c>
      <c r="AZ478" s="5">
        <f>IF(E478="","",TEXT(E478,"YYYY")&amp;"-Q"&amp;ROUNDUP(MONTH(E478)/3,0))</f>
        <v/>
      </c>
      <c r="BA478" s="5">
        <f>IF(E478="","",TEXT(E478,"YYYY-MM"))</f>
        <v/>
      </c>
      <c r="BB478" s="5">
        <f>IF(E478="","",TEXT(E478,"YYYY"))</f>
        <v/>
      </c>
      <c r="BC478" s="92">
        <f>IF($E478="","",NETWORKDAYS($E478,Controls!$B$9,Ref!$F$4:$F$47))</f>
        <v/>
      </c>
      <c r="BD478" s="92">
        <f>IF(OR($AH478=1,$AJ478=1),1,0)</f>
        <v/>
      </c>
      <c r="BE478" s="95">
        <f>IF(OR($BD478=1,AND($AE478&lt;&gt;"",$BC478&gt;=Controls!$B$10*$AE478)),1,0)</f>
        <v/>
      </c>
    </row>
    <row r="479" ht="15.75" customHeight="1" s="79">
      <c r="A479" s="5" t="inlineStr">
        <is>
          <t>5674175027</t>
        </is>
      </c>
      <c r="B479" s="5" t="inlineStr">
        <is>
          <t>A AND K ASSOCIATES</t>
        </is>
      </c>
      <c r="C479" s="5" t="inlineStr">
        <is>
          <t>KAY INVESTMENT INC</t>
        </is>
      </c>
      <c r="D479" s="5" t="inlineStr">
        <is>
          <t>Closed</t>
        </is>
      </c>
      <c r="E479" s="16" t="n">
        <v>46015</v>
      </c>
      <c r="F479" s="16" t="n">
        <v>46140</v>
      </c>
      <c r="G479" s="17" t="n">
        <v>4</v>
      </c>
      <c r="H479" s="5" t="inlineStr">
        <is>
          <t>8748</t>
        </is>
      </c>
      <c r="I479" s="5" t="inlineStr">
        <is>
          <t>Other Management Consulting Services</t>
        </is>
      </c>
      <c r="J479" s="5" t="inlineStr">
        <is>
          <t>87</t>
        </is>
      </c>
      <c r="K479" s="5" t="n">
        <v>7392</v>
      </c>
      <c r="L479" s="5" t="inlineStr">
        <is>
          <t>TX</t>
        </is>
      </c>
      <c r="M479" s="5" t="inlineStr">
        <is>
          <t>Triumph Cap Fund</t>
        </is>
      </c>
      <c r="N479" s="5" t="inlineStr">
        <is>
          <t>New Deal</t>
        </is>
      </c>
      <c r="O479" s="19" t="n">
        <v>1.49</v>
      </c>
      <c r="P479" s="20" t="n">
        <v>20000</v>
      </c>
      <c r="Q479" s="20" t="n">
        <v>2800</v>
      </c>
      <c r="R479" s="20" t="n">
        <v>29800</v>
      </c>
      <c r="S479" s="20" t="n">
        <v>29800</v>
      </c>
      <c r="T479" s="20" t="n">
        <v>0</v>
      </c>
      <c r="U479" s="21" t="n">
        <v>1</v>
      </c>
      <c r="V479" s="22" t="n">
        <v>22</v>
      </c>
      <c r="W479" s="17" t="n">
        <v>113</v>
      </c>
      <c r="X479" s="17" t="n">
        <v>0</v>
      </c>
      <c r="Y479" s="20" t="n">
        <v>50516.18</v>
      </c>
      <c r="Z479" s="21" t="n">
        <v>0.1073</v>
      </c>
      <c r="AA479" s="16" t="n">
        <v>44341</v>
      </c>
      <c r="AB479" s="5">
        <f>IF(V479="","",IF(V479&lt;12,"Months","Weeks"))</f>
        <v/>
      </c>
      <c r="AC479" s="5">
        <f>IF(AB479="","",IF(AB479="Months","Daily","Weekly"))</f>
        <v/>
      </c>
      <c r="AD479" s="17">
        <f>IF(V479="","",IF(AC479="Daily",V479*Controls!$B$13,V479))</f>
        <v/>
      </c>
      <c r="AE479" s="17">
        <f>IF(V479="","",IF(AC479="Daily",V479*Controls!$B$13,V479*Controls!$B$12))</f>
        <v/>
      </c>
      <c r="AF479" s="17">
        <f>IF(OR(E479="",F479=""),"",F479-E479)</f>
        <v/>
      </c>
      <c r="AG479" s="17">
        <f>IF(OR(E479="",F479=""),"",NETWORKDAYS(E479,F479,Ref!$F$4:$F$47))</f>
        <v/>
      </c>
      <c r="AH479" s="39">
        <f>IF(IFERROR(VLOOKUP(D479,Controls!$A$25:$D$35,2,FALSE()),"No")="Yes",1,0)</f>
        <v/>
      </c>
      <c r="AI479" s="39">
        <f>IF(IFERROR(VLOOKUP(D479,Controls!$A$25:$D$35,3,FALSE()),"No")="Yes",1,0)</f>
        <v/>
      </c>
      <c r="AJ479" s="39">
        <f>IF(IFERROR(VLOOKUP(D479,Controls!$A$25:$D$35,4,FALSE()),"No")="Yes",1,0)</f>
        <v/>
      </c>
      <c r="AK479" s="96">
        <f>IF(AND($E479&gt;=Controls!$B$5,$E479&lt;=Controls!$B$6,OR(Controls!$E$9&lt;&gt;"Y",$BE479=1)),1,0)</f>
        <v/>
      </c>
      <c r="AL479" s="39">
        <f>1</f>
        <v/>
      </c>
      <c r="AM479" s="20">
        <f>S479-P479</f>
        <v/>
      </c>
      <c r="AN479" s="20">
        <f>IF(AH479=1,MAX(0,P479-S479),0)</f>
        <v/>
      </c>
      <c r="AO479" s="21">
        <f>IFERROR(S479/P479,"")</f>
        <v/>
      </c>
      <c r="AP479" s="22">
        <f>IF(Y479="","",P479/Y479)</f>
        <v/>
      </c>
      <c r="AQ479" s="39">
        <f>IF(Y479="",0,1)</f>
        <v/>
      </c>
      <c r="AR479" s="39">
        <f>IF(S479&lt;=0,1,0)</f>
        <v/>
      </c>
      <c r="AS479" s="17">
        <f>IF(AH479=1,AG479,"")</f>
        <v/>
      </c>
      <c r="AT479" s="17">
        <f>IF(AND(AH479=0,AJ479=1),AG479,"")</f>
        <v/>
      </c>
      <c r="AU479" s="5">
        <f>IF(P479&lt;10000,"Under $10K",IF(P479&lt;20000,"$10-20K",IF(P479&lt;30000,"$20-30K",IF(P479&lt;50000,"$30-50K",IF(P479&lt;100000,"$50-100K","$100K+")))))</f>
        <v/>
      </c>
      <c r="AV479" s="5">
        <f>IF(O479&lt;=1.35,"1.35 and under",IF(O479&lt;=1.42,"1.36-1.42",IF(O479&lt;=1.45,"1.43-1.45",IF(O479&lt;1.49,"1.46-1.48",IF(O479&lt;=1.49,"1.49","Above 1.49")))))</f>
        <v/>
      </c>
      <c r="AW479" s="5">
        <f>IF(AE479="","",IF(AE479&lt;60,"Under 60",IF(AE479&lt;90,"60-89",IF(AE479&lt;120,"90-119",IF(AE479&lt;150,"120-149","150+")))))</f>
        <v/>
      </c>
      <c r="AX479" s="5">
        <f>IF(AP479="","No revenue data",IF(AP479&lt;0.15,"Under 0.15x",IF(AP479&lt;0.3,"0.15-0.30x",IF(AP479&lt;0.5,"0.30-0.50x",IF(AP479&lt;1,"0.50-1.00x","1.00x+")))))</f>
        <v/>
      </c>
      <c r="AY479" s="5">
        <f>IF(J479="","No SIC",IFERROR(VLOOKUP(J479,Ref!$A$4:$C$67,2,FALSE()),"Unclassified"))</f>
        <v/>
      </c>
      <c r="AZ479" s="5">
        <f>IF(E479="","",TEXT(E479,"YYYY")&amp;"-Q"&amp;ROUNDUP(MONTH(E479)/3,0))</f>
        <v/>
      </c>
      <c r="BA479" s="5">
        <f>IF(E479="","",TEXT(E479,"YYYY-MM"))</f>
        <v/>
      </c>
      <c r="BB479" s="5">
        <f>IF(E479="","",TEXT(E479,"YYYY"))</f>
        <v/>
      </c>
      <c r="BC479" s="92">
        <f>IF($E479="","",NETWORKDAYS($E479,Controls!$B$9,Ref!$F$4:$F$47))</f>
        <v/>
      </c>
      <c r="BD479" s="92">
        <f>IF(OR($AH479=1,$AJ479=1),1,0)</f>
        <v/>
      </c>
      <c r="BE479" s="95">
        <f>IF(OR($BD479=1,AND($AE479&lt;&gt;"",$BC479&gt;=Controls!$B$10*$AE479)),1,0)</f>
        <v/>
      </c>
    </row>
    <row r="480" ht="15.75" customHeight="1" s="79">
      <c r="A480" s="5" t="inlineStr">
        <is>
          <t>5674175075</t>
        </is>
      </c>
      <c r="B480" s="5" t="inlineStr">
        <is>
          <t>Cider Hill Construction LLC</t>
        </is>
      </c>
      <c r="C480" s="5" t="inlineStr">
        <is>
          <t>THBH investments Limited LLC</t>
        </is>
      </c>
      <c r="D480" s="5" t="inlineStr">
        <is>
          <t>In House Collection</t>
        </is>
      </c>
      <c r="E480" s="16" t="n">
        <v>46017</v>
      </c>
      <c r="F480" s="16" t="n">
        <v>46206</v>
      </c>
      <c r="G480" s="17" t="n">
        <v>1</v>
      </c>
      <c r="H480" s="5" t="inlineStr">
        <is>
          <t>1521</t>
        </is>
      </c>
      <c r="I480" s="5" t="inlineStr">
        <is>
          <t>Residential Remodelers</t>
        </is>
      </c>
      <c r="J480" s="5" t="inlineStr">
        <is>
          <t>15</t>
        </is>
      </c>
      <c r="K480" s="5" t="n">
        <v>1520</v>
      </c>
      <c r="L480" s="5" t="inlineStr">
        <is>
          <t>SC</t>
        </is>
      </c>
      <c r="M480" s="5" t="inlineStr">
        <is>
          <t>cavala funding</t>
        </is>
      </c>
      <c r="N480" s="5" t="inlineStr">
        <is>
          <t>New Deal</t>
        </is>
      </c>
      <c r="O480" s="19" t="n">
        <v>1.35</v>
      </c>
      <c r="P480" s="20" t="n">
        <v>5000</v>
      </c>
      <c r="Q480" s="20" t="n">
        <v>350</v>
      </c>
      <c r="R480" s="20" t="n">
        <v>6750</v>
      </c>
      <c r="S480" s="20" t="n">
        <v>4371.65</v>
      </c>
      <c r="T480" s="20" t="n">
        <v>2378.35</v>
      </c>
      <c r="U480" s="21" t="n">
        <v>0.647651851851852</v>
      </c>
      <c r="V480" s="22" t="n">
        <v>2.787</v>
      </c>
      <c r="W480" s="17" t="n">
        <v>110</v>
      </c>
      <c r="X480" s="17" t="n">
        <v>60</v>
      </c>
      <c r="Y480" s="20" t="n">
        <v>25524.55</v>
      </c>
      <c r="Z480" s="21" t="n">
        <v>0.0653</v>
      </c>
      <c r="AA480" s="16" t="n">
        <v>44993</v>
      </c>
      <c r="AB480" s="5">
        <f>IF(V480="","",IF(V480&lt;12,"Months","Weeks"))</f>
        <v/>
      </c>
      <c r="AC480" s="5">
        <f>IF(AB480="","",IF(AB480="Months","Daily","Weekly"))</f>
        <v/>
      </c>
      <c r="AD480" s="17">
        <f>IF(V480="","",IF(AC480="Daily",V480*Controls!$B$13,V480))</f>
        <v/>
      </c>
      <c r="AE480" s="17">
        <f>IF(V480="","",IF(AC480="Daily",V480*Controls!$B$13,V480*Controls!$B$12))</f>
        <v/>
      </c>
      <c r="AF480" s="17">
        <f>IF(OR(E480="",F480=""),"",F480-E480)</f>
        <v/>
      </c>
      <c r="AG480" s="17">
        <f>IF(OR(E480="",F480=""),"",NETWORKDAYS(E480,F480,Ref!$F$4:$F$47))</f>
        <v/>
      </c>
      <c r="AH480" s="39">
        <f>IF(IFERROR(VLOOKUP(D480,Controls!$A$25:$D$35,2,FALSE()),"No")="Yes",1,0)</f>
        <v/>
      </c>
      <c r="AI480" s="39">
        <f>IF(IFERROR(VLOOKUP(D480,Controls!$A$25:$D$35,3,FALSE()),"No")="Yes",1,0)</f>
        <v/>
      </c>
      <c r="AJ480" s="39">
        <f>IF(IFERROR(VLOOKUP(D480,Controls!$A$25:$D$35,4,FALSE()),"No")="Yes",1,0)</f>
        <v/>
      </c>
      <c r="AK480" s="96">
        <f>IF(AND($E480&gt;=Controls!$B$5,$E480&lt;=Controls!$B$6,OR(Controls!$E$9&lt;&gt;"Y",$BE480=1)),1,0)</f>
        <v/>
      </c>
      <c r="AL480" s="39">
        <f>1</f>
        <v/>
      </c>
      <c r="AM480" s="20">
        <f>S480-P480</f>
        <v/>
      </c>
      <c r="AN480" s="20">
        <f>IF(AH480=1,MAX(0,P480-S480),0)</f>
        <v/>
      </c>
      <c r="AO480" s="21">
        <f>IFERROR(S480/P480,"")</f>
        <v/>
      </c>
      <c r="AP480" s="22">
        <f>IF(Y480="","",P480/Y480)</f>
        <v/>
      </c>
      <c r="AQ480" s="39">
        <f>IF(Y480="",0,1)</f>
        <v/>
      </c>
      <c r="AR480" s="39">
        <f>IF(S480&lt;=0,1,0)</f>
        <v/>
      </c>
      <c r="AS480" s="17">
        <f>IF(AH480=1,AG480,"")</f>
        <v/>
      </c>
      <c r="AT480" s="17">
        <f>IF(AND(AH480=0,AJ480=1),AG480,"")</f>
        <v/>
      </c>
      <c r="AU480" s="5">
        <f>IF(P480&lt;10000,"Under $10K",IF(P480&lt;20000,"$10-20K",IF(P480&lt;30000,"$20-30K",IF(P480&lt;50000,"$30-50K",IF(P480&lt;100000,"$50-100K","$100K+")))))</f>
        <v/>
      </c>
      <c r="AV480" s="5">
        <f>IF(O480&lt;=1.35,"1.35 and under",IF(O480&lt;=1.42,"1.36-1.42",IF(O480&lt;=1.45,"1.43-1.45",IF(O480&lt;1.49,"1.46-1.48",IF(O480&lt;=1.49,"1.49","Above 1.49")))))</f>
        <v/>
      </c>
      <c r="AW480" s="5">
        <f>IF(AE480="","",IF(AE480&lt;60,"Under 60",IF(AE480&lt;90,"60-89",IF(AE480&lt;120,"90-119",IF(AE480&lt;150,"120-149","150+")))))</f>
        <v/>
      </c>
      <c r="AX480" s="5">
        <f>IF(AP480="","No revenue data",IF(AP480&lt;0.15,"Under 0.15x",IF(AP480&lt;0.3,"0.15-0.30x",IF(AP480&lt;0.5,"0.30-0.50x",IF(AP480&lt;1,"0.50-1.00x","1.00x+")))))</f>
        <v/>
      </c>
      <c r="AY480" s="5">
        <f>IF(J480="","No SIC",IFERROR(VLOOKUP(J480,Ref!$A$4:$C$67,2,FALSE()),"Unclassified"))</f>
        <v/>
      </c>
      <c r="AZ480" s="5">
        <f>IF(E480="","",TEXT(E480,"YYYY")&amp;"-Q"&amp;ROUNDUP(MONTH(E480)/3,0))</f>
        <v/>
      </c>
      <c r="BA480" s="5">
        <f>IF(E480="","",TEXT(E480,"YYYY-MM"))</f>
        <v/>
      </c>
      <c r="BB480" s="5">
        <f>IF(E480="","",TEXT(E480,"YYYY"))</f>
        <v/>
      </c>
      <c r="BC480" s="92">
        <f>IF($E480="","",NETWORKDAYS($E480,Controls!$B$9,Ref!$F$4:$F$47))</f>
        <v/>
      </c>
      <c r="BD480" s="92">
        <f>IF(OR($AH480=1,$AJ480=1),1,0)</f>
        <v/>
      </c>
      <c r="BE480" s="95">
        <f>IF(OR($BD480=1,AND($AE480&lt;&gt;"",$BC480&gt;=Controls!$B$10*$AE480)),1,0)</f>
        <v/>
      </c>
    </row>
    <row r="481" ht="15.75" customHeight="1" s="79">
      <c r="A481" s="5" t="inlineStr">
        <is>
          <t>5674175090</t>
        </is>
      </c>
      <c r="B481" s="5" t="inlineStr">
        <is>
          <t>LANDSCAPE ASSOCIATES OF GA</t>
        </is>
      </c>
      <c r="C481" s="5" t="inlineStr">
        <is>
          <t>LANDSCAPE ASSOCIATES OF GA LLC</t>
        </is>
      </c>
      <c r="D481" s="5" t="inlineStr">
        <is>
          <t>Closed</t>
        </is>
      </c>
      <c r="E481" s="16" t="n">
        <v>46017</v>
      </c>
      <c r="F481" s="16" t="n">
        <v>46143</v>
      </c>
      <c r="G481" s="17" t="n">
        <v>2</v>
      </c>
      <c r="H481" s="5" t="inlineStr">
        <is>
          <t>0781</t>
        </is>
      </c>
      <c r="I481" s="5" t="inlineStr">
        <is>
          <t>Landscape Architectural Services</t>
        </is>
      </c>
      <c r="J481" s="5" t="inlineStr">
        <is>
          <t>07</t>
        </is>
      </c>
      <c r="K481" s="5" t="n">
        <v>8911</v>
      </c>
      <c r="L481" s="5" t="inlineStr">
        <is>
          <t>GA</t>
        </is>
      </c>
      <c r="M481" s="5" t="inlineStr">
        <is>
          <t>cavala funding</t>
        </is>
      </c>
      <c r="N481" s="5" t="inlineStr">
        <is>
          <t>New Deal</t>
        </is>
      </c>
      <c r="O481" s="19" t="n">
        <v>1.5</v>
      </c>
      <c r="P481" s="20" t="n">
        <v>22000</v>
      </c>
      <c r="Q481" s="20" t="n">
        <v>3080</v>
      </c>
      <c r="R481" s="20" t="n">
        <v>33000</v>
      </c>
      <c r="S481" s="20" t="n">
        <v>33000</v>
      </c>
      <c r="T481" s="20" t="n">
        <v>0</v>
      </c>
      <c r="U481" s="21" t="n">
        <v>1</v>
      </c>
      <c r="V481" s="22" t="n">
        <v>24</v>
      </c>
      <c r="W481" s="17" t="n">
        <v>110</v>
      </c>
      <c r="X481" s="17" t="n">
        <v>0</v>
      </c>
      <c r="Y481" s="20" t="n">
        <v>184725.89</v>
      </c>
      <c r="Z481" s="21" t="n">
        <v>0.0296</v>
      </c>
      <c r="AA481" s="16" t="n">
        <v>36526</v>
      </c>
      <c r="AB481" s="5">
        <f>IF(V481="","",IF(V481&lt;12,"Months","Weeks"))</f>
        <v/>
      </c>
      <c r="AC481" s="5">
        <f>IF(AB481="","",IF(AB481="Months","Daily","Weekly"))</f>
        <v/>
      </c>
      <c r="AD481" s="17">
        <f>IF(V481="","",IF(AC481="Daily",V481*Controls!$B$13,V481))</f>
        <v/>
      </c>
      <c r="AE481" s="17">
        <f>IF(V481="","",IF(AC481="Daily",V481*Controls!$B$13,V481*Controls!$B$12))</f>
        <v/>
      </c>
      <c r="AF481" s="17">
        <f>IF(OR(E481="",F481=""),"",F481-E481)</f>
        <v/>
      </c>
      <c r="AG481" s="17">
        <f>IF(OR(E481="",F481=""),"",NETWORKDAYS(E481,F481,Ref!$F$4:$F$47))</f>
        <v/>
      </c>
      <c r="AH481" s="39">
        <f>IF(IFERROR(VLOOKUP(D481,Controls!$A$25:$D$35,2,FALSE()),"No")="Yes",1,0)</f>
        <v/>
      </c>
      <c r="AI481" s="39">
        <f>IF(IFERROR(VLOOKUP(D481,Controls!$A$25:$D$35,3,FALSE()),"No")="Yes",1,0)</f>
        <v/>
      </c>
      <c r="AJ481" s="39">
        <f>IF(IFERROR(VLOOKUP(D481,Controls!$A$25:$D$35,4,FALSE()),"No")="Yes",1,0)</f>
        <v/>
      </c>
      <c r="AK481" s="96">
        <f>IF(AND($E481&gt;=Controls!$B$5,$E481&lt;=Controls!$B$6,OR(Controls!$E$9&lt;&gt;"Y",$BE481=1)),1,0)</f>
        <v/>
      </c>
      <c r="AL481" s="39">
        <f>1</f>
        <v/>
      </c>
      <c r="AM481" s="20">
        <f>S481-P481</f>
        <v/>
      </c>
      <c r="AN481" s="20">
        <f>IF(AH481=1,MAX(0,P481-S481),0)</f>
        <v/>
      </c>
      <c r="AO481" s="21">
        <f>IFERROR(S481/P481,"")</f>
        <v/>
      </c>
      <c r="AP481" s="22">
        <f>IF(Y481="","",P481/Y481)</f>
        <v/>
      </c>
      <c r="AQ481" s="39">
        <f>IF(Y481="",0,1)</f>
        <v/>
      </c>
      <c r="AR481" s="39">
        <f>IF(S481&lt;=0,1,0)</f>
        <v/>
      </c>
      <c r="AS481" s="17">
        <f>IF(AH481=1,AG481,"")</f>
        <v/>
      </c>
      <c r="AT481" s="17">
        <f>IF(AND(AH481=0,AJ481=1),AG481,"")</f>
        <v/>
      </c>
      <c r="AU481" s="5">
        <f>IF(P481&lt;10000,"Under $10K",IF(P481&lt;20000,"$10-20K",IF(P481&lt;30000,"$20-30K",IF(P481&lt;50000,"$30-50K",IF(P481&lt;100000,"$50-100K","$100K+")))))</f>
        <v/>
      </c>
      <c r="AV481" s="5">
        <f>IF(O481&lt;=1.35,"1.35 and under",IF(O481&lt;=1.42,"1.36-1.42",IF(O481&lt;=1.45,"1.43-1.45",IF(O481&lt;1.49,"1.46-1.48",IF(O481&lt;=1.49,"1.49","Above 1.49")))))</f>
        <v/>
      </c>
      <c r="AW481" s="5">
        <f>IF(AE481="","",IF(AE481&lt;60,"Under 60",IF(AE481&lt;90,"60-89",IF(AE481&lt;120,"90-119",IF(AE481&lt;150,"120-149","150+")))))</f>
        <v/>
      </c>
      <c r="AX481" s="5">
        <f>IF(AP481="","No revenue data",IF(AP481&lt;0.15,"Under 0.15x",IF(AP481&lt;0.3,"0.15-0.30x",IF(AP481&lt;0.5,"0.30-0.50x",IF(AP481&lt;1,"0.50-1.00x","1.00x+")))))</f>
        <v/>
      </c>
      <c r="AY481" s="5">
        <f>IF(J481="","No SIC",IFERROR(VLOOKUP(J481,Ref!$A$4:$C$67,2,FALSE()),"Unclassified"))</f>
        <v/>
      </c>
      <c r="AZ481" s="5">
        <f>IF(E481="","",TEXT(E481,"YYYY")&amp;"-Q"&amp;ROUNDUP(MONTH(E481)/3,0))</f>
        <v/>
      </c>
      <c r="BA481" s="5">
        <f>IF(E481="","",TEXT(E481,"YYYY-MM"))</f>
        <v/>
      </c>
      <c r="BB481" s="5">
        <f>IF(E481="","",TEXT(E481,"YYYY"))</f>
        <v/>
      </c>
      <c r="BC481" s="92">
        <f>IF($E481="","",NETWORKDAYS($E481,Controls!$B$9,Ref!$F$4:$F$47))</f>
        <v/>
      </c>
      <c r="BD481" s="92">
        <f>IF(OR($AH481=1,$AJ481=1),1,0)</f>
        <v/>
      </c>
      <c r="BE481" s="95">
        <f>IF(OR($BD481=1,AND($AE481&lt;&gt;"",$BC481&gt;=Controls!$B$10*$AE481)),1,0)</f>
        <v/>
      </c>
    </row>
    <row r="482" ht="15.75" customHeight="1" s="79">
      <c r="A482" s="5" t="inlineStr">
        <is>
          <t>5674175097</t>
        </is>
      </c>
      <c r="B482" s="5" t="inlineStr">
        <is>
          <t>NC Top Service LLC</t>
        </is>
      </c>
      <c r="C482" s="5" t="inlineStr">
        <is>
          <t>NC Top Service LLC</t>
        </is>
      </c>
      <c r="D482" s="5" t="inlineStr">
        <is>
          <t>Closed</t>
        </is>
      </c>
      <c r="E482" s="16" t="n">
        <v>46017</v>
      </c>
      <c r="F482" s="16" t="n">
        <v>46106</v>
      </c>
      <c r="G482" s="17" t="n">
        <v>2</v>
      </c>
      <c r="H482" s="5" t="inlineStr">
        <is>
          <t>1521</t>
        </is>
      </c>
      <c r="I482" s="5" t="inlineStr">
        <is>
          <t>New Single-Family Housing Construction (Except For-Sale Builders)</t>
        </is>
      </c>
      <c r="J482" s="5" t="inlineStr">
        <is>
          <t>15</t>
        </is>
      </c>
      <c r="K482" s="5" t="n">
        <v>1520</v>
      </c>
      <c r="L482" s="5" t="inlineStr">
        <is>
          <t>NC</t>
        </is>
      </c>
      <c r="M482" s="5" t="inlineStr">
        <is>
          <t>United Secured Capital 8</t>
        </is>
      </c>
      <c r="N482" s="5" t="inlineStr">
        <is>
          <t>New Deal</t>
        </is>
      </c>
      <c r="O482" s="19" t="n">
        <v>1.42</v>
      </c>
      <c r="P482" s="20" t="n">
        <v>31000</v>
      </c>
      <c r="Q482" s="20" t="n">
        <v>3255</v>
      </c>
      <c r="R482" s="20" t="n">
        <v>44020</v>
      </c>
      <c r="S482" s="20" t="n">
        <v>44020</v>
      </c>
      <c r="T482" s="20" t="n">
        <v>0</v>
      </c>
      <c r="U482" s="21" t="n">
        <v>1</v>
      </c>
      <c r="V482" s="22" t="n">
        <v>28</v>
      </c>
      <c r="W482" s="17" t="n">
        <v>147</v>
      </c>
      <c r="X482" s="17" t="n">
        <v>0</v>
      </c>
      <c r="Y482" s="20" t="n">
        <v>94340.63</v>
      </c>
      <c r="Z482" s="21" t="n">
        <v>0.0667</v>
      </c>
      <c r="AA482" s="5" t="n"/>
      <c r="AB482" s="5">
        <f>IF(V482="","",IF(V482&lt;12,"Months","Weeks"))</f>
        <v/>
      </c>
      <c r="AC482" s="5">
        <f>IF(AB482="","",IF(AB482="Months","Daily","Weekly"))</f>
        <v/>
      </c>
      <c r="AD482" s="17">
        <f>IF(V482="","",IF(AC482="Daily",V482*Controls!$B$13,V482))</f>
        <v/>
      </c>
      <c r="AE482" s="17">
        <f>IF(V482="","",IF(AC482="Daily",V482*Controls!$B$13,V482*Controls!$B$12))</f>
        <v/>
      </c>
      <c r="AF482" s="17">
        <f>IF(OR(E482="",F482=""),"",F482-E482)</f>
        <v/>
      </c>
      <c r="AG482" s="17">
        <f>IF(OR(E482="",F482=""),"",NETWORKDAYS(E482,F482,Ref!$F$4:$F$47))</f>
        <v/>
      </c>
      <c r="AH482" s="39">
        <f>IF(IFERROR(VLOOKUP(D482,Controls!$A$25:$D$35,2,FALSE()),"No")="Yes",1,0)</f>
        <v/>
      </c>
      <c r="AI482" s="39">
        <f>IF(IFERROR(VLOOKUP(D482,Controls!$A$25:$D$35,3,FALSE()),"No")="Yes",1,0)</f>
        <v/>
      </c>
      <c r="AJ482" s="39">
        <f>IF(IFERROR(VLOOKUP(D482,Controls!$A$25:$D$35,4,FALSE()),"No")="Yes",1,0)</f>
        <v/>
      </c>
      <c r="AK482" s="96">
        <f>IF(AND($E482&gt;=Controls!$B$5,$E482&lt;=Controls!$B$6,OR(Controls!$E$9&lt;&gt;"Y",$BE482=1)),1,0)</f>
        <v/>
      </c>
      <c r="AL482" s="39">
        <f>1</f>
        <v/>
      </c>
      <c r="AM482" s="20">
        <f>S482-P482</f>
        <v/>
      </c>
      <c r="AN482" s="20">
        <f>IF(AH482=1,MAX(0,P482-S482),0)</f>
        <v/>
      </c>
      <c r="AO482" s="21">
        <f>IFERROR(S482/P482,"")</f>
        <v/>
      </c>
      <c r="AP482" s="22">
        <f>IF(Y482="","",P482/Y482)</f>
        <v/>
      </c>
      <c r="AQ482" s="39">
        <f>IF(Y482="",0,1)</f>
        <v/>
      </c>
      <c r="AR482" s="39">
        <f>IF(S482&lt;=0,1,0)</f>
        <v/>
      </c>
      <c r="AS482" s="17">
        <f>IF(AH482=1,AG482,"")</f>
        <v/>
      </c>
      <c r="AT482" s="17">
        <f>IF(AND(AH482=0,AJ482=1),AG482,"")</f>
        <v/>
      </c>
      <c r="AU482" s="5">
        <f>IF(P482&lt;10000,"Under $10K",IF(P482&lt;20000,"$10-20K",IF(P482&lt;30000,"$20-30K",IF(P482&lt;50000,"$30-50K",IF(P482&lt;100000,"$50-100K","$100K+")))))</f>
        <v/>
      </c>
      <c r="AV482" s="5">
        <f>IF(O482&lt;=1.35,"1.35 and under",IF(O482&lt;=1.42,"1.36-1.42",IF(O482&lt;=1.45,"1.43-1.45",IF(O482&lt;1.49,"1.46-1.48",IF(O482&lt;=1.49,"1.49","Above 1.49")))))</f>
        <v/>
      </c>
      <c r="AW482" s="5">
        <f>IF(AE482="","",IF(AE482&lt;60,"Under 60",IF(AE482&lt;90,"60-89",IF(AE482&lt;120,"90-119",IF(AE482&lt;150,"120-149","150+")))))</f>
        <v/>
      </c>
      <c r="AX482" s="5">
        <f>IF(AP482="","No revenue data",IF(AP482&lt;0.15,"Under 0.15x",IF(AP482&lt;0.3,"0.15-0.30x",IF(AP482&lt;0.5,"0.30-0.50x",IF(AP482&lt;1,"0.50-1.00x","1.00x+")))))</f>
        <v/>
      </c>
      <c r="AY482" s="5">
        <f>IF(J482="","No SIC",IFERROR(VLOOKUP(J482,Ref!$A$4:$C$67,2,FALSE()),"Unclassified"))</f>
        <v/>
      </c>
      <c r="AZ482" s="5">
        <f>IF(E482="","",TEXT(E482,"YYYY")&amp;"-Q"&amp;ROUNDUP(MONTH(E482)/3,0))</f>
        <v/>
      </c>
      <c r="BA482" s="5">
        <f>IF(E482="","",TEXT(E482,"YYYY-MM"))</f>
        <v/>
      </c>
      <c r="BB482" s="5">
        <f>IF(E482="","",TEXT(E482,"YYYY"))</f>
        <v/>
      </c>
      <c r="BC482" s="92">
        <f>IF($E482="","",NETWORKDAYS($E482,Controls!$B$9,Ref!$F$4:$F$47))</f>
        <v/>
      </c>
      <c r="BD482" s="92">
        <f>IF(OR($AH482=1,$AJ482=1),1,0)</f>
        <v/>
      </c>
      <c r="BE482" s="95">
        <f>IF(OR($BD482=1,AND($AE482&lt;&gt;"",$BC482&gt;=Controls!$B$10*$AE482)),1,0)</f>
        <v/>
      </c>
    </row>
    <row r="483" ht="15.75" customHeight="1" s="79">
      <c r="A483" s="5" t="inlineStr">
        <is>
          <t>5674175232</t>
        </is>
      </c>
      <c r="B483" s="5" t="inlineStr">
        <is>
          <t>DABUILT HOMES AND CONSTRUCTION</t>
        </is>
      </c>
      <c r="C483" s="5" t="inlineStr">
        <is>
          <t>Dabuilt Homes and Construction LLC</t>
        </is>
      </c>
      <c r="D483" s="5" t="inlineStr">
        <is>
          <t>Closed</t>
        </is>
      </c>
      <c r="E483" s="16" t="n">
        <v>46020</v>
      </c>
      <c r="F483" s="16" t="n">
        <v>46188</v>
      </c>
      <c r="G483" s="17" t="n">
        <v>2</v>
      </c>
      <c r="H483" s="5" t="inlineStr">
        <is>
          <t>1521</t>
        </is>
      </c>
      <c r="I483" s="5" t="inlineStr">
        <is>
          <t>New Single-Family Housing Construction (Except For-Sale Builders)</t>
        </is>
      </c>
      <c r="J483" s="5" t="inlineStr">
        <is>
          <t>15</t>
        </is>
      </c>
      <c r="K483" s="5" t="n">
        <v>1520</v>
      </c>
      <c r="L483" s="5" t="inlineStr">
        <is>
          <t>TX</t>
        </is>
      </c>
      <c r="M483" s="5" t="inlineStr">
        <is>
          <t>MONETCAP</t>
        </is>
      </c>
      <c r="N483" s="5" t="inlineStr">
        <is>
          <t>New Deal</t>
        </is>
      </c>
      <c r="O483" s="19" t="n">
        <v>1.49</v>
      </c>
      <c r="P483" s="20" t="n">
        <v>20000</v>
      </c>
      <c r="Q483" s="20" t="n">
        <v>2800</v>
      </c>
      <c r="R483" s="20" t="n">
        <v>29800</v>
      </c>
      <c r="S483" s="20" t="n">
        <v>29800</v>
      </c>
      <c r="T483" s="20" t="n">
        <v>0</v>
      </c>
      <c r="U483" s="21" t="n">
        <v>1</v>
      </c>
      <c r="V483" s="22" t="n">
        <v>3.705</v>
      </c>
      <c r="W483" s="17" t="n">
        <v>65</v>
      </c>
      <c r="X483" s="17" t="n">
        <v>4</v>
      </c>
      <c r="Y483" s="20" t="n">
        <v>33511.28</v>
      </c>
      <c r="Z483" s="21" t="n">
        <v>0.1653</v>
      </c>
      <c r="AA483" s="16" t="n">
        <v>44337</v>
      </c>
      <c r="AB483" s="5">
        <f>IF(V483="","",IF(V483&lt;12,"Months","Weeks"))</f>
        <v/>
      </c>
      <c r="AC483" s="5">
        <f>IF(AB483="","",IF(AB483="Months","Daily","Weekly"))</f>
        <v/>
      </c>
      <c r="AD483" s="17">
        <f>IF(V483="","",IF(AC483="Daily",V483*Controls!$B$13,V483))</f>
        <v/>
      </c>
      <c r="AE483" s="17">
        <f>IF(V483="","",IF(AC483="Daily",V483*Controls!$B$13,V483*Controls!$B$12))</f>
        <v/>
      </c>
      <c r="AF483" s="17">
        <f>IF(OR(E483="",F483=""),"",F483-E483)</f>
        <v/>
      </c>
      <c r="AG483" s="17">
        <f>IF(OR(E483="",F483=""),"",NETWORKDAYS(E483,F483,Ref!$F$4:$F$47))</f>
        <v/>
      </c>
      <c r="AH483" s="39">
        <f>IF(IFERROR(VLOOKUP(D483,Controls!$A$25:$D$35,2,FALSE()),"No")="Yes",1,0)</f>
        <v/>
      </c>
      <c r="AI483" s="39">
        <f>IF(IFERROR(VLOOKUP(D483,Controls!$A$25:$D$35,3,FALSE()),"No")="Yes",1,0)</f>
        <v/>
      </c>
      <c r="AJ483" s="39">
        <f>IF(IFERROR(VLOOKUP(D483,Controls!$A$25:$D$35,4,FALSE()),"No")="Yes",1,0)</f>
        <v/>
      </c>
      <c r="AK483" s="96">
        <f>IF(AND($E483&gt;=Controls!$B$5,$E483&lt;=Controls!$B$6,OR(Controls!$E$9&lt;&gt;"Y",$BE483=1)),1,0)</f>
        <v/>
      </c>
      <c r="AL483" s="39">
        <f>1</f>
        <v/>
      </c>
      <c r="AM483" s="20">
        <f>S483-P483</f>
        <v/>
      </c>
      <c r="AN483" s="20">
        <f>IF(AH483=1,MAX(0,P483-S483),0)</f>
        <v/>
      </c>
      <c r="AO483" s="21">
        <f>IFERROR(S483/P483,"")</f>
        <v/>
      </c>
      <c r="AP483" s="22">
        <f>IF(Y483="","",P483/Y483)</f>
        <v/>
      </c>
      <c r="AQ483" s="39">
        <f>IF(Y483="",0,1)</f>
        <v/>
      </c>
      <c r="AR483" s="39">
        <f>IF(S483&lt;=0,1,0)</f>
        <v/>
      </c>
      <c r="AS483" s="17">
        <f>IF(AH483=1,AG483,"")</f>
        <v/>
      </c>
      <c r="AT483" s="17">
        <f>IF(AND(AH483=0,AJ483=1),AG483,"")</f>
        <v/>
      </c>
      <c r="AU483" s="5">
        <f>IF(P483&lt;10000,"Under $10K",IF(P483&lt;20000,"$10-20K",IF(P483&lt;30000,"$20-30K",IF(P483&lt;50000,"$30-50K",IF(P483&lt;100000,"$50-100K","$100K+")))))</f>
        <v/>
      </c>
      <c r="AV483" s="5">
        <f>IF(O483&lt;=1.35,"1.35 and under",IF(O483&lt;=1.42,"1.36-1.42",IF(O483&lt;=1.45,"1.43-1.45",IF(O483&lt;1.49,"1.46-1.48",IF(O483&lt;=1.49,"1.49","Above 1.49")))))</f>
        <v/>
      </c>
      <c r="AW483" s="5">
        <f>IF(AE483="","",IF(AE483&lt;60,"Under 60",IF(AE483&lt;90,"60-89",IF(AE483&lt;120,"90-119",IF(AE483&lt;150,"120-149","150+")))))</f>
        <v/>
      </c>
      <c r="AX483" s="5">
        <f>IF(AP483="","No revenue data",IF(AP483&lt;0.15,"Under 0.15x",IF(AP483&lt;0.3,"0.15-0.30x",IF(AP483&lt;0.5,"0.30-0.50x",IF(AP483&lt;1,"0.50-1.00x","1.00x+")))))</f>
        <v/>
      </c>
      <c r="AY483" s="5">
        <f>IF(J483="","No SIC",IFERROR(VLOOKUP(J483,Ref!$A$4:$C$67,2,FALSE()),"Unclassified"))</f>
        <v/>
      </c>
      <c r="AZ483" s="5">
        <f>IF(E483="","",TEXT(E483,"YYYY")&amp;"-Q"&amp;ROUNDUP(MONTH(E483)/3,0))</f>
        <v/>
      </c>
      <c r="BA483" s="5">
        <f>IF(E483="","",TEXT(E483,"YYYY-MM"))</f>
        <v/>
      </c>
      <c r="BB483" s="5">
        <f>IF(E483="","",TEXT(E483,"YYYY"))</f>
        <v/>
      </c>
      <c r="BC483" s="92">
        <f>IF($E483="","",NETWORKDAYS($E483,Controls!$B$9,Ref!$F$4:$F$47))</f>
        <v/>
      </c>
      <c r="BD483" s="92">
        <f>IF(OR($AH483=1,$AJ483=1),1,0)</f>
        <v/>
      </c>
      <c r="BE483" s="95">
        <f>IF(OR($BD483=1,AND($AE483&lt;&gt;"",$BC483&gt;=Controls!$B$10*$AE483)),1,0)</f>
        <v/>
      </c>
    </row>
    <row r="484" ht="15.75" customHeight="1" s="79">
      <c r="A484" s="5" t="inlineStr">
        <is>
          <t>5674175240</t>
        </is>
      </c>
      <c r="B484" s="5" t="inlineStr">
        <is>
          <t>LIT ELECTRICAL CONTRACTORS</t>
        </is>
      </c>
      <c r="C484" s="5" t="inlineStr">
        <is>
          <t>LIT ELECTRICAL CONTRACTORS</t>
        </is>
      </c>
      <c r="D484" s="5" t="inlineStr">
        <is>
          <t>Closed</t>
        </is>
      </c>
      <c r="E484" s="16" t="n">
        <v>46020</v>
      </c>
      <c r="F484" s="16" t="n">
        <v>46185</v>
      </c>
      <c r="G484" s="17" t="n">
        <v>2</v>
      </c>
      <c r="H484" s="5" t="inlineStr">
        <is>
          <t>1731</t>
        </is>
      </c>
      <c r="I484" s="5" t="inlineStr">
        <is>
          <t>Electrical Contractors and Other Wiring Installation Contractors</t>
        </is>
      </c>
      <c r="J484" s="5" t="inlineStr">
        <is>
          <t>17</t>
        </is>
      </c>
      <c r="K484" s="5" t="n">
        <v>1731</v>
      </c>
      <c r="L484" s="5" t="inlineStr">
        <is>
          <t>CA</t>
        </is>
      </c>
      <c r="M484" s="5" t="inlineStr">
        <is>
          <t>Fidelity Funding</t>
        </is>
      </c>
      <c r="N484" s="5" t="inlineStr">
        <is>
          <t>New Deal</t>
        </is>
      </c>
      <c r="O484" s="19" t="n">
        <v>1.49</v>
      </c>
      <c r="P484" s="20" t="n">
        <v>10000</v>
      </c>
      <c r="Q484" s="20" t="n">
        <v>1400</v>
      </c>
      <c r="R484" s="20" t="n">
        <v>14900</v>
      </c>
      <c r="S484" s="20" t="n">
        <v>14900</v>
      </c>
      <c r="T484" s="20" t="n">
        <v>0</v>
      </c>
      <c r="U484" s="21" t="n">
        <v>1</v>
      </c>
      <c r="V484" s="22" t="n">
        <v>22</v>
      </c>
      <c r="W484" s="17" t="n">
        <v>68</v>
      </c>
      <c r="X484" s="17" t="n">
        <v>1</v>
      </c>
      <c r="Y484" s="20" t="n">
        <v>61203.48</v>
      </c>
      <c r="Z484" s="21" t="n">
        <v>0.0443</v>
      </c>
      <c r="AA484" s="16" t="n">
        <v>43770</v>
      </c>
      <c r="AB484" s="5">
        <f>IF(V484="","",IF(V484&lt;12,"Months","Weeks"))</f>
        <v/>
      </c>
      <c r="AC484" s="5">
        <f>IF(AB484="","",IF(AB484="Months","Daily","Weekly"))</f>
        <v/>
      </c>
      <c r="AD484" s="17">
        <f>IF(V484="","",IF(AC484="Daily",V484*Controls!$B$13,V484))</f>
        <v/>
      </c>
      <c r="AE484" s="17">
        <f>IF(V484="","",IF(AC484="Daily",V484*Controls!$B$13,V484*Controls!$B$12))</f>
        <v/>
      </c>
      <c r="AF484" s="17">
        <f>IF(OR(E484="",F484=""),"",F484-E484)</f>
        <v/>
      </c>
      <c r="AG484" s="17">
        <f>IF(OR(E484="",F484=""),"",NETWORKDAYS(E484,F484,Ref!$F$4:$F$47))</f>
        <v/>
      </c>
      <c r="AH484" s="39">
        <f>IF(IFERROR(VLOOKUP(D484,Controls!$A$25:$D$35,2,FALSE()),"No")="Yes",1,0)</f>
        <v/>
      </c>
      <c r="AI484" s="39">
        <f>IF(IFERROR(VLOOKUP(D484,Controls!$A$25:$D$35,3,FALSE()),"No")="Yes",1,0)</f>
        <v/>
      </c>
      <c r="AJ484" s="39">
        <f>IF(IFERROR(VLOOKUP(D484,Controls!$A$25:$D$35,4,FALSE()),"No")="Yes",1,0)</f>
        <v/>
      </c>
      <c r="AK484" s="96">
        <f>IF(AND($E484&gt;=Controls!$B$5,$E484&lt;=Controls!$B$6,OR(Controls!$E$9&lt;&gt;"Y",$BE484=1)),1,0)</f>
        <v/>
      </c>
      <c r="AL484" s="39">
        <f>1</f>
        <v/>
      </c>
      <c r="AM484" s="20">
        <f>S484-P484</f>
        <v/>
      </c>
      <c r="AN484" s="20">
        <f>IF(AH484=1,MAX(0,P484-S484),0)</f>
        <v/>
      </c>
      <c r="AO484" s="21">
        <f>IFERROR(S484/P484,"")</f>
        <v/>
      </c>
      <c r="AP484" s="22">
        <f>IF(Y484="","",P484/Y484)</f>
        <v/>
      </c>
      <c r="AQ484" s="39">
        <f>IF(Y484="",0,1)</f>
        <v/>
      </c>
      <c r="AR484" s="39">
        <f>IF(S484&lt;=0,1,0)</f>
        <v/>
      </c>
      <c r="AS484" s="17">
        <f>IF(AH484=1,AG484,"")</f>
        <v/>
      </c>
      <c r="AT484" s="17">
        <f>IF(AND(AH484=0,AJ484=1),AG484,"")</f>
        <v/>
      </c>
      <c r="AU484" s="5">
        <f>IF(P484&lt;10000,"Under $10K",IF(P484&lt;20000,"$10-20K",IF(P484&lt;30000,"$20-30K",IF(P484&lt;50000,"$30-50K",IF(P484&lt;100000,"$50-100K","$100K+")))))</f>
        <v/>
      </c>
      <c r="AV484" s="5">
        <f>IF(O484&lt;=1.35,"1.35 and under",IF(O484&lt;=1.42,"1.36-1.42",IF(O484&lt;=1.45,"1.43-1.45",IF(O484&lt;1.49,"1.46-1.48",IF(O484&lt;=1.49,"1.49","Above 1.49")))))</f>
        <v/>
      </c>
      <c r="AW484" s="5">
        <f>IF(AE484="","",IF(AE484&lt;60,"Under 60",IF(AE484&lt;90,"60-89",IF(AE484&lt;120,"90-119",IF(AE484&lt;150,"120-149","150+")))))</f>
        <v/>
      </c>
      <c r="AX484" s="5">
        <f>IF(AP484="","No revenue data",IF(AP484&lt;0.15,"Under 0.15x",IF(AP484&lt;0.3,"0.15-0.30x",IF(AP484&lt;0.5,"0.30-0.50x",IF(AP484&lt;1,"0.50-1.00x","1.00x+")))))</f>
        <v/>
      </c>
      <c r="AY484" s="5">
        <f>IF(J484="","No SIC",IFERROR(VLOOKUP(J484,Ref!$A$4:$C$67,2,FALSE()),"Unclassified"))</f>
        <v/>
      </c>
      <c r="AZ484" s="5">
        <f>IF(E484="","",TEXT(E484,"YYYY")&amp;"-Q"&amp;ROUNDUP(MONTH(E484)/3,0))</f>
        <v/>
      </c>
      <c r="BA484" s="5">
        <f>IF(E484="","",TEXT(E484,"YYYY-MM"))</f>
        <v/>
      </c>
      <c r="BB484" s="5">
        <f>IF(E484="","",TEXT(E484,"YYYY"))</f>
        <v/>
      </c>
      <c r="BC484" s="92">
        <f>IF($E484="","",NETWORKDAYS($E484,Controls!$B$9,Ref!$F$4:$F$47))</f>
        <v/>
      </c>
      <c r="BD484" s="92">
        <f>IF(OR($AH484=1,$AJ484=1),1,0)</f>
        <v/>
      </c>
      <c r="BE484" s="95">
        <f>IF(OR($BD484=1,AND($AE484&lt;&gt;"",$BC484&gt;=Controls!$B$10*$AE484)),1,0)</f>
        <v/>
      </c>
    </row>
    <row r="485" ht="15.75" customHeight="1" s="79">
      <c r="A485" s="5" t="inlineStr">
        <is>
          <t>5674175248</t>
        </is>
      </c>
      <c r="B485" s="5" t="inlineStr">
        <is>
          <t>503 BUILDERS LLC</t>
        </is>
      </c>
      <c r="C485" s="5" t="inlineStr">
        <is>
          <t>503 Builders LLC</t>
        </is>
      </c>
      <c r="D485" s="5" t="inlineStr">
        <is>
          <t>Closed</t>
        </is>
      </c>
      <c r="E485" s="16" t="n">
        <v>46020</v>
      </c>
      <c r="F485" s="16" t="n">
        <v>46127</v>
      </c>
      <c r="G485" s="17" t="n">
        <v>1</v>
      </c>
      <c r="H485" s="5" t="inlineStr">
        <is>
          <t>1521</t>
        </is>
      </c>
      <c r="I485" s="5" t="inlineStr">
        <is>
          <t>New Single-Family Housing Construction (Except For-Sale Builders)</t>
        </is>
      </c>
      <c r="J485" s="5" t="inlineStr">
        <is>
          <t>15</t>
        </is>
      </c>
      <c r="K485" s="5" t="n">
        <v>1520</v>
      </c>
      <c r="L485" s="5" t="inlineStr">
        <is>
          <t>OR</t>
        </is>
      </c>
      <c r="M485" s="5" t="inlineStr">
        <is>
          <t>Biz fuel</t>
        </is>
      </c>
      <c r="N485" s="5" t="inlineStr">
        <is>
          <t>Renewal</t>
        </is>
      </c>
      <c r="O485" s="19" t="n">
        <v>1.49</v>
      </c>
      <c r="P485" s="20" t="n">
        <v>52000</v>
      </c>
      <c r="Q485" s="20" t="n">
        <v>7280</v>
      </c>
      <c r="R485" s="20" t="n">
        <v>77480</v>
      </c>
      <c r="S485" s="20" t="n">
        <v>77480</v>
      </c>
      <c r="T485" s="20" t="n">
        <v>0</v>
      </c>
      <c r="U485" s="21" t="n">
        <v>1</v>
      </c>
      <c r="V485" s="22" t="n">
        <v>28</v>
      </c>
      <c r="W485" s="17" t="n">
        <v>126</v>
      </c>
      <c r="X485" s="17" t="n">
        <v>0</v>
      </c>
      <c r="Y485" s="20" t="n">
        <v>64267.19</v>
      </c>
      <c r="Z485" s="21" t="n">
        <v>0.1569</v>
      </c>
      <c r="AA485" s="16" t="n">
        <v>44367</v>
      </c>
      <c r="AB485" s="5">
        <f>IF(V485="","",IF(V485&lt;12,"Months","Weeks"))</f>
        <v/>
      </c>
      <c r="AC485" s="5">
        <f>IF(AB485="","",IF(AB485="Months","Daily","Weekly"))</f>
        <v/>
      </c>
      <c r="AD485" s="17">
        <f>IF(V485="","",IF(AC485="Daily",V485*Controls!$B$13,V485))</f>
        <v/>
      </c>
      <c r="AE485" s="17">
        <f>IF(V485="","",IF(AC485="Daily",V485*Controls!$B$13,V485*Controls!$B$12))</f>
        <v/>
      </c>
      <c r="AF485" s="17">
        <f>IF(OR(E485="",F485=""),"",F485-E485)</f>
        <v/>
      </c>
      <c r="AG485" s="17">
        <f>IF(OR(E485="",F485=""),"",NETWORKDAYS(E485,F485,Ref!$F$4:$F$47))</f>
        <v/>
      </c>
      <c r="AH485" s="39">
        <f>IF(IFERROR(VLOOKUP(D485,Controls!$A$25:$D$35,2,FALSE()),"No")="Yes",1,0)</f>
        <v/>
      </c>
      <c r="AI485" s="39">
        <f>IF(IFERROR(VLOOKUP(D485,Controls!$A$25:$D$35,3,FALSE()),"No")="Yes",1,0)</f>
        <v/>
      </c>
      <c r="AJ485" s="39">
        <f>IF(IFERROR(VLOOKUP(D485,Controls!$A$25:$D$35,4,FALSE()),"No")="Yes",1,0)</f>
        <v/>
      </c>
      <c r="AK485" s="96">
        <f>IF(AND($E485&gt;=Controls!$B$5,$E485&lt;=Controls!$B$6,OR(Controls!$E$9&lt;&gt;"Y",$BE485=1)),1,0)</f>
        <v/>
      </c>
      <c r="AL485" s="39">
        <f>1</f>
        <v/>
      </c>
      <c r="AM485" s="20">
        <f>S485-P485</f>
        <v/>
      </c>
      <c r="AN485" s="20">
        <f>IF(AH485=1,MAX(0,P485-S485),0)</f>
        <v/>
      </c>
      <c r="AO485" s="21">
        <f>IFERROR(S485/P485,"")</f>
        <v/>
      </c>
      <c r="AP485" s="22">
        <f>IF(Y485="","",P485/Y485)</f>
        <v/>
      </c>
      <c r="AQ485" s="39">
        <f>IF(Y485="",0,1)</f>
        <v/>
      </c>
      <c r="AR485" s="39">
        <f>IF(S485&lt;=0,1,0)</f>
        <v/>
      </c>
      <c r="AS485" s="17">
        <f>IF(AH485=1,AG485,"")</f>
        <v/>
      </c>
      <c r="AT485" s="17">
        <f>IF(AND(AH485=0,AJ485=1),AG485,"")</f>
        <v/>
      </c>
      <c r="AU485" s="5">
        <f>IF(P485&lt;10000,"Under $10K",IF(P485&lt;20000,"$10-20K",IF(P485&lt;30000,"$20-30K",IF(P485&lt;50000,"$30-50K",IF(P485&lt;100000,"$50-100K","$100K+")))))</f>
        <v/>
      </c>
      <c r="AV485" s="5">
        <f>IF(O485&lt;=1.35,"1.35 and under",IF(O485&lt;=1.42,"1.36-1.42",IF(O485&lt;=1.45,"1.43-1.45",IF(O485&lt;1.49,"1.46-1.48",IF(O485&lt;=1.49,"1.49","Above 1.49")))))</f>
        <v/>
      </c>
      <c r="AW485" s="5">
        <f>IF(AE485="","",IF(AE485&lt;60,"Under 60",IF(AE485&lt;90,"60-89",IF(AE485&lt;120,"90-119",IF(AE485&lt;150,"120-149","150+")))))</f>
        <v/>
      </c>
      <c r="AX485" s="5">
        <f>IF(AP485="","No revenue data",IF(AP485&lt;0.15,"Under 0.15x",IF(AP485&lt;0.3,"0.15-0.30x",IF(AP485&lt;0.5,"0.30-0.50x",IF(AP485&lt;1,"0.50-1.00x","1.00x+")))))</f>
        <v/>
      </c>
      <c r="AY485" s="5">
        <f>IF(J485="","No SIC",IFERROR(VLOOKUP(J485,Ref!$A$4:$C$67,2,FALSE()),"Unclassified"))</f>
        <v/>
      </c>
      <c r="AZ485" s="5">
        <f>IF(E485="","",TEXT(E485,"YYYY")&amp;"-Q"&amp;ROUNDUP(MONTH(E485)/3,0))</f>
        <v/>
      </c>
      <c r="BA485" s="5">
        <f>IF(E485="","",TEXT(E485,"YYYY-MM"))</f>
        <v/>
      </c>
      <c r="BB485" s="5">
        <f>IF(E485="","",TEXT(E485,"YYYY"))</f>
        <v/>
      </c>
      <c r="BC485" s="92">
        <f>IF($E485="","",NETWORKDAYS($E485,Controls!$B$9,Ref!$F$4:$F$47))</f>
        <v/>
      </c>
      <c r="BD485" s="92">
        <f>IF(OR($AH485=1,$AJ485=1),1,0)</f>
        <v/>
      </c>
      <c r="BE485" s="95">
        <f>IF(OR($BD485=1,AND($AE485&lt;&gt;"",$BC485&gt;=Controls!$B$10*$AE485)),1,0)</f>
        <v/>
      </c>
    </row>
    <row r="486" ht="15.75" customHeight="1" s="79">
      <c r="A486" s="5" t="inlineStr">
        <is>
          <t>5674175340</t>
        </is>
      </c>
      <c r="B486" s="5" t="inlineStr">
        <is>
          <t>CROSKEY TRANSPORTATION LLC</t>
        </is>
      </c>
      <c r="C486" s="5" t="inlineStr">
        <is>
          <t>CROSKEY TRANSPORTATION LLC</t>
        </is>
      </c>
      <c r="D486" s="5" t="inlineStr">
        <is>
          <t>Legal</t>
        </is>
      </c>
      <c r="E486" s="16" t="n">
        <v>46021</v>
      </c>
      <c r="F486" s="16" t="n">
        <v>46045</v>
      </c>
      <c r="G486" s="17" t="n">
        <v>4</v>
      </c>
      <c r="H486" s="5" t="inlineStr">
        <is>
          <t>4212</t>
        </is>
      </c>
      <c r="I486" s="5" t="inlineStr">
        <is>
          <t>Specialized Freight (Except Used Goods) Trucking, Local</t>
        </is>
      </c>
      <c r="J486" s="5" t="inlineStr">
        <is>
          <t>42</t>
        </is>
      </c>
      <c r="K486" s="5" t="n">
        <v>4214</v>
      </c>
      <c r="L486" s="5" t="inlineStr">
        <is>
          <t>MI</t>
        </is>
      </c>
      <c r="M486" s="5" t="inlineStr">
        <is>
          <t>LENDCAP SOLUTIONS</t>
        </is>
      </c>
      <c r="N486" s="5" t="inlineStr">
        <is>
          <t>New Deal</t>
        </is>
      </c>
      <c r="O486" s="19" t="n">
        <v>1.499</v>
      </c>
      <c r="P486" s="20" t="n">
        <v>15000</v>
      </c>
      <c r="Q486" s="20" t="n">
        <v>0</v>
      </c>
      <c r="R486" s="20" t="n">
        <v>22485</v>
      </c>
      <c r="S486" s="20" t="n">
        <v>3330.18</v>
      </c>
      <c r="T486" s="20" t="n">
        <v>19154.82</v>
      </c>
      <c r="U486" s="21" t="n">
        <v>0.148106737825217</v>
      </c>
      <c r="V486" s="22" t="n">
        <v>1.967</v>
      </c>
      <c r="W486" s="17" t="n">
        <v>216</v>
      </c>
      <c r="X486" s="17" t="n">
        <v>7</v>
      </c>
      <c r="Y486" s="20" t="n">
        <v>84368.42</v>
      </c>
      <c r="Z486" s="21" t="n">
        <v>0.0921</v>
      </c>
      <c r="AA486" s="16" t="n">
        <v>44562</v>
      </c>
      <c r="AB486" s="5">
        <f>IF(V486="","",IF(V486&lt;12,"Months","Weeks"))</f>
        <v/>
      </c>
      <c r="AC486" s="5">
        <f>IF(AB486="","",IF(AB486="Months","Daily","Weekly"))</f>
        <v/>
      </c>
      <c r="AD486" s="17">
        <f>IF(V486="","",IF(AC486="Daily",V486*Controls!$B$13,V486))</f>
        <v/>
      </c>
      <c r="AE486" s="17">
        <f>IF(V486="","",IF(AC486="Daily",V486*Controls!$B$13,V486*Controls!$B$12))</f>
        <v/>
      </c>
      <c r="AF486" s="17">
        <f>IF(OR(E486="",F486=""),"",F486-E486)</f>
        <v/>
      </c>
      <c r="AG486" s="17">
        <f>IF(OR(E486="",F486=""),"",NETWORKDAYS(E486,F486,Ref!$F$4:$F$47))</f>
        <v/>
      </c>
      <c r="AH486" s="39">
        <f>IF(IFERROR(VLOOKUP(D486,Controls!$A$25:$D$35,2,FALSE()),"No")="Yes",1,0)</f>
        <v/>
      </c>
      <c r="AI486" s="39">
        <f>IF(IFERROR(VLOOKUP(D486,Controls!$A$25:$D$35,3,FALSE()),"No")="Yes",1,0)</f>
        <v/>
      </c>
      <c r="AJ486" s="39">
        <f>IF(IFERROR(VLOOKUP(D486,Controls!$A$25:$D$35,4,FALSE()),"No")="Yes",1,0)</f>
        <v/>
      </c>
      <c r="AK486" s="96">
        <f>IF(AND($E486&gt;=Controls!$B$5,$E486&lt;=Controls!$B$6,OR(Controls!$E$9&lt;&gt;"Y",$BE486=1)),1,0)</f>
        <v/>
      </c>
      <c r="AL486" s="39">
        <f>1</f>
        <v/>
      </c>
      <c r="AM486" s="20">
        <f>S486-P486</f>
        <v/>
      </c>
      <c r="AN486" s="20">
        <f>IF(AH486=1,MAX(0,P486-S486),0)</f>
        <v/>
      </c>
      <c r="AO486" s="21">
        <f>IFERROR(S486/P486,"")</f>
        <v/>
      </c>
      <c r="AP486" s="22">
        <f>IF(Y486="","",P486/Y486)</f>
        <v/>
      </c>
      <c r="AQ486" s="39">
        <f>IF(Y486="",0,1)</f>
        <v/>
      </c>
      <c r="AR486" s="39">
        <f>IF(S486&lt;=0,1,0)</f>
        <v/>
      </c>
      <c r="AS486" s="17">
        <f>IF(AH486=1,AG486,"")</f>
        <v/>
      </c>
      <c r="AT486" s="17">
        <f>IF(AND(AH486=0,AJ486=1),AG486,"")</f>
        <v/>
      </c>
      <c r="AU486" s="5">
        <f>IF(P486&lt;10000,"Under $10K",IF(P486&lt;20000,"$10-20K",IF(P486&lt;30000,"$20-30K",IF(P486&lt;50000,"$30-50K",IF(P486&lt;100000,"$50-100K","$100K+")))))</f>
        <v/>
      </c>
      <c r="AV486" s="5">
        <f>IF(O486&lt;=1.35,"1.35 and under",IF(O486&lt;=1.42,"1.36-1.42",IF(O486&lt;=1.45,"1.43-1.45",IF(O486&lt;1.49,"1.46-1.48",IF(O486&lt;=1.49,"1.49","Above 1.49")))))</f>
        <v/>
      </c>
      <c r="AW486" s="5">
        <f>IF(AE486="","",IF(AE486&lt;60,"Under 60",IF(AE486&lt;90,"60-89",IF(AE486&lt;120,"90-119",IF(AE486&lt;150,"120-149","150+")))))</f>
        <v/>
      </c>
      <c r="AX486" s="5">
        <f>IF(AP486="","No revenue data",IF(AP486&lt;0.15,"Under 0.15x",IF(AP486&lt;0.3,"0.15-0.30x",IF(AP486&lt;0.5,"0.30-0.50x",IF(AP486&lt;1,"0.50-1.00x","1.00x+")))))</f>
        <v/>
      </c>
      <c r="AY486" s="5">
        <f>IF(J486="","No SIC",IFERROR(VLOOKUP(J486,Ref!$A$4:$C$67,2,FALSE()),"Unclassified"))</f>
        <v/>
      </c>
      <c r="AZ486" s="5">
        <f>IF(E486="","",TEXT(E486,"YYYY")&amp;"-Q"&amp;ROUNDUP(MONTH(E486)/3,0))</f>
        <v/>
      </c>
      <c r="BA486" s="5">
        <f>IF(E486="","",TEXT(E486,"YYYY-MM"))</f>
        <v/>
      </c>
      <c r="BB486" s="5">
        <f>IF(E486="","",TEXT(E486,"YYYY"))</f>
        <v/>
      </c>
      <c r="BC486" s="92">
        <f>IF($E486="","",NETWORKDAYS($E486,Controls!$B$9,Ref!$F$4:$F$47))</f>
        <v/>
      </c>
      <c r="BD486" s="92">
        <f>IF(OR($AH486=1,$AJ486=1),1,0)</f>
        <v/>
      </c>
      <c r="BE486" s="95">
        <f>IF(OR($BD486=1,AND($AE486&lt;&gt;"",$BC486&gt;=Controls!$B$10*$AE486)),1,0)</f>
        <v/>
      </c>
    </row>
    <row r="487" ht="15.75" customHeight="1" s="79">
      <c r="A487" s="5" t="inlineStr">
        <is>
          <t>5674175347</t>
        </is>
      </c>
      <c r="B487" s="5" t="inlineStr">
        <is>
          <t>MRG HEALTH</t>
        </is>
      </c>
      <c r="C487" s="5" t="inlineStr">
        <is>
          <t>MRG HEALTH INC</t>
        </is>
      </c>
      <c r="D487" s="5" t="inlineStr">
        <is>
          <t>Legal</t>
        </is>
      </c>
      <c r="E487" s="16" t="n">
        <v>46021</v>
      </c>
      <c r="F487" s="16" t="n">
        <v>46153</v>
      </c>
      <c r="G487" s="17" t="n">
        <v>3</v>
      </c>
      <c r="H487" s="5" t="inlineStr">
        <is>
          <t>8099</t>
        </is>
      </c>
      <c r="I487" s="5" t="inlineStr">
        <is>
          <t>All Other Misc. Ambulatory Health Care Services</t>
        </is>
      </c>
      <c r="J487" s="5" t="inlineStr">
        <is>
          <t>80</t>
        </is>
      </c>
      <c r="K487" s="5" t="n">
        <v>8099</v>
      </c>
      <c r="L487" s="5" t="inlineStr">
        <is>
          <t>TX</t>
        </is>
      </c>
      <c r="M487" s="5" t="inlineStr">
        <is>
          <t>J Capital Solutions</t>
        </is>
      </c>
      <c r="N487" s="5" t="inlineStr">
        <is>
          <t>New Deal</t>
        </is>
      </c>
      <c r="O487" s="19" t="n">
        <v>1.49</v>
      </c>
      <c r="P487" s="20" t="n">
        <v>15000</v>
      </c>
      <c r="Q487" s="20" t="n">
        <v>0</v>
      </c>
      <c r="R487" s="20" t="n">
        <v>22350</v>
      </c>
      <c r="S487" s="20" t="n">
        <v>17321.24</v>
      </c>
      <c r="T487" s="20" t="n">
        <v>5028.76</v>
      </c>
      <c r="U487" s="21" t="n">
        <v>0.774999552572707</v>
      </c>
      <c r="V487" s="22" t="n">
        <v>20</v>
      </c>
      <c r="W487" s="17" t="n">
        <v>100</v>
      </c>
      <c r="X487" s="17" t="n">
        <v>9</v>
      </c>
      <c r="Y487" s="20" t="n">
        <v>39803.13</v>
      </c>
      <c r="Z487" s="21" t="n">
        <v>0.1123</v>
      </c>
      <c r="AA487" s="16" t="n">
        <v>44581</v>
      </c>
      <c r="AB487" s="5">
        <f>IF(V487="","",IF(V487&lt;12,"Months","Weeks"))</f>
        <v/>
      </c>
      <c r="AC487" s="5">
        <f>IF(AB487="","",IF(AB487="Months","Daily","Weekly"))</f>
        <v/>
      </c>
      <c r="AD487" s="17">
        <f>IF(V487="","",IF(AC487="Daily",V487*Controls!$B$13,V487))</f>
        <v/>
      </c>
      <c r="AE487" s="17">
        <f>IF(V487="","",IF(AC487="Daily",V487*Controls!$B$13,V487*Controls!$B$12))</f>
        <v/>
      </c>
      <c r="AF487" s="17">
        <f>IF(OR(E487="",F487=""),"",F487-E487)</f>
        <v/>
      </c>
      <c r="AG487" s="17">
        <f>IF(OR(E487="",F487=""),"",NETWORKDAYS(E487,F487,Ref!$F$4:$F$47))</f>
        <v/>
      </c>
      <c r="AH487" s="39">
        <f>IF(IFERROR(VLOOKUP(D487,Controls!$A$25:$D$35,2,FALSE()),"No")="Yes",1,0)</f>
        <v/>
      </c>
      <c r="AI487" s="39">
        <f>IF(IFERROR(VLOOKUP(D487,Controls!$A$25:$D$35,3,FALSE()),"No")="Yes",1,0)</f>
        <v/>
      </c>
      <c r="AJ487" s="39">
        <f>IF(IFERROR(VLOOKUP(D487,Controls!$A$25:$D$35,4,FALSE()),"No")="Yes",1,0)</f>
        <v/>
      </c>
      <c r="AK487" s="96">
        <f>IF(AND($E487&gt;=Controls!$B$5,$E487&lt;=Controls!$B$6,OR(Controls!$E$9&lt;&gt;"Y",$BE487=1)),1,0)</f>
        <v/>
      </c>
      <c r="AL487" s="39">
        <f>1</f>
        <v/>
      </c>
      <c r="AM487" s="20">
        <f>S487-P487</f>
        <v/>
      </c>
      <c r="AN487" s="20">
        <f>IF(AH487=1,MAX(0,P487-S487),0)</f>
        <v/>
      </c>
      <c r="AO487" s="21">
        <f>IFERROR(S487/P487,"")</f>
        <v/>
      </c>
      <c r="AP487" s="22">
        <f>IF(Y487="","",P487/Y487)</f>
        <v/>
      </c>
      <c r="AQ487" s="39">
        <f>IF(Y487="",0,1)</f>
        <v/>
      </c>
      <c r="AR487" s="39">
        <f>IF(S487&lt;=0,1,0)</f>
        <v/>
      </c>
      <c r="AS487" s="17">
        <f>IF(AH487=1,AG487,"")</f>
        <v/>
      </c>
      <c r="AT487" s="17">
        <f>IF(AND(AH487=0,AJ487=1),AG487,"")</f>
        <v/>
      </c>
      <c r="AU487" s="5">
        <f>IF(P487&lt;10000,"Under $10K",IF(P487&lt;20000,"$10-20K",IF(P487&lt;30000,"$20-30K",IF(P487&lt;50000,"$30-50K",IF(P487&lt;100000,"$50-100K","$100K+")))))</f>
        <v/>
      </c>
      <c r="AV487" s="5">
        <f>IF(O487&lt;=1.35,"1.35 and under",IF(O487&lt;=1.42,"1.36-1.42",IF(O487&lt;=1.45,"1.43-1.45",IF(O487&lt;1.49,"1.46-1.48",IF(O487&lt;=1.49,"1.49","Above 1.49")))))</f>
        <v/>
      </c>
      <c r="AW487" s="5">
        <f>IF(AE487="","",IF(AE487&lt;60,"Under 60",IF(AE487&lt;90,"60-89",IF(AE487&lt;120,"90-119",IF(AE487&lt;150,"120-149","150+")))))</f>
        <v/>
      </c>
      <c r="AX487" s="5">
        <f>IF(AP487="","No revenue data",IF(AP487&lt;0.15,"Under 0.15x",IF(AP487&lt;0.3,"0.15-0.30x",IF(AP487&lt;0.5,"0.30-0.50x",IF(AP487&lt;1,"0.50-1.00x","1.00x+")))))</f>
        <v/>
      </c>
      <c r="AY487" s="5">
        <f>IF(J487="","No SIC",IFERROR(VLOOKUP(J487,Ref!$A$4:$C$67,2,FALSE()),"Unclassified"))</f>
        <v/>
      </c>
      <c r="AZ487" s="5">
        <f>IF(E487="","",TEXT(E487,"YYYY")&amp;"-Q"&amp;ROUNDUP(MONTH(E487)/3,0))</f>
        <v/>
      </c>
      <c r="BA487" s="5">
        <f>IF(E487="","",TEXT(E487,"YYYY-MM"))</f>
        <v/>
      </c>
      <c r="BB487" s="5">
        <f>IF(E487="","",TEXT(E487,"YYYY"))</f>
        <v/>
      </c>
      <c r="BC487" s="92">
        <f>IF($E487="","",NETWORKDAYS($E487,Controls!$B$9,Ref!$F$4:$F$47))</f>
        <v/>
      </c>
      <c r="BD487" s="92">
        <f>IF(OR($AH487=1,$AJ487=1),1,0)</f>
        <v/>
      </c>
      <c r="BE487" s="95">
        <f>IF(OR($BD487=1,AND($AE487&lt;&gt;"",$BC487&gt;=Controls!$B$10*$AE487)),1,0)</f>
        <v/>
      </c>
    </row>
    <row r="488" ht="15.75" customHeight="1" s="79">
      <c r="A488" s="5" t="inlineStr">
        <is>
          <t>5674175350</t>
        </is>
      </c>
      <c r="B488" s="5" t="inlineStr">
        <is>
          <t>MAMA'S &amp; PAPA'S PIZZA GROTTO</t>
        </is>
      </c>
      <c r="C488" s="5" t="inlineStr">
        <is>
          <t>2- FRIENDS, INC.</t>
        </is>
      </c>
      <c r="D488" s="5" t="inlineStr">
        <is>
          <t>Open</t>
        </is>
      </c>
      <c r="E488" s="16" t="n">
        <v>46021</v>
      </c>
      <c r="F488" s="16" t="n">
        <v>46252</v>
      </c>
      <c r="G488" s="17" t="n">
        <v>1</v>
      </c>
      <c r="H488" s="5" t="inlineStr">
        <is>
          <t>3556</t>
        </is>
      </c>
      <c r="I488" s="5" t="inlineStr">
        <is>
          <t>Food Product Machinery Mfg.</t>
        </is>
      </c>
      <c r="J488" s="5" t="inlineStr">
        <is>
          <t>35</t>
        </is>
      </c>
      <c r="K488" s="5" t="n">
        <v>5499</v>
      </c>
      <c r="L488" s="5" t="inlineStr">
        <is>
          <t>CA</t>
        </is>
      </c>
      <c r="M488" s="5" t="inlineStr">
        <is>
          <t>Fundwell</t>
        </is>
      </c>
      <c r="N488" s="5" t="inlineStr">
        <is>
          <t>New Deal</t>
        </is>
      </c>
      <c r="O488" s="19" t="n">
        <v>1.4</v>
      </c>
      <c r="P488" s="20" t="n">
        <v>30000</v>
      </c>
      <c r="Q488" s="20" t="n">
        <v>4050</v>
      </c>
      <c r="R488" s="20" t="n">
        <v>42000</v>
      </c>
      <c r="S488" s="20" t="n">
        <v>17201.64</v>
      </c>
      <c r="T488" s="20" t="n">
        <v>24798.36</v>
      </c>
      <c r="U488" s="21" t="n">
        <v>0.409562857142857</v>
      </c>
      <c r="V488" s="22" t="n">
        <v>44</v>
      </c>
      <c r="W488" s="17" t="n">
        <v>1</v>
      </c>
      <c r="X488" s="17" t="n">
        <v>0</v>
      </c>
      <c r="Y488" s="20" t="n">
        <v>135121.36</v>
      </c>
      <c r="Z488" s="21" t="n">
        <v>0.0283</v>
      </c>
      <c r="AA488" s="16" t="n">
        <v>31616</v>
      </c>
      <c r="AB488" s="5">
        <f>IF(V488="","",IF(V488&lt;12,"Months","Weeks"))</f>
        <v/>
      </c>
      <c r="AC488" s="5">
        <f>IF(AB488="","",IF(AB488="Months","Daily","Weekly"))</f>
        <v/>
      </c>
      <c r="AD488" s="17">
        <f>IF(V488="","",IF(AC488="Daily",V488*Controls!$B$13,V488))</f>
        <v/>
      </c>
      <c r="AE488" s="17">
        <f>IF(V488="","",IF(AC488="Daily",V488*Controls!$B$13,V488*Controls!$B$12))</f>
        <v/>
      </c>
      <c r="AF488" s="17">
        <f>IF(OR(E488="",F488=""),"",F488-E488)</f>
        <v/>
      </c>
      <c r="AG488" s="17">
        <f>IF(OR(E488="",F488=""),"",NETWORKDAYS(E488,F488,Ref!$F$4:$F$47))</f>
        <v/>
      </c>
      <c r="AH488" s="39">
        <f>IF(IFERROR(VLOOKUP(D488,Controls!$A$25:$D$35,2,FALSE()),"No")="Yes",1,0)</f>
        <v/>
      </c>
      <c r="AI488" s="39">
        <f>IF(IFERROR(VLOOKUP(D488,Controls!$A$25:$D$35,3,FALSE()),"No")="Yes",1,0)</f>
        <v/>
      </c>
      <c r="AJ488" s="39">
        <f>IF(IFERROR(VLOOKUP(D488,Controls!$A$25:$D$35,4,FALSE()),"No")="Yes",1,0)</f>
        <v/>
      </c>
      <c r="AK488" s="96">
        <f>IF(AND($E488&gt;=Controls!$B$5,$E488&lt;=Controls!$B$6,OR(Controls!$E$9&lt;&gt;"Y",$BE488=1)),1,0)</f>
        <v/>
      </c>
      <c r="AL488" s="39">
        <f>1</f>
        <v/>
      </c>
      <c r="AM488" s="20">
        <f>S488-P488</f>
        <v/>
      </c>
      <c r="AN488" s="20">
        <f>IF(AH488=1,MAX(0,P488-S488),0)</f>
        <v/>
      </c>
      <c r="AO488" s="21">
        <f>IFERROR(S488/P488,"")</f>
        <v/>
      </c>
      <c r="AP488" s="22">
        <f>IF(Y488="","",P488/Y488)</f>
        <v/>
      </c>
      <c r="AQ488" s="39">
        <f>IF(Y488="",0,1)</f>
        <v/>
      </c>
      <c r="AR488" s="39">
        <f>IF(S488&lt;=0,1,0)</f>
        <v/>
      </c>
      <c r="AS488" s="17">
        <f>IF(AH488=1,AG488,"")</f>
        <v/>
      </c>
      <c r="AT488" s="17">
        <f>IF(AND(AH488=0,AJ488=1),AG488,"")</f>
        <v/>
      </c>
      <c r="AU488" s="5">
        <f>IF(P488&lt;10000,"Under $10K",IF(P488&lt;20000,"$10-20K",IF(P488&lt;30000,"$20-30K",IF(P488&lt;50000,"$30-50K",IF(P488&lt;100000,"$50-100K","$100K+")))))</f>
        <v/>
      </c>
      <c r="AV488" s="5">
        <f>IF(O488&lt;=1.35,"1.35 and under",IF(O488&lt;=1.42,"1.36-1.42",IF(O488&lt;=1.45,"1.43-1.45",IF(O488&lt;1.49,"1.46-1.48",IF(O488&lt;=1.49,"1.49","Above 1.49")))))</f>
        <v/>
      </c>
      <c r="AW488" s="5">
        <f>IF(AE488="","",IF(AE488&lt;60,"Under 60",IF(AE488&lt;90,"60-89",IF(AE488&lt;120,"90-119",IF(AE488&lt;150,"120-149","150+")))))</f>
        <v/>
      </c>
      <c r="AX488" s="5">
        <f>IF(AP488="","No revenue data",IF(AP488&lt;0.15,"Under 0.15x",IF(AP488&lt;0.3,"0.15-0.30x",IF(AP488&lt;0.5,"0.30-0.50x",IF(AP488&lt;1,"0.50-1.00x","1.00x+")))))</f>
        <v/>
      </c>
      <c r="AY488" s="5">
        <f>IF(J488="","No SIC",IFERROR(VLOOKUP(J488,Ref!$A$4:$C$67,2,FALSE()),"Unclassified"))</f>
        <v/>
      </c>
      <c r="AZ488" s="5">
        <f>IF(E488="","",TEXT(E488,"YYYY")&amp;"-Q"&amp;ROUNDUP(MONTH(E488)/3,0))</f>
        <v/>
      </c>
      <c r="BA488" s="5">
        <f>IF(E488="","",TEXT(E488,"YYYY-MM"))</f>
        <v/>
      </c>
      <c r="BB488" s="5">
        <f>IF(E488="","",TEXT(E488,"YYYY"))</f>
        <v/>
      </c>
      <c r="BC488" s="92">
        <f>IF($E488="","",NETWORKDAYS($E488,Controls!$B$9,Ref!$F$4:$F$47))</f>
        <v/>
      </c>
      <c r="BD488" s="92">
        <f>IF(OR($AH488=1,$AJ488=1),1,0)</f>
        <v/>
      </c>
      <c r="BE488" s="95">
        <f>IF(OR($BD488=1,AND($AE488&lt;&gt;"",$BC488&gt;=Controls!$B$10*$AE488)),1,0)</f>
        <v/>
      </c>
    </row>
    <row r="489" ht="15.75" customHeight="1" s="79">
      <c r="A489" s="5" t="inlineStr">
        <is>
          <t>5674175372</t>
        </is>
      </c>
      <c r="B489" s="5" t="inlineStr">
        <is>
          <t>Bugged Out Pest Control LLC</t>
        </is>
      </c>
      <c r="C489" s="5" t="inlineStr">
        <is>
          <t>Bugged Out Pest Control LLC</t>
        </is>
      </c>
      <c r="D489" s="5" t="inlineStr">
        <is>
          <t>Closed</t>
        </is>
      </c>
      <c r="E489" s="16" t="n">
        <v>46022</v>
      </c>
      <c r="F489" s="16" t="n">
        <v>46231</v>
      </c>
      <c r="G489" s="17" t="n">
        <v>1</v>
      </c>
      <c r="H489" s="5" t="inlineStr">
        <is>
          <t>7342</t>
        </is>
      </c>
      <c r="I489" s="5" t="inlineStr">
        <is>
          <t>Exterminating and Pest Control Services</t>
        </is>
      </c>
      <c r="J489" s="5" t="inlineStr">
        <is>
          <t>73</t>
        </is>
      </c>
      <c r="K489" s="5" t="n">
        <v>7342</v>
      </c>
      <c r="L489" s="5" t="inlineStr">
        <is>
          <t>TX</t>
        </is>
      </c>
      <c r="M489" s="5" t="inlineStr">
        <is>
          <t>Shore Funding USA</t>
        </is>
      </c>
      <c r="N489" s="5" t="inlineStr">
        <is>
          <t>Renewal</t>
        </is>
      </c>
      <c r="O489" s="19" t="n">
        <v>1.46</v>
      </c>
      <c r="P489" s="20" t="n">
        <v>13000</v>
      </c>
      <c r="Q489" s="20" t="n">
        <v>1625</v>
      </c>
      <c r="R489" s="20" t="n">
        <v>18980</v>
      </c>
      <c r="S489" s="20" t="n">
        <v>18980</v>
      </c>
      <c r="T489" s="20" t="n">
        <v>0</v>
      </c>
      <c r="U489" s="21" t="n">
        <v>1</v>
      </c>
      <c r="V489" s="22" t="n">
        <v>22</v>
      </c>
      <c r="W489" s="17" t="n">
        <v>22</v>
      </c>
      <c r="X489" s="17" t="n">
        <v>8</v>
      </c>
      <c r="Y489" s="20" t="n">
        <v>34301.33</v>
      </c>
      <c r="Z489" s="21" t="n">
        <v>0.1165</v>
      </c>
      <c r="AA489" s="16" t="n">
        <v>42768</v>
      </c>
      <c r="AB489" s="5">
        <f>IF(V489="","",IF(V489&lt;12,"Months","Weeks"))</f>
        <v/>
      </c>
      <c r="AC489" s="5">
        <f>IF(AB489="","",IF(AB489="Months","Daily","Weekly"))</f>
        <v/>
      </c>
      <c r="AD489" s="17">
        <f>IF(V489="","",IF(AC489="Daily",V489*Controls!$B$13,V489))</f>
        <v/>
      </c>
      <c r="AE489" s="17">
        <f>IF(V489="","",IF(AC489="Daily",V489*Controls!$B$13,V489*Controls!$B$12))</f>
        <v/>
      </c>
      <c r="AF489" s="17">
        <f>IF(OR(E489="",F489=""),"",F489-E489)</f>
        <v/>
      </c>
      <c r="AG489" s="17">
        <f>IF(OR(E489="",F489=""),"",NETWORKDAYS(E489,F489,Ref!$F$4:$F$47))</f>
        <v/>
      </c>
      <c r="AH489" s="39">
        <f>IF(IFERROR(VLOOKUP(D489,Controls!$A$25:$D$35,2,FALSE()),"No")="Yes",1,0)</f>
        <v/>
      </c>
      <c r="AI489" s="39">
        <f>IF(IFERROR(VLOOKUP(D489,Controls!$A$25:$D$35,3,FALSE()),"No")="Yes",1,0)</f>
        <v/>
      </c>
      <c r="AJ489" s="39">
        <f>IF(IFERROR(VLOOKUP(D489,Controls!$A$25:$D$35,4,FALSE()),"No")="Yes",1,0)</f>
        <v/>
      </c>
      <c r="AK489" s="96">
        <f>IF(AND($E489&gt;=Controls!$B$5,$E489&lt;=Controls!$B$6,OR(Controls!$E$9&lt;&gt;"Y",$BE489=1)),1,0)</f>
        <v/>
      </c>
      <c r="AL489" s="39">
        <f>1</f>
        <v/>
      </c>
      <c r="AM489" s="20">
        <f>S489-P489</f>
        <v/>
      </c>
      <c r="AN489" s="20">
        <f>IF(AH489=1,MAX(0,P489-S489),0)</f>
        <v/>
      </c>
      <c r="AO489" s="21">
        <f>IFERROR(S489/P489,"")</f>
        <v/>
      </c>
      <c r="AP489" s="22">
        <f>IF(Y489="","",P489/Y489)</f>
        <v/>
      </c>
      <c r="AQ489" s="39">
        <f>IF(Y489="",0,1)</f>
        <v/>
      </c>
      <c r="AR489" s="39">
        <f>IF(S489&lt;=0,1,0)</f>
        <v/>
      </c>
      <c r="AS489" s="17">
        <f>IF(AH489=1,AG489,"")</f>
        <v/>
      </c>
      <c r="AT489" s="17">
        <f>IF(AND(AH489=0,AJ489=1),AG489,"")</f>
        <v/>
      </c>
      <c r="AU489" s="5">
        <f>IF(P489&lt;10000,"Under $10K",IF(P489&lt;20000,"$10-20K",IF(P489&lt;30000,"$20-30K",IF(P489&lt;50000,"$30-50K",IF(P489&lt;100000,"$50-100K","$100K+")))))</f>
        <v/>
      </c>
      <c r="AV489" s="5">
        <f>IF(O489&lt;=1.35,"1.35 and under",IF(O489&lt;=1.42,"1.36-1.42",IF(O489&lt;=1.45,"1.43-1.45",IF(O489&lt;1.49,"1.46-1.48",IF(O489&lt;=1.49,"1.49","Above 1.49")))))</f>
        <v/>
      </c>
      <c r="AW489" s="5">
        <f>IF(AE489="","",IF(AE489&lt;60,"Under 60",IF(AE489&lt;90,"60-89",IF(AE489&lt;120,"90-119",IF(AE489&lt;150,"120-149","150+")))))</f>
        <v/>
      </c>
      <c r="AX489" s="5">
        <f>IF(AP489="","No revenue data",IF(AP489&lt;0.15,"Under 0.15x",IF(AP489&lt;0.3,"0.15-0.30x",IF(AP489&lt;0.5,"0.30-0.50x",IF(AP489&lt;1,"0.50-1.00x","1.00x+")))))</f>
        <v/>
      </c>
      <c r="AY489" s="5">
        <f>IF(J489="","No SIC",IFERROR(VLOOKUP(J489,Ref!$A$4:$C$67,2,FALSE()),"Unclassified"))</f>
        <v/>
      </c>
      <c r="AZ489" s="5">
        <f>IF(E489="","",TEXT(E489,"YYYY")&amp;"-Q"&amp;ROUNDUP(MONTH(E489)/3,0))</f>
        <v/>
      </c>
      <c r="BA489" s="5">
        <f>IF(E489="","",TEXT(E489,"YYYY-MM"))</f>
        <v/>
      </c>
      <c r="BB489" s="5">
        <f>IF(E489="","",TEXT(E489,"YYYY"))</f>
        <v/>
      </c>
      <c r="BC489" s="92">
        <f>IF($E489="","",NETWORKDAYS($E489,Controls!$B$9,Ref!$F$4:$F$47))</f>
        <v/>
      </c>
      <c r="BD489" s="92">
        <f>IF(OR($AH489=1,$AJ489=1),1,0)</f>
        <v/>
      </c>
      <c r="BE489" s="95">
        <f>IF(OR($BD489=1,AND($AE489&lt;&gt;"",$BC489&gt;=Controls!$B$10*$AE489)),1,0)</f>
        <v/>
      </c>
    </row>
    <row r="490" ht="15.75" customHeight="1" s="79">
      <c r="A490" s="5" t="inlineStr">
        <is>
          <t>5674175376</t>
        </is>
      </c>
      <c r="B490" s="5" t="inlineStr">
        <is>
          <t>A.L.I.C.E. homecare llc</t>
        </is>
      </c>
      <c r="C490" s="5" t="inlineStr">
        <is>
          <t>A.L.I.C.E. homecare llc</t>
        </is>
      </c>
      <c r="D490" s="5" t="inlineStr">
        <is>
          <t>Lowered Payments</t>
        </is>
      </c>
      <c r="E490" s="16" t="n">
        <v>46022</v>
      </c>
      <c r="F490" s="16" t="n">
        <v>46253</v>
      </c>
      <c r="G490" s="17" t="n">
        <v>1</v>
      </c>
      <c r="H490" s="5" t="inlineStr">
        <is>
          <t>8082</t>
        </is>
      </c>
      <c r="I490" s="5" t="inlineStr">
        <is>
          <t>Home Health Care Services</t>
        </is>
      </c>
      <c r="J490" s="5" t="inlineStr">
        <is>
          <t>80</t>
        </is>
      </c>
      <c r="K490" s="5" t="n">
        <v>8050</v>
      </c>
      <c r="L490" s="5" t="inlineStr">
        <is>
          <t>OH</t>
        </is>
      </c>
      <c r="M490" s="5" t="inlineStr">
        <is>
          <t>peach tree capital</t>
        </is>
      </c>
      <c r="N490" s="5" t="inlineStr">
        <is>
          <t>New Deal</t>
        </is>
      </c>
      <c r="O490" s="19" t="n">
        <v>1.49</v>
      </c>
      <c r="P490" s="20" t="n">
        <v>22000</v>
      </c>
      <c r="Q490" s="20" t="n">
        <v>3080</v>
      </c>
      <c r="R490" s="20" t="n">
        <v>32780</v>
      </c>
      <c r="S490" s="20" t="n">
        <v>21995.28</v>
      </c>
      <c r="T490" s="20" t="n">
        <v>10784.72</v>
      </c>
      <c r="U490" s="21" t="n">
        <v>0.670996949359365</v>
      </c>
      <c r="V490" s="22" t="n">
        <v>26</v>
      </c>
      <c r="W490" s="17" t="n">
        <v>0</v>
      </c>
      <c r="X490" s="17" t="n">
        <v>25</v>
      </c>
      <c r="Y490" s="20" t="n">
        <v>43430.73</v>
      </c>
      <c r="Z490" s="21" t="n">
        <v>0.1161</v>
      </c>
      <c r="AA490" s="16" t="n">
        <v>43581</v>
      </c>
      <c r="AB490" s="5">
        <f>IF(V490="","",IF(V490&lt;12,"Months","Weeks"))</f>
        <v/>
      </c>
      <c r="AC490" s="5">
        <f>IF(AB490="","",IF(AB490="Months","Daily","Weekly"))</f>
        <v/>
      </c>
      <c r="AD490" s="17">
        <f>IF(V490="","",IF(AC490="Daily",V490*Controls!$B$13,V490))</f>
        <v/>
      </c>
      <c r="AE490" s="17">
        <f>IF(V490="","",IF(AC490="Daily",V490*Controls!$B$13,V490*Controls!$B$12))</f>
        <v/>
      </c>
      <c r="AF490" s="17">
        <f>IF(OR(E490="",F490=""),"",F490-E490)</f>
        <v/>
      </c>
      <c r="AG490" s="17">
        <f>IF(OR(E490="",F490=""),"",NETWORKDAYS(E490,F490,Ref!$F$4:$F$47))</f>
        <v/>
      </c>
      <c r="AH490" s="39">
        <f>IF(IFERROR(VLOOKUP(D490,Controls!$A$25:$D$35,2,FALSE()),"No")="Yes",1,0)</f>
        <v/>
      </c>
      <c r="AI490" s="39">
        <f>IF(IFERROR(VLOOKUP(D490,Controls!$A$25:$D$35,3,FALSE()),"No")="Yes",1,0)</f>
        <v/>
      </c>
      <c r="AJ490" s="39">
        <f>IF(IFERROR(VLOOKUP(D490,Controls!$A$25:$D$35,4,FALSE()),"No")="Yes",1,0)</f>
        <v/>
      </c>
      <c r="AK490" s="96">
        <f>IF(AND($E490&gt;=Controls!$B$5,$E490&lt;=Controls!$B$6,OR(Controls!$E$9&lt;&gt;"Y",$BE490=1)),1,0)</f>
        <v/>
      </c>
      <c r="AL490" s="39">
        <f>1</f>
        <v/>
      </c>
      <c r="AM490" s="20">
        <f>S490-P490</f>
        <v/>
      </c>
      <c r="AN490" s="20">
        <f>IF(AH490=1,MAX(0,P490-S490),0)</f>
        <v/>
      </c>
      <c r="AO490" s="21">
        <f>IFERROR(S490/P490,"")</f>
        <v/>
      </c>
      <c r="AP490" s="22">
        <f>IF(Y490="","",P490/Y490)</f>
        <v/>
      </c>
      <c r="AQ490" s="39">
        <f>IF(Y490="",0,1)</f>
        <v/>
      </c>
      <c r="AR490" s="39">
        <f>IF(S490&lt;=0,1,0)</f>
        <v/>
      </c>
      <c r="AS490" s="17">
        <f>IF(AH490=1,AG490,"")</f>
        <v/>
      </c>
      <c r="AT490" s="17">
        <f>IF(AND(AH490=0,AJ490=1),AG490,"")</f>
        <v/>
      </c>
      <c r="AU490" s="5">
        <f>IF(P490&lt;10000,"Under $10K",IF(P490&lt;20000,"$10-20K",IF(P490&lt;30000,"$20-30K",IF(P490&lt;50000,"$30-50K",IF(P490&lt;100000,"$50-100K","$100K+")))))</f>
        <v/>
      </c>
      <c r="AV490" s="5">
        <f>IF(O490&lt;=1.35,"1.35 and under",IF(O490&lt;=1.42,"1.36-1.42",IF(O490&lt;=1.45,"1.43-1.45",IF(O490&lt;1.49,"1.46-1.48",IF(O490&lt;=1.49,"1.49","Above 1.49")))))</f>
        <v/>
      </c>
      <c r="AW490" s="5">
        <f>IF(AE490="","",IF(AE490&lt;60,"Under 60",IF(AE490&lt;90,"60-89",IF(AE490&lt;120,"90-119",IF(AE490&lt;150,"120-149","150+")))))</f>
        <v/>
      </c>
      <c r="AX490" s="5">
        <f>IF(AP490="","No revenue data",IF(AP490&lt;0.15,"Under 0.15x",IF(AP490&lt;0.3,"0.15-0.30x",IF(AP490&lt;0.5,"0.30-0.50x",IF(AP490&lt;1,"0.50-1.00x","1.00x+")))))</f>
        <v/>
      </c>
      <c r="AY490" s="5">
        <f>IF(J490="","No SIC",IFERROR(VLOOKUP(J490,Ref!$A$4:$C$67,2,FALSE()),"Unclassified"))</f>
        <v/>
      </c>
      <c r="AZ490" s="5">
        <f>IF(E490="","",TEXT(E490,"YYYY")&amp;"-Q"&amp;ROUNDUP(MONTH(E490)/3,0))</f>
        <v/>
      </c>
      <c r="BA490" s="5">
        <f>IF(E490="","",TEXT(E490,"YYYY-MM"))</f>
        <v/>
      </c>
      <c r="BB490" s="5">
        <f>IF(E490="","",TEXT(E490,"YYYY"))</f>
        <v/>
      </c>
      <c r="BC490" s="92">
        <f>IF($E490="","",NETWORKDAYS($E490,Controls!$B$9,Ref!$F$4:$F$47))</f>
        <v/>
      </c>
      <c r="BD490" s="92">
        <f>IF(OR($AH490=1,$AJ490=1),1,0)</f>
        <v/>
      </c>
      <c r="BE490" s="95">
        <f>IF(OR($BD490=1,AND($AE490&lt;&gt;"",$BC490&gt;=Controls!$B$10*$AE490)),1,0)</f>
        <v/>
      </c>
    </row>
    <row r="491" ht="15.75" customHeight="1" s="79">
      <c r="A491" s="5" t="inlineStr">
        <is>
          <t>5674175530</t>
        </is>
      </c>
      <c r="B491" s="5" t="inlineStr">
        <is>
          <t>MARCOS SOULFIRE, LLC</t>
        </is>
      </c>
      <c r="C491" s="5" t="inlineStr">
        <is>
          <t>MARCOS SOULFIRE, LLC</t>
        </is>
      </c>
      <c r="D491" s="5" t="inlineStr">
        <is>
          <t>Legal</t>
        </is>
      </c>
      <c r="E491" s="16" t="n">
        <v>46022</v>
      </c>
      <c r="F491" s="16" t="n">
        <v>46057</v>
      </c>
      <c r="G491" s="17" t="n">
        <v>2</v>
      </c>
      <c r="H491" s="5" t="inlineStr">
        <is>
          <t>3021</t>
        </is>
      </c>
      <c r="I491" s="5" t="inlineStr">
        <is>
          <t>Footwear Mfg.</t>
        </is>
      </c>
      <c r="J491" s="5" t="inlineStr">
        <is>
          <t>30</t>
        </is>
      </c>
      <c r="K491" s="5" t="n">
        <v>5139</v>
      </c>
      <c r="L491" s="5" t="inlineStr">
        <is>
          <t>TX</t>
        </is>
      </c>
      <c r="M491" s="5" t="inlineStr">
        <is>
          <t>Fundwell</t>
        </is>
      </c>
      <c r="N491" s="5" t="inlineStr">
        <is>
          <t>New Deal</t>
        </is>
      </c>
      <c r="O491" s="19" t="n">
        <v>1.37</v>
      </c>
      <c r="P491" s="20" t="n">
        <v>15000</v>
      </c>
      <c r="Q491" s="20" t="n">
        <v>1575</v>
      </c>
      <c r="R491" s="20" t="n">
        <v>20550</v>
      </c>
      <c r="S491" s="20" t="n">
        <v>3426.12</v>
      </c>
      <c r="T491" s="20" t="n">
        <v>17123.88</v>
      </c>
      <c r="U491" s="21" t="n">
        <v>0.166721167883212</v>
      </c>
      <c r="V491" s="22" t="n">
        <v>24</v>
      </c>
      <c r="W491" s="17" t="n">
        <v>203</v>
      </c>
      <c r="X491" s="17" t="n">
        <v>1</v>
      </c>
      <c r="Y491" s="20" t="n">
        <v>26054.26</v>
      </c>
      <c r="Z491" s="21" t="n">
        <v>0.1315</v>
      </c>
      <c r="AA491" s="16" t="n">
        <v>43966</v>
      </c>
      <c r="AB491" s="5">
        <f>IF(V491="","",IF(V491&lt;12,"Months","Weeks"))</f>
        <v/>
      </c>
      <c r="AC491" s="5">
        <f>IF(AB491="","",IF(AB491="Months","Daily","Weekly"))</f>
        <v/>
      </c>
      <c r="AD491" s="17">
        <f>IF(V491="","",IF(AC491="Daily",V491*Controls!$B$13,V491))</f>
        <v/>
      </c>
      <c r="AE491" s="17">
        <f>IF(V491="","",IF(AC491="Daily",V491*Controls!$B$13,V491*Controls!$B$12))</f>
        <v/>
      </c>
      <c r="AF491" s="17">
        <f>IF(OR(E491="",F491=""),"",F491-E491)</f>
        <v/>
      </c>
      <c r="AG491" s="17">
        <f>IF(OR(E491="",F491=""),"",NETWORKDAYS(E491,F491,Ref!$F$4:$F$47))</f>
        <v/>
      </c>
      <c r="AH491" s="39">
        <f>IF(IFERROR(VLOOKUP(D491,Controls!$A$25:$D$35,2,FALSE()),"No")="Yes",1,0)</f>
        <v/>
      </c>
      <c r="AI491" s="39">
        <f>IF(IFERROR(VLOOKUP(D491,Controls!$A$25:$D$35,3,FALSE()),"No")="Yes",1,0)</f>
        <v/>
      </c>
      <c r="AJ491" s="39">
        <f>IF(IFERROR(VLOOKUP(D491,Controls!$A$25:$D$35,4,FALSE()),"No")="Yes",1,0)</f>
        <v/>
      </c>
      <c r="AK491" s="96">
        <f>IF(AND($E491&gt;=Controls!$B$5,$E491&lt;=Controls!$B$6,OR(Controls!$E$9&lt;&gt;"Y",$BE491=1)),1,0)</f>
        <v/>
      </c>
      <c r="AL491" s="39">
        <f>1</f>
        <v/>
      </c>
      <c r="AM491" s="20">
        <f>S491-P491</f>
        <v/>
      </c>
      <c r="AN491" s="20">
        <f>IF(AH491=1,MAX(0,P491-S491),0)</f>
        <v/>
      </c>
      <c r="AO491" s="21">
        <f>IFERROR(S491/P491,"")</f>
        <v/>
      </c>
      <c r="AP491" s="22">
        <f>IF(Y491="","",P491/Y491)</f>
        <v/>
      </c>
      <c r="AQ491" s="39">
        <f>IF(Y491="",0,1)</f>
        <v/>
      </c>
      <c r="AR491" s="39">
        <f>IF(S491&lt;=0,1,0)</f>
        <v/>
      </c>
      <c r="AS491" s="17">
        <f>IF(AH491=1,AG491,"")</f>
        <v/>
      </c>
      <c r="AT491" s="17">
        <f>IF(AND(AH491=0,AJ491=1),AG491,"")</f>
        <v/>
      </c>
      <c r="AU491" s="5">
        <f>IF(P491&lt;10000,"Under $10K",IF(P491&lt;20000,"$10-20K",IF(P491&lt;30000,"$20-30K",IF(P491&lt;50000,"$30-50K",IF(P491&lt;100000,"$50-100K","$100K+")))))</f>
        <v/>
      </c>
      <c r="AV491" s="5">
        <f>IF(O491&lt;=1.35,"1.35 and under",IF(O491&lt;=1.42,"1.36-1.42",IF(O491&lt;=1.45,"1.43-1.45",IF(O491&lt;1.49,"1.46-1.48",IF(O491&lt;=1.49,"1.49","Above 1.49")))))</f>
        <v/>
      </c>
      <c r="AW491" s="5">
        <f>IF(AE491="","",IF(AE491&lt;60,"Under 60",IF(AE491&lt;90,"60-89",IF(AE491&lt;120,"90-119",IF(AE491&lt;150,"120-149","150+")))))</f>
        <v/>
      </c>
      <c r="AX491" s="5">
        <f>IF(AP491="","No revenue data",IF(AP491&lt;0.15,"Under 0.15x",IF(AP491&lt;0.3,"0.15-0.30x",IF(AP491&lt;0.5,"0.30-0.50x",IF(AP491&lt;1,"0.50-1.00x","1.00x+")))))</f>
        <v/>
      </c>
      <c r="AY491" s="5">
        <f>IF(J491="","No SIC",IFERROR(VLOOKUP(J491,Ref!$A$4:$C$67,2,FALSE()),"Unclassified"))</f>
        <v/>
      </c>
      <c r="AZ491" s="5">
        <f>IF(E491="","",TEXT(E491,"YYYY")&amp;"-Q"&amp;ROUNDUP(MONTH(E491)/3,0))</f>
        <v/>
      </c>
      <c r="BA491" s="5">
        <f>IF(E491="","",TEXT(E491,"YYYY-MM"))</f>
        <v/>
      </c>
      <c r="BB491" s="5">
        <f>IF(E491="","",TEXT(E491,"YYYY"))</f>
        <v/>
      </c>
      <c r="BC491" s="92">
        <f>IF($E491="","",NETWORKDAYS($E491,Controls!$B$9,Ref!$F$4:$F$47))</f>
        <v/>
      </c>
      <c r="BD491" s="92">
        <f>IF(OR($AH491=1,$AJ491=1),1,0)</f>
        <v/>
      </c>
      <c r="BE491" s="95">
        <f>IF(OR($BD491=1,AND($AE491&lt;&gt;"",$BC491&gt;=Controls!$B$10*$AE491)),1,0)</f>
        <v/>
      </c>
    </row>
    <row r="492" ht="15.75" customHeight="1" s="79">
      <c r="A492" s="5" t="inlineStr">
        <is>
          <t>5674175538</t>
        </is>
      </c>
      <c r="B492" s="5" t="inlineStr">
        <is>
          <t>C&amp;G Services Systems LLC</t>
        </is>
      </c>
      <c r="C492" s="5" t="inlineStr">
        <is>
          <t>C&amp;G Services Systems LLC</t>
        </is>
      </c>
      <c r="D492" s="5" t="inlineStr">
        <is>
          <t>Closed</t>
        </is>
      </c>
      <c r="E492" s="16" t="n">
        <v>46022</v>
      </c>
      <c r="F492" s="16" t="n">
        <v>46076</v>
      </c>
      <c r="G492" s="17" t="n">
        <v>3</v>
      </c>
      <c r="H492" s="5" t="inlineStr">
        <is>
          <t>4213</t>
        </is>
      </c>
      <c r="I492" s="5" t="inlineStr">
        <is>
          <t>Specialized Freight (Except Used Goods) Trucking, Long Distance</t>
        </is>
      </c>
      <c r="J492" s="5" t="inlineStr">
        <is>
          <t>42</t>
        </is>
      </c>
      <c r="K492" s="5" t="n">
        <v>4214</v>
      </c>
      <c r="L492" s="5" t="inlineStr">
        <is>
          <t>FL</t>
        </is>
      </c>
      <c r="M492" s="5" t="inlineStr">
        <is>
          <t>Fundwell</t>
        </is>
      </c>
      <c r="N492" s="5" t="inlineStr">
        <is>
          <t>New Deal</t>
        </is>
      </c>
      <c r="O492" s="19" t="n">
        <v>1.38</v>
      </c>
      <c r="P492" s="20" t="n">
        <v>10000</v>
      </c>
      <c r="Q492" s="20" t="n">
        <v>1250</v>
      </c>
      <c r="R492" s="20" t="n">
        <v>13800</v>
      </c>
      <c r="S492" s="20" t="n">
        <v>13800</v>
      </c>
      <c r="T492" s="20" t="n">
        <v>-1.81898940354586e-12</v>
      </c>
      <c r="U492" s="21" t="n">
        <v>1</v>
      </c>
      <c r="V492" s="22" t="n">
        <v>2.951</v>
      </c>
      <c r="W492" s="17" t="n">
        <v>177</v>
      </c>
      <c r="X492" s="17" t="n">
        <v>0</v>
      </c>
      <c r="Y492" s="20" t="n">
        <v>24929.12</v>
      </c>
      <c r="Z492" s="21" t="n">
        <v>0.1292</v>
      </c>
      <c r="AA492" s="16" t="n">
        <v>44149</v>
      </c>
      <c r="AB492" s="5">
        <f>IF(V492="","",IF(V492&lt;12,"Months","Weeks"))</f>
        <v/>
      </c>
      <c r="AC492" s="5">
        <f>IF(AB492="","",IF(AB492="Months","Daily","Weekly"))</f>
        <v/>
      </c>
      <c r="AD492" s="17">
        <f>IF(V492="","",IF(AC492="Daily",V492*Controls!$B$13,V492))</f>
        <v/>
      </c>
      <c r="AE492" s="17">
        <f>IF(V492="","",IF(AC492="Daily",V492*Controls!$B$13,V492*Controls!$B$12))</f>
        <v/>
      </c>
      <c r="AF492" s="17">
        <f>IF(OR(E492="",F492=""),"",F492-E492)</f>
        <v/>
      </c>
      <c r="AG492" s="17">
        <f>IF(OR(E492="",F492=""),"",NETWORKDAYS(E492,F492,Ref!$F$4:$F$47))</f>
        <v/>
      </c>
      <c r="AH492" s="39">
        <f>IF(IFERROR(VLOOKUP(D492,Controls!$A$25:$D$35,2,FALSE()),"No")="Yes",1,0)</f>
        <v/>
      </c>
      <c r="AI492" s="39">
        <f>IF(IFERROR(VLOOKUP(D492,Controls!$A$25:$D$35,3,FALSE()),"No")="Yes",1,0)</f>
        <v/>
      </c>
      <c r="AJ492" s="39">
        <f>IF(IFERROR(VLOOKUP(D492,Controls!$A$25:$D$35,4,FALSE()),"No")="Yes",1,0)</f>
        <v/>
      </c>
      <c r="AK492" s="96">
        <f>IF(AND($E492&gt;=Controls!$B$5,$E492&lt;=Controls!$B$6,OR(Controls!$E$9&lt;&gt;"Y",$BE492=1)),1,0)</f>
        <v/>
      </c>
      <c r="AL492" s="39">
        <f>1</f>
        <v/>
      </c>
      <c r="AM492" s="20">
        <f>S492-P492</f>
        <v/>
      </c>
      <c r="AN492" s="20">
        <f>IF(AH492=1,MAX(0,P492-S492),0)</f>
        <v/>
      </c>
      <c r="AO492" s="21">
        <f>IFERROR(S492/P492,"")</f>
        <v/>
      </c>
      <c r="AP492" s="22">
        <f>IF(Y492="","",P492/Y492)</f>
        <v/>
      </c>
      <c r="AQ492" s="39">
        <f>IF(Y492="",0,1)</f>
        <v/>
      </c>
      <c r="AR492" s="39">
        <f>IF(S492&lt;=0,1,0)</f>
        <v/>
      </c>
      <c r="AS492" s="17">
        <f>IF(AH492=1,AG492,"")</f>
        <v/>
      </c>
      <c r="AT492" s="17">
        <f>IF(AND(AH492=0,AJ492=1),AG492,"")</f>
        <v/>
      </c>
      <c r="AU492" s="5">
        <f>IF(P492&lt;10000,"Under $10K",IF(P492&lt;20000,"$10-20K",IF(P492&lt;30000,"$20-30K",IF(P492&lt;50000,"$30-50K",IF(P492&lt;100000,"$50-100K","$100K+")))))</f>
        <v/>
      </c>
      <c r="AV492" s="5">
        <f>IF(O492&lt;=1.35,"1.35 and under",IF(O492&lt;=1.42,"1.36-1.42",IF(O492&lt;=1.45,"1.43-1.45",IF(O492&lt;1.49,"1.46-1.48",IF(O492&lt;=1.49,"1.49","Above 1.49")))))</f>
        <v/>
      </c>
      <c r="AW492" s="5">
        <f>IF(AE492="","",IF(AE492&lt;60,"Under 60",IF(AE492&lt;90,"60-89",IF(AE492&lt;120,"90-119",IF(AE492&lt;150,"120-149","150+")))))</f>
        <v/>
      </c>
      <c r="AX492" s="5">
        <f>IF(AP492="","No revenue data",IF(AP492&lt;0.15,"Under 0.15x",IF(AP492&lt;0.3,"0.15-0.30x",IF(AP492&lt;0.5,"0.30-0.50x",IF(AP492&lt;1,"0.50-1.00x","1.00x+")))))</f>
        <v/>
      </c>
      <c r="AY492" s="5">
        <f>IF(J492="","No SIC",IFERROR(VLOOKUP(J492,Ref!$A$4:$C$67,2,FALSE()),"Unclassified"))</f>
        <v/>
      </c>
      <c r="AZ492" s="5">
        <f>IF(E492="","",TEXT(E492,"YYYY")&amp;"-Q"&amp;ROUNDUP(MONTH(E492)/3,0))</f>
        <v/>
      </c>
      <c r="BA492" s="5">
        <f>IF(E492="","",TEXT(E492,"YYYY-MM"))</f>
        <v/>
      </c>
      <c r="BB492" s="5">
        <f>IF(E492="","",TEXT(E492,"YYYY"))</f>
        <v/>
      </c>
      <c r="BC492" s="92">
        <f>IF($E492="","",NETWORKDAYS($E492,Controls!$B$9,Ref!$F$4:$F$47))</f>
        <v/>
      </c>
      <c r="BD492" s="92">
        <f>IF(OR($AH492=1,$AJ492=1),1,0)</f>
        <v/>
      </c>
      <c r="BE492" s="95">
        <f>IF(OR($BD492=1,AND($AE492&lt;&gt;"",$BC492&gt;=Controls!$B$10*$AE492)),1,0)</f>
        <v/>
      </c>
    </row>
    <row r="493" ht="15.75" customHeight="1" s="79">
      <c r="A493" s="5" t="inlineStr">
        <is>
          <t>5674175552</t>
        </is>
      </c>
      <c r="B493" s="5" t="inlineStr">
        <is>
          <t>RESOURCE HEALTHCARE</t>
        </is>
      </c>
      <c r="C493" s="5" t="inlineStr">
        <is>
          <t>RESOURCE HEALTHCARE INC</t>
        </is>
      </c>
      <c r="D493" s="5" t="inlineStr">
        <is>
          <t>Open</t>
        </is>
      </c>
      <c r="E493" s="16" t="n">
        <v>46022</v>
      </c>
      <c r="F493" s="16" t="n">
        <v>46248</v>
      </c>
      <c r="G493" s="17" t="n">
        <v>3</v>
      </c>
      <c r="H493" s="5" t="inlineStr">
        <is>
          <t>8099</t>
        </is>
      </c>
      <c r="I493" s="5" t="inlineStr">
        <is>
          <t>All Other Misc. Ambulatory Health Care Services</t>
        </is>
      </c>
      <c r="J493" s="5" t="inlineStr">
        <is>
          <t>80</t>
        </is>
      </c>
      <c r="K493" s="5" t="n">
        <v>8099</v>
      </c>
      <c r="L493" s="5" t="inlineStr">
        <is>
          <t>AZ</t>
        </is>
      </c>
      <c r="M493" s="5" t="inlineStr">
        <is>
          <t>United Secured Capital 8</t>
        </is>
      </c>
      <c r="N493" s="5" t="inlineStr">
        <is>
          <t>New Deal</t>
        </is>
      </c>
      <c r="O493" s="19" t="n">
        <v>1.45</v>
      </c>
      <c r="P493" s="20" t="n">
        <v>175000</v>
      </c>
      <c r="Q493" s="20" t="n">
        <v>21000</v>
      </c>
      <c r="R493" s="20" t="n">
        <v>253750</v>
      </c>
      <c r="S493" s="20" t="n">
        <v>225637.76</v>
      </c>
      <c r="T493" s="20" t="n">
        <v>28112.24</v>
      </c>
      <c r="U493" s="21" t="n">
        <v>0.88921284729064</v>
      </c>
      <c r="V493" s="22" t="n">
        <v>36</v>
      </c>
      <c r="W493" s="17" t="n">
        <v>5</v>
      </c>
      <c r="X493" s="17" t="n">
        <v>0</v>
      </c>
      <c r="Y493" s="20" t="n">
        <v>261154.64</v>
      </c>
      <c r="Z493" s="21" t="n">
        <v>0.108</v>
      </c>
      <c r="AA493" s="5" t="n"/>
      <c r="AB493" s="5">
        <f>IF(V493="","",IF(V493&lt;12,"Months","Weeks"))</f>
        <v/>
      </c>
      <c r="AC493" s="5">
        <f>IF(AB493="","",IF(AB493="Months","Daily","Weekly"))</f>
        <v/>
      </c>
      <c r="AD493" s="17">
        <f>IF(V493="","",IF(AC493="Daily",V493*Controls!$B$13,V493))</f>
        <v/>
      </c>
      <c r="AE493" s="17">
        <f>IF(V493="","",IF(AC493="Daily",V493*Controls!$B$13,V493*Controls!$B$12))</f>
        <v/>
      </c>
      <c r="AF493" s="17">
        <f>IF(OR(E493="",F493=""),"",F493-E493)</f>
        <v/>
      </c>
      <c r="AG493" s="17">
        <f>IF(OR(E493="",F493=""),"",NETWORKDAYS(E493,F493,Ref!$F$4:$F$47))</f>
        <v/>
      </c>
      <c r="AH493" s="39">
        <f>IF(IFERROR(VLOOKUP(D493,Controls!$A$25:$D$35,2,FALSE()),"No")="Yes",1,0)</f>
        <v/>
      </c>
      <c r="AI493" s="39">
        <f>IF(IFERROR(VLOOKUP(D493,Controls!$A$25:$D$35,3,FALSE()),"No")="Yes",1,0)</f>
        <v/>
      </c>
      <c r="AJ493" s="39">
        <f>IF(IFERROR(VLOOKUP(D493,Controls!$A$25:$D$35,4,FALSE()),"No")="Yes",1,0)</f>
        <v/>
      </c>
      <c r="AK493" s="96">
        <f>IF(AND($E493&gt;=Controls!$B$5,$E493&lt;=Controls!$B$6,OR(Controls!$E$9&lt;&gt;"Y",$BE493=1)),1,0)</f>
        <v/>
      </c>
      <c r="AL493" s="39">
        <f>1</f>
        <v/>
      </c>
      <c r="AM493" s="20">
        <f>S493-P493</f>
        <v/>
      </c>
      <c r="AN493" s="20">
        <f>IF(AH493=1,MAX(0,P493-S493),0)</f>
        <v/>
      </c>
      <c r="AO493" s="21">
        <f>IFERROR(S493/P493,"")</f>
        <v/>
      </c>
      <c r="AP493" s="22">
        <f>IF(Y493="","",P493/Y493)</f>
        <v/>
      </c>
      <c r="AQ493" s="39">
        <f>IF(Y493="",0,1)</f>
        <v/>
      </c>
      <c r="AR493" s="39">
        <f>IF(S493&lt;=0,1,0)</f>
        <v/>
      </c>
      <c r="AS493" s="17">
        <f>IF(AH493=1,AG493,"")</f>
        <v/>
      </c>
      <c r="AT493" s="17">
        <f>IF(AND(AH493=0,AJ493=1),AG493,"")</f>
        <v/>
      </c>
      <c r="AU493" s="5">
        <f>IF(P493&lt;10000,"Under $10K",IF(P493&lt;20000,"$10-20K",IF(P493&lt;30000,"$20-30K",IF(P493&lt;50000,"$30-50K",IF(P493&lt;100000,"$50-100K","$100K+")))))</f>
        <v/>
      </c>
      <c r="AV493" s="5">
        <f>IF(O493&lt;=1.35,"1.35 and under",IF(O493&lt;=1.42,"1.36-1.42",IF(O493&lt;=1.45,"1.43-1.45",IF(O493&lt;1.49,"1.46-1.48",IF(O493&lt;=1.49,"1.49","Above 1.49")))))</f>
        <v/>
      </c>
      <c r="AW493" s="5">
        <f>IF(AE493="","",IF(AE493&lt;60,"Under 60",IF(AE493&lt;90,"60-89",IF(AE493&lt;120,"90-119",IF(AE493&lt;150,"120-149","150+")))))</f>
        <v/>
      </c>
      <c r="AX493" s="5">
        <f>IF(AP493="","No revenue data",IF(AP493&lt;0.15,"Under 0.15x",IF(AP493&lt;0.3,"0.15-0.30x",IF(AP493&lt;0.5,"0.30-0.50x",IF(AP493&lt;1,"0.50-1.00x","1.00x+")))))</f>
        <v/>
      </c>
      <c r="AY493" s="5">
        <f>IF(J493="","No SIC",IFERROR(VLOOKUP(J493,Ref!$A$4:$C$67,2,FALSE()),"Unclassified"))</f>
        <v/>
      </c>
      <c r="AZ493" s="5">
        <f>IF(E493="","",TEXT(E493,"YYYY")&amp;"-Q"&amp;ROUNDUP(MONTH(E493)/3,0))</f>
        <v/>
      </c>
      <c r="BA493" s="5">
        <f>IF(E493="","",TEXT(E493,"YYYY-MM"))</f>
        <v/>
      </c>
      <c r="BB493" s="5">
        <f>IF(E493="","",TEXT(E493,"YYYY"))</f>
        <v/>
      </c>
      <c r="BC493" s="92">
        <f>IF($E493="","",NETWORKDAYS($E493,Controls!$B$9,Ref!$F$4:$F$47))</f>
        <v/>
      </c>
      <c r="BD493" s="92">
        <f>IF(OR($AH493=1,$AJ493=1),1,0)</f>
        <v/>
      </c>
      <c r="BE493" s="95">
        <f>IF(OR($BD493=1,AND($AE493&lt;&gt;"",$BC493&gt;=Controls!$B$10*$AE493)),1,0)</f>
        <v/>
      </c>
    </row>
    <row r="494" ht="15.75" customHeight="1" s="79">
      <c r="A494" s="5" t="inlineStr">
        <is>
          <t>5674175571</t>
        </is>
      </c>
      <c r="B494" s="5" t="inlineStr">
        <is>
          <t>UNLIMITED BEAUTY LLC</t>
        </is>
      </c>
      <c r="C494" s="5" t="inlineStr">
        <is>
          <t>UNLIMITED BEAUTY LLC</t>
        </is>
      </c>
      <c r="D494" s="5" t="inlineStr">
        <is>
          <t>Closed</t>
        </is>
      </c>
      <c r="E494" s="16" t="n">
        <v>46022</v>
      </c>
      <c r="F494" s="16" t="n">
        <v>46063</v>
      </c>
      <c r="G494" s="17" t="n">
        <v>3</v>
      </c>
      <c r="H494" s="5" t="inlineStr">
        <is>
          <t>7231</t>
        </is>
      </c>
      <c r="I494" s="5" t="inlineStr">
        <is>
          <t>Beauty Salons</t>
        </is>
      </c>
      <c r="J494" s="5" t="inlineStr">
        <is>
          <t>72</t>
        </is>
      </c>
      <c r="K494" s="5" t="n">
        <v>7230</v>
      </c>
      <c r="L494" s="5" t="inlineStr">
        <is>
          <t>MD</t>
        </is>
      </c>
      <c r="M494" s="5" t="inlineStr">
        <is>
          <t>cenitcapital</t>
        </is>
      </c>
      <c r="N494" s="5" t="inlineStr">
        <is>
          <t>New Deal</t>
        </is>
      </c>
      <c r="O494" s="19" t="n">
        <v>1.49</v>
      </c>
      <c r="P494" s="20" t="n">
        <v>25000</v>
      </c>
      <c r="Q494" s="20" t="n">
        <v>3500</v>
      </c>
      <c r="R494" s="20" t="n">
        <v>37250</v>
      </c>
      <c r="S494" s="20" t="n">
        <v>37250</v>
      </c>
      <c r="T494" s="20" t="n">
        <v>0</v>
      </c>
      <c r="U494" s="21" t="n">
        <v>1</v>
      </c>
      <c r="V494" s="22" t="n">
        <v>3.279</v>
      </c>
      <c r="W494" s="17" t="n">
        <v>190</v>
      </c>
      <c r="X494" s="17" t="n">
        <v>0</v>
      </c>
      <c r="Y494" s="20" t="n">
        <v>71741.25999999999</v>
      </c>
      <c r="Z494" s="21" t="n">
        <v>0.109</v>
      </c>
      <c r="AA494" s="16" t="n">
        <v>43269</v>
      </c>
      <c r="AB494" s="5">
        <f>IF(V494="","",IF(V494&lt;12,"Months","Weeks"))</f>
        <v/>
      </c>
      <c r="AC494" s="5">
        <f>IF(AB494="","",IF(AB494="Months","Daily","Weekly"))</f>
        <v/>
      </c>
      <c r="AD494" s="17">
        <f>IF(V494="","",IF(AC494="Daily",V494*Controls!$B$13,V494))</f>
        <v/>
      </c>
      <c r="AE494" s="17">
        <f>IF(V494="","",IF(AC494="Daily",V494*Controls!$B$13,V494*Controls!$B$12))</f>
        <v/>
      </c>
      <c r="AF494" s="17">
        <f>IF(OR(E494="",F494=""),"",F494-E494)</f>
        <v/>
      </c>
      <c r="AG494" s="17">
        <f>IF(OR(E494="",F494=""),"",NETWORKDAYS(E494,F494,Ref!$F$4:$F$47))</f>
        <v/>
      </c>
      <c r="AH494" s="39">
        <f>IF(IFERROR(VLOOKUP(D494,Controls!$A$25:$D$35,2,FALSE()),"No")="Yes",1,0)</f>
        <v/>
      </c>
      <c r="AI494" s="39">
        <f>IF(IFERROR(VLOOKUP(D494,Controls!$A$25:$D$35,3,FALSE()),"No")="Yes",1,0)</f>
        <v/>
      </c>
      <c r="AJ494" s="39">
        <f>IF(IFERROR(VLOOKUP(D494,Controls!$A$25:$D$35,4,FALSE()),"No")="Yes",1,0)</f>
        <v/>
      </c>
      <c r="AK494" s="96">
        <f>IF(AND($E494&gt;=Controls!$B$5,$E494&lt;=Controls!$B$6,OR(Controls!$E$9&lt;&gt;"Y",$BE494=1)),1,0)</f>
        <v/>
      </c>
      <c r="AL494" s="39">
        <f>1</f>
        <v/>
      </c>
      <c r="AM494" s="20">
        <f>S494-P494</f>
        <v/>
      </c>
      <c r="AN494" s="20">
        <f>IF(AH494=1,MAX(0,P494-S494),0)</f>
        <v/>
      </c>
      <c r="AO494" s="21">
        <f>IFERROR(S494/P494,"")</f>
        <v/>
      </c>
      <c r="AP494" s="22">
        <f>IF(Y494="","",P494/Y494)</f>
        <v/>
      </c>
      <c r="AQ494" s="39">
        <f>IF(Y494="",0,1)</f>
        <v/>
      </c>
      <c r="AR494" s="39">
        <f>IF(S494&lt;=0,1,0)</f>
        <v/>
      </c>
      <c r="AS494" s="17">
        <f>IF(AH494=1,AG494,"")</f>
        <v/>
      </c>
      <c r="AT494" s="17">
        <f>IF(AND(AH494=0,AJ494=1),AG494,"")</f>
        <v/>
      </c>
      <c r="AU494" s="5">
        <f>IF(P494&lt;10000,"Under $10K",IF(P494&lt;20000,"$10-20K",IF(P494&lt;30000,"$20-30K",IF(P494&lt;50000,"$30-50K",IF(P494&lt;100000,"$50-100K","$100K+")))))</f>
        <v/>
      </c>
      <c r="AV494" s="5">
        <f>IF(O494&lt;=1.35,"1.35 and under",IF(O494&lt;=1.42,"1.36-1.42",IF(O494&lt;=1.45,"1.43-1.45",IF(O494&lt;1.49,"1.46-1.48",IF(O494&lt;=1.49,"1.49","Above 1.49")))))</f>
        <v/>
      </c>
      <c r="AW494" s="5">
        <f>IF(AE494="","",IF(AE494&lt;60,"Under 60",IF(AE494&lt;90,"60-89",IF(AE494&lt;120,"90-119",IF(AE494&lt;150,"120-149","150+")))))</f>
        <v/>
      </c>
      <c r="AX494" s="5">
        <f>IF(AP494="","No revenue data",IF(AP494&lt;0.15,"Under 0.15x",IF(AP494&lt;0.3,"0.15-0.30x",IF(AP494&lt;0.5,"0.30-0.50x",IF(AP494&lt;1,"0.50-1.00x","1.00x+")))))</f>
        <v/>
      </c>
      <c r="AY494" s="5">
        <f>IF(J494="","No SIC",IFERROR(VLOOKUP(J494,Ref!$A$4:$C$67,2,FALSE()),"Unclassified"))</f>
        <v/>
      </c>
      <c r="AZ494" s="5">
        <f>IF(E494="","",TEXT(E494,"YYYY")&amp;"-Q"&amp;ROUNDUP(MONTH(E494)/3,0))</f>
        <v/>
      </c>
      <c r="BA494" s="5">
        <f>IF(E494="","",TEXT(E494,"YYYY-MM"))</f>
        <v/>
      </c>
      <c r="BB494" s="5">
        <f>IF(E494="","",TEXT(E494,"YYYY"))</f>
        <v/>
      </c>
      <c r="BC494" s="92">
        <f>IF($E494="","",NETWORKDAYS($E494,Controls!$B$9,Ref!$F$4:$F$47))</f>
        <v/>
      </c>
      <c r="BD494" s="92">
        <f>IF(OR($AH494=1,$AJ494=1),1,0)</f>
        <v/>
      </c>
      <c r="BE494" s="95">
        <f>IF(OR($BD494=1,AND($AE494&lt;&gt;"",$BC494&gt;=Controls!$B$10*$AE494)),1,0)</f>
        <v/>
      </c>
    </row>
    <row r="495" ht="15.75" customHeight="1" s="79">
      <c r="A495" s="5" t="inlineStr">
        <is>
          <t>5674175597</t>
        </is>
      </c>
      <c r="B495" s="5" t="inlineStr">
        <is>
          <t>Peak Communication LLC</t>
        </is>
      </c>
      <c r="C495" s="5" t="inlineStr">
        <is>
          <t>Peak Communication LLC</t>
        </is>
      </c>
      <c r="D495" s="5" t="inlineStr">
        <is>
          <t>In House Collection</t>
        </is>
      </c>
      <c r="E495" s="16" t="n">
        <v>46022</v>
      </c>
      <c r="F495" s="16" t="n">
        <v>46245</v>
      </c>
      <c r="G495" s="17" t="n">
        <v>5</v>
      </c>
      <c r="H495" s="5" t="inlineStr">
        <is>
          <t>3669</t>
        </is>
      </c>
      <c r="I495" s="5" t="inlineStr">
        <is>
          <t>Other Communications Equipment Mfg.</t>
        </is>
      </c>
      <c r="J495" s="5" t="inlineStr">
        <is>
          <t>36</t>
        </is>
      </c>
      <c r="K495" s="5" t="n">
        <v>4812</v>
      </c>
      <c r="L495" s="5" t="inlineStr">
        <is>
          <t>CO</t>
        </is>
      </c>
      <c r="M495" s="5" t="inlineStr">
        <is>
          <t>Fundwell</t>
        </is>
      </c>
      <c r="N495" s="5" t="inlineStr">
        <is>
          <t>New Deal</t>
        </is>
      </c>
      <c r="O495" s="19" t="n">
        <v>1.4</v>
      </c>
      <c r="P495" s="20" t="n">
        <v>20000</v>
      </c>
      <c r="Q495" s="20" t="n">
        <v>2700</v>
      </c>
      <c r="R495" s="20" t="n">
        <v>28000</v>
      </c>
      <c r="S495" s="20" t="n">
        <v>11581.5</v>
      </c>
      <c r="T495" s="20" t="n">
        <v>16418.5</v>
      </c>
      <c r="U495" s="21" t="n">
        <v>0.413625</v>
      </c>
      <c r="V495" s="22" t="n">
        <v>20</v>
      </c>
      <c r="W495" s="17" t="n">
        <v>8</v>
      </c>
      <c r="X495" s="17" t="n">
        <v>10</v>
      </c>
      <c r="Y495" s="20" t="n">
        <v>42404.19</v>
      </c>
      <c r="Z495" s="21" t="n">
        <v>0.1321</v>
      </c>
      <c r="AA495" s="5" t="n"/>
      <c r="AB495" s="5">
        <f>IF(V495="","",IF(V495&lt;12,"Months","Weeks"))</f>
        <v/>
      </c>
      <c r="AC495" s="5">
        <f>IF(AB495="","",IF(AB495="Months","Daily","Weekly"))</f>
        <v/>
      </c>
      <c r="AD495" s="17">
        <f>IF(V495="","",IF(AC495="Daily",V495*Controls!$B$13,V495))</f>
        <v/>
      </c>
      <c r="AE495" s="17">
        <f>IF(V495="","",IF(AC495="Daily",V495*Controls!$B$13,V495*Controls!$B$12))</f>
        <v/>
      </c>
      <c r="AF495" s="17">
        <f>IF(OR(E495="",F495=""),"",F495-E495)</f>
        <v/>
      </c>
      <c r="AG495" s="17">
        <f>IF(OR(E495="",F495=""),"",NETWORKDAYS(E495,F495,Ref!$F$4:$F$47))</f>
        <v/>
      </c>
      <c r="AH495" s="39">
        <f>IF(IFERROR(VLOOKUP(D495,Controls!$A$25:$D$35,2,FALSE()),"No")="Yes",1,0)</f>
        <v/>
      </c>
      <c r="AI495" s="39">
        <f>IF(IFERROR(VLOOKUP(D495,Controls!$A$25:$D$35,3,FALSE()),"No")="Yes",1,0)</f>
        <v/>
      </c>
      <c r="AJ495" s="39">
        <f>IF(IFERROR(VLOOKUP(D495,Controls!$A$25:$D$35,4,FALSE()),"No")="Yes",1,0)</f>
        <v/>
      </c>
      <c r="AK495" s="96">
        <f>IF(AND($E495&gt;=Controls!$B$5,$E495&lt;=Controls!$B$6,OR(Controls!$E$9&lt;&gt;"Y",$BE495=1)),1,0)</f>
        <v/>
      </c>
      <c r="AL495" s="39">
        <f>1</f>
        <v/>
      </c>
      <c r="AM495" s="20">
        <f>S495-P495</f>
        <v/>
      </c>
      <c r="AN495" s="20">
        <f>IF(AH495=1,MAX(0,P495-S495),0)</f>
        <v/>
      </c>
      <c r="AO495" s="21">
        <f>IFERROR(S495/P495,"")</f>
        <v/>
      </c>
      <c r="AP495" s="22">
        <f>IF(Y495="","",P495/Y495)</f>
        <v/>
      </c>
      <c r="AQ495" s="39">
        <f>IF(Y495="",0,1)</f>
        <v/>
      </c>
      <c r="AR495" s="39">
        <f>IF(S495&lt;=0,1,0)</f>
        <v/>
      </c>
      <c r="AS495" s="17">
        <f>IF(AH495=1,AG495,"")</f>
        <v/>
      </c>
      <c r="AT495" s="17">
        <f>IF(AND(AH495=0,AJ495=1),AG495,"")</f>
        <v/>
      </c>
      <c r="AU495" s="5">
        <f>IF(P495&lt;10000,"Under $10K",IF(P495&lt;20000,"$10-20K",IF(P495&lt;30000,"$20-30K",IF(P495&lt;50000,"$30-50K",IF(P495&lt;100000,"$50-100K","$100K+")))))</f>
        <v/>
      </c>
      <c r="AV495" s="5">
        <f>IF(O495&lt;=1.35,"1.35 and under",IF(O495&lt;=1.42,"1.36-1.42",IF(O495&lt;=1.45,"1.43-1.45",IF(O495&lt;1.49,"1.46-1.48",IF(O495&lt;=1.49,"1.49","Above 1.49")))))</f>
        <v/>
      </c>
      <c r="AW495" s="5">
        <f>IF(AE495="","",IF(AE495&lt;60,"Under 60",IF(AE495&lt;90,"60-89",IF(AE495&lt;120,"90-119",IF(AE495&lt;150,"120-149","150+")))))</f>
        <v/>
      </c>
      <c r="AX495" s="5">
        <f>IF(AP495="","No revenue data",IF(AP495&lt;0.15,"Under 0.15x",IF(AP495&lt;0.3,"0.15-0.30x",IF(AP495&lt;0.5,"0.30-0.50x",IF(AP495&lt;1,"0.50-1.00x","1.00x+")))))</f>
        <v/>
      </c>
      <c r="AY495" s="5">
        <f>IF(J495="","No SIC",IFERROR(VLOOKUP(J495,Ref!$A$4:$C$67,2,FALSE()),"Unclassified"))</f>
        <v/>
      </c>
      <c r="AZ495" s="5">
        <f>IF(E495="","",TEXT(E495,"YYYY")&amp;"-Q"&amp;ROUNDUP(MONTH(E495)/3,0))</f>
        <v/>
      </c>
      <c r="BA495" s="5">
        <f>IF(E495="","",TEXT(E495,"YYYY-MM"))</f>
        <v/>
      </c>
      <c r="BB495" s="5">
        <f>IF(E495="","",TEXT(E495,"YYYY"))</f>
        <v/>
      </c>
      <c r="BC495" s="92">
        <f>IF($E495="","",NETWORKDAYS($E495,Controls!$B$9,Ref!$F$4:$F$47))</f>
        <v/>
      </c>
      <c r="BD495" s="92">
        <f>IF(OR($AH495=1,$AJ495=1),1,0)</f>
        <v/>
      </c>
      <c r="BE495" s="95">
        <f>IF(OR($BD495=1,AND($AE495&lt;&gt;"",$BC495&gt;=Controls!$B$10*$AE495)),1,0)</f>
        <v/>
      </c>
    </row>
    <row r="496" ht="15.75" customHeight="1" s="79">
      <c r="A496" s="5" t="inlineStr">
        <is>
          <t>5674175602</t>
        </is>
      </c>
      <c r="B496" s="5" t="inlineStr">
        <is>
          <t>WCW TRANSPORTATION LLC</t>
        </is>
      </c>
      <c r="C496" s="5" t="inlineStr">
        <is>
          <t>WCW TRANSPORTATION LLC</t>
        </is>
      </c>
      <c r="D496" s="5" t="inlineStr">
        <is>
          <t>Closed</t>
        </is>
      </c>
      <c r="E496" s="16" t="n">
        <v>46022</v>
      </c>
      <c r="F496" s="16" t="n">
        <v>46112</v>
      </c>
      <c r="G496" s="17" t="n">
        <v>1</v>
      </c>
      <c r="H496" s="5" t="inlineStr">
        <is>
          <t>4212</t>
        </is>
      </c>
      <c r="I496" s="5" t="inlineStr">
        <is>
          <t>Specialized Freight (Except Used Goods) Trucking, Local</t>
        </is>
      </c>
      <c r="J496" s="5" t="inlineStr">
        <is>
          <t>42</t>
        </is>
      </c>
      <c r="K496" s="5" t="n">
        <v>4214</v>
      </c>
      <c r="L496" s="5" t="inlineStr">
        <is>
          <t>OH</t>
        </is>
      </c>
      <c r="M496" s="5" t="inlineStr">
        <is>
          <t>Fundwell</t>
        </is>
      </c>
      <c r="N496" s="5" t="inlineStr">
        <is>
          <t>New Deal</t>
        </is>
      </c>
      <c r="O496" s="19" t="n">
        <v>1.4</v>
      </c>
      <c r="P496" s="20" t="n">
        <v>20000</v>
      </c>
      <c r="Q496" s="20" t="n">
        <v>2700</v>
      </c>
      <c r="R496" s="20" t="n">
        <v>28000</v>
      </c>
      <c r="S496" s="20" t="n">
        <v>28000</v>
      </c>
      <c r="T496" s="20" t="n">
        <v>0</v>
      </c>
      <c r="U496" s="21" t="n">
        <v>1</v>
      </c>
      <c r="V496" s="22" t="n">
        <v>20</v>
      </c>
      <c r="W496" s="17" t="n">
        <v>141</v>
      </c>
      <c r="X496" s="17" t="n">
        <v>0</v>
      </c>
      <c r="Y496" s="20" t="n">
        <v>36444.36</v>
      </c>
      <c r="Z496" s="21" t="n">
        <v>0.1537</v>
      </c>
      <c r="AA496" s="16" t="n">
        <v>44958</v>
      </c>
      <c r="AB496" s="5">
        <f>IF(V496="","",IF(V496&lt;12,"Months","Weeks"))</f>
        <v/>
      </c>
      <c r="AC496" s="5">
        <f>IF(AB496="","",IF(AB496="Months","Daily","Weekly"))</f>
        <v/>
      </c>
      <c r="AD496" s="17">
        <f>IF(V496="","",IF(AC496="Daily",V496*Controls!$B$13,V496))</f>
        <v/>
      </c>
      <c r="AE496" s="17">
        <f>IF(V496="","",IF(AC496="Daily",V496*Controls!$B$13,V496*Controls!$B$12))</f>
        <v/>
      </c>
      <c r="AF496" s="17">
        <f>IF(OR(E496="",F496=""),"",F496-E496)</f>
        <v/>
      </c>
      <c r="AG496" s="17">
        <f>IF(OR(E496="",F496=""),"",NETWORKDAYS(E496,F496,Ref!$F$4:$F$47))</f>
        <v/>
      </c>
      <c r="AH496" s="39">
        <f>IF(IFERROR(VLOOKUP(D496,Controls!$A$25:$D$35,2,FALSE()),"No")="Yes",1,0)</f>
        <v/>
      </c>
      <c r="AI496" s="39">
        <f>IF(IFERROR(VLOOKUP(D496,Controls!$A$25:$D$35,3,FALSE()),"No")="Yes",1,0)</f>
        <v/>
      </c>
      <c r="AJ496" s="39">
        <f>IF(IFERROR(VLOOKUP(D496,Controls!$A$25:$D$35,4,FALSE()),"No")="Yes",1,0)</f>
        <v/>
      </c>
      <c r="AK496" s="96">
        <f>IF(AND($E496&gt;=Controls!$B$5,$E496&lt;=Controls!$B$6,OR(Controls!$E$9&lt;&gt;"Y",$BE496=1)),1,0)</f>
        <v/>
      </c>
      <c r="AL496" s="39">
        <f>1</f>
        <v/>
      </c>
      <c r="AM496" s="20">
        <f>S496-P496</f>
        <v/>
      </c>
      <c r="AN496" s="20">
        <f>IF(AH496=1,MAX(0,P496-S496),0)</f>
        <v/>
      </c>
      <c r="AO496" s="21">
        <f>IFERROR(S496/P496,"")</f>
        <v/>
      </c>
      <c r="AP496" s="22">
        <f>IF(Y496="","",P496/Y496)</f>
        <v/>
      </c>
      <c r="AQ496" s="39">
        <f>IF(Y496="",0,1)</f>
        <v/>
      </c>
      <c r="AR496" s="39">
        <f>IF(S496&lt;=0,1,0)</f>
        <v/>
      </c>
      <c r="AS496" s="17">
        <f>IF(AH496=1,AG496,"")</f>
        <v/>
      </c>
      <c r="AT496" s="17">
        <f>IF(AND(AH496=0,AJ496=1),AG496,"")</f>
        <v/>
      </c>
      <c r="AU496" s="5">
        <f>IF(P496&lt;10000,"Under $10K",IF(P496&lt;20000,"$10-20K",IF(P496&lt;30000,"$20-30K",IF(P496&lt;50000,"$30-50K",IF(P496&lt;100000,"$50-100K","$100K+")))))</f>
        <v/>
      </c>
      <c r="AV496" s="5">
        <f>IF(O496&lt;=1.35,"1.35 and under",IF(O496&lt;=1.42,"1.36-1.42",IF(O496&lt;=1.45,"1.43-1.45",IF(O496&lt;1.49,"1.46-1.48",IF(O496&lt;=1.49,"1.49","Above 1.49")))))</f>
        <v/>
      </c>
      <c r="AW496" s="5">
        <f>IF(AE496="","",IF(AE496&lt;60,"Under 60",IF(AE496&lt;90,"60-89",IF(AE496&lt;120,"90-119",IF(AE496&lt;150,"120-149","150+")))))</f>
        <v/>
      </c>
      <c r="AX496" s="5">
        <f>IF(AP496="","No revenue data",IF(AP496&lt;0.15,"Under 0.15x",IF(AP496&lt;0.3,"0.15-0.30x",IF(AP496&lt;0.5,"0.30-0.50x",IF(AP496&lt;1,"0.50-1.00x","1.00x+")))))</f>
        <v/>
      </c>
      <c r="AY496" s="5">
        <f>IF(J496="","No SIC",IFERROR(VLOOKUP(J496,Ref!$A$4:$C$67,2,FALSE()),"Unclassified"))</f>
        <v/>
      </c>
      <c r="AZ496" s="5">
        <f>IF(E496="","",TEXT(E496,"YYYY")&amp;"-Q"&amp;ROUNDUP(MONTH(E496)/3,0))</f>
        <v/>
      </c>
      <c r="BA496" s="5">
        <f>IF(E496="","",TEXT(E496,"YYYY-MM"))</f>
        <v/>
      </c>
      <c r="BB496" s="5">
        <f>IF(E496="","",TEXT(E496,"YYYY"))</f>
        <v/>
      </c>
      <c r="BC496" s="92">
        <f>IF($E496="","",NETWORKDAYS($E496,Controls!$B$9,Ref!$F$4:$F$47))</f>
        <v/>
      </c>
      <c r="BD496" s="92">
        <f>IF(OR($AH496=1,$AJ496=1),1,0)</f>
        <v/>
      </c>
      <c r="BE496" s="95">
        <f>IF(OR($BD496=1,AND($AE496&lt;&gt;"",$BC496&gt;=Controls!$B$10*$AE496)),1,0)</f>
        <v/>
      </c>
    </row>
    <row r="497" ht="15.75" customHeight="1" s="79">
      <c r="A497" s="5" t="inlineStr">
        <is>
          <t>5674175609</t>
        </is>
      </c>
      <c r="B497" s="5" t="inlineStr">
        <is>
          <t>Chasing More Vacations</t>
        </is>
      </c>
      <c r="C497" s="5" t="inlineStr">
        <is>
          <t>LORETTA DARNELL</t>
        </is>
      </c>
      <c r="D497" s="5" t="inlineStr">
        <is>
          <t>Closed</t>
        </is>
      </c>
      <c r="E497" s="16" t="n">
        <v>46022</v>
      </c>
      <c r="F497" s="16" t="n">
        <v>46160</v>
      </c>
      <c r="G497" s="17" t="n">
        <v>3</v>
      </c>
      <c r="H497" s="5" t="inlineStr">
        <is>
          <t>4724</t>
        </is>
      </c>
      <c r="I497" s="5" t="inlineStr">
        <is>
          <t>Travel Agencies</t>
        </is>
      </c>
      <c r="J497" s="5" t="inlineStr">
        <is>
          <t>47</t>
        </is>
      </c>
      <c r="K497" s="5" t="n">
        <v>4722</v>
      </c>
      <c r="L497" s="5" t="inlineStr">
        <is>
          <t>TX</t>
        </is>
      </c>
      <c r="M497" s="5" t="inlineStr">
        <is>
          <t>Fundwell</t>
        </is>
      </c>
      <c r="N497" s="5" t="inlineStr">
        <is>
          <t>Renewal</t>
        </is>
      </c>
      <c r="O497" s="19" t="n">
        <v>1.42</v>
      </c>
      <c r="P497" s="20" t="n">
        <v>10000</v>
      </c>
      <c r="Q497" s="20" t="n">
        <v>1450</v>
      </c>
      <c r="R497" s="20" t="n">
        <v>14200</v>
      </c>
      <c r="S497" s="20" t="n">
        <v>14200</v>
      </c>
      <c r="T497" s="20" t="n">
        <v>0</v>
      </c>
      <c r="U497" s="21" t="n">
        <v>1</v>
      </c>
      <c r="V497" s="22" t="n">
        <v>4.59</v>
      </c>
      <c r="W497" s="17" t="n">
        <v>93</v>
      </c>
      <c r="X497" s="17" t="n">
        <v>0</v>
      </c>
      <c r="Y497" s="20" t="n">
        <v>11079.08</v>
      </c>
      <c r="Z497" s="21" t="n">
        <v>0.2101</v>
      </c>
      <c r="AA497" s="16" t="n">
        <v>43299</v>
      </c>
      <c r="AB497" s="5">
        <f>IF(V497="","",IF(V497&lt;12,"Months","Weeks"))</f>
        <v/>
      </c>
      <c r="AC497" s="5">
        <f>IF(AB497="","",IF(AB497="Months","Daily","Weekly"))</f>
        <v/>
      </c>
      <c r="AD497" s="17">
        <f>IF(V497="","",IF(AC497="Daily",V497*Controls!$B$13,V497))</f>
        <v/>
      </c>
      <c r="AE497" s="17">
        <f>IF(V497="","",IF(AC497="Daily",V497*Controls!$B$13,V497*Controls!$B$12))</f>
        <v/>
      </c>
      <c r="AF497" s="17">
        <f>IF(OR(E497="",F497=""),"",F497-E497)</f>
        <v/>
      </c>
      <c r="AG497" s="17">
        <f>IF(OR(E497="",F497=""),"",NETWORKDAYS(E497,F497,Ref!$F$4:$F$47))</f>
        <v/>
      </c>
      <c r="AH497" s="39">
        <f>IF(IFERROR(VLOOKUP(D497,Controls!$A$25:$D$35,2,FALSE()),"No")="Yes",1,0)</f>
        <v/>
      </c>
      <c r="AI497" s="39">
        <f>IF(IFERROR(VLOOKUP(D497,Controls!$A$25:$D$35,3,FALSE()),"No")="Yes",1,0)</f>
        <v/>
      </c>
      <c r="AJ497" s="39">
        <f>IF(IFERROR(VLOOKUP(D497,Controls!$A$25:$D$35,4,FALSE()),"No")="Yes",1,0)</f>
        <v/>
      </c>
      <c r="AK497" s="96">
        <f>IF(AND($E497&gt;=Controls!$B$5,$E497&lt;=Controls!$B$6,OR(Controls!$E$9&lt;&gt;"Y",$BE497=1)),1,0)</f>
        <v/>
      </c>
      <c r="AL497" s="39">
        <f>1</f>
        <v/>
      </c>
      <c r="AM497" s="20">
        <f>S497-P497</f>
        <v/>
      </c>
      <c r="AN497" s="20">
        <f>IF(AH497=1,MAX(0,P497-S497),0)</f>
        <v/>
      </c>
      <c r="AO497" s="21">
        <f>IFERROR(S497/P497,"")</f>
        <v/>
      </c>
      <c r="AP497" s="22">
        <f>IF(Y497="","",P497/Y497)</f>
        <v/>
      </c>
      <c r="AQ497" s="39">
        <f>IF(Y497="",0,1)</f>
        <v/>
      </c>
      <c r="AR497" s="39">
        <f>IF(S497&lt;=0,1,0)</f>
        <v/>
      </c>
      <c r="AS497" s="17">
        <f>IF(AH497=1,AG497,"")</f>
        <v/>
      </c>
      <c r="AT497" s="17">
        <f>IF(AND(AH497=0,AJ497=1),AG497,"")</f>
        <v/>
      </c>
      <c r="AU497" s="5">
        <f>IF(P497&lt;10000,"Under $10K",IF(P497&lt;20000,"$10-20K",IF(P497&lt;30000,"$20-30K",IF(P497&lt;50000,"$30-50K",IF(P497&lt;100000,"$50-100K","$100K+")))))</f>
        <v/>
      </c>
      <c r="AV497" s="5">
        <f>IF(O497&lt;=1.35,"1.35 and under",IF(O497&lt;=1.42,"1.36-1.42",IF(O497&lt;=1.45,"1.43-1.45",IF(O497&lt;1.49,"1.46-1.48",IF(O497&lt;=1.49,"1.49","Above 1.49")))))</f>
        <v/>
      </c>
      <c r="AW497" s="5">
        <f>IF(AE497="","",IF(AE497&lt;60,"Under 60",IF(AE497&lt;90,"60-89",IF(AE497&lt;120,"90-119",IF(AE497&lt;150,"120-149","150+")))))</f>
        <v/>
      </c>
      <c r="AX497" s="5">
        <f>IF(AP497="","No revenue data",IF(AP497&lt;0.15,"Under 0.15x",IF(AP497&lt;0.3,"0.15-0.30x",IF(AP497&lt;0.5,"0.30-0.50x",IF(AP497&lt;1,"0.50-1.00x","1.00x+")))))</f>
        <v/>
      </c>
      <c r="AY497" s="5">
        <f>IF(J497="","No SIC",IFERROR(VLOOKUP(J497,Ref!$A$4:$C$67,2,FALSE()),"Unclassified"))</f>
        <v/>
      </c>
      <c r="AZ497" s="5">
        <f>IF(E497="","",TEXT(E497,"YYYY")&amp;"-Q"&amp;ROUNDUP(MONTH(E497)/3,0))</f>
        <v/>
      </c>
      <c r="BA497" s="5">
        <f>IF(E497="","",TEXT(E497,"YYYY-MM"))</f>
        <v/>
      </c>
      <c r="BB497" s="5">
        <f>IF(E497="","",TEXT(E497,"YYYY"))</f>
        <v/>
      </c>
      <c r="BC497" s="92">
        <f>IF($E497="","",NETWORKDAYS($E497,Controls!$B$9,Ref!$F$4:$F$47))</f>
        <v/>
      </c>
      <c r="BD497" s="92">
        <f>IF(OR($AH497=1,$AJ497=1),1,0)</f>
        <v/>
      </c>
      <c r="BE497" s="95">
        <f>IF(OR($BD497=1,AND($AE497&lt;&gt;"",$BC497&gt;=Controls!$B$10*$AE497)),1,0)</f>
        <v/>
      </c>
    </row>
    <row r="498" ht="15.75" customHeight="1" s="79">
      <c r="A498" s="5" t="inlineStr">
        <is>
          <t>5674175655</t>
        </is>
      </c>
      <c r="B498" s="5" t="inlineStr">
        <is>
          <t>Big World Enterprises</t>
        </is>
      </c>
      <c r="C498" s="5" t="inlineStr">
        <is>
          <t>Big World Enterprises</t>
        </is>
      </c>
      <c r="D498" s="5" t="inlineStr">
        <is>
          <t>Legal</t>
        </is>
      </c>
      <c r="E498" s="16" t="n">
        <v>46024</v>
      </c>
      <c r="F498" s="16" t="n">
        <v>46234</v>
      </c>
      <c r="G498" s="17" t="n">
        <v>2</v>
      </c>
      <c r="H498" s="5" t="inlineStr">
        <is>
          <t>7311</t>
        </is>
      </c>
      <c r="I498" s="5" t="inlineStr">
        <is>
          <t>Advertising Agencies</t>
        </is>
      </c>
      <c r="J498" s="5" t="inlineStr">
        <is>
          <t>73</t>
        </is>
      </c>
      <c r="K498" s="5" t="n">
        <v>7311</v>
      </c>
      <c r="L498" s="5" t="inlineStr">
        <is>
          <t>NC</t>
        </is>
      </c>
      <c r="M498" s="5" t="inlineStr">
        <is>
          <t>United Secured Capital 8</t>
        </is>
      </c>
      <c r="N498" s="5" t="inlineStr">
        <is>
          <t>New Deal</t>
        </is>
      </c>
      <c r="O498" s="19" t="n">
        <v>1.49</v>
      </c>
      <c r="P498" s="20" t="n">
        <v>25000</v>
      </c>
      <c r="Q498" s="20" t="n">
        <v>0</v>
      </c>
      <c r="R498" s="20" t="n">
        <v>37250</v>
      </c>
      <c r="S498" s="20" t="n">
        <v>10137.58</v>
      </c>
      <c r="T498" s="20" t="n">
        <v>27112.42</v>
      </c>
      <c r="U498" s="21" t="n">
        <v>0.272149798657718</v>
      </c>
      <c r="V498" s="22" t="n">
        <v>24</v>
      </c>
      <c r="W498" s="17" t="n">
        <v>19</v>
      </c>
      <c r="X498" s="17" t="n">
        <v>31</v>
      </c>
      <c r="Y498" s="20" t="n">
        <v>43018.1</v>
      </c>
      <c r="Z498" s="21" t="n">
        <v>0.1424</v>
      </c>
      <c r="AA498" s="5" t="n"/>
      <c r="AB498" s="5">
        <f>IF(V498="","",IF(V498&lt;12,"Months","Weeks"))</f>
        <v/>
      </c>
      <c r="AC498" s="5">
        <f>IF(AB498="","",IF(AB498="Months","Daily","Weekly"))</f>
        <v/>
      </c>
      <c r="AD498" s="17">
        <f>IF(V498="","",IF(AC498="Daily",V498*Controls!$B$13,V498))</f>
        <v/>
      </c>
      <c r="AE498" s="17">
        <f>IF(V498="","",IF(AC498="Daily",V498*Controls!$B$13,V498*Controls!$B$12))</f>
        <v/>
      </c>
      <c r="AF498" s="17">
        <f>IF(OR(E498="",F498=""),"",F498-E498)</f>
        <v/>
      </c>
      <c r="AG498" s="17">
        <f>IF(OR(E498="",F498=""),"",NETWORKDAYS(E498,F498,Ref!$F$4:$F$47))</f>
        <v/>
      </c>
      <c r="AH498" s="39">
        <f>IF(IFERROR(VLOOKUP(D498,Controls!$A$25:$D$35,2,FALSE()),"No")="Yes",1,0)</f>
        <v/>
      </c>
      <c r="AI498" s="39">
        <f>IF(IFERROR(VLOOKUP(D498,Controls!$A$25:$D$35,3,FALSE()),"No")="Yes",1,0)</f>
        <v/>
      </c>
      <c r="AJ498" s="39">
        <f>IF(IFERROR(VLOOKUP(D498,Controls!$A$25:$D$35,4,FALSE()),"No")="Yes",1,0)</f>
        <v/>
      </c>
      <c r="AK498" s="96">
        <f>IF(AND($E498&gt;=Controls!$B$5,$E498&lt;=Controls!$B$6,OR(Controls!$E$9&lt;&gt;"Y",$BE498=1)),1,0)</f>
        <v/>
      </c>
      <c r="AL498" s="39">
        <f>1</f>
        <v/>
      </c>
      <c r="AM498" s="20">
        <f>S498-P498</f>
        <v/>
      </c>
      <c r="AN498" s="20">
        <f>IF(AH498=1,MAX(0,P498-S498),0)</f>
        <v/>
      </c>
      <c r="AO498" s="21">
        <f>IFERROR(S498/P498,"")</f>
        <v/>
      </c>
      <c r="AP498" s="22">
        <f>IF(Y498="","",P498/Y498)</f>
        <v/>
      </c>
      <c r="AQ498" s="39">
        <f>IF(Y498="",0,1)</f>
        <v/>
      </c>
      <c r="AR498" s="39">
        <f>IF(S498&lt;=0,1,0)</f>
        <v/>
      </c>
      <c r="AS498" s="17">
        <f>IF(AH498=1,AG498,"")</f>
        <v/>
      </c>
      <c r="AT498" s="17">
        <f>IF(AND(AH498=0,AJ498=1),AG498,"")</f>
        <v/>
      </c>
      <c r="AU498" s="5">
        <f>IF(P498&lt;10000,"Under $10K",IF(P498&lt;20000,"$10-20K",IF(P498&lt;30000,"$20-30K",IF(P498&lt;50000,"$30-50K",IF(P498&lt;100000,"$50-100K","$100K+")))))</f>
        <v/>
      </c>
      <c r="AV498" s="5">
        <f>IF(O498&lt;=1.35,"1.35 and under",IF(O498&lt;=1.42,"1.36-1.42",IF(O498&lt;=1.45,"1.43-1.45",IF(O498&lt;1.49,"1.46-1.48",IF(O498&lt;=1.49,"1.49","Above 1.49")))))</f>
        <v/>
      </c>
      <c r="AW498" s="5">
        <f>IF(AE498="","",IF(AE498&lt;60,"Under 60",IF(AE498&lt;90,"60-89",IF(AE498&lt;120,"90-119",IF(AE498&lt;150,"120-149","150+")))))</f>
        <v/>
      </c>
      <c r="AX498" s="5">
        <f>IF(AP498="","No revenue data",IF(AP498&lt;0.15,"Under 0.15x",IF(AP498&lt;0.3,"0.15-0.30x",IF(AP498&lt;0.5,"0.30-0.50x",IF(AP498&lt;1,"0.50-1.00x","1.00x+")))))</f>
        <v/>
      </c>
      <c r="AY498" s="5">
        <f>IF(J498="","No SIC",IFERROR(VLOOKUP(J498,Ref!$A$4:$C$67,2,FALSE()),"Unclassified"))</f>
        <v/>
      </c>
      <c r="AZ498" s="5">
        <f>IF(E498="","",TEXT(E498,"YYYY")&amp;"-Q"&amp;ROUNDUP(MONTH(E498)/3,0))</f>
        <v/>
      </c>
      <c r="BA498" s="5">
        <f>IF(E498="","",TEXT(E498,"YYYY-MM"))</f>
        <v/>
      </c>
      <c r="BB498" s="5">
        <f>IF(E498="","",TEXT(E498,"YYYY"))</f>
        <v/>
      </c>
      <c r="BC498" s="92">
        <f>IF($E498="","",NETWORKDAYS($E498,Controls!$B$9,Ref!$F$4:$F$47))</f>
        <v/>
      </c>
      <c r="BD498" s="92">
        <f>IF(OR($AH498=1,$AJ498=1),1,0)</f>
        <v/>
      </c>
      <c r="BE498" s="95">
        <f>IF(OR($BD498=1,AND($AE498&lt;&gt;"",$BC498&gt;=Controls!$B$10*$AE498)),1,0)</f>
        <v/>
      </c>
    </row>
    <row r="499" ht="15.75" customHeight="1" s="79">
      <c r="A499" s="5" t="inlineStr">
        <is>
          <t>5674175659</t>
        </is>
      </c>
      <c r="B499" s="5" t="inlineStr">
        <is>
          <t>Buckeye Boring LLC</t>
        </is>
      </c>
      <c r="C499" s="5" t="inlineStr">
        <is>
          <t>Buckeye Boring LLC</t>
        </is>
      </c>
      <c r="D499" s="5" t="inlineStr">
        <is>
          <t>Legal</t>
        </is>
      </c>
      <c r="E499" s="16" t="n">
        <v>46024</v>
      </c>
      <c r="F499" s="16" t="n">
        <v>46233</v>
      </c>
      <c r="G499" s="17" t="n">
        <v>2</v>
      </c>
      <c r="H499" s="5" t="inlineStr">
        <is>
          <t>3669</t>
        </is>
      </c>
      <c r="I499" s="5" t="inlineStr">
        <is>
          <t>Other Communications Equipment Mfg.</t>
        </is>
      </c>
      <c r="J499" s="5" t="inlineStr">
        <is>
          <t>36</t>
        </is>
      </c>
      <c r="K499" s="5" t="n">
        <v>4812</v>
      </c>
      <c r="L499" s="5" t="inlineStr">
        <is>
          <t>OH</t>
        </is>
      </c>
      <c r="M499" s="5" t="inlineStr">
        <is>
          <t>Fundwell</t>
        </is>
      </c>
      <c r="N499" s="5" t="inlineStr">
        <is>
          <t>New Deal</t>
        </is>
      </c>
      <c r="O499" s="19" t="n">
        <v>1.38</v>
      </c>
      <c r="P499" s="20" t="n">
        <v>105000</v>
      </c>
      <c r="Q499" s="20" t="n">
        <v>13125</v>
      </c>
      <c r="R499" s="20" t="n">
        <v>144900</v>
      </c>
      <c r="S499" s="20" t="n">
        <v>47400.18</v>
      </c>
      <c r="T499" s="20" t="n">
        <v>97499.82000000001</v>
      </c>
      <c r="U499" s="21" t="n">
        <v>0.327123395445135</v>
      </c>
      <c r="V499" s="22" t="n">
        <v>52</v>
      </c>
      <c r="W499" s="17" t="n">
        <v>20</v>
      </c>
      <c r="X499" s="17" t="n">
        <v>1</v>
      </c>
      <c r="Y499" s="20" t="n">
        <v>121993.68</v>
      </c>
      <c r="Z499" s="21" t="n">
        <v>0.0914</v>
      </c>
      <c r="AA499" s="16" t="n">
        <v>41960</v>
      </c>
      <c r="AB499" s="5">
        <f>IF(V499="","",IF(V499&lt;12,"Months","Weeks"))</f>
        <v/>
      </c>
      <c r="AC499" s="5">
        <f>IF(AB499="","",IF(AB499="Months","Daily","Weekly"))</f>
        <v/>
      </c>
      <c r="AD499" s="17">
        <f>IF(V499="","",IF(AC499="Daily",V499*Controls!$B$13,V499))</f>
        <v/>
      </c>
      <c r="AE499" s="17">
        <f>IF(V499="","",IF(AC499="Daily",V499*Controls!$B$13,V499*Controls!$B$12))</f>
        <v/>
      </c>
      <c r="AF499" s="17">
        <f>IF(OR(E499="",F499=""),"",F499-E499)</f>
        <v/>
      </c>
      <c r="AG499" s="17">
        <f>IF(OR(E499="",F499=""),"",NETWORKDAYS(E499,F499,Ref!$F$4:$F$47))</f>
        <v/>
      </c>
      <c r="AH499" s="39">
        <f>IF(IFERROR(VLOOKUP(D499,Controls!$A$25:$D$35,2,FALSE()),"No")="Yes",1,0)</f>
        <v/>
      </c>
      <c r="AI499" s="39">
        <f>IF(IFERROR(VLOOKUP(D499,Controls!$A$25:$D$35,3,FALSE()),"No")="Yes",1,0)</f>
        <v/>
      </c>
      <c r="AJ499" s="39">
        <f>IF(IFERROR(VLOOKUP(D499,Controls!$A$25:$D$35,4,FALSE()),"No")="Yes",1,0)</f>
        <v/>
      </c>
      <c r="AK499" s="96">
        <f>IF(AND($E499&gt;=Controls!$B$5,$E499&lt;=Controls!$B$6,OR(Controls!$E$9&lt;&gt;"Y",$BE499=1)),1,0)</f>
        <v/>
      </c>
      <c r="AL499" s="39">
        <f>1</f>
        <v/>
      </c>
      <c r="AM499" s="20">
        <f>S499-P499</f>
        <v/>
      </c>
      <c r="AN499" s="20">
        <f>IF(AH499=1,MAX(0,P499-S499),0)</f>
        <v/>
      </c>
      <c r="AO499" s="21">
        <f>IFERROR(S499/P499,"")</f>
        <v/>
      </c>
      <c r="AP499" s="22">
        <f>IF(Y499="","",P499/Y499)</f>
        <v/>
      </c>
      <c r="AQ499" s="39">
        <f>IF(Y499="",0,1)</f>
        <v/>
      </c>
      <c r="AR499" s="39">
        <f>IF(S499&lt;=0,1,0)</f>
        <v/>
      </c>
      <c r="AS499" s="17">
        <f>IF(AH499=1,AG499,"")</f>
        <v/>
      </c>
      <c r="AT499" s="17">
        <f>IF(AND(AH499=0,AJ499=1),AG499,"")</f>
        <v/>
      </c>
      <c r="AU499" s="5">
        <f>IF(P499&lt;10000,"Under $10K",IF(P499&lt;20000,"$10-20K",IF(P499&lt;30000,"$20-30K",IF(P499&lt;50000,"$30-50K",IF(P499&lt;100000,"$50-100K","$100K+")))))</f>
        <v/>
      </c>
      <c r="AV499" s="5">
        <f>IF(O499&lt;=1.35,"1.35 and under",IF(O499&lt;=1.42,"1.36-1.42",IF(O499&lt;=1.45,"1.43-1.45",IF(O499&lt;1.49,"1.46-1.48",IF(O499&lt;=1.49,"1.49","Above 1.49")))))</f>
        <v/>
      </c>
      <c r="AW499" s="5">
        <f>IF(AE499="","",IF(AE499&lt;60,"Under 60",IF(AE499&lt;90,"60-89",IF(AE499&lt;120,"90-119",IF(AE499&lt;150,"120-149","150+")))))</f>
        <v/>
      </c>
      <c r="AX499" s="5">
        <f>IF(AP499="","No revenue data",IF(AP499&lt;0.15,"Under 0.15x",IF(AP499&lt;0.3,"0.15-0.30x",IF(AP499&lt;0.5,"0.30-0.50x",IF(AP499&lt;1,"0.50-1.00x","1.00x+")))))</f>
        <v/>
      </c>
      <c r="AY499" s="5">
        <f>IF(J499="","No SIC",IFERROR(VLOOKUP(J499,Ref!$A$4:$C$67,2,FALSE()),"Unclassified"))</f>
        <v/>
      </c>
      <c r="AZ499" s="5">
        <f>IF(E499="","",TEXT(E499,"YYYY")&amp;"-Q"&amp;ROUNDUP(MONTH(E499)/3,0))</f>
        <v/>
      </c>
      <c r="BA499" s="5">
        <f>IF(E499="","",TEXT(E499,"YYYY-MM"))</f>
        <v/>
      </c>
      <c r="BB499" s="5">
        <f>IF(E499="","",TEXT(E499,"YYYY"))</f>
        <v/>
      </c>
      <c r="BC499" s="92">
        <f>IF($E499="","",NETWORKDAYS($E499,Controls!$B$9,Ref!$F$4:$F$47))</f>
        <v/>
      </c>
      <c r="BD499" s="92">
        <f>IF(OR($AH499=1,$AJ499=1),1,0)</f>
        <v/>
      </c>
      <c r="BE499" s="95">
        <f>IF(OR($BD499=1,AND($AE499&lt;&gt;"",$BC499&gt;=Controls!$B$10*$AE499)),1,0)</f>
        <v/>
      </c>
    </row>
    <row r="500" ht="15.75" customHeight="1" s="79">
      <c r="A500" s="5" t="inlineStr">
        <is>
          <t>5674175701</t>
        </is>
      </c>
      <c r="B500" s="5" t="inlineStr">
        <is>
          <t>NEW BARI PIZZA &amp; CHICKEN</t>
        </is>
      </c>
      <c r="C500" s="5" t="inlineStr">
        <is>
          <t>NEW BARI PIZZA &amp; CHICKEN LLC</t>
        </is>
      </c>
      <c r="D500" s="5" t="inlineStr">
        <is>
          <t>In House Collection</t>
        </is>
      </c>
      <c r="E500" s="16" t="n">
        <v>46027</v>
      </c>
      <c r="F500" s="16" t="n">
        <v>46063</v>
      </c>
      <c r="G500" s="17" t="n">
        <v>2</v>
      </c>
      <c r="H500" s="5" t="inlineStr">
        <is>
          <t>5499</t>
        </is>
      </c>
      <c r="I500" s="5" t="inlineStr">
        <is>
          <t>Food (Health) Supplement Stores</t>
        </is>
      </c>
      <c r="J500" s="5" t="inlineStr">
        <is>
          <t>54</t>
        </is>
      </c>
      <c r="K500" s="5" t="n">
        <v>5499</v>
      </c>
      <c r="L500" s="5" t="inlineStr">
        <is>
          <t>NJ</t>
        </is>
      </c>
      <c r="M500" s="5" t="inlineStr">
        <is>
          <t>Fundwell</t>
        </is>
      </c>
      <c r="N500" s="5" t="inlineStr">
        <is>
          <t>New Deal</t>
        </is>
      </c>
      <c r="O500" s="19" t="n">
        <v>1.49</v>
      </c>
      <c r="P500" s="20" t="n">
        <v>10000</v>
      </c>
      <c r="Q500" s="20" t="n">
        <v>1400</v>
      </c>
      <c r="R500" s="20" t="n">
        <v>14900</v>
      </c>
      <c r="S500" s="20" t="n">
        <v>744.64</v>
      </c>
      <c r="T500" s="20" t="n">
        <v>14155.36</v>
      </c>
      <c r="U500" s="21" t="n">
        <v>0.0499758389261745</v>
      </c>
      <c r="V500" s="22" t="n">
        <v>20</v>
      </c>
      <c r="W500" s="17" t="n">
        <v>219</v>
      </c>
      <c r="X500" s="17" t="n">
        <v>12</v>
      </c>
      <c r="Y500" s="20" t="n">
        <v>12588.4</v>
      </c>
      <c r="Z500" s="21" t="n">
        <v>0.0914</v>
      </c>
      <c r="AA500" s="16" t="n">
        <v>45508</v>
      </c>
      <c r="AB500" s="5">
        <f>IF(V500="","",IF(V500&lt;12,"Months","Weeks"))</f>
        <v/>
      </c>
      <c r="AC500" s="5">
        <f>IF(AB500="","",IF(AB500="Months","Daily","Weekly"))</f>
        <v/>
      </c>
      <c r="AD500" s="17">
        <f>IF(V500="","",IF(AC500="Daily",V500*Controls!$B$13,V500))</f>
        <v/>
      </c>
      <c r="AE500" s="17">
        <f>IF(V500="","",IF(AC500="Daily",V500*Controls!$B$13,V500*Controls!$B$12))</f>
        <v/>
      </c>
      <c r="AF500" s="17">
        <f>IF(OR(E500="",F500=""),"",F500-E500)</f>
        <v/>
      </c>
      <c r="AG500" s="17">
        <f>IF(OR(E500="",F500=""),"",NETWORKDAYS(E500,F500,Ref!$F$4:$F$47))</f>
        <v/>
      </c>
      <c r="AH500" s="39">
        <f>IF(IFERROR(VLOOKUP(D500,Controls!$A$25:$D$35,2,FALSE()),"No")="Yes",1,0)</f>
        <v/>
      </c>
      <c r="AI500" s="39">
        <f>IF(IFERROR(VLOOKUP(D500,Controls!$A$25:$D$35,3,FALSE()),"No")="Yes",1,0)</f>
        <v/>
      </c>
      <c r="AJ500" s="39">
        <f>IF(IFERROR(VLOOKUP(D500,Controls!$A$25:$D$35,4,FALSE()),"No")="Yes",1,0)</f>
        <v/>
      </c>
      <c r="AK500" s="96">
        <f>IF(AND($E500&gt;=Controls!$B$5,$E500&lt;=Controls!$B$6,OR(Controls!$E$9&lt;&gt;"Y",$BE500=1)),1,0)</f>
        <v/>
      </c>
      <c r="AL500" s="39">
        <f>1</f>
        <v/>
      </c>
      <c r="AM500" s="20">
        <f>S500-P500</f>
        <v/>
      </c>
      <c r="AN500" s="20">
        <f>IF(AH500=1,MAX(0,P500-S500),0)</f>
        <v/>
      </c>
      <c r="AO500" s="21">
        <f>IFERROR(S500/P500,"")</f>
        <v/>
      </c>
      <c r="AP500" s="22">
        <f>IF(Y500="","",P500/Y500)</f>
        <v/>
      </c>
      <c r="AQ500" s="39">
        <f>IF(Y500="",0,1)</f>
        <v/>
      </c>
      <c r="AR500" s="39">
        <f>IF(S500&lt;=0,1,0)</f>
        <v/>
      </c>
      <c r="AS500" s="17">
        <f>IF(AH500=1,AG500,"")</f>
        <v/>
      </c>
      <c r="AT500" s="17">
        <f>IF(AND(AH500=0,AJ500=1),AG500,"")</f>
        <v/>
      </c>
      <c r="AU500" s="5">
        <f>IF(P500&lt;10000,"Under $10K",IF(P500&lt;20000,"$10-20K",IF(P500&lt;30000,"$20-30K",IF(P500&lt;50000,"$30-50K",IF(P500&lt;100000,"$50-100K","$100K+")))))</f>
        <v/>
      </c>
      <c r="AV500" s="5">
        <f>IF(O500&lt;=1.35,"1.35 and under",IF(O500&lt;=1.42,"1.36-1.42",IF(O500&lt;=1.45,"1.43-1.45",IF(O500&lt;1.49,"1.46-1.48",IF(O500&lt;=1.49,"1.49","Above 1.49")))))</f>
        <v/>
      </c>
      <c r="AW500" s="5">
        <f>IF(AE500="","",IF(AE500&lt;60,"Under 60",IF(AE500&lt;90,"60-89",IF(AE500&lt;120,"90-119",IF(AE500&lt;150,"120-149","150+")))))</f>
        <v/>
      </c>
      <c r="AX500" s="5">
        <f>IF(AP500="","No revenue data",IF(AP500&lt;0.15,"Under 0.15x",IF(AP500&lt;0.3,"0.15-0.30x",IF(AP500&lt;0.5,"0.30-0.50x",IF(AP500&lt;1,"0.50-1.00x","1.00x+")))))</f>
        <v/>
      </c>
      <c r="AY500" s="5">
        <f>IF(J500="","No SIC",IFERROR(VLOOKUP(J500,Ref!$A$4:$C$67,2,FALSE()),"Unclassified"))</f>
        <v/>
      </c>
      <c r="AZ500" s="5">
        <f>IF(E500="","",TEXT(E500,"YYYY")&amp;"-Q"&amp;ROUNDUP(MONTH(E500)/3,0))</f>
        <v/>
      </c>
      <c r="BA500" s="5">
        <f>IF(E500="","",TEXT(E500,"YYYY-MM"))</f>
        <v/>
      </c>
      <c r="BB500" s="5">
        <f>IF(E500="","",TEXT(E500,"YYYY"))</f>
        <v/>
      </c>
      <c r="BC500" s="92">
        <f>IF($E500="","",NETWORKDAYS($E500,Controls!$B$9,Ref!$F$4:$F$47))</f>
        <v/>
      </c>
      <c r="BD500" s="92">
        <f>IF(OR($AH500=1,$AJ500=1),1,0)</f>
        <v/>
      </c>
      <c r="BE500" s="95">
        <f>IF(OR($BD500=1,AND($AE500&lt;&gt;"",$BC500&gt;=Controls!$B$10*$AE500)),1,0)</f>
        <v/>
      </c>
    </row>
    <row r="501" ht="15.75" customHeight="1" s="79">
      <c r="A501" s="5" t="inlineStr">
        <is>
          <t>5674175738</t>
        </is>
      </c>
      <c r="B501" s="5" t="inlineStr">
        <is>
          <t>BMP TRADERS</t>
        </is>
      </c>
      <c r="C501" s="5" t="inlineStr">
        <is>
          <t>BMP Traders, LLC</t>
        </is>
      </c>
      <c r="D501" s="5" t="inlineStr">
        <is>
          <t>Closed</t>
        </is>
      </c>
      <c r="E501" s="16" t="n">
        <v>46027</v>
      </c>
      <c r="F501" s="16" t="n">
        <v>46076</v>
      </c>
      <c r="G501" s="17" t="n">
        <v>2</v>
      </c>
      <c r="H501" s="5" t="inlineStr">
        <is>
          <t>1799</t>
        </is>
      </c>
      <c r="I501" s="5" t="inlineStr">
        <is>
          <t>All Other Specialty Trade Contractors</t>
        </is>
      </c>
      <c r="J501" s="5" t="inlineStr">
        <is>
          <t>17</t>
        </is>
      </c>
      <c r="K501" s="5" t="n">
        <v>1799</v>
      </c>
      <c r="L501" s="5" t="inlineStr">
        <is>
          <t>WA</t>
        </is>
      </c>
      <c r="M501" s="5" t="inlineStr">
        <is>
          <t>Fundwell</t>
        </is>
      </c>
      <c r="N501" s="5" t="inlineStr">
        <is>
          <t>New Deal</t>
        </is>
      </c>
      <c r="O501" s="19" t="n">
        <v>1.15</v>
      </c>
      <c r="P501" s="20" t="n">
        <v>75000</v>
      </c>
      <c r="Q501" s="20" t="n">
        <v>5250</v>
      </c>
      <c r="R501" s="20" t="n">
        <v>86250</v>
      </c>
      <c r="S501" s="20" t="n">
        <v>86250</v>
      </c>
      <c r="T501" s="20" t="n">
        <v>0</v>
      </c>
      <c r="U501" s="21" t="n">
        <v>1</v>
      </c>
      <c r="V501" s="22" t="n">
        <v>24</v>
      </c>
      <c r="W501" s="17" t="n">
        <v>180</v>
      </c>
      <c r="X501" s="17" t="n">
        <v>0</v>
      </c>
      <c r="Y501" s="20" t="n">
        <v>114765.56</v>
      </c>
      <c r="Z501" s="21" t="n">
        <v>0.1503</v>
      </c>
      <c r="AA501" s="16" t="n">
        <v>44078</v>
      </c>
      <c r="AB501" s="5">
        <f>IF(V501="","",IF(V501&lt;12,"Months","Weeks"))</f>
        <v/>
      </c>
      <c r="AC501" s="5">
        <f>IF(AB501="","",IF(AB501="Months","Daily","Weekly"))</f>
        <v/>
      </c>
      <c r="AD501" s="17">
        <f>IF(V501="","",IF(AC501="Daily",V501*Controls!$B$13,V501))</f>
        <v/>
      </c>
      <c r="AE501" s="17">
        <f>IF(V501="","",IF(AC501="Daily",V501*Controls!$B$13,V501*Controls!$B$12))</f>
        <v/>
      </c>
      <c r="AF501" s="17">
        <f>IF(OR(E501="",F501=""),"",F501-E501)</f>
        <v/>
      </c>
      <c r="AG501" s="17">
        <f>IF(OR(E501="",F501=""),"",NETWORKDAYS(E501,F501,Ref!$F$4:$F$47))</f>
        <v/>
      </c>
      <c r="AH501" s="39">
        <f>IF(IFERROR(VLOOKUP(D501,Controls!$A$25:$D$35,2,FALSE()),"No")="Yes",1,0)</f>
        <v/>
      </c>
      <c r="AI501" s="39">
        <f>IF(IFERROR(VLOOKUP(D501,Controls!$A$25:$D$35,3,FALSE()),"No")="Yes",1,0)</f>
        <v/>
      </c>
      <c r="AJ501" s="39">
        <f>IF(IFERROR(VLOOKUP(D501,Controls!$A$25:$D$35,4,FALSE()),"No")="Yes",1,0)</f>
        <v/>
      </c>
      <c r="AK501" s="96">
        <f>IF(AND($E501&gt;=Controls!$B$5,$E501&lt;=Controls!$B$6,OR(Controls!$E$9&lt;&gt;"Y",$BE501=1)),1,0)</f>
        <v/>
      </c>
      <c r="AL501" s="39">
        <f>1</f>
        <v/>
      </c>
      <c r="AM501" s="20">
        <f>S501-P501</f>
        <v/>
      </c>
      <c r="AN501" s="20">
        <f>IF(AH501=1,MAX(0,P501-S501),0)</f>
        <v/>
      </c>
      <c r="AO501" s="21">
        <f>IFERROR(S501/P501,"")</f>
        <v/>
      </c>
      <c r="AP501" s="22">
        <f>IF(Y501="","",P501/Y501)</f>
        <v/>
      </c>
      <c r="AQ501" s="39">
        <f>IF(Y501="",0,1)</f>
        <v/>
      </c>
      <c r="AR501" s="39">
        <f>IF(S501&lt;=0,1,0)</f>
        <v/>
      </c>
      <c r="AS501" s="17">
        <f>IF(AH501=1,AG501,"")</f>
        <v/>
      </c>
      <c r="AT501" s="17">
        <f>IF(AND(AH501=0,AJ501=1),AG501,"")</f>
        <v/>
      </c>
      <c r="AU501" s="5">
        <f>IF(P501&lt;10000,"Under $10K",IF(P501&lt;20000,"$10-20K",IF(P501&lt;30000,"$20-30K",IF(P501&lt;50000,"$30-50K",IF(P501&lt;100000,"$50-100K","$100K+")))))</f>
        <v/>
      </c>
      <c r="AV501" s="5">
        <f>IF(O501&lt;=1.35,"1.35 and under",IF(O501&lt;=1.42,"1.36-1.42",IF(O501&lt;=1.45,"1.43-1.45",IF(O501&lt;1.49,"1.46-1.48",IF(O501&lt;=1.49,"1.49","Above 1.49")))))</f>
        <v/>
      </c>
      <c r="AW501" s="5">
        <f>IF(AE501="","",IF(AE501&lt;60,"Under 60",IF(AE501&lt;90,"60-89",IF(AE501&lt;120,"90-119",IF(AE501&lt;150,"120-149","150+")))))</f>
        <v/>
      </c>
      <c r="AX501" s="5">
        <f>IF(AP501="","No revenue data",IF(AP501&lt;0.15,"Under 0.15x",IF(AP501&lt;0.3,"0.15-0.30x",IF(AP501&lt;0.5,"0.30-0.50x",IF(AP501&lt;1,"0.50-1.00x","1.00x+")))))</f>
        <v/>
      </c>
      <c r="AY501" s="5">
        <f>IF(J501="","No SIC",IFERROR(VLOOKUP(J501,Ref!$A$4:$C$67,2,FALSE()),"Unclassified"))</f>
        <v/>
      </c>
      <c r="AZ501" s="5">
        <f>IF(E501="","",TEXT(E501,"YYYY")&amp;"-Q"&amp;ROUNDUP(MONTH(E501)/3,0))</f>
        <v/>
      </c>
      <c r="BA501" s="5">
        <f>IF(E501="","",TEXT(E501,"YYYY-MM"))</f>
        <v/>
      </c>
      <c r="BB501" s="5">
        <f>IF(E501="","",TEXT(E501,"YYYY"))</f>
        <v/>
      </c>
      <c r="BC501" s="92">
        <f>IF($E501="","",NETWORKDAYS($E501,Controls!$B$9,Ref!$F$4:$F$47))</f>
        <v/>
      </c>
      <c r="BD501" s="92">
        <f>IF(OR($AH501=1,$AJ501=1),1,0)</f>
        <v/>
      </c>
      <c r="BE501" s="95">
        <f>IF(OR($BD501=1,AND($AE501&lt;&gt;"",$BC501&gt;=Controls!$B$10*$AE501)),1,0)</f>
        <v/>
      </c>
    </row>
    <row r="502" ht="15.75" customHeight="1" s="79">
      <c r="A502" s="5" t="inlineStr">
        <is>
          <t>5674175749</t>
        </is>
      </c>
      <c r="B502" s="5" t="inlineStr">
        <is>
          <t>AJ Smith Transport LLC</t>
        </is>
      </c>
      <c r="C502" s="5" t="inlineStr">
        <is>
          <t>AJ Smith Transport LLC</t>
        </is>
      </c>
      <c r="D502" s="5" t="inlineStr">
        <is>
          <t>Settlement Agreement</t>
        </is>
      </c>
      <c r="E502" s="16" t="n">
        <v>46027</v>
      </c>
      <c r="F502" s="16" t="n">
        <v>46247</v>
      </c>
      <c r="G502" s="17" t="n">
        <v>2</v>
      </c>
      <c r="H502" s="5" t="inlineStr">
        <is>
          <t>4731</t>
        </is>
      </c>
      <c r="I502" s="5" t="inlineStr">
        <is>
          <t>Freight Transportation Arrangement</t>
        </is>
      </c>
      <c r="J502" s="5" t="inlineStr">
        <is>
          <t>47</t>
        </is>
      </c>
      <c r="K502" s="5" t="n">
        <v>4789</v>
      </c>
      <c r="L502" s="5" t="inlineStr">
        <is>
          <t>OK</t>
        </is>
      </c>
      <c r="M502" s="5" t="inlineStr">
        <is>
          <t>Redline Capital</t>
        </is>
      </c>
      <c r="N502" s="5" t="inlineStr">
        <is>
          <t>New Deal</t>
        </is>
      </c>
      <c r="O502" s="19" t="n">
        <v>1.5</v>
      </c>
      <c r="P502" s="20" t="n">
        <v>5000</v>
      </c>
      <c r="Q502" s="20" t="n">
        <v>700</v>
      </c>
      <c r="R502" s="20" t="n">
        <v>7500</v>
      </c>
      <c r="S502" s="20" t="n">
        <v>2209.64</v>
      </c>
      <c r="T502" s="20" t="n">
        <v>5290.36</v>
      </c>
      <c r="U502" s="21" t="n">
        <v>0.294618666666667</v>
      </c>
      <c r="V502" s="22" t="n">
        <v>2.787</v>
      </c>
      <c r="W502" s="17" t="n">
        <v>13</v>
      </c>
      <c r="X502" s="17" t="n">
        <v>20</v>
      </c>
      <c r="Y502" s="20" t="n">
        <v>19630.42</v>
      </c>
      <c r="Z502" s="21" t="n">
        <v>0.09379999999999999</v>
      </c>
      <c r="AA502" s="16" t="n">
        <v>39772</v>
      </c>
      <c r="AB502" s="5">
        <f>IF(V502="","",IF(V502&lt;12,"Months","Weeks"))</f>
        <v/>
      </c>
      <c r="AC502" s="5">
        <f>IF(AB502="","",IF(AB502="Months","Daily","Weekly"))</f>
        <v/>
      </c>
      <c r="AD502" s="17">
        <f>IF(V502="","",IF(AC502="Daily",V502*Controls!$B$13,V502))</f>
        <v/>
      </c>
      <c r="AE502" s="17">
        <f>IF(V502="","",IF(AC502="Daily",V502*Controls!$B$13,V502*Controls!$B$12))</f>
        <v/>
      </c>
      <c r="AF502" s="17">
        <f>IF(OR(E502="",F502=""),"",F502-E502)</f>
        <v/>
      </c>
      <c r="AG502" s="17">
        <f>IF(OR(E502="",F502=""),"",NETWORKDAYS(E502,F502,Ref!$F$4:$F$47))</f>
        <v/>
      </c>
      <c r="AH502" s="39">
        <f>IF(IFERROR(VLOOKUP(D502,Controls!$A$25:$D$35,2,FALSE()),"No")="Yes",1,0)</f>
        <v/>
      </c>
      <c r="AI502" s="39">
        <f>IF(IFERROR(VLOOKUP(D502,Controls!$A$25:$D$35,3,FALSE()),"No")="Yes",1,0)</f>
        <v/>
      </c>
      <c r="AJ502" s="39">
        <f>IF(IFERROR(VLOOKUP(D502,Controls!$A$25:$D$35,4,FALSE()),"No")="Yes",1,0)</f>
        <v/>
      </c>
      <c r="AK502" s="96">
        <f>IF(AND($E502&gt;=Controls!$B$5,$E502&lt;=Controls!$B$6,OR(Controls!$E$9&lt;&gt;"Y",$BE502=1)),1,0)</f>
        <v/>
      </c>
      <c r="AL502" s="39">
        <f>1</f>
        <v/>
      </c>
      <c r="AM502" s="20">
        <f>S502-P502</f>
        <v/>
      </c>
      <c r="AN502" s="20">
        <f>IF(AH502=1,MAX(0,P502-S502),0)</f>
        <v/>
      </c>
      <c r="AO502" s="21">
        <f>IFERROR(S502/P502,"")</f>
        <v/>
      </c>
      <c r="AP502" s="22">
        <f>IF(Y502="","",P502/Y502)</f>
        <v/>
      </c>
      <c r="AQ502" s="39">
        <f>IF(Y502="",0,1)</f>
        <v/>
      </c>
      <c r="AR502" s="39">
        <f>IF(S502&lt;=0,1,0)</f>
        <v/>
      </c>
      <c r="AS502" s="17">
        <f>IF(AH502=1,AG502,"")</f>
        <v/>
      </c>
      <c r="AT502" s="17">
        <f>IF(AND(AH502=0,AJ502=1),AG502,"")</f>
        <v/>
      </c>
      <c r="AU502" s="5">
        <f>IF(P502&lt;10000,"Under $10K",IF(P502&lt;20000,"$10-20K",IF(P502&lt;30000,"$20-30K",IF(P502&lt;50000,"$30-50K",IF(P502&lt;100000,"$50-100K","$100K+")))))</f>
        <v/>
      </c>
      <c r="AV502" s="5">
        <f>IF(O502&lt;=1.35,"1.35 and under",IF(O502&lt;=1.42,"1.36-1.42",IF(O502&lt;=1.45,"1.43-1.45",IF(O502&lt;1.49,"1.46-1.48",IF(O502&lt;=1.49,"1.49","Above 1.49")))))</f>
        <v/>
      </c>
      <c r="AW502" s="5">
        <f>IF(AE502="","",IF(AE502&lt;60,"Under 60",IF(AE502&lt;90,"60-89",IF(AE502&lt;120,"90-119",IF(AE502&lt;150,"120-149","150+")))))</f>
        <v/>
      </c>
      <c r="AX502" s="5">
        <f>IF(AP502="","No revenue data",IF(AP502&lt;0.15,"Under 0.15x",IF(AP502&lt;0.3,"0.15-0.30x",IF(AP502&lt;0.5,"0.30-0.50x",IF(AP502&lt;1,"0.50-1.00x","1.00x+")))))</f>
        <v/>
      </c>
      <c r="AY502" s="5">
        <f>IF(J502="","No SIC",IFERROR(VLOOKUP(J502,Ref!$A$4:$C$67,2,FALSE()),"Unclassified"))</f>
        <v/>
      </c>
      <c r="AZ502" s="5">
        <f>IF(E502="","",TEXT(E502,"YYYY")&amp;"-Q"&amp;ROUNDUP(MONTH(E502)/3,0))</f>
        <v/>
      </c>
      <c r="BA502" s="5">
        <f>IF(E502="","",TEXT(E502,"YYYY-MM"))</f>
        <v/>
      </c>
      <c r="BB502" s="5">
        <f>IF(E502="","",TEXT(E502,"YYYY"))</f>
        <v/>
      </c>
      <c r="BC502" s="92">
        <f>IF($E502="","",NETWORKDAYS($E502,Controls!$B$9,Ref!$F$4:$F$47))</f>
        <v/>
      </c>
      <c r="BD502" s="92">
        <f>IF(OR($AH502=1,$AJ502=1),1,0)</f>
        <v/>
      </c>
      <c r="BE502" s="95">
        <f>IF(OR($BD502=1,AND($AE502&lt;&gt;"",$BC502&gt;=Controls!$B$10*$AE502)),1,0)</f>
        <v/>
      </c>
    </row>
    <row r="503" ht="15.75" customHeight="1" s="79">
      <c r="A503" s="5" t="inlineStr">
        <is>
          <t>5674175773</t>
        </is>
      </c>
      <c r="B503" s="5" t="inlineStr">
        <is>
          <t>Yogurtland sendero</t>
        </is>
      </c>
      <c r="C503" s="5" t="inlineStr">
        <is>
          <t>Flavorlust llc</t>
        </is>
      </c>
      <c r="D503" s="5" t="inlineStr">
        <is>
          <t>Closed</t>
        </is>
      </c>
      <c r="E503" s="16" t="n">
        <v>46028</v>
      </c>
      <c r="F503" s="16" t="n">
        <v>46190</v>
      </c>
      <c r="G503" s="17" t="n">
        <v>2</v>
      </c>
      <c r="H503" s="5" t="inlineStr">
        <is>
          <t>5812</t>
        </is>
      </c>
      <c r="I503" s="5" t="inlineStr">
        <is>
          <t>Snack and Nonalcoholic Beverage Bars</t>
        </is>
      </c>
      <c r="J503" s="5" t="inlineStr">
        <is>
          <t>58</t>
        </is>
      </c>
      <c r="K503" s="5" t="n">
        <v>5812</v>
      </c>
      <c r="L503" s="5" t="inlineStr">
        <is>
          <t>CA</t>
        </is>
      </c>
      <c r="M503" s="5" t="inlineStr">
        <is>
          <t>Simply capital source inc</t>
        </is>
      </c>
      <c r="N503" s="5" t="inlineStr">
        <is>
          <t>New Deal</t>
        </is>
      </c>
      <c r="O503" s="19" t="n">
        <v>1.4</v>
      </c>
      <c r="P503" s="20" t="n">
        <v>30000</v>
      </c>
      <c r="Q503" s="20" t="n">
        <v>2850</v>
      </c>
      <c r="R503" s="20" t="n">
        <v>42000</v>
      </c>
      <c r="S503" s="20" t="n">
        <v>42000</v>
      </c>
      <c r="T503" s="20" t="n">
        <v>0</v>
      </c>
      <c r="U503" s="21" t="n">
        <v>1</v>
      </c>
      <c r="V503" s="22" t="n">
        <v>30</v>
      </c>
      <c r="W503" s="17" t="n">
        <v>63</v>
      </c>
      <c r="X503" s="17" t="n">
        <v>0</v>
      </c>
      <c r="Y503" s="20" t="n">
        <v>40732.29</v>
      </c>
      <c r="Z503" s="21" t="n">
        <v>0.1375</v>
      </c>
      <c r="AA503" s="16" t="n">
        <v>43137</v>
      </c>
      <c r="AB503" s="5">
        <f>IF(V503="","",IF(V503&lt;12,"Months","Weeks"))</f>
        <v/>
      </c>
      <c r="AC503" s="5">
        <f>IF(AB503="","",IF(AB503="Months","Daily","Weekly"))</f>
        <v/>
      </c>
      <c r="AD503" s="17">
        <f>IF(V503="","",IF(AC503="Daily",V503*Controls!$B$13,V503))</f>
        <v/>
      </c>
      <c r="AE503" s="17">
        <f>IF(V503="","",IF(AC503="Daily",V503*Controls!$B$13,V503*Controls!$B$12))</f>
        <v/>
      </c>
      <c r="AF503" s="17">
        <f>IF(OR(E503="",F503=""),"",F503-E503)</f>
        <v/>
      </c>
      <c r="AG503" s="17">
        <f>IF(OR(E503="",F503=""),"",NETWORKDAYS(E503,F503,Ref!$F$4:$F$47))</f>
        <v/>
      </c>
      <c r="AH503" s="39">
        <f>IF(IFERROR(VLOOKUP(D503,Controls!$A$25:$D$35,2,FALSE()),"No")="Yes",1,0)</f>
        <v/>
      </c>
      <c r="AI503" s="39">
        <f>IF(IFERROR(VLOOKUP(D503,Controls!$A$25:$D$35,3,FALSE()),"No")="Yes",1,0)</f>
        <v/>
      </c>
      <c r="AJ503" s="39">
        <f>IF(IFERROR(VLOOKUP(D503,Controls!$A$25:$D$35,4,FALSE()),"No")="Yes",1,0)</f>
        <v/>
      </c>
      <c r="AK503" s="96">
        <f>IF(AND($E503&gt;=Controls!$B$5,$E503&lt;=Controls!$B$6,OR(Controls!$E$9&lt;&gt;"Y",$BE503=1)),1,0)</f>
        <v/>
      </c>
      <c r="AL503" s="39">
        <f>1</f>
        <v/>
      </c>
      <c r="AM503" s="20">
        <f>S503-P503</f>
        <v/>
      </c>
      <c r="AN503" s="20">
        <f>IF(AH503=1,MAX(0,P503-S503),0)</f>
        <v/>
      </c>
      <c r="AO503" s="21">
        <f>IFERROR(S503/P503,"")</f>
        <v/>
      </c>
      <c r="AP503" s="22">
        <f>IF(Y503="","",P503/Y503)</f>
        <v/>
      </c>
      <c r="AQ503" s="39">
        <f>IF(Y503="",0,1)</f>
        <v/>
      </c>
      <c r="AR503" s="39">
        <f>IF(S503&lt;=0,1,0)</f>
        <v/>
      </c>
      <c r="AS503" s="17">
        <f>IF(AH503=1,AG503,"")</f>
        <v/>
      </c>
      <c r="AT503" s="17">
        <f>IF(AND(AH503=0,AJ503=1),AG503,"")</f>
        <v/>
      </c>
      <c r="AU503" s="5">
        <f>IF(P503&lt;10000,"Under $10K",IF(P503&lt;20000,"$10-20K",IF(P503&lt;30000,"$20-30K",IF(P503&lt;50000,"$30-50K",IF(P503&lt;100000,"$50-100K","$100K+")))))</f>
        <v/>
      </c>
      <c r="AV503" s="5">
        <f>IF(O503&lt;=1.35,"1.35 and under",IF(O503&lt;=1.42,"1.36-1.42",IF(O503&lt;=1.45,"1.43-1.45",IF(O503&lt;1.49,"1.46-1.48",IF(O503&lt;=1.49,"1.49","Above 1.49")))))</f>
        <v/>
      </c>
      <c r="AW503" s="5">
        <f>IF(AE503="","",IF(AE503&lt;60,"Under 60",IF(AE503&lt;90,"60-89",IF(AE503&lt;120,"90-119",IF(AE503&lt;150,"120-149","150+")))))</f>
        <v/>
      </c>
      <c r="AX503" s="5">
        <f>IF(AP503="","No revenue data",IF(AP503&lt;0.15,"Under 0.15x",IF(AP503&lt;0.3,"0.15-0.30x",IF(AP503&lt;0.5,"0.30-0.50x",IF(AP503&lt;1,"0.50-1.00x","1.00x+")))))</f>
        <v/>
      </c>
      <c r="AY503" s="5">
        <f>IF(J503="","No SIC",IFERROR(VLOOKUP(J503,Ref!$A$4:$C$67,2,FALSE()),"Unclassified"))</f>
        <v/>
      </c>
      <c r="AZ503" s="5">
        <f>IF(E503="","",TEXT(E503,"YYYY")&amp;"-Q"&amp;ROUNDUP(MONTH(E503)/3,0))</f>
        <v/>
      </c>
      <c r="BA503" s="5">
        <f>IF(E503="","",TEXT(E503,"YYYY-MM"))</f>
        <v/>
      </c>
      <c r="BB503" s="5">
        <f>IF(E503="","",TEXT(E503,"YYYY"))</f>
        <v/>
      </c>
      <c r="BC503" s="92">
        <f>IF($E503="","",NETWORKDAYS($E503,Controls!$B$9,Ref!$F$4:$F$47))</f>
        <v/>
      </c>
      <c r="BD503" s="92">
        <f>IF(OR($AH503=1,$AJ503=1),1,0)</f>
        <v/>
      </c>
      <c r="BE503" s="95">
        <f>IF(OR($BD503=1,AND($AE503&lt;&gt;"",$BC503&gt;=Controls!$B$10*$AE503)),1,0)</f>
        <v/>
      </c>
    </row>
    <row r="504" ht="15.75" customHeight="1" s="79">
      <c r="A504" s="5" t="inlineStr">
        <is>
          <t>5674175779</t>
        </is>
      </c>
      <c r="B504" s="5" t="inlineStr">
        <is>
          <t>Cuevas Heating &amp; Air LLC</t>
        </is>
      </c>
      <c r="C504" s="5" t="inlineStr">
        <is>
          <t>Cuevas Heating &amp; Air LLC</t>
        </is>
      </c>
      <c r="D504" s="5" t="inlineStr">
        <is>
          <t>Settlement Agreement</t>
        </is>
      </c>
      <c r="E504" s="16" t="n">
        <v>46028</v>
      </c>
      <c r="F504" s="16" t="n">
        <v>46248</v>
      </c>
      <c r="G504" s="17" t="n">
        <v>3</v>
      </c>
      <c r="H504" s="5" t="inlineStr">
        <is>
          <t>3433</t>
        </is>
      </c>
      <c r="I504" s="5" t="inlineStr">
        <is>
          <t>Heating Equipment (Except Warm Air Furnaces) Mfg.</t>
        </is>
      </c>
      <c r="J504" s="5" t="inlineStr">
        <is>
          <t>34</t>
        </is>
      </c>
      <c r="K504" s="5" t="n">
        <v>5074</v>
      </c>
      <c r="L504" s="5" t="inlineStr">
        <is>
          <t>GA</t>
        </is>
      </c>
      <c r="M504" s="5" t="inlineStr">
        <is>
          <t>Ballicci</t>
        </is>
      </c>
      <c r="N504" s="5" t="inlineStr">
        <is>
          <t>New Deal</t>
        </is>
      </c>
      <c r="O504" s="19" t="n">
        <v>1.49</v>
      </c>
      <c r="P504" s="20" t="n">
        <v>15000</v>
      </c>
      <c r="Q504" s="20" t="n">
        <v>2100</v>
      </c>
      <c r="R504" s="20" t="n">
        <v>22350</v>
      </c>
      <c r="S504" s="20" t="n">
        <v>11927.01</v>
      </c>
      <c r="T504" s="20" t="n">
        <v>10422.99</v>
      </c>
      <c r="U504" s="21" t="n">
        <v>0.533646979865772</v>
      </c>
      <c r="V504" s="22" t="n">
        <v>3.279</v>
      </c>
      <c r="W504" s="17" t="n">
        <v>5</v>
      </c>
      <c r="X504" s="17" t="n">
        <v>6</v>
      </c>
      <c r="Y504" s="20" t="n">
        <v>41458.49</v>
      </c>
      <c r="Z504" s="21" t="n">
        <v>0.1132</v>
      </c>
      <c r="AA504" s="5" t="n"/>
      <c r="AB504" s="5">
        <f>IF(V504="","",IF(V504&lt;12,"Months","Weeks"))</f>
        <v/>
      </c>
      <c r="AC504" s="5">
        <f>IF(AB504="","",IF(AB504="Months","Daily","Weekly"))</f>
        <v/>
      </c>
      <c r="AD504" s="17">
        <f>IF(V504="","",IF(AC504="Daily",V504*Controls!$B$13,V504))</f>
        <v/>
      </c>
      <c r="AE504" s="17">
        <f>IF(V504="","",IF(AC504="Daily",V504*Controls!$B$13,V504*Controls!$B$12))</f>
        <v/>
      </c>
      <c r="AF504" s="17">
        <f>IF(OR(E504="",F504=""),"",F504-E504)</f>
        <v/>
      </c>
      <c r="AG504" s="17">
        <f>IF(OR(E504="",F504=""),"",NETWORKDAYS(E504,F504,Ref!$F$4:$F$47))</f>
        <v/>
      </c>
      <c r="AH504" s="39">
        <f>IF(IFERROR(VLOOKUP(D504,Controls!$A$25:$D$35,2,FALSE()),"No")="Yes",1,0)</f>
        <v/>
      </c>
      <c r="AI504" s="39">
        <f>IF(IFERROR(VLOOKUP(D504,Controls!$A$25:$D$35,3,FALSE()),"No")="Yes",1,0)</f>
        <v/>
      </c>
      <c r="AJ504" s="39">
        <f>IF(IFERROR(VLOOKUP(D504,Controls!$A$25:$D$35,4,FALSE()),"No")="Yes",1,0)</f>
        <v/>
      </c>
      <c r="AK504" s="96">
        <f>IF(AND($E504&gt;=Controls!$B$5,$E504&lt;=Controls!$B$6,OR(Controls!$E$9&lt;&gt;"Y",$BE504=1)),1,0)</f>
        <v/>
      </c>
      <c r="AL504" s="39">
        <f>1</f>
        <v/>
      </c>
      <c r="AM504" s="20">
        <f>S504-P504</f>
        <v/>
      </c>
      <c r="AN504" s="20">
        <f>IF(AH504=1,MAX(0,P504-S504),0)</f>
        <v/>
      </c>
      <c r="AO504" s="21">
        <f>IFERROR(S504/P504,"")</f>
        <v/>
      </c>
      <c r="AP504" s="22">
        <f>IF(Y504="","",P504/Y504)</f>
        <v/>
      </c>
      <c r="AQ504" s="39">
        <f>IF(Y504="",0,1)</f>
        <v/>
      </c>
      <c r="AR504" s="39">
        <f>IF(S504&lt;=0,1,0)</f>
        <v/>
      </c>
      <c r="AS504" s="17">
        <f>IF(AH504=1,AG504,"")</f>
        <v/>
      </c>
      <c r="AT504" s="17">
        <f>IF(AND(AH504=0,AJ504=1),AG504,"")</f>
        <v/>
      </c>
      <c r="AU504" s="5">
        <f>IF(P504&lt;10000,"Under $10K",IF(P504&lt;20000,"$10-20K",IF(P504&lt;30000,"$20-30K",IF(P504&lt;50000,"$30-50K",IF(P504&lt;100000,"$50-100K","$100K+")))))</f>
        <v/>
      </c>
      <c r="AV504" s="5">
        <f>IF(O504&lt;=1.35,"1.35 and under",IF(O504&lt;=1.42,"1.36-1.42",IF(O504&lt;=1.45,"1.43-1.45",IF(O504&lt;1.49,"1.46-1.48",IF(O504&lt;=1.49,"1.49","Above 1.49")))))</f>
        <v/>
      </c>
      <c r="AW504" s="5">
        <f>IF(AE504="","",IF(AE504&lt;60,"Under 60",IF(AE504&lt;90,"60-89",IF(AE504&lt;120,"90-119",IF(AE504&lt;150,"120-149","150+")))))</f>
        <v/>
      </c>
      <c r="AX504" s="5">
        <f>IF(AP504="","No revenue data",IF(AP504&lt;0.15,"Under 0.15x",IF(AP504&lt;0.3,"0.15-0.30x",IF(AP504&lt;0.5,"0.30-0.50x",IF(AP504&lt;1,"0.50-1.00x","1.00x+")))))</f>
        <v/>
      </c>
      <c r="AY504" s="5">
        <f>IF(J504="","No SIC",IFERROR(VLOOKUP(J504,Ref!$A$4:$C$67,2,FALSE()),"Unclassified"))</f>
        <v/>
      </c>
      <c r="AZ504" s="5">
        <f>IF(E504="","",TEXT(E504,"YYYY")&amp;"-Q"&amp;ROUNDUP(MONTH(E504)/3,0))</f>
        <v/>
      </c>
      <c r="BA504" s="5">
        <f>IF(E504="","",TEXT(E504,"YYYY-MM"))</f>
        <v/>
      </c>
      <c r="BB504" s="5">
        <f>IF(E504="","",TEXT(E504,"YYYY"))</f>
        <v/>
      </c>
      <c r="BC504" s="92">
        <f>IF($E504="","",NETWORKDAYS($E504,Controls!$B$9,Ref!$F$4:$F$47))</f>
        <v/>
      </c>
      <c r="BD504" s="92">
        <f>IF(OR($AH504=1,$AJ504=1),1,0)</f>
        <v/>
      </c>
      <c r="BE504" s="95">
        <f>IF(OR($BD504=1,AND($AE504&lt;&gt;"",$BC504&gt;=Controls!$B$10*$AE504)),1,0)</f>
        <v/>
      </c>
    </row>
    <row r="505" ht="15.75" customHeight="1" s="79">
      <c r="A505" s="5" t="inlineStr">
        <is>
          <t>5674175819</t>
        </is>
      </c>
      <c r="B505" s="5" t="inlineStr">
        <is>
          <t>JABC SERVICES GROUP LLC</t>
        </is>
      </c>
      <c r="C505" s="5" t="inlineStr">
        <is>
          <t>JABC SERVICES GROUP LLC</t>
        </is>
      </c>
      <c r="D505" s="5" t="inlineStr">
        <is>
          <t>In House Collection</t>
        </is>
      </c>
      <c r="E505" s="16" t="n">
        <v>46028</v>
      </c>
      <c r="F505" s="16" t="n">
        <v>46057</v>
      </c>
      <c r="G505" s="17" t="n">
        <v>3</v>
      </c>
      <c r="H505" s="5" t="inlineStr">
        <is>
          <t>1799</t>
        </is>
      </c>
      <c r="I505" s="5" t="inlineStr">
        <is>
          <t>All Other Specialty Trade Contractors</t>
        </is>
      </c>
      <c r="J505" s="5" t="inlineStr">
        <is>
          <t>17</t>
        </is>
      </c>
      <c r="K505" s="5" t="n">
        <v>1799</v>
      </c>
      <c r="L505" s="5" t="inlineStr">
        <is>
          <t>AZ</t>
        </is>
      </c>
      <c r="M505" s="5" t="inlineStr">
        <is>
          <t>level 3 funding</t>
        </is>
      </c>
      <c r="N505" s="5" t="inlineStr">
        <is>
          <t>New Deal</t>
        </is>
      </c>
      <c r="O505" s="19" t="n">
        <v>1.499</v>
      </c>
      <c r="P505" s="20" t="n">
        <v>5000</v>
      </c>
      <c r="Q505" s="20" t="n">
        <v>700</v>
      </c>
      <c r="R505" s="20" t="n">
        <v>7495</v>
      </c>
      <c r="S505" s="20" t="n">
        <v>1488.52</v>
      </c>
      <c r="T505" s="20" t="n">
        <v>6006.48</v>
      </c>
      <c r="U505" s="21" t="n">
        <v>0.19860173448966</v>
      </c>
      <c r="V505" s="22" t="n">
        <v>2.787</v>
      </c>
      <c r="W505" s="17" t="n">
        <v>202</v>
      </c>
      <c r="X505" s="17" t="n">
        <v>4</v>
      </c>
      <c r="Y505" s="20" t="n">
        <v>29049.92</v>
      </c>
      <c r="Z505" s="21" t="n">
        <v>0.0633</v>
      </c>
      <c r="AA505" s="16" t="n">
        <v>43731</v>
      </c>
      <c r="AB505" s="5">
        <f>IF(V505="","",IF(V505&lt;12,"Months","Weeks"))</f>
        <v/>
      </c>
      <c r="AC505" s="5">
        <f>IF(AB505="","",IF(AB505="Months","Daily","Weekly"))</f>
        <v/>
      </c>
      <c r="AD505" s="17">
        <f>IF(V505="","",IF(AC505="Daily",V505*Controls!$B$13,V505))</f>
        <v/>
      </c>
      <c r="AE505" s="17">
        <f>IF(V505="","",IF(AC505="Daily",V505*Controls!$B$13,V505*Controls!$B$12))</f>
        <v/>
      </c>
      <c r="AF505" s="17">
        <f>IF(OR(E505="",F505=""),"",F505-E505)</f>
        <v/>
      </c>
      <c r="AG505" s="17">
        <f>IF(OR(E505="",F505=""),"",NETWORKDAYS(E505,F505,Ref!$F$4:$F$47))</f>
        <v/>
      </c>
      <c r="AH505" s="39">
        <f>IF(IFERROR(VLOOKUP(D505,Controls!$A$25:$D$35,2,FALSE()),"No")="Yes",1,0)</f>
        <v/>
      </c>
      <c r="AI505" s="39">
        <f>IF(IFERROR(VLOOKUP(D505,Controls!$A$25:$D$35,3,FALSE()),"No")="Yes",1,0)</f>
        <v/>
      </c>
      <c r="AJ505" s="39">
        <f>IF(IFERROR(VLOOKUP(D505,Controls!$A$25:$D$35,4,FALSE()),"No")="Yes",1,0)</f>
        <v/>
      </c>
      <c r="AK505" s="96">
        <f>IF(AND($E505&gt;=Controls!$B$5,$E505&lt;=Controls!$B$6,OR(Controls!$E$9&lt;&gt;"Y",$BE505=1)),1,0)</f>
        <v/>
      </c>
      <c r="AL505" s="39">
        <f>1</f>
        <v/>
      </c>
      <c r="AM505" s="20">
        <f>S505-P505</f>
        <v/>
      </c>
      <c r="AN505" s="20">
        <f>IF(AH505=1,MAX(0,P505-S505),0)</f>
        <v/>
      </c>
      <c r="AO505" s="21">
        <f>IFERROR(S505/P505,"")</f>
        <v/>
      </c>
      <c r="AP505" s="22">
        <f>IF(Y505="","",P505/Y505)</f>
        <v/>
      </c>
      <c r="AQ505" s="39">
        <f>IF(Y505="",0,1)</f>
        <v/>
      </c>
      <c r="AR505" s="39">
        <f>IF(S505&lt;=0,1,0)</f>
        <v/>
      </c>
      <c r="AS505" s="17">
        <f>IF(AH505=1,AG505,"")</f>
        <v/>
      </c>
      <c r="AT505" s="17">
        <f>IF(AND(AH505=0,AJ505=1),AG505,"")</f>
        <v/>
      </c>
      <c r="AU505" s="5">
        <f>IF(P505&lt;10000,"Under $10K",IF(P505&lt;20000,"$10-20K",IF(P505&lt;30000,"$20-30K",IF(P505&lt;50000,"$30-50K",IF(P505&lt;100000,"$50-100K","$100K+")))))</f>
        <v/>
      </c>
      <c r="AV505" s="5">
        <f>IF(O505&lt;=1.35,"1.35 and under",IF(O505&lt;=1.42,"1.36-1.42",IF(O505&lt;=1.45,"1.43-1.45",IF(O505&lt;1.49,"1.46-1.48",IF(O505&lt;=1.49,"1.49","Above 1.49")))))</f>
        <v/>
      </c>
      <c r="AW505" s="5">
        <f>IF(AE505="","",IF(AE505&lt;60,"Under 60",IF(AE505&lt;90,"60-89",IF(AE505&lt;120,"90-119",IF(AE505&lt;150,"120-149","150+")))))</f>
        <v/>
      </c>
      <c r="AX505" s="5">
        <f>IF(AP505="","No revenue data",IF(AP505&lt;0.15,"Under 0.15x",IF(AP505&lt;0.3,"0.15-0.30x",IF(AP505&lt;0.5,"0.30-0.50x",IF(AP505&lt;1,"0.50-1.00x","1.00x+")))))</f>
        <v/>
      </c>
      <c r="AY505" s="5">
        <f>IF(J505="","No SIC",IFERROR(VLOOKUP(J505,Ref!$A$4:$C$67,2,FALSE()),"Unclassified"))</f>
        <v/>
      </c>
      <c r="AZ505" s="5">
        <f>IF(E505="","",TEXT(E505,"YYYY")&amp;"-Q"&amp;ROUNDUP(MONTH(E505)/3,0))</f>
        <v/>
      </c>
      <c r="BA505" s="5">
        <f>IF(E505="","",TEXT(E505,"YYYY-MM"))</f>
        <v/>
      </c>
      <c r="BB505" s="5">
        <f>IF(E505="","",TEXT(E505,"YYYY"))</f>
        <v/>
      </c>
      <c r="BC505" s="92">
        <f>IF($E505="","",NETWORKDAYS($E505,Controls!$B$9,Ref!$F$4:$F$47))</f>
        <v/>
      </c>
      <c r="BD505" s="92">
        <f>IF(OR($AH505=1,$AJ505=1),1,0)</f>
        <v/>
      </c>
      <c r="BE505" s="95">
        <f>IF(OR($BD505=1,AND($AE505&lt;&gt;"",$BC505&gt;=Controls!$B$10*$AE505)),1,0)</f>
        <v/>
      </c>
    </row>
    <row r="506" ht="15.75" customHeight="1" s="79">
      <c r="A506" s="5" t="inlineStr">
        <is>
          <t>5674175833</t>
        </is>
      </c>
      <c r="B506" s="5" t="inlineStr">
        <is>
          <t>TOP TO BOTTOM INC</t>
        </is>
      </c>
      <c r="C506" s="5" t="inlineStr">
        <is>
          <t>TOP TO BOTTOM INC</t>
        </is>
      </c>
      <c r="D506" s="5" t="inlineStr">
        <is>
          <t>Bankruptcy</t>
        </is>
      </c>
      <c r="E506" s="16" t="n">
        <v>46028</v>
      </c>
      <c r="F506" s="16" t="n">
        <v>46106</v>
      </c>
      <c r="G506" s="17" t="n">
        <v>3</v>
      </c>
      <c r="H506" s="5" t="inlineStr">
        <is>
          <t>1521</t>
        </is>
      </c>
      <c r="I506" s="5" t="inlineStr">
        <is>
          <t>New Single-Family Housing Construction (Except For-Sale Builders)</t>
        </is>
      </c>
      <c r="J506" s="5" t="inlineStr">
        <is>
          <t>15</t>
        </is>
      </c>
      <c r="K506" s="5" t="n">
        <v>1520</v>
      </c>
      <c r="L506" s="5" t="inlineStr">
        <is>
          <t>GA</t>
        </is>
      </c>
      <c r="M506" s="5" t="inlineStr">
        <is>
          <t>Ballicci</t>
        </is>
      </c>
      <c r="N506" s="5" t="inlineStr">
        <is>
          <t>New Deal</t>
        </is>
      </c>
      <c r="O506" s="19" t="n">
        <v>1.49</v>
      </c>
      <c r="P506" s="20" t="n">
        <v>10000</v>
      </c>
      <c r="Q506" s="20" t="n">
        <v>1400</v>
      </c>
      <c r="R506" s="20" t="n">
        <v>14900</v>
      </c>
      <c r="S506" s="20" t="n">
        <v>3642.54</v>
      </c>
      <c r="T506" s="20" t="n">
        <v>11257.46</v>
      </c>
      <c r="U506" s="21" t="n">
        <v>0.244465771812081</v>
      </c>
      <c r="V506" s="22" t="n">
        <v>2.951</v>
      </c>
      <c r="W506" s="17" t="n">
        <v>194</v>
      </c>
      <c r="X506" s="17" t="n">
        <v>23</v>
      </c>
      <c r="Y506" s="20" t="n">
        <v>25850.74</v>
      </c>
      <c r="Z506" s="21" t="n">
        <v>0.1345</v>
      </c>
      <c r="AA506" s="16" t="n">
        <v>36434</v>
      </c>
      <c r="AB506" s="5">
        <f>IF(V506="","",IF(V506&lt;12,"Months","Weeks"))</f>
        <v/>
      </c>
      <c r="AC506" s="5">
        <f>IF(AB506="","",IF(AB506="Months","Daily","Weekly"))</f>
        <v/>
      </c>
      <c r="AD506" s="17">
        <f>IF(V506="","",IF(AC506="Daily",V506*Controls!$B$13,V506))</f>
        <v/>
      </c>
      <c r="AE506" s="17">
        <f>IF(V506="","",IF(AC506="Daily",V506*Controls!$B$13,V506*Controls!$B$12))</f>
        <v/>
      </c>
      <c r="AF506" s="17">
        <f>IF(OR(E506="",F506=""),"",F506-E506)</f>
        <v/>
      </c>
      <c r="AG506" s="17">
        <f>IF(OR(E506="",F506=""),"",NETWORKDAYS(E506,F506,Ref!$F$4:$F$47))</f>
        <v/>
      </c>
      <c r="AH506" s="39">
        <f>IF(IFERROR(VLOOKUP(D506,Controls!$A$25:$D$35,2,FALSE()),"No")="Yes",1,0)</f>
        <v/>
      </c>
      <c r="AI506" s="39">
        <f>IF(IFERROR(VLOOKUP(D506,Controls!$A$25:$D$35,3,FALSE()),"No")="Yes",1,0)</f>
        <v/>
      </c>
      <c r="AJ506" s="39">
        <f>IF(IFERROR(VLOOKUP(D506,Controls!$A$25:$D$35,4,FALSE()),"No")="Yes",1,0)</f>
        <v/>
      </c>
      <c r="AK506" s="96">
        <f>IF(AND($E506&gt;=Controls!$B$5,$E506&lt;=Controls!$B$6,OR(Controls!$E$9&lt;&gt;"Y",$BE506=1)),1,0)</f>
        <v/>
      </c>
      <c r="AL506" s="39">
        <f>1</f>
        <v/>
      </c>
      <c r="AM506" s="20">
        <f>S506-P506</f>
        <v/>
      </c>
      <c r="AN506" s="20">
        <f>IF(AH506=1,MAX(0,P506-S506),0)</f>
        <v/>
      </c>
      <c r="AO506" s="21">
        <f>IFERROR(S506/P506,"")</f>
        <v/>
      </c>
      <c r="AP506" s="22">
        <f>IF(Y506="","",P506/Y506)</f>
        <v/>
      </c>
      <c r="AQ506" s="39">
        <f>IF(Y506="",0,1)</f>
        <v/>
      </c>
      <c r="AR506" s="39">
        <f>IF(S506&lt;=0,1,0)</f>
        <v/>
      </c>
      <c r="AS506" s="17">
        <f>IF(AH506=1,AG506,"")</f>
        <v/>
      </c>
      <c r="AT506" s="17">
        <f>IF(AND(AH506=0,AJ506=1),AG506,"")</f>
        <v/>
      </c>
      <c r="AU506" s="5">
        <f>IF(P506&lt;10000,"Under $10K",IF(P506&lt;20000,"$10-20K",IF(P506&lt;30000,"$20-30K",IF(P506&lt;50000,"$30-50K",IF(P506&lt;100000,"$50-100K","$100K+")))))</f>
        <v/>
      </c>
      <c r="AV506" s="5">
        <f>IF(O506&lt;=1.35,"1.35 and under",IF(O506&lt;=1.42,"1.36-1.42",IF(O506&lt;=1.45,"1.43-1.45",IF(O506&lt;1.49,"1.46-1.48",IF(O506&lt;=1.49,"1.49","Above 1.49")))))</f>
        <v/>
      </c>
      <c r="AW506" s="5">
        <f>IF(AE506="","",IF(AE506&lt;60,"Under 60",IF(AE506&lt;90,"60-89",IF(AE506&lt;120,"90-119",IF(AE506&lt;150,"120-149","150+")))))</f>
        <v/>
      </c>
      <c r="AX506" s="5">
        <f>IF(AP506="","No revenue data",IF(AP506&lt;0.15,"Under 0.15x",IF(AP506&lt;0.3,"0.15-0.30x",IF(AP506&lt;0.5,"0.30-0.50x",IF(AP506&lt;1,"0.50-1.00x","1.00x+")))))</f>
        <v/>
      </c>
      <c r="AY506" s="5">
        <f>IF(J506="","No SIC",IFERROR(VLOOKUP(J506,Ref!$A$4:$C$67,2,FALSE()),"Unclassified"))</f>
        <v/>
      </c>
      <c r="AZ506" s="5">
        <f>IF(E506="","",TEXT(E506,"YYYY")&amp;"-Q"&amp;ROUNDUP(MONTH(E506)/3,0))</f>
        <v/>
      </c>
      <c r="BA506" s="5">
        <f>IF(E506="","",TEXT(E506,"YYYY-MM"))</f>
        <v/>
      </c>
      <c r="BB506" s="5">
        <f>IF(E506="","",TEXT(E506,"YYYY"))</f>
        <v/>
      </c>
      <c r="BC506" s="92">
        <f>IF($E506="","",NETWORKDAYS($E506,Controls!$B$9,Ref!$F$4:$F$47))</f>
        <v/>
      </c>
      <c r="BD506" s="92">
        <f>IF(OR($AH506=1,$AJ506=1),1,0)</f>
        <v/>
      </c>
      <c r="BE506" s="95">
        <f>IF(OR($BD506=1,AND($AE506&lt;&gt;"",$BC506&gt;=Controls!$B$10*$AE506)),1,0)</f>
        <v/>
      </c>
    </row>
    <row r="507" ht="15.75" customHeight="1" s="79">
      <c r="A507" s="5" t="inlineStr">
        <is>
          <t>5674175850</t>
        </is>
      </c>
      <c r="B507" s="5" t="inlineStr">
        <is>
          <t>GenZy Clothing</t>
        </is>
      </c>
      <c r="C507" s="5" t="inlineStr">
        <is>
          <t>GENZ FASHION LLC</t>
        </is>
      </c>
      <c r="D507" s="5" t="inlineStr">
        <is>
          <t>Closed</t>
        </is>
      </c>
      <c r="E507" s="16" t="n">
        <v>46028</v>
      </c>
      <c r="F507" s="16" t="n">
        <v>46210</v>
      </c>
      <c r="G507" s="17" t="n">
        <v>3</v>
      </c>
      <c r="H507" s="5" t="inlineStr">
        <is>
          <t>5999</t>
        </is>
      </c>
      <c r="I507" s="5" t="inlineStr">
        <is>
          <t>All Other Misc. Store Retailers (Except Tobacco Stores)</t>
        </is>
      </c>
      <c r="J507" s="5" t="inlineStr">
        <is>
          <t>59</t>
        </is>
      </c>
      <c r="K507" s="5" t="n">
        <v>5999</v>
      </c>
      <c r="L507" s="5" t="inlineStr">
        <is>
          <t>CA</t>
        </is>
      </c>
      <c r="M507" s="5" t="inlineStr">
        <is>
          <t>Fundwell</t>
        </is>
      </c>
      <c r="N507" s="5" t="inlineStr">
        <is>
          <t>New Deal</t>
        </is>
      </c>
      <c r="O507" s="19" t="n">
        <v>1.42</v>
      </c>
      <c r="P507" s="20" t="n">
        <v>30000</v>
      </c>
      <c r="Q507" s="20" t="n">
        <v>4350</v>
      </c>
      <c r="R507" s="20" t="n">
        <v>42600</v>
      </c>
      <c r="S507" s="20" t="n">
        <v>42600</v>
      </c>
      <c r="T507" s="20" t="n">
        <v>0</v>
      </c>
      <c r="U507" s="21" t="n">
        <v>1</v>
      </c>
      <c r="V507" s="22" t="n">
        <v>26</v>
      </c>
      <c r="W507" s="17" t="n">
        <v>43</v>
      </c>
      <c r="X507" s="17" t="n">
        <v>1</v>
      </c>
      <c r="Y507" s="20" t="n">
        <v>48511.36</v>
      </c>
      <c r="Z507" s="21" t="n">
        <v>0.1351</v>
      </c>
      <c r="AA507" s="16" t="n">
        <v>45538</v>
      </c>
      <c r="AB507" s="5">
        <f>IF(V507="","",IF(V507&lt;12,"Months","Weeks"))</f>
        <v/>
      </c>
      <c r="AC507" s="5">
        <f>IF(AB507="","",IF(AB507="Months","Daily","Weekly"))</f>
        <v/>
      </c>
      <c r="AD507" s="17">
        <f>IF(V507="","",IF(AC507="Daily",V507*Controls!$B$13,V507))</f>
        <v/>
      </c>
      <c r="AE507" s="17">
        <f>IF(V507="","",IF(AC507="Daily",V507*Controls!$B$13,V507*Controls!$B$12))</f>
        <v/>
      </c>
      <c r="AF507" s="17">
        <f>IF(OR(E507="",F507=""),"",F507-E507)</f>
        <v/>
      </c>
      <c r="AG507" s="17">
        <f>IF(OR(E507="",F507=""),"",NETWORKDAYS(E507,F507,Ref!$F$4:$F$47))</f>
        <v/>
      </c>
      <c r="AH507" s="39">
        <f>IF(IFERROR(VLOOKUP(D507,Controls!$A$25:$D$35,2,FALSE()),"No")="Yes",1,0)</f>
        <v/>
      </c>
      <c r="AI507" s="39">
        <f>IF(IFERROR(VLOOKUP(D507,Controls!$A$25:$D$35,3,FALSE()),"No")="Yes",1,0)</f>
        <v/>
      </c>
      <c r="AJ507" s="39">
        <f>IF(IFERROR(VLOOKUP(D507,Controls!$A$25:$D$35,4,FALSE()),"No")="Yes",1,0)</f>
        <v/>
      </c>
      <c r="AK507" s="96">
        <f>IF(AND($E507&gt;=Controls!$B$5,$E507&lt;=Controls!$B$6,OR(Controls!$E$9&lt;&gt;"Y",$BE507=1)),1,0)</f>
        <v/>
      </c>
      <c r="AL507" s="39">
        <f>1</f>
        <v/>
      </c>
      <c r="AM507" s="20">
        <f>S507-P507</f>
        <v/>
      </c>
      <c r="AN507" s="20">
        <f>IF(AH507=1,MAX(0,P507-S507),0)</f>
        <v/>
      </c>
      <c r="AO507" s="21">
        <f>IFERROR(S507/P507,"")</f>
        <v/>
      </c>
      <c r="AP507" s="22">
        <f>IF(Y507="","",P507/Y507)</f>
        <v/>
      </c>
      <c r="AQ507" s="39">
        <f>IF(Y507="",0,1)</f>
        <v/>
      </c>
      <c r="AR507" s="39">
        <f>IF(S507&lt;=0,1,0)</f>
        <v/>
      </c>
      <c r="AS507" s="17">
        <f>IF(AH507=1,AG507,"")</f>
        <v/>
      </c>
      <c r="AT507" s="17">
        <f>IF(AND(AH507=0,AJ507=1),AG507,"")</f>
        <v/>
      </c>
      <c r="AU507" s="5">
        <f>IF(P507&lt;10000,"Under $10K",IF(P507&lt;20000,"$10-20K",IF(P507&lt;30000,"$20-30K",IF(P507&lt;50000,"$30-50K",IF(P507&lt;100000,"$50-100K","$100K+")))))</f>
        <v/>
      </c>
      <c r="AV507" s="5">
        <f>IF(O507&lt;=1.35,"1.35 and under",IF(O507&lt;=1.42,"1.36-1.42",IF(O507&lt;=1.45,"1.43-1.45",IF(O507&lt;1.49,"1.46-1.48",IF(O507&lt;=1.49,"1.49","Above 1.49")))))</f>
        <v/>
      </c>
      <c r="AW507" s="5">
        <f>IF(AE507="","",IF(AE507&lt;60,"Under 60",IF(AE507&lt;90,"60-89",IF(AE507&lt;120,"90-119",IF(AE507&lt;150,"120-149","150+")))))</f>
        <v/>
      </c>
      <c r="AX507" s="5">
        <f>IF(AP507="","No revenue data",IF(AP507&lt;0.15,"Under 0.15x",IF(AP507&lt;0.3,"0.15-0.30x",IF(AP507&lt;0.5,"0.30-0.50x",IF(AP507&lt;1,"0.50-1.00x","1.00x+")))))</f>
        <v/>
      </c>
      <c r="AY507" s="5">
        <f>IF(J507="","No SIC",IFERROR(VLOOKUP(J507,Ref!$A$4:$C$67,2,FALSE()),"Unclassified"))</f>
        <v/>
      </c>
      <c r="AZ507" s="5">
        <f>IF(E507="","",TEXT(E507,"YYYY")&amp;"-Q"&amp;ROUNDUP(MONTH(E507)/3,0))</f>
        <v/>
      </c>
      <c r="BA507" s="5">
        <f>IF(E507="","",TEXT(E507,"YYYY-MM"))</f>
        <v/>
      </c>
      <c r="BB507" s="5">
        <f>IF(E507="","",TEXT(E507,"YYYY"))</f>
        <v/>
      </c>
      <c r="BC507" s="92">
        <f>IF($E507="","",NETWORKDAYS($E507,Controls!$B$9,Ref!$F$4:$F$47))</f>
        <v/>
      </c>
      <c r="BD507" s="92">
        <f>IF(OR($AH507=1,$AJ507=1),1,0)</f>
        <v/>
      </c>
      <c r="BE507" s="95">
        <f>IF(OR($BD507=1,AND($AE507&lt;&gt;"",$BC507&gt;=Controls!$B$10*$AE507)),1,0)</f>
        <v/>
      </c>
    </row>
    <row r="508" ht="15.75" customHeight="1" s="79">
      <c r="A508" s="5" t="inlineStr">
        <is>
          <t>5674175861</t>
        </is>
      </c>
      <c r="B508" s="5" t="inlineStr">
        <is>
          <t>MudHen Brewing Company</t>
        </is>
      </c>
      <c r="C508" s="5" t="inlineStr">
        <is>
          <t>BS Liquor, LLC</t>
        </is>
      </c>
      <c r="D508" s="5" t="inlineStr">
        <is>
          <t>Open</t>
        </is>
      </c>
      <c r="E508" s="16" t="n">
        <v>46028</v>
      </c>
      <c r="F508" s="16" t="n">
        <v>46252</v>
      </c>
      <c r="G508" s="17" t="n">
        <v>7</v>
      </c>
      <c r="H508" s="5" t="inlineStr">
        <is>
          <t>5499</t>
        </is>
      </c>
      <c r="I508" s="5" t="inlineStr">
        <is>
          <t>All Other Specialty Food Stores</t>
        </is>
      </c>
      <c r="J508" s="5" t="inlineStr">
        <is>
          <t>54</t>
        </is>
      </c>
      <c r="K508" s="5" t="n">
        <v>5499</v>
      </c>
      <c r="L508" s="5" t="inlineStr">
        <is>
          <t>NJ</t>
        </is>
      </c>
      <c r="M508" s="5" t="inlineStr">
        <is>
          <t>Fundwell</t>
        </is>
      </c>
      <c r="N508" s="5" t="inlineStr">
        <is>
          <t>New Deal</t>
        </is>
      </c>
      <c r="O508" s="19" t="n">
        <v>1.37</v>
      </c>
      <c r="P508" s="20" t="n">
        <v>275000</v>
      </c>
      <c r="Q508" s="20" t="n">
        <v>33000</v>
      </c>
      <c r="R508" s="20" t="n">
        <v>376750</v>
      </c>
      <c r="S508" s="20" t="n">
        <v>287870.23</v>
      </c>
      <c r="T508" s="20" t="n">
        <v>88879.77000000011</v>
      </c>
      <c r="U508" s="21" t="n">
        <v>0.764088201725282</v>
      </c>
      <c r="V508" s="22" t="n">
        <v>36</v>
      </c>
      <c r="W508" s="17" t="n">
        <v>1</v>
      </c>
      <c r="X508" s="17" t="n">
        <v>0</v>
      </c>
      <c r="Y508" s="20" t="n">
        <v>1789403.57</v>
      </c>
      <c r="Z508" s="21" t="n">
        <v>0.0234</v>
      </c>
      <c r="AA508" s="16" t="n">
        <v>43203</v>
      </c>
      <c r="AB508" s="5">
        <f>IF(V508="","",IF(V508&lt;12,"Months","Weeks"))</f>
        <v/>
      </c>
      <c r="AC508" s="5">
        <f>IF(AB508="","",IF(AB508="Months","Daily","Weekly"))</f>
        <v/>
      </c>
      <c r="AD508" s="17">
        <f>IF(V508="","",IF(AC508="Daily",V508*Controls!$B$13,V508))</f>
        <v/>
      </c>
      <c r="AE508" s="17">
        <f>IF(V508="","",IF(AC508="Daily",V508*Controls!$B$13,V508*Controls!$B$12))</f>
        <v/>
      </c>
      <c r="AF508" s="17">
        <f>IF(OR(E508="",F508=""),"",F508-E508)</f>
        <v/>
      </c>
      <c r="AG508" s="17">
        <f>IF(OR(E508="",F508=""),"",NETWORKDAYS(E508,F508,Ref!$F$4:$F$47))</f>
        <v/>
      </c>
      <c r="AH508" s="39">
        <f>IF(IFERROR(VLOOKUP(D508,Controls!$A$25:$D$35,2,FALSE()),"No")="Yes",1,0)</f>
        <v/>
      </c>
      <c r="AI508" s="39">
        <f>IF(IFERROR(VLOOKUP(D508,Controls!$A$25:$D$35,3,FALSE()),"No")="Yes",1,0)</f>
        <v/>
      </c>
      <c r="AJ508" s="39">
        <f>IF(IFERROR(VLOOKUP(D508,Controls!$A$25:$D$35,4,FALSE()),"No")="Yes",1,0)</f>
        <v/>
      </c>
      <c r="AK508" s="96">
        <f>IF(AND($E508&gt;=Controls!$B$5,$E508&lt;=Controls!$B$6,OR(Controls!$E$9&lt;&gt;"Y",$BE508=1)),1,0)</f>
        <v/>
      </c>
      <c r="AL508" s="39">
        <f>1</f>
        <v/>
      </c>
      <c r="AM508" s="20">
        <f>S508-P508</f>
        <v/>
      </c>
      <c r="AN508" s="20">
        <f>IF(AH508=1,MAX(0,P508-S508),0)</f>
        <v/>
      </c>
      <c r="AO508" s="21">
        <f>IFERROR(S508/P508,"")</f>
        <v/>
      </c>
      <c r="AP508" s="22">
        <f>IF(Y508="","",P508/Y508)</f>
        <v/>
      </c>
      <c r="AQ508" s="39">
        <f>IF(Y508="",0,1)</f>
        <v/>
      </c>
      <c r="AR508" s="39">
        <f>IF(S508&lt;=0,1,0)</f>
        <v/>
      </c>
      <c r="AS508" s="17">
        <f>IF(AH508=1,AG508,"")</f>
        <v/>
      </c>
      <c r="AT508" s="17">
        <f>IF(AND(AH508=0,AJ508=1),AG508,"")</f>
        <v/>
      </c>
      <c r="AU508" s="5">
        <f>IF(P508&lt;10000,"Under $10K",IF(P508&lt;20000,"$10-20K",IF(P508&lt;30000,"$20-30K",IF(P508&lt;50000,"$30-50K",IF(P508&lt;100000,"$50-100K","$100K+")))))</f>
        <v/>
      </c>
      <c r="AV508" s="5">
        <f>IF(O508&lt;=1.35,"1.35 and under",IF(O508&lt;=1.42,"1.36-1.42",IF(O508&lt;=1.45,"1.43-1.45",IF(O508&lt;1.49,"1.46-1.48",IF(O508&lt;=1.49,"1.49","Above 1.49")))))</f>
        <v/>
      </c>
      <c r="AW508" s="5">
        <f>IF(AE508="","",IF(AE508&lt;60,"Under 60",IF(AE508&lt;90,"60-89",IF(AE508&lt;120,"90-119",IF(AE508&lt;150,"120-149","150+")))))</f>
        <v/>
      </c>
      <c r="AX508" s="5">
        <f>IF(AP508="","No revenue data",IF(AP508&lt;0.15,"Under 0.15x",IF(AP508&lt;0.3,"0.15-0.30x",IF(AP508&lt;0.5,"0.30-0.50x",IF(AP508&lt;1,"0.50-1.00x","1.00x+")))))</f>
        <v/>
      </c>
      <c r="AY508" s="5">
        <f>IF(J508="","No SIC",IFERROR(VLOOKUP(J508,Ref!$A$4:$C$67,2,FALSE()),"Unclassified"))</f>
        <v/>
      </c>
      <c r="AZ508" s="5">
        <f>IF(E508="","",TEXT(E508,"YYYY")&amp;"-Q"&amp;ROUNDUP(MONTH(E508)/3,0))</f>
        <v/>
      </c>
      <c r="BA508" s="5">
        <f>IF(E508="","",TEXT(E508,"YYYY-MM"))</f>
        <v/>
      </c>
      <c r="BB508" s="5">
        <f>IF(E508="","",TEXT(E508,"YYYY"))</f>
        <v/>
      </c>
      <c r="BC508" s="92">
        <f>IF($E508="","",NETWORKDAYS($E508,Controls!$B$9,Ref!$F$4:$F$47))</f>
        <v/>
      </c>
      <c r="BD508" s="92">
        <f>IF(OR($AH508=1,$AJ508=1),1,0)</f>
        <v/>
      </c>
      <c r="BE508" s="95">
        <f>IF(OR($BD508=1,AND($AE508&lt;&gt;"",$BC508&gt;=Controls!$B$10*$AE508)),1,0)</f>
        <v/>
      </c>
    </row>
    <row r="509" ht="15.75" customHeight="1" s="79">
      <c r="A509" s="5" t="inlineStr">
        <is>
          <t>5674175888</t>
        </is>
      </c>
      <c r="B509" s="5" t="inlineStr">
        <is>
          <t>SOCAL MEDICAL TRANSPORTATION LLC</t>
        </is>
      </c>
      <c r="C509" s="5" t="inlineStr">
        <is>
          <t>SOCAL MEDICAL TRANSPORTATION LLC</t>
        </is>
      </c>
      <c r="D509" s="5" t="inlineStr">
        <is>
          <t>In House Collection</t>
        </is>
      </c>
      <c r="E509" s="16" t="n">
        <v>46029</v>
      </c>
      <c r="F509" s="16" t="n">
        <v>46251</v>
      </c>
      <c r="G509" s="17" t="n">
        <v>2</v>
      </c>
      <c r="H509" s="5" t="inlineStr">
        <is>
          <t>4729</t>
        </is>
      </c>
      <c r="I509" s="5" t="inlineStr">
        <is>
          <t>All Other Travel Arrangement and Reservation Services</t>
        </is>
      </c>
      <c r="J509" s="5" t="inlineStr">
        <is>
          <t>47</t>
        </is>
      </c>
      <c r="K509" s="5" t="n">
        <v>4722</v>
      </c>
      <c r="L509" s="5" t="inlineStr">
        <is>
          <t>CA</t>
        </is>
      </c>
      <c r="M509" s="5" t="inlineStr">
        <is>
          <t>The Funding Channel</t>
        </is>
      </c>
      <c r="N509" s="5" t="inlineStr">
        <is>
          <t>Renewal</t>
        </is>
      </c>
      <c r="O509" s="19" t="n">
        <v>1.49</v>
      </c>
      <c r="P509" s="20" t="n">
        <v>40000</v>
      </c>
      <c r="Q509" s="20" t="n">
        <v>5600</v>
      </c>
      <c r="R509" s="20" t="n">
        <v>59600</v>
      </c>
      <c r="S509" s="20" t="n">
        <v>11496.8</v>
      </c>
      <c r="T509" s="20" t="n">
        <v>48103.2</v>
      </c>
      <c r="U509" s="21" t="n">
        <v>0.19289932885906</v>
      </c>
      <c r="V509" s="22" t="n">
        <v>36</v>
      </c>
      <c r="W509" s="17" t="n">
        <v>2</v>
      </c>
      <c r="X509" s="17" t="n">
        <v>21</v>
      </c>
      <c r="Y509" s="20" t="n">
        <v>108901.57</v>
      </c>
      <c r="Z509" s="21" t="n">
        <v>0.0608</v>
      </c>
      <c r="AA509" s="16" t="n">
        <v>45497</v>
      </c>
      <c r="AB509" s="5">
        <f>IF(V509="","",IF(V509&lt;12,"Months","Weeks"))</f>
        <v/>
      </c>
      <c r="AC509" s="5">
        <f>IF(AB509="","",IF(AB509="Months","Daily","Weekly"))</f>
        <v/>
      </c>
      <c r="AD509" s="17">
        <f>IF(V509="","",IF(AC509="Daily",V509*Controls!$B$13,V509))</f>
        <v/>
      </c>
      <c r="AE509" s="17">
        <f>IF(V509="","",IF(AC509="Daily",V509*Controls!$B$13,V509*Controls!$B$12))</f>
        <v/>
      </c>
      <c r="AF509" s="17">
        <f>IF(OR(E509="",F509=""),"",F509-E509)</f>
        <v/>
      </c>
      <c r="AG509" s="17">
        <f>IF(OR(E509="",F509=""),"",NETWORKDAYS(E509,F509,Ref!$F$4:$F$47))</f>
        <v/>
      </c>
      <c r="AH509" s="39">
        <f>IF(IFERROR(VLOOKUP(D509,Controls!$A$25:$D$35,2,FALSE()),"No")="Yes",1,0)</f>
        <v/>
      </c>
      <c r="AI509" s="39">
        <f>IF(IFERROR(VLOOKUP(D509,Controls!$A$25:$D$35,3,FALSE()),"No")="Yes",1,0)</f>
        <v/>
      </c>
      <c r="AJ509" s="39">
        <f>IF(IFERROR(VLOOKUP(D509,Controls!$A$25:$D$35,4,FALSE()),"No")="Yes",1,0)</f>
        <v/>
      </c>
      <c r="AK509" s="96">
        <f>IF(AND($E509&gt;=Controls!$B$5,$E509&lt;=Controls!$B$6,OR(Controls!$E$9&lt;&gt;"Y",$BE509=1)),1,0)</f>
        <v/>
      </c>
      <c r="AL509" s="39">
        <f>1</f>
        <v/>
      </c>
      <c r="AM509" s="20">
        <f>S509-P509</f>
        <v/>
      </c>
      <c r="AN509" s="20">
        <f>IF(AH509=1,MAX(0,P509-S509),0)</f>
        <v/>
      </c>
      <c r="AO509" s="21">
        <f>IFERROR(S509/P509,"")</f>
        <v/>
      </c>
      <c r="AP509" s="22">
        <f>IF(Y509="","",P509/Y509)</f>
        <v/>
      </c>
      <c r="AQ509" s="39">
        <f>IF(Y509="",0,1)</f>
        <v/>
      </c>
      <c r="AR509" s="39">
        <f>IF(S509&lt;=0,1,0)</f>
        <v/>
      </c>
      <c r="AS509" s="17">
        <f>IF(AH509=1,AG509,"")</f>
        <v/>
      </c>
      <c r="AT509" s="17">
        <f>IF(AND(AH509=0,AJ509=1),AG509,"")</f>
        <v/>
      </c>
      <c r="AU509" s="5">
        <f>IF(P509&lt;10000,"Under $10K",IF(P509&lt;20000,"$10-20K",IF(P509&lt;30000,"$20-30K",IF(P509&lt;50000,"$30-50K",IF(P509&lt;100000,"$50-100K","$100K+")))))</f>
        <v/>
      </c>
      <c r="AV509" s="5">
        <f>IF(O509&lt;=1.35,"1.35 and under",IF(O509&lt;=1.42,"1.36-1.42",IF(O509&lt;=1.45,"1.43-1.45",IF(O509&lt;1.49,"1.46-1.48",IF(O509&lt;=1.49,"1.49","Above 1.49")))))</f>
        <v/>
      </c>
      <c r="AW509" s="5">
        <f>IF(AE509="","",IF(AE509&lt;60,"Under 60",IF(AE509&lt;90,"60-89",IF(AE509&lt;120,"90-119",IF(AE509&lt;150,"120-149","150+")))))</f>
        <v/>
      </c>
      <c r="AX509" s="5">
        <f>IF(AP509="","No revenue data",IF(AP509&lt;0.15,"Under 0.15x",IF(AP509&lt;0.3,"0.15-0.30x",IF(AP509&lt;0.5,"0.30-0.50x",IF(AP509&lt;1,"0.50-1.00x","1.00x+")))))</f>
        <v/>
      </c>
      <c r="AY509" s="5">
        <f>IF(J509="","No SIC",IFERROR(VLOOKUP(J509,Ref!$A$4:$C$67,2,FALSE()),"Unclassified"))</f>
        <v/>
      </c>
      <c r="AZ509" s="5">
        <f>IF(E509="","",TEXT(E509,"YYYY")&amp;"-Q"&amp;ROUNDUP(MONTH(E509)/3,0))</f>
        <v/>
      </c>
      <c r="BA509" s="5">
        <f>IF(E509="","",TEXT(E509,"YYYY-MM"))</f>
        <v/>
      </c>
      <c r="BB509" s="5">
        <f>IF(E509="","",TEXT(E509,"YYYY"))</f>
        <v/>
      </c>
      <c r="BC509" s="92">
        <f>IF($E509="","",NETWORKDAYS($E509,Controls!$B$9,Ref!$F$4:$F$47))</f>
        <v/>
      </c>
      <c r="BD509" s="92">
        <f>IF(OR($AH509=1,$AJ509=1),1,0)</f>
        <v/>
      </c>
      <c r="BE509" s="95">
        <f>IF(OR($BD509=1,AND($AE509&lt;&gt;"",$BC509&gt;=Controls!$B$10*$AE509)),1,0)</f>
        <v/>
      </c>
    </row>
    <row r="510" ht="15.75" customHeight="1" s="79">
      <c r="A510" s="5" t="inlineStr">
        <is>
          <t>5674175897</t>
        </is>
      </c>
      <c r="B510" s="5" t="inlineStr">
        <is>
          <t>Daurden Arts LLC</t>
        </is>
      </c>
      <c r="C510" s="5" t="inlineStr">
        <is>
          <t>Daurden Arts LLC</t>
        </is>
      </c>
      <c r="D510" s="5" t="inlineStr">
        <is>
          <t>Closed</t>
        </is>
      </c>
      <c r="E510" s="16" t="n">
        <v>46029</v>
      </c>
      <c r="F510" s="16" t="n">
        <v>46087</v>
      </c>
      <c r="G510" s="17" t="n">
        <v>2</v>
      </c>
      <c r="H510" s="5" t="inlineStr">
        <is>
          <t>7911</t>
        </is>
      </c>
      <c r="I510" s="5" t="inlineStr">
        <is>
          <t>All Other Amusement and Recreation Industries</t>
        </is>
      </c>
      <c r="J510" s="5" t="inlineStr">
        <is>
          <t>79</t>
        </is>
      </c>
      <c r="K510" s="5" t="n">
        <v>7911</v>
      </c>
      <c r="L510" s="5" t="inlineStr">
        <is>
          <t>CA</t>
        </is>
      </c>
      <c r="M510" s="5" t="inlineStr">
        <is>
          <t>Fundwell</t>
        </is>
      </c>
      <c r="N510" s="5" t="inlineStr">
        <is>
          <t>New Deal</t>
        </is>
      </c>
      <c r="O510" s="19" t="n">
        <v>1.46</v>
      </c>
      <c r="P510" s="20" t="n">
        <v>5000</v>
      </c>
      <c r="Q510" s="20" t="n">
        <v>775</v>
      </c>
      <c r="R510" s="20" t="n">
        <v>7300</v>
      </c>
      <c r="S510" s="20" t="n">
        <v>7300</v>
      </c>
      <c r="T510" s="20" t="n">
        <v>0</v>
      </c>
      <c r="U510" s="21" t="n">
        <v>1</v>
      </c>
      <c r="V510" s="22" t="n">
        <v>1.967</v>
      </c>
      <c r="W510" s="17" t="n">
        <v>166</v>
      </c>
      <c r="X510" s="17" t="n">
        <v>0</v>
      </c>
      <c r="Y510" s="20" t="n">
        <v>18156.75</v>
      </c>
      <c r="Z510" s="21" t="n">
        <v>0.2517</v>
      </c>
      <c r="AA510" s="16" t="n">
        <v>40980</v>
      </c>
      <c r="AB510" s="5">
        <f>IF(V510="","",IF(V510&lt;12,"Months","Weeks"))</f>
        <v/>
      </c>
      <c r="AC510" s="5">
        <f>IF(AB510="","",IF(AB510="Months","Daily","Weekly"))</f>
        <v/>
      </c>
      <c r="AD510" s="17">
        <f>IF(V510="","",IF(AC510="Daily",V510*Controls!$B$13,V510))</f>
        <v/>
      </c>
      <c r="AE510" s="17">
        <f>IF(V510="","",IF(AC510="Daily",V510*Controls!$B$13,V510*Controls!$B$12))</f>
        <v/>
      </c>
      <c r="AF510" s="17">
        <f>IF(OR(E510="",F510=""),"",F510-E510)</f>
        <v/>
      </c>
      <c r="AG510" s="17">
        <f>IF(OR(E510="",F510=""),"",NETWORKDAYS(E510,F510,Ref!$F$4:$F$47))</f>
        <v/>
      </c>
      <c r="AH510" s="39">
        <f>IF(IFERROR(VLOOKUP(D510,Controls!$A$25:$D$35,2,FALSE()),"No")="Yes",1,0)</f>
        <v/>
      </c>
      <c r="AI510" s="39">
        <f>IF(IFERROR(VLOOKUP(D510,Controls!$A$25:$D$35,3,FALSE()),"No")="Yes",1,0)</f>
        <v/>
      </c>
      <c r="AJ510" s="39">
        <f>IF(IFERROR(VLOOKUP(D510,Controls!$A$25:$D$35,4,FALSE()),"No")="Yes",1,0)</f>
        <v/>
      </c>
      <c r="AK510" s="96">
        <f>IF(AND($E510&gt;=Controls!$B$5,$E510&lt;=Controls!$B$6,OR(Controls!$E$9&lt;&gt;"Y",$BE510=1)),1,0)</f>
        <v/>
      </c>
      <c r="AL510" s="39">
        <f>1</f>
        <v/>
      </c>
      <c r="AM510" s="20">
        <f>S510-P510</f>
        <v/>
      </c>
      <c r="AN510" s="20">
        <f>IF(AH510=1,MAX(0,P510-S510),0)</f>
        <v/>
      </c>
      <c r="AO510" s="21">
        <f>IFERROR(S510/P510,"")</f>
        <v/>
      </c>
      <c r="AP510" s="22">
        <f>IF(Y510="","",P510/Y510)</f>
        <v/>
      </c>
      <c r="AQ510" s="39">
        <f>IF(Y510="",0,1)</f>
        <v/>
      </c>
      <c r="AR510" s="39">
        <f>IF(S510&lt;=0,1,0)</f>
        <v/>
      </c>
      <c r="AS510" s="17">
        <f>IF(AH510=1,AG510,"")</f>
        <v/>
      </c>
      <c r="AT510" s="17">
        <f>IF(AND(AH510=0,AJ510=1),AG510,"")</f>
        <v/>
      </c>
      <c r="AU510" s="5">
        <f>IF(P510&lt;10000,"Under $10K",IF(P510&lt;20000,"$10-20K",IF(P510&lt;30000,"$20-30K",IF(P510&lt;50000,"$30-50K",IF(P510&lt;100000,"$50-100K","$100K+")))))</f>
        <v/>
      </c>
      <c r="AV510" s="5">
        <f>IF(O510&lt;=1.35,"1.35 and under",IF(O510&lt;=1.42,"1.36-1.42",IF(O510&lt;=1.45,"1.43-1.45",IF(O510&lt;1.49,"1.46-1.48",IF(O510&lt;=1.49,"1.49","Above 1.49")))))</f>
        <v/>
      </c>
      <c r="AW510" s="5">
        <f>IF(AE510="","",IF(AE510&lt;60,"Under 60",IF(AE510&lt;90,"60-89",IF(AE510&lt;120,"90-119",IF(AE510&lt;150,"120-149","150+")))))</f>
        <v/>
      </c>
      <c r="AX510" s="5">
        <f>IF(AP510="","No revenue data",IF(AP510&lt;0.15,"Under 0.15x",IF(AP510&lt;0.3,"0.15-0.30x",IF(AP510&lt;0.5,"0.30-0.50x",IF(AP510&lt;1,"0.50-1.00x","1.00x+")))))</f>
        <v/>
      </c>
      <c r="AY510" s="5">
        <f>IF(J510="","No SIC",IFERROR(VLOOKUP(J510,Ref!$A$4:$C$67,2,FALSE()),"Unclassified"))</f>
        <v/>
      </c>
      <c r="AZ510" s="5">
        <f>IF(E510="","",TEXT(E510,"YYYY")&amp;"-Q"&amp;ROUNDUP(MONTH(E510)/3,0))</f>
        <v/>
      </c>
      <c r="BA510" s="5">
        <f>IF(E510="","",TEXT(E510,"YYYY-MM"))</f>
        <v/>
      </c>
      <c r="BB510" s="5">
        <f>IF(E510="","",TEXT(E510,"YYYY"))</f>
        <v/>
      </c>
      <c r="BC510" s="92">
        <f>IF($E510="","",NETWORKDAYS($E510,Controls!$B$9,Ref!$F$4:$F$47))</f>
        <v/>
      </c>
      <c r="BD510" s="92">
        <f>IF(OR($AH510=1,$AJ510=1),1,0)</f>
        <v/>
      </c>
      <c r="BE510" s="95">
        <f>IF(OR($BD510=1,AND($AE510&lt;&gt;"",$BC510&gt;=Controls!$B$10*$AE510)),1,0)</f>
        <v/>
      </c>
    </row>
    <row r="511" ht="15.75" customHeight="1" s="79">
      <c r="A511" s="5" t="inlineStr">
        <is>
          <t>5674175932</t>
        </is>
      </c>
      <c r="B511" s="5" t="inlineStr">
        <is>
          <t>S&amp;K Property Services LLC</t>
        </is>
      </c>
      <c r="C511" s="5" t="inlineStr">
        <is>
          <t>S&amp;K Property Services LLC</t>
        </is>
      </c>
      <c r="D511" s="5" t="inlineStr">
        <is>
          <t>Closed</t>
        </is>
      </c>
      <c r="E511" s="16" t="n">
        <v>46029</v>
      </c>
      <c r="F511" s="16" t="n">
        <v>46129</v>
      </c>
      <c r="G511" s="17" t="n">
        <v>2</v>
      </c>
      <c r="H511" s="5" t="inlineStr">
        <is>
          <t>1521</t>
        </is>
      </c>
      <c r="I511" s="5" t="inlineStr">
        <is>
          <t>New Single-Family Housing Construction (Except For-Sale Builders)</t>
        </is>
      </c>
      <c r="J511" s="5" t="inlineStr">
        <is>
          <t>15</t>
        </is>
      </c>
      <c r="K511" s="5" t="n">
        <v>1520</v>
      </c>
      <c r="L511" s="5" t="inlineStr">
        <is>
          <t>GA</t>
        </is>
      </c>
      <c r="M511" s="5" t="inlineStr">
        <is>
          <t>Ballicci</t>
        </is>
      </c>
      <c r="N511" s="5" t="inlineStr">
        <is>
          <t>New Deal</t>
        </is>
      </c>
      <c r="O511" s="19" t="n">
        <v>1.49</v>
      </c>
      <c r="P511" s="20" t="n">
        <v>25000</v>
      </c>
      <c r="Q511" s="20" t="n">
        <v>3500</v>
      </c>
      <c r="R511" s="20" t="n">
        <v>37250</v>
      </c>
      <c r="S511" s="20" t="n">
        <v>37250</v>
      </c>
      <c r="T511" s="20" t="n">
        <v>0</v>
      </c>
      <c r="U511" s="21" t="n">
        <v>1</v>
      </c>
      <c r="V511" s="22" t="n">
        <v>3.279</v>
      </c>
      <c r="W511" s="17" t="n">
        <v>124</v>
      </c>
      <c r="X511" s="17" t="n">
        <v>0</v>
      </c>
      <c r="Y511" s="20" t="n">
        <v>40259.29</v>
      </c>
      <c r="Z511" s="21" t="n">
        <v>0.1943</v>
      </c>
      <c r="AA511" s="16" t="n">
        <v>43466</v>
      </c>
      <c r="AB511" s="5">
        <f>IF(V511="","",IF(V511&lt;12,"Months","Weeks"))</f>
        <v/>
      </c>
      <c r="AC511" s="5">
        <f>IF(AB511="","",IF(AB511="Months","Daily","Weekly"))</f>
        <v/>
      </c>
      <c r="AD511" s="17">
        <f>IF(V511="","",IF(AC511="Daily",V511*Controls!$B$13,V511))</f>
        <v/>
      </c>
      <c r="AE511" s="17">
        <f>IF(V511="","",IF(AC511="Daily",V511*Controls!$B$13,V511*Controls!$B$12))</f>
        <v/>
      </c>
      <c r="AF511" s="17">
        <f>IF(OR(E511="",F511=""),"",F511-E511)</f>
        <v/>
      </c>
      <c r="AG511" s="17">
        <f>IF(OR(E511="",F511=""),"",NETWORKDAYS(E511,F511,Ref!$F$4:$F$47))</f>
        <v/>
      </c>
      <c r="AH511" s="39">
        <f>IF(IFERROR(VLOOKUP(D511,Controls!$A$25:$D$35,2,FALSE()),"No")="Yes",1,0)</f>
        <v/>
      </c>
      <c r="AI511" s="39">
        <f>IF(IFERROR(VLOOKUP(D511,Controls!$A$25:$D$35,3,FALSE()),"No")="Yes",1,0)</f>
        <v/>
      </c>
      <c r="AJ511" s="39">
        <f>IF(IFERROR(VLOOKUP(D511,Controls!$A$25:$D$35,4,FALSE()),"No")="Yes",1,0)</f>
        <v/>
      </c>
      <c r="AK511" s="96">
        <f>IF(AND($E511&gt;=Controls!$B$5,$E511&lt;=Controls!$B$6,OR(Controls!$E$9&lt;&gt;"Y",$BE511=1)),1,0)</f>
        <v/>
      </c>
      <c r="AL511" s="39">
        <f>1</f>
        <v/>
      </c>
      <c r="AM511" s="20">
        <f>S511-P511</f>
        <v/>
      </c>
      <c r="AN511" s="20">
        <f>IF(AH511=1,MAX(0,P511-S511),0)</f>
        <v/>
      </c>
      <c r="AO511" s="21">
        <f>IFERROR(S511/P511,"")</f>
        <v/>
      </c>
      <c r="AP511" s="22">
        <f>IF(Y511="","",P511/Y511)</f>
        <v/>
      </c>
      <c r="AQ511" s="39">
        <f>IF(Y511="",0,1)</f>
        <v/>
      </c>
      <c r="AR511" s="39">
        <f>IF(S511&lt;=0,1,0)</f>
        <v/>
      </c>
      <c r="AS511" s="17">
        <f>IF(AH511=1,AG511,"")</f>
        <v/>
      </c>
      <c r="AT511" s="17">
        <f>IF(AND(AH511=0,AJ511=1),AG511,"")</f>
        <v/>
      </c>
      <c r="AU511" s="5">
        <f>IF(P511&lt;10000,"Under $10K",IF(P511&lt;20000,"$10-20K",IF(P511&lt;30000,"$20-30K",IF(P511&lt;50000,"$30-50K",IF(P511&lt;100000,"$50-100K","$100K+")))))</f>
        <v/>
      </c>
      <c r="AV511" s="5">
        <f>IF(O511&lt;=1.35,"1.35 and under",IF(O511&lt;=1.42,"1.36-1.42",IF(O511&lt;=1.45,"1.43-1.45",IF(O511&lt;1.49,"1.46-1.48",IF(O511&lt;=1.49,"1.49","Above 1.49")))))</f>
        <v/>
      </c>
      <c r="AW511" s="5">
        <f>IF(AE511="","",IF(AE511&lt;60,"Under 60",IF(AE511&lt;90,"60-89",IF(AE511&lt;120,"90-119",IF(AE511&lt;150,"120-149","150+")))))</f>
        <v/>
      </c>
      <c r="AX511" s="5">
        <f>IF(AP511="","No revenue data",IF(AP511&lt;0.15,"Under 0.15x",IF(AP511&lt;0.3,"0.15-0.30x",IF(AP511&lt;0.5,"0.30-0.50x",IF(AP511&lt;1,"0.50-1.00x","1.00x+")))))</f>
        <v/>
      </c>
      <c r="AY511" s="5">
        <f>IF(J511="","No SIC",IFERROR(VLOOKUP(J511,Ref!$A$4:$C$67,2,FALSE()),"Unclassified"))</f>
        <v/>
      </c>
      <c r="AZ511" s="5">
        <f>IF(E511="","",TEXT(E511,"YYYY")&amp;"-Q"&amp;ROUNDUP(MONTH(E511)/3,0))</f>
        <v/>
      </c>
      <c r="BA511" s="5">
        <f>IF(E511="","",TEXT(E511,"YYYY-MM"))</f>
        <v/>
      </c>
      <c r="BB511" s="5">
        <f>IF(E511="","",TEXT(E511,"YYYY"))</f>
        <v/>
      </c>
      <c r="BC511" s="92">
        <f>IF($E511="","",NETWORKDAYS($E511,Controls!$B$9,Ref!$F$4:$F$47))</f>
        <v/>
      </c>
      <c r="BD511" s="92">
        <f>IF(OR($AH511=1,$AJ511=1),1,0)</f>
        <v/>
      </c>
      <c r="BE511" s="95">
        <f>IF(OR($BD511=1,AND($AE511&lt;&gt;"",$BC511&gt;=Controls!$B$10*$AE511)),1,0)</f>
        <v/>
      </c>
    </row>
    <row r="512" ht="15.75" customHeight="1" s="79">
      <c r="A512" s="5" t="inlineStr">
        <is>
          <t>5674175945</t>
        </is>
      </c>
      <c r="B512" s="5" t="inlineStr">
        <is>
          <t>Exquisite Bride, LLC</t>
        </is>
      </c>
      <c r="C512" s="5" t="inlineStr">
        <is>
          <t>Exquisite Bride, LLC</t>
        </is>
      </c>
      <c r="D512" s="5" t="inlineStr">
        <is>
          <t>Closed</t>
        </is>
      </c>
      <c r="E512" s="16" t="n">
        <v>46029</v>
      </c>
      <c r="F512" s="16" t="n">
        <v>46161</v>
      </c>
      <c r="G512" s="17" t="n">
        <v>3</v>
      </c>
      <c r="H512" s="5" t="inlineStr">
        <is>
          <t>5999</t>
        </is>
      </c>
      <c r="I512" s="5" t="inlineStr">
        <is>
          <t>All Other Health and Personal Care Stores</t>
        </is>
      </c>
      <c r="J512" s="5" t="inlineStr">
        <is>
          <t>59</t>
        </is>
      </c>
      <c r="K512" s="5" t="n">
        <v>5999</v>
      </c>
      <c r="L512" s="5" t="inlineStr">
        <is>
          <t>TX</t>
        </is>
      </c>
      <c r="M512" s="5" t="inlineStr">
        <is>
          <t>Viking Funding LLC</t>
        </is>
      </c>
      <c r="N512" s="5" t="inlineStr">
        <is>
          <t>Renewal</t>
        </is>
      </c>
      <c r="O512" s="19" t="n">
        <v>1.49</v>
      </c>
      <c r="P512" s="20" t="n">
        <v>15000</v>
      </c>
      <c r="Q512" s="20" t="n">
        <v>2100</v>
      </c>
      <c r="R512" s="20" t="n">
        <v>22350</v>
      </c>
      <c r="S512" s="20" t="n">
        <v>22350</v>
      </c>
      <c r="T512" s="20" t="n">
        <v>0</v>
      </c>
      <c r="U512" s="21" t="n">
        <v>1</v>
      </c>
      <c r="V512" s="22" t="n">
        <v>4.098</v>
      </c>
      <c r="W512" s="17" t="n">
        <v>92</v>
      </c>
      <c r="X512" s="17" t="n">
        <v>4</v>
      </c>
      <c r="Y512" s="20" t="n">
        <v>38438.18</v>
      </c>
      <c r="Z512" s="21" t="n">
        <v>0.0977</v>
      </c>
      <c r="AA512" s="16" t="n">
        <v>44562</v>
      </c>
      <c r="AB512" s="5">
        <f>IF(V512="","",IF(V512&lt;12,"Months","Weeks"))</f>
        <v/>
      </c>
      <c r="AC512" s="5">
        <f>IF(AB512="","",IF(AB512="Months","Daily","Weekly"))</f>
        <v/>
      </c>
      <c r="AD512" s="17">
        <f>IF(V512="","",IF(AC512="Daily",V512*Controls!$B$13,V512))</f>
        <v/>
      </c>
      <c r="AE512" s="17">
        <f>IF(V512="","",IF(AC512="Daily",V512*Controls!$B$13,V512*Controls!$B$12))</f>
        <v/>
      </c>
      <c r="AF512" s="17">
        <f>IF(OR(E512="",F512=""),"",F512-E512)</f>
        <v/>
      </c>
      <c r="AG512" s="17">
        <f>IF(OR(E512="",F512=""),"",NETWORKDAYS(E512,F512,Ref!$F$4:$F$47))</f>
        <v/>
      </c>
      <c r="AH512" s="39">
        <f>IF(IFERROR(VLOOKUP(D512,Controls!$A$25:$D$35,2,FALSE()),"No")="Yes",1,0)</f>
        <v/>
      </c>
      <c r="AI512" s="39">
        <f>IF(IFERROR(VLOOKUP(D512,Controls!$A$25:$D$35,3,FALSE()),"No")="Yes",1,0)</f>
        <v/>
      </c>
      <c r="AJ512" s="39">
        <f>IF(IFERROR(VLOOKUP(D512,Controls!$A$25:$D$35,4,FALSE()),"No")="Yes",1,0)</f>
        <v/>
      </c>
      <c r="AK512" s="96">
        <f>IF(AND($E512&gt;=Controls!$B$5,$E512&lt;=Controls!$B$6,OR(Controls!$E$9&lt;&gt;"Y",$BE512=1)),1,0)</f>
        <v/>
      </c>
      <c r="AL512" s="39">
        <f>1</f>
        <v/>
      </c>
      <c r="AM512" s="20">
        <f>S512-P512</f>
        <v/>
      </c>
      <c r="AN512" s="20">
        <f>IF(AH512=1,MAX(0,P512-S512),0)</f>
        <v/>
      </c>
      <c r="AO512" s="21">
        <f>IFERROR(S512/P512,"")</f>
        <v/>
      </c>
      <c r="AP512" s="22">
        <f>IF(Y512="","",P512/Y512)</f>
        <v/>
      </c>
      <c r="AQ512" s="39">
        <f>IF(Y512="",0,1)</f>
        <v/>
      </c>
      <c r="AR512" s="39">
        <f>IF(S512&lt;=0,1,0)</f>
        <v/>
      </c>
      <c r="AS512" s="17">
        <f>IF(AH512=1,AG512,"")</f>
        <v/>
      </c>
      <c r="AT512" s="17">
        <f>IF(AND(AH512=0,AJ512=1),AG512,"")</f>
        <v/>
      </c>
      <c r="AU512" s="5">
        <f>IF(P512&lt;10000,"Under $10K",IF(P512&lt;20000,"$10-20K",IF(P512&lt;30000,"$20-30K",IF(P512&lt;50000,"$30-50K",IF(P512&lt;100000,"$50-100K","$100K+")))))</f>
        <v/>
      </c>
      <c r="AV512" s="5">
        <f>IF(O512&lt;=1.35,"1.35 and under",IF(O512&lt;=1.42,"1.36-1.42",IF(O512&lt;=1.45,"1.43-1.45",IF(O512&lt;1.49,"1.46-1.48",IF(O512&lt;=1.49,"1.49","Above 1.49")))))</f>
        <v/>
      </c>
      <c r="AW512" s="5">
        <f>IF(AE512="","",IF(AE512&lt;60,"Under 60",IF(AE512&lt;90,"60-89",IF(AE512&lt;120,"90-119",IF(AE512&lt;150,"120-149","150+")))))</f>
        <v/>
      </c>
      <c r="AX512" s="5">
        <f>IF(AP512="","No revenue data",IF(AP512&lt;0.15,"Under 0.15x",IF(AP512&lt;0.3,"0.15-0.30x",IF(AP512&lt;0.5,"0.30-0.50x",IF(AP512&lt;1,"0.50-1.00x","1.00x+")))))</f>
        <v/>
      </c>
      <c r="AY512" s="5">
        <f>IF(J512="","No SIC",IFERROR(VLOOKUP(J512,Ref!$A$4:$C$67,2,FALSE()),"Unclassified"))</f>
        <v/>
      </c>
      <c r="AZ512" s="5">
        <f>IF(E512="","",TEXT(E512,"YYYY")&amp;"-Q"&amp;ROUNDUP(MONTH(E512)/3,0))</f>
        <v/>
      </c>
      <c r="BA512" s="5">
        <f>IF(E512="","",TEXT(E512,"YYYY-MM"))</f>
        <v/>
      </c>
      <c r="BB512" s="5">
        <f>IF(E512="","",TEXT(E512,"YYYY"))</f>
        <v/>
      </c>
      <c r="BC512" s="92">
        <f>IF($E512="","",NETWORKDAYS($E512,Controls!$B$9,Ref!$F$4:$F$47))</f>
        <v/>
      </c>
      <c r="BD512" s="92">
        <f>IF(OR($AH512=1,$AJ512=1),1,0)</f>
        <v/>
      </c>
      <c r="BE512" s="95">
        <f>IF(OR($BD512=1,AND($AE512&lt;&gt;"",$BC512&gt;=Controls!$B$10*$AE512)),1,0)</f>
        <v/>
      </c>
    </row>
    <row r="513" ht="15.75" customHeight="1" s="79">
      <c r="A513" s="5" t="inlineStr">
        <is>
          <t>5674176005</t>
        </is>
      </c>
      <c r="B513" s="5" t="inlineStr">
        <is>
          <t>S&amp;D ELECTRIC</t>
        </is>
      </c>
      <c r="C513" s="5" t="inlineStr">
        <is>
          <t>S&amp;D Electric, LLC</t>
        </is>
      </c>
      <c r="D513" s="5" t="inlineStr">
        <is>
          <t>Legal</t>
        </is>
      </c>
      <c r="E513" s="16" t="n">
        <v>46030</v>
      </c>
      <c r="F513" s="16" t="n">
        <v>46128</v>
      </c>
      <c r="G513" s="17" t="n">
        <v>2</v>
      </c>
      <c r="H513" s="5" t="inlineStr">
        <is>
          <t>1731</t>
        </is>
      </c>
      <c r="I513" s="5" t="inlineStr">
        <is>
          <t>Electrical Contractors and Other Wiring Installation Contractors</t>
        </is>
      </c>
      <c r="J513" s="5" t="inlineStr">
        <is>
          <t>17</t>
        </is>
      </c>
      <c r="K513" s="5" t="n">
        <v>1731</v>
      </c>
      <c r="L513" s="5" t="inlineStr">
        <is>
          <t>No state</t>
        </is>
      </c>
      <c r="M513" s="5" t="inlineStr">
        <is>
          <t>ecp business capital</t>
        </is>
      </c>
      <c r="N513" s="5" t="inlineStr">
        <is>
          <t>New Deal</t>
        </is>
      </c>
      <c r="O513" s="19" t="n">
        <v>1.5</v>
      </c>
      <c r="P513" s="20" t="n">
        <v>150000</v>
      </c>
      <c r="Q513" s="20" t="n">
        <v>21000</v>
      </c>
      <c r="R513" s="20" t="n">
        <v>225000</v>
      </c>
      <c r="S513" s="20" t="n">
        <v>78903.96000000001</v>
      </c>
      <c r="T513" s="20" t="n">
        <v>146096.04</v>
      </c>
      <c r="U513" s="21" t="n">
        <v>0.350684266666667</v>
      </c>
      <c r="V513" s="22" t="n">
        <v>34</v>
      </c>
      <c r="W513" s="17" t="n">
        <v>132</v>
      </c>
      <c r="X513" s="17" t="n">
        <v>2</v>
      </c>
      <c r="Y513" s="20" t="n">
        <v>220278.97</v>
      </c>
      <c r="Z513" s="21" t="n">
        <v>0.1194</v>
      </c>
      <c r="AA513" s="16" t="n">
        <v>43817</v>
      </c>
      <c r="AB513" s="5">
        <f>IF(V513="","",IF(V513&lt;12,"Months","Weeks"))</f>
        <v/>
      </c>
      <c r="AC513" s="5">
        <f>IF(AB513="","",IF(AB513="Months","Daily","Weekly"))</f>
        <v/>
      </c>
      <c r="AD513" s="17">
        <f>IF(V513="","",IF(AC513="Daily",V513*Controls!$B$13,V513))</f>
        <v/>
      </c>
      <c r="AE513" s="17">
        <f>IF(V513="","",IF(AC513="Daily",V513*Controls!$B$13,V513*Controls!$B$12))</f>
        <v/>
      </c>
      <c r="AF513" s="17">
        <f>IF(OR(E513="",F513=""),"",F513-E513)</f>
        <v/>
      </c>
      <c r="AG513" s="17">
        <f>IF(OR(E513="",F513=""),"",NETWORKDAYS(E513,F513,Ref!$F$4:$F$47))</f>
        <v/>
      </c>
      <c r="AH513" s="39">
        <f>IF(IFERROR(VLOOKUP(D513,Controls!$A$25:$D$35,2,FALSE()),"No")="Yes",1,0)</f>
        <v/>
      </c>
      <c r="AI513" s="39">
        <f>IF(IFERROR(VLOOKUP(D513,Controls!$A$25:$D$35,3,FALSE()),"No")="Yes",1,0)</f>
        <v/>
      </c>
      <c r="AJ513" s="39">
        <f>IF(IFERROR(VLOOKUP(D513,Controls!$A$25:$D$35,4,FALSE()),"No")="Yes",1,0)</f>
        <v/>
      </c>
      <c r="AK513" s="96">
        <f>IF(AND($E513&gt;=Controls!$B$5,$E513&lt;=Controls!$B$6,OR(Controls!$E$9&lt;&gt;"Y",$BE513=1)),1,0)</f>
        <v/>
      </c>
      <c r="AL513" s="39">
        <f>1</f>
        <v/>
      </c>
      <c r="AM513" s="20">
        <f>S513-P513</f>
        <v/>
      </c>
      <c r="AN513" s="20">
        <f>IF(AH513=1,MAX(0,P513-S513),0)</f>
        <v/>
      </c>
      <c r="AO513" s="21">
        <f>IFERROR(S513/P513,"")</f>
        <v/>
      </c>
      <c r="AP513" s="22">
        <f>IF(Y513="","",P513/Y513)</f>
        <v/>
      </c>
      <c r="AQ513" s="39">
        <f>IF(Y513="",0,1)</f>
        <v/>
      </c>
      <c r="AR513" s="39">
        <f>IF(S513&lt;=0,1,0)</f>
        <v/>
      </c>
      <c r="AS513" s="17">
        <f>IF(AH513=1,AG513,"")</f>
        <v/>
      </c>
      <c r="AT513" s="17">
        <f>IF(AND(AH513=0,AJ513=1),AG513,"")</f>
        <v/>
      </c>
      <c r="AU513" s="5">
        <f>IF(P513&lt;10000,"Under $10K",IF(P513&lt;20000,"$10-20K",IF(P513&lt;30000,"$20-30K",IF(P513&lt;50000,"$30-50K",IF(P513&lt;100000,"$50-100K","$100K+")))))</f>
        <v/>
      </c>
      <c r="AV513" s="5">
        <f>IF(O513&lt;=1.35,"1.35 and under",IF(O513&lt;=1.42,"1.36-1.42",IF(O513&lt;=1.45,"1.43-1.45",IF(O513&lt;1.49,"1.46-1.48",IF(O513&lt;=1.49,"1.49","Above 1.49")))))</f>
        <v/>
      </c>
      <c r="AW513" s="5">
        <f>IF(AE513="","",IF(AE513&lt;60,"Under 60",IF(AE513&lt;90,"60-89",IF(AE513&lt;120,"90-119",IF(AE513&lt;150,"120-149","150+")))))</f>
        <v/>
      </c>
      <c r="AX513" s="5">
        <f>IF(AP513="","No revenue data",IF(AP513&lt;0.15,"Under 0.15x",IF(AP513&lt;0.3,"0.15-0.30x",IF(AP513&lt;0.5,"0.30-0.50x",IF(AP513&lt;1,"0.50-1.00x","1.00x+")))))</f>
        <v/>
      </c>
      <c r="AY513" s="5">
        <f>IF(J513="","No SIC",IFERROR(VLOOKUP(J513,Ref!$A$4:$C$67,2,FALSE()),"Unclassified"))</f>
        <v/>
      </c>
      <c r="AZ513" s="5">
        <f>IF(E513="","",TEXT(E513,"YYYY")&amp;"-Q"&amp;ROUNDUP(MONTH(E513)/3,0))</f>
        <v/>
      </c>
      <c r="BA513" s="5">
        <f>IF(E513="","",TEXT(E513,"YYYY-MM"))</f>
        <v/>
      </c>
      <c r="BB513" s="5">
        <f>IF(E513="","",TEXT(E513,"YYYY"))</f>
        <v/>
      </c>
      <c r="BC513" s="92">
        <f>IF($E513="","",NETWORKDAYS($E513,Controls!$B$9,Ref!$F$4:$F$47))</f>
        <v/>
      </c>
      <c r="BD513" s="92">
        <f>IF(OR($AH513=1,$AJ513=1),1,0)</f>
        <v/>
      </c>
      <c r="BE513" s="95">
        <f>IF(OR($BD513=1,AND($AE513&lt;&gt;"",$BC513&gt;=Controls!$B$10*$AE513)),1,0)</f>
        <v/>
      </c>
    </row>
    <row r="514" ht="15.75" customHeight="1" s="79">
      <c r="A514" s="5" t="inlineStr">
        <is>
          <t>5674176016</t>
        </is>
      </c>
      <c r="B514" s="5" t="inlineStr">
        <is>
          <t>CC REMODELING SERVICES INC</t>
        </is>
      </c>
      <c r="C514" s="5" t="inlineStr">
        <is>
          <t>CC REMODELING SERVICES INC</t>
        </is>
      </c>
      <c r="D514" s="5" t="inlineStr">
        <is>
          <t>In House Collection</t>
        </is>
      </c>
      <c r="E514" s="16" t="n">
        <v>46030</v>
      </c>
      <c r="F514" s="16" t="n">
        <v>46172</v>
      </c>
      <c r="G514" s="17" t="n">
        <v>2</v>
      </c>
      <c r="H514" s="5" t="inlineStr">
        <is>
          <t>1521</t>
        </is>
      </c>
      <c r="I514" s="5" t="inlineStr">
        <is>
          <t>New Single-Family Housing Construction (Except For-Sale Builders)</t>
        </is>
      </c>
      <c r="J514" s="5" t="inlineStr">
        <is>
          <t>15</t>
        </is>
      </c>
      <c r="K514" s="5" t="n">
        <v>1520</v>
      </c>
      <c r="L514" s="5" t="inlineStr">
        <is>
          <t>TN</t>
        </is>
      </c>
      <c r="M514" s="5" t="inlineStr">
        <is>
          <t>biz advance now</t>
        </is>
      </c>
      <c r="N514" s="5" t="inlineStr">
        <is>
          <t>Renewal</t>
        </is>
      </c>
      <c r="O514" s="19" t="n">
        <v>1.49</v>
      </c>
      <c r="P514" s="20" t="n">
        <v>20000</v>
      </c>
      <c r="Q514" s="20" t="n">
        <v>2800</v>
      </c>
      <c r="R514" s="20" t="n">
        <v>29800</v>
      </c>
      <c r="S514" s="20" t="n">
        <v>3538.75</v>
      </c>
      <c r="T514" s="20" t="n">
        <v>26261.25</v>
      </c>
      <c r="U514" s="21" t="n">
        <v>0.11875</v>
      </c>
      <c r="V514" s="22" t="n">
        <v>2.951</v>
      </c>
      <c r="W514" s="17" t="n">
        <v>81</v>
      </c>
      <c r="X514" s="17" t="n">
        <v>5</v>
      </c>
      <c r="Y514" s="20" t="n">
        <v>81491.69</v>
      </c>
      <c r="Z514" s="21" t="n">
        <v>0.0853</v>
      </c>
      <c r="AA514" s="16" t="n">
        <v>45292</v>
      </c>
      <c r="AB514" s="5">
        <f>IF(V514="","",IF(V514&lt;12,"Months","Weeks"))</f>
        <v/>
      </c>
      <c r="AC514" s="5">
        <f>IF(AB514="","",IF(AB514="Months","Daily","Weekly"))</f>
        <v/>
      </c>
      <c r="AD514" s="17">
        <f>IF(V514="","",IF(AC514="Daily",V514*Controls!$B$13,V514))</f>
        <v/>
      </c>
      <c r="AE514" s="17">
        <f>IF(V514="","",IF(AC514="Daily",V514*Controls!$B$13,V514*Controls!$B$12))</f>
        <v/>
      </c>
      <c r="AF514" s="17">
        <f>IF(OR(E514="",F514=""),"",F514-E514)</f>
        <v/>
      </c>
      <c r="AG514" s="17">
        <f>IF(OR(E514="",F514=""),"",NETWORKDAYS(E514,F514,Ref!$F$4:$F$47))</f>
        <v/>
      </c>
      <c r="AH514" s="39">
        <f>IF(IFERROR(VLOOKUP(D514,Controls!$A$25:$D$35,2,FALSE()),"No")="Yes",1,0)</f>
        <v/>
      </c>
      <c r="AI514" s="39">
        <f>IF(IFERROR(VLOOKUP(D514,Controls!$A$25:$D$35,3,FALSE()),"No")="Yes",1,0)</f>
        <v/>
      </c>
      <c r="AJ514" s="39">
        <f>IF(IFERROR(VLOOKUP(D514,Controls!$A$25:$D$35,4,FALSE()),"No")="Yes",1,0)</f>
        <v/>
      </c>
      <c r="AK514" s="96">
        <f>IF(AND($E514&gt;=Controls!$B$5,$E514&lt;=Controls!$B$6,OR(Controls!$E$9&lt;&gt;"Y",$BE514=1)),1,0)</f>
        <v/>
      </c>
      <c r="AL514" s="39">
        <f>1</f>
        <v/>
      </c>
      <c r="AM514" s="20">
        <f>S514-P514</f>
        <v/>
      </c>
      <c r="AN514" s="20">
        <f>IF(AH514=1,MAX(0,P514-S514),0)</f>
        <v/>
      </c>
      <c r="AO514" s="21">
        <f>IFERROR(S514/P514,"")</f>
        <v/>
      </c>
      <c r="AP514" s="22">
        <f>IF(Y514="","",P514/Y514)</f>
        <v/>
      </c>
      <c r="AQ514" s="39">
        <f>IF(Y514="",0,1)</f>
        <v/>
      </c>
      <c r="AR514" s="39">
        <f>IF(S514&lt;=0,1,0)</f>
        <v/>
      </c>
      <c r="AS514" s="17">
        <f>IF(AH514=1,AG514,"")</f>
        <v/>
      </c>
      <c r="AT514" s="17">
        <f>IF(AND(AH514=0,AJ514=1),AG514,"")</f>
        <v/>
      </c>
      <c r="AU514" s="5">
        <f>IF(P514&lt;10000,"Under $10K",IF(P514&lt;20000,"$10-20K",IF(P514&lt;30000,"$20-30K",IF(P514&lt;50000,"$30-50K",IF(P514&lt;100000,"$50-100K","$100K+")))))</f>
        <v/>
      </c>
      <c r="AV514" s="5">
        <f>IF(O514&lt;=1.35,"1.35 and under",IF(O514&lt;=1.42,"1.36-1.42",IF(O514&lt;=1.45,"1.43-1.45",IF(O514&lt;1.49,"1.46-1.48",IF(O514&lt;=1.49,"1.49","Above 1.49")))))</f>
        <v/>
      </c>
      <c r="AW514" s="5">
        <f>IF(AE514="","",IF(AE514&lt;60,"Under 60",IF(AE514&lt;90,"60-89",IF(AE514&lt;120,"90-119",IF(AE514&lt;150,"120-149","150+")))))</f>
        <v/>
      </c>
      <c r="AX514" s="5">
        <f>IF(AP514="","No revenue data",IF(AP514&lt;0.15,"Under 0.15x",IF(AP514&lt;0.3,"0.15-0.30x",IF(AP514&lt;0.5,"0.30-0.50x",IF(AP514&lt;1,"0.50-1.00x","1.00x+")))))</f>
        <v/>
      </c>
      <c r="AY514" s="5">
        <f>IF(J514="","No SIC",IFERROR(VLOOKUP(J514,Ref!$A$4:$C$67,2,FALSE()),"Unclassified"))</f>
        <v/>
      </c>
      <c r="AZ514" s="5">
        <f>IF(E514="","",TEXT(E514,"YYYY")&amp;"-Q"&amp;ROUNDUP(MONTH(E514)/3,0))</f>
        <v/>
      </c>
      <c r="BA514" s="5">
        <f>IF(E514="","",TEXT(E514,"YYYY-MM"))</f>
        <v/>
      </c>
      <c r="BB514" s="5">
        <f>IF(E514="","",TEXT(E514,"YYYY"))</f>
        <v/>
      </c>
      <c r="BC514" s="92">
        <f>IF($E514="","",NETWORKDAYS($E514,Controls!$B$9,Ref!$F$4:$F$47))</f>
        <v/>
      </c>
      <c r="BD514" s="92">
        <f>IF(OR($AH514=1,$AJ514=1),1,0)</f>
        <v/>
      </c>
      <c r="BE514" s="95">
        <f>IF(OR($BD514=1,AND($AE514&lt;&gt;"",$BC514&gt;=Controls!$B$10*$AE514)),1,0)</f>
        <v/>
      </c>
    </row>
    <row r="515" ht="15.75" customHeight="1" s="79">
      <c r="A515" s="5" t="inlineStr">
        <is>
          <t>5674176019</t>
        </is>
      </c>
      <c r="B515" s="5" t="inlineStr">
        <is>
          <t>A-1 CEMENT FINISHING &amp; BOBCAT WORK</t>
        </is>
      </c>
      <c r="C515" s="5" t="inlineStr">
        <is>
          <t>ALAN L LINDSEY</t>
        </is>
      </c>
      <c r="D515" s="5" t="inlineStr">
        <is>
          <t>Legal</t>
        </is>
      </c>
      <c r="E515" s="16" t="n">
        <v>46030</v>
      </c>
      <c r="F515" s="16" t="n">
        <v>46202</v>
      </c>
      <c r="G515" s="17" t="n">
        <v>2</v>
      </c>
      <c r="H515" s="5" t="n"/>
      <c r="I515" s="5" t="n"/>
      <c r="J515" s="5" t="n"/>
      <c r="K515" s="5" t="n">
        <v>1520</v>
      </c>
      <c r="L515" s="5" t="inlineStr">
        <is>
          <t>GA</t>
        </is>
      </c>
      <c r="M515" s="5" t="inlineStr">
        <is>
          <t>Fundwell</t>
        </is>
      </c>
      <c r="N515" s="5" t="inlineStr">
        <is>
          <t>New Deal</t>
        </is>
      </c>
      <c r="O515" s="19" t="n">
        <v>1.49</v>
      </c>
      <c r="P515" s="20" t="n">
        <v>53000</v>
      </c>
      <c r="Q515" s="20" t="n">
        <v>8745</v>
      </c>
      <c r="R515" s="20" t="n">
        <v>78970</v>
      </c>
      <c r="S515" s="20" t="n">
        <v>15870.06</v>
      </c>
      <c r="T515" s="20" t="n">
        <v>63099.94</v>
      </c>
      <c r="U515" s="21" t="n">
        <v>0.200963150563505</v>
      </c>
      <c r="V515" s="22" t="n">
        <v>48</v>
      </c>
      <c r="W515" s="17" t="n">
        <v>51</v>
      </c>
      <c r="X515" s="17" t="n">
        <v>1</v>
      </c>
      <c r="Y515" s="20" t="n">
        <v>72387.47</v>
      </c>
      <c r="Z515" s="21" t="n">
        <v>0.09089999999999999</v>
      </c>
      <c r="AA515" s="16" t="n">
        <v>32748</v>
      </c>
      <c r="AB515" s="5">
        <f>IF(V515="","",IF(V515&lt;12,"Months","Weeks"))</f>
        <v/>
      </c>
      <c r="AC515" s="5">
        <f>IF(AB515="","",IF(AB515="Months","Daily","Weekly"))</f>
        <v/>
      </c>
      <c r="AD515" s="17">
        <f>IF(V515="","",IF(AC515="Daily",V515*Controls!$B$13,V515))</f>
        <v/>
      </c>
      <c r="AE515" s="17">
        <f>IF(V515="","",IF(AC515="Daily",V515*Controls!$B$13,V515*Controls!$B$12))</f>
        <v/>
      </c>
      <c r="AF515" s="17">
        <f>IF(OR(E515="",F515=""),"",F515-E515)</f>
        <v/>
      </c>
      <c r="AG515" s="17">
        <f>IF(OR(E515="",F515=""),"",NETWORKDAYS(E515,F515,Ref!$F$4:$F$47))</f>
        <v/>
      </c>
      <c r="AH515" s="39">
        <f>IF(IFERROR(VLOOKUP(D515,Controls!$A$25:$D$35,2,FALSE()),"No")="Yes",1,0)</f>
        <v/>
      </c>
      <c r="AI515" s="39">
        <f>IF(IFERROR(VLOOKUP(D515,Controls!$A$25:$D$35,3,FALSE()),"No")="Yes",1,0)</f>
        <v/>
      </c>
      <c r="AJ515" s="39">
        <f>IF(IFERROR(VLOOKUP(D515,Controls!$A$25:$D$35,4,FALSE()),"No")="Yes",1,0)</f>
        <v/>
      </c>
      <c r="AK515" s="96">
        <f>IF(AND($E515&gt;=Controls!$B$5,$E515&lt;=Controls!$B$6,OR(Controls!$E$9&lt;&gt;"Y",$BE515=1)),1,0)</f>
        <v/>
      </c>
      <c r="AL515" s="39">
        <f>1</f>
        <v/>
      </c>
      <c r="AM515" s="20">
        <f>S515-P515</f>
        <v/>
      </c>
      <c r="AN515" s="20">
        <f>IF(AH515=1,MAX(0,P515-S515),0)</f>
        <v/>
      </c>
      <c r="AO515" s="21">
        <f>IFERROR(S515/P515,"")</f>
        <v/>
      </c>
      <c r="AP515" s="22">
        <f>IF(Y515="","",P515/Y515)</f>
        <v/>
      </c>
      <c r="AQ515" s="39">
        <f>IF(Y515="",0,1)</f>
        <v/>
      </c>
      <c r="AR515" s="39">
        <f>IF(S515&lt;=0,1,0)</f>
        <v/>
      </c>
      <c r="AS515" s="17">
        <f>IF(AH515=1,AG515,"")</f>
        <v/>
      </c>
      <c r="AT515" s="17">
        <f>IF(AND(AH515=0,AJ515=1),AG515,"")</f>
        <v/>
      </c>
      <c r="AU515" s="5">
        <f>IF(P515&lt;10000,"Under $10K",IF(P515&lt;20000,"$10-20K",IF(P515&lt;30000,"$20-30K",IF(P515&lt;50000,"$30-50K",IF(P515&lt;100000,"$50-100K","$100K+")))))</f>
        <v/>
      </c>
      <c r="AV515" s="5">
        <f>IF(O515&lt;=1.35,"1.35 and under",IF(O515&lt;=1.42,"1.36-1.42",IF(O515&lt;=1.45,"1.43-1.45",IF(O515&lt;1.49,"1.46-1.48",IF(O515&lt;=1.49,"1.49","Above 1.49")))))</f>
        <v/>
      </c>
      <c r="AW515" s="5">
        <f>IF(AE515="","",IF(AE515&lt;60,"Under 60",IF(AE515&lt;90,"60-89",IF(AE515&lt;120,"90-119",IF(AE515&lt;150,"120-149","150+")))))</f>
        <v/>
      </c>
      <c r="AX515" s="5">
        <f>IF(AP515="","No revenue data",IF(AP515&lt;0.15,"Under 0.15x",IF(AP515&lt;0.3,"0.15-0.30x",IF(AP515&lt;0.5,"0.30-0.50x",IF(AP515&lt;1,"0.50-1.00x","1.00x+")))))</f>
        <v/>
      </c>
      <c r="AY515" s="5">
        <f>IF(J515="","No SIC",IFERROR(VLOOKUP(J515,Ref!$A$4:$C$67,2,FALSE()),"Unclassified"))</f>
        <v/>
      </c>
      <c r="AZ515" s="5">
        <f>IF(E515="","",TEXT(E515,"YYYY")&amp;"-Q"&amp;ROUNDUP(MONTH(E515)/3,0))</f>
        <v/>
      </c>
      <c r="BA515" s="5">
        <f>IF(E515="","",TEXT(E515,"YYYY-MM"))</f>
        <v/>
      </c>
      <c r="BB515" s="5">
        <f>IF(E515="","",TEXT(E515,"YYYY"))</f>
        <v/>
      </c>
      <c r="BC515" s="92">
        <f>IF($E515="","",NETWORKDAYS($E515,Controls!$B$9,Ref!$F$4:$F$47))</f>
        <v/>
      </c>
      <c r="BD515" s="92">
        <f>IF(OR($AH515=1,$AJ515=1),1,0)</f>
        <v/>
      </c>
      <c r="BE515" s="95">
        <f>IF(OR($BD515=1,AND($AE515&lt;&gt;"",$BC515&gt;=Controls!$B$10*$AE515)),1,0)</f>
        <v/>
      </c>
    </row>
    <row r="516" ht="15.75" customHeight="1" s="79">
      <c r="A516" s="5" t="inlineStr">
        <is>
          <t>5674176020</t>
        </is>
      </c>
      <c r="B516" s="5" t="inlineStr">
        <is>
          <t>SR UNBOUNDED</t>
        </is>
      </c>
      <c r="C516" s="5" t="inlineStr">
        <is>
          <t>SR UNBOUNDED</t>
        </is>
      </c>
      <c r="D516" s="5" t="inlineStr">
        <is>
          <t>Closed</t>
        </is>
      </c>
      <c r="E516" s="16" t="n">
        <v>46030</v>
      </c>
      <c r="F516" s="16" t="n">
        <v>46111</v>
      </c>
      <c r="G516" s="17" t="n">
        <v>4</v>
      </c>
      <c r="H516" s="5" t="inlineStr">
        <is>
          <t>5999</t>
        </is>
      </c>
      <c r="I516" s="5" t="inlineStr">
        <is>
          <t>All Other Misc. Store Retailers (Except Tobacco Stores)</t>
        </is>
      </c>
      <c r="J516" s="5" t="inlineStr">
        <is>
          <t>59</t>
        </is>
      </c>
      <c r="K516" s="5" t="n">
        <v>5999</v>
      </c>
      <c r="L516" s="5" t="inlineStr">
        <is>
          <t>CA</t>
        </is>
      </c>
      <c r="M516" s="5" t="inlineStr">
        <is>
          <t>Shore Funding USA</t>
        </is>
      </c>
      <c r="N516" s="5" t="inlineStr">
        <is>
          <t>Renewal</t>
        </is>
      </c>
      <c r="O516" s="19" t="n">
        <v>1.49</v>
      </c>
      <c r="P516" s="20" t="n">
        <v>11000</v>
      </c>
      <c r="Q516" s="20" t="n">
        <v>1540</v>
      </c>
      <c r="R516" s="20" t="n">
        <v>16390</v>
      </c>
      <c r="S516" s="20" t="n">
        <v>16390</v>
      </c>
      <c r="T516" s="20" t="n">
        <v>0</v>
      </c>
      <c r="U516" s="21" t="n">
        <v>1</v>
      </c>
      <c r="V516" s="22" t="n">
        <v>2.623</v>
      </c>
      <c r="W516" s="17" t="n">
        <v>142</v>
      </c>
      <c r="X516" s="17" t="n">
        <v>1</v>
      </c>
      <c r="Y516" s="20" t="n">
        <v>18593.14</v>
      </c>
      <c r="Z516" s="21" t="n">
        <v>0.2752</v>
      </c>
      <c r="AA516" s="16" t="n">
        <v>43863</v>
      </c>
      <c r="AB516" s="5">
        <f>IF(V516="","",IF(V516&lt;12,"Months","Weeks"))</f>
        <v/>
      </c>
      <c r="AC516" s="5">
        <f>IF(AB516="","",IF(AB516="Months","Daily","Weekly"))</f>
        <v/>
      </c>
      <c r="AD516" s="17">
        <f>IF(V516="","",IF(AC516="Daily",V516*Controls!$B$13,V516))</f>
        <v/>
      </c>
      <c r="AE516" s="17">
        <f>IF(V516="","",IF(AC516="Daily",V516*Controls!$B$13,V516*Controls!$B$12))</f>
        <v/>
      </c>
      <c r="AF516" s="17">
        <f>IF(OR(E516="",F516=""),"",F516-E516)</f>
        <v/>
      </c>
      <c r="AG516" s="17">
        <f>IF(OR(E516="",F516=""),"",NETWORKDAYS(E516,F516,Ref!$F$4:$F$47))</f>
        <v/>
      </c>
      <c r="AH516" s="39">
        <f>IF(IFERROR(VLOOKUP(D516,Controls!$A$25:$D$35,2,FALSE()),"No")="Yes",1,0)</f>
        <v/>
      </c>
      <c r="AI516" s="39">
        <f>IF(IFERROR(VLOOKUP(D516,Controls!$A$25:$D$35,3,FALSE()),"No")="Yes",1,0)</f>
        <v/>
      </c>
      <c r="AJ516" s="39">
        <f>IF(IFERROR(VLOOKUP(D516,Controls!$A$25:$D$35,4,FALSE()),"No")="Yes",1,0)</f>
        <v/>
      </c>
      <c r="AK516" s="96">
        <f>IF(AND($E516&gt;=Controls!$B$5,$E516&lt;=Controls!$B$6,OR(Controls!$E$9&lt;&gt;"Y",$BE516=1)),1,0)</f>
        <v/>
      </c>
      <c r="AL516" s="39">
        <f>1</f>
        <v/>
      </c>
      <c r="AM516" s="20">
        <f>S516-P516</f>
        <v/>
      </c>
      <c r="AN516" s="20">
        <f>IF(AH516=1,MAX(0,P516-S516),0)</f>
        <v/>
      </c>
      <c r="AO516" s="21">
        <f>IFERROR(S516/P516,"")</f>
        <v/>
      </c>
      <c r="AP516" s="22">
        <f>IF(Y516="","",P516/Y516)</f>
        <v/>
      </c>
      <c r="AQ516" s="39">
        <f>IF(Y516="",0,1)</f>
        <v/>
      </c>
      <c r="AR516" s="39">
        <f>IF(S516&lt;=0,1,0)</f>
        <v/>
      </c>
      <c r="AS516" s="17">
        <f>IF(AH516=1,AG516,"")</f>
        <v/>
      </c>
      <c r="AT516" s="17">
        <f>IF(AND(AH516=0,AJ516=1),AG516,"")</f>
        <v/>
      </c>
      <c r="AU516" s="5">
        <f>IF(P516&lt;10000,"Under $10K",IF(P516&lt;20000,"$10-20K",IF(P516&lt;30000,"$20-30K",IF(P516&lt;50000,"$30-50K",IF(P516&lt;100000,"$50-100K","$100K+")))))</f>
        <v/>
      </c>
      <c r="AV516" s="5">
        <f>IF(O516&lt;=1.35,"1.35 and under",IF(O516&lt;=1.42,"1.36-1.42",IF(O516&lt;=1.45,"1.43-1.45",IF(O516&lt;1.49,"1.46-1.48",IF(O516&lt;=1.49,"1.49","Above 1.49")))))</f>
        <v/>
      </c>
      <c r="AW516" s="5">
        <f>IF(AE516="","",IF(AE516&lt;60,"Under 60",IF(AE516&lt;90,"60-89",IF(AE516&lt;120,"90-119",IF(AE516&lt;150,"120-149","150+")))))</f>
        <v/>
      </c>
      <c r="AX516" s="5">
        <f>IF(AP516="","No revenue data",IF(AP516&lt;0.15,"Under 0.15x",IF(AP516&lt;0.3,"0.15-0.30x",IF(AP516&lt;0.5,"0.30-0.50x",IF(AP516&lt;1,"0.50-1.00x","1.00x+")))))</f>
        <v/>
      </c>
      <c r="AY516" s="5">
        <f>IF(J516="","No SIC",IFERROR(VLOOKUP(J516,Ref!$A$4:$C$67,2,FALSE()),"Unclassified"))</f>
        <v/>
      </c>
      <c r="AZ516" s="5">
        <f>IF(E516="","",TEXT(E516,"YYYY")&amp;"-Q"&amp;ROUNDUP(MONTH(E516)/3,0))</f>
        <v/>
      </c>
      <c r="BA516" s="5">
        <f>IF(E516="","",TEXT(E516,"YYYY-MM"))</f>
        <v/>
      </c>
      <c r="BB516" s="5">
        <f>IF(E516="","",TEXT(E516,"YYYY"))</f>
        <v/>
      </c>
      <c r="BC516" s="92">
        <f>IF($E516="","",NETWORKDAYS($E516,Controls!$B$9,Ref!$F$4:$F$47))</f>
        <v/>
      </c>
      <c r="BD516" s="92">
        <f>IF(OR($AH516=1,$AJ516=1),1,0)</f>
        <v/>
      </c>
      <c r="BE516" s="95">
        <f>IF(OR($BD516=1,AND($AE516&lt;&gt;"",$BC516&gt;=Controls!$B$10*$AE516)),1,0)</f>
        <v/>
      </c>
    </row>
    <row r="517" ht="15.75" customHeight="1" s="79">
      <c r="A517" s="5" t="inlineStr">
        <is>
          <t>5674176053</t>
        </is>
      </c>
      <c r="B517" s="5" t="inlineStr">
        <is>
          <t>ANB PASTRY EMPIRE</t>
        </is>
      </c>
      <c r="C517" s="5" t="inlineStr">
        <is>
          <t>ANB PASTRY EMPIRE LLC</t>
        </is>
      </c>
      <c r="D517" s="5" t="inlineStr">
        <is>
          <t>Closed</t>
        </is>
      </c>
      <c r="E517" s="16" t="n">
        <v>46030</v>
      </c>
      <c r="F517" s="16" t="n">
        <v>46119</v>
      </c>
      <c r="G517" s="17" t="n">
        <v>2</v>
      </c>
      <c r="H517" s="5" t="inlineStr">
        <is>
          <t>5142</t>
        </is>
      </c>
      <c r="I517" s="5" t="inlineStr">
        <is>
          <t>Packaged Frozen Food Merchant Wholesalers</t>
        </is>
      </c>
      <c r="J517" s="5" t="inlineStr">
        <is>
          <t>51</t>
        </is>
      </c>
      <c r="K517" s="5" t="n">
        <v>5499</v>
      </c>
      <c r="L517" s="5" t="inlineStr">
        <is>
          <t>TX</t>
        </is>
      </c>
      <c r="M517" s="5" t="inlineStr">
        <is>
          <t>Fundwell</t>
        </is>
      </c>
      <c r="N517" s="5" t="inlineStr">
        <is>
          <t>New Deal</t>
        </is>
      </c>
      <c r="O517" s="19" t="n">
        <v>1.46</v>
      </c>
      <c r="P517" s="20" t="n">
        <v>8000</v>
      </c>
      <c r="Q517" s="20" t="n">
        <v>1240</v>
      </c>
      <c r="R517" s="20" t="n">
        <v>11680</v>
      </c>
      <c r="S517" s="20" t="n">
        <v>11680</v>
      </c>
      <c r="T517" s="20" t="n">
        <v>0</v>
      </c>
      <c r="U517" s="21" t="n">
        <v>1</v>
      </c>
      <c r="V517" s="22" t="n">
        <v>2.951</v>
      </c>
      <c r="W517" s="17" t="n">
        <v>134</v>
      </c>
      <c r="X517" s="17" t="n">
        <v>1</v>
      </c>
      <c r="Y517" s="20" t="n">
        <v>25456</v>
      </c>
      <c r="Z517" s="21" t="n">
        <v>0.1205</v>
      </c>
      <c r="AA517" s="16" t="n">
        <v>43623</v>
      </c>
      <c r="AB517" s="5">
        <f>IF(V517="","",IF(V517&lt;12,"Months","Weeks"))</f>
        <v/>
      </c>
      <c r="AC517" s="5">
        <f>IF(AB517="","",IF(AB517="Months","Daily","Weekly"))</f>
        <v/>
      </c>
      <c r="AD517" s="17">
        <f>IF(V517="","",IF(AC517="Daily",V517*Controls!$B$13,V517))</f>
        <v/>
      </c>
      <c r="AE517" s="17">
        <f>IF(V517="","",IF(AC517="Daily",V517*Controls!$B$13,V517*Controls!$B$12))</f>
        <v/>
      </c>
      <c r="AF517" s="17">
        <f>IF(OR(E517="",F517=""),"",F517-E517)</f>
        <v/>
      </c>
      <c r="AG517" s="17">
        <f>IF(OR(E517="",F517=""),"",NETWORKDAYS(E517,F517,Ref!$F$4:$F$47))</f>
        <v/>
      </c>
      <c r="AH517" s="39">
        <f>IF(IFERROR(VLOOKUP(D517,Controls!$A$25:$D$35,2,FALSE()),"No")="Yes",1,0)</f>
        <v/>
      </c>
      <c r="AI517" s="39">
        <f>IF(IFERROR(VLOOKUP(D517,Controls!$A$25:$D$35,3,FALSE()),"No")="Yes",1,0)</f>
        <v/>
      </c>
      <c r="AJ517" s="39">
        <f>IF(IFERROR(VLOOKUP(D517,Controls!$A$25:$D$35,4,FALSE()),"No")="Yes",1,0)</f>
        <v/>
      </c>
      <c r="AK517" s="96">
        <f>IF(AND($E517&gt;=Controls!$B$5,$E517&lt;=Controls!$B$6,OR(Controls!$E$9&lt;&gt;"Y",$BE517=1)),1,0)</f>
        <v/>
      </c>
      <c r="AL517" s="39">
        <f>1</f>
        <v/>
      </c>
      <c r="AM517" s="20">
        <f>S517-P517</f>
        <v/>
      </c>
      <c r="AN517" s="20">
        <f>IF(AH517=1,MAX(0,P517-S517),0)</f>
        <v/>
      </c>
      <c r="AO517" s="21">
        <f>IFERROR(S517/P517,"")</f>
        <v/>
      </c>
      <c r="AP517" s="22">
        <f>IF(Y517="","",P517/Y517)</f>
        <v/>
      </c>
      <c r="AQ517" s="39">
        <f>IF(Y517="",0,1)</f>
        <v/>
      </c>
      <c r="AR517" s="39">
        <f>IF(S517&lt;=0,1,0)</f>
        <v/>
      </c>
      <c r="AS517" s="17">
        <f>IF(AH517=1,AG517,"")</f>
        <v/>
      </c>
      <c r="AT517" s="17">
        <f>IF(AND(AH517=0,AJ517=1),AG517,"")</f>
        <v/>
      </c>
      <c r="AU517" s="5">
        <f>IF(P517&lt;10000,"Under $10K",IF(P517&lt;20000,"$10-20K",IF(P517&lt;30000,"$20-30K",IF(P517&lt;50000,"$30-50K",IF(P517&lt;100000,"$50-100K","$100K+")))))</f>
        <v/>
      </c>
      <c r="AV517" s="5">
        <f>IF(O517&lt;=1.35,"1.35 and under",IF(O517&lt;=1.42,"1.36-1.42",IF(O517&lt;=1.45,"1.43-1.45",IF(O517&lt;1.49,"1.46-1.48",IF(O517&lt;=1.49,"1.49","Above 1.49")))))</f>
        <v/>
      </c>
      <c r="AW517" s="5">
        <f>IF(AE517="","",IF(AE517&lt;60,"Under 60",IF(AE517&lt;90,"60-89",IF(AE517&lt;120,"90-119",IF(AE517&lt;150,"120-149","150+")))))</f>
        <v/>
      </c>
      <c r="AX517" s="5">
        <f>IF(AP517="","No revenue data",IF(AP517&lt;0.15,"Under 0.15x",IF(AP517&lt;0.3,"0.15-0.30x",IF(AP517&lt;0.5,"0.30-0.50x",IF(AP517&lt;1,"0.50-1.00x","1.00x+")))))</f>
        <v/>
      </c>
      <c r="AY517" s="5">
        <f>IF(J517="","No SIC",IFERROR(VLOOKUP(J517,Ref!$A$4:$C$67,2,FALSE()),"Unclassified"))</f>
        <v/>
      </c>
      <c r="AZ517" s="5">
        <f>IF(E517="","",TEXT(E517,"YYYY")&amp;"-Q"&amp;ROUNDUP(MONTH(E517)/3,0))</f>
        <v/>
      </c>
      <c r="BA517" s="5">
        <f>IF(E517="","",TEXT(E517,"YYYY-MM"))</f>
        <v/>
      </c>
      <c r="BB517" s="5">
        <f>IF(E517="","",TEXT(E517,"YYYY"))</f>
        <v/>
      </c>
      <c r="BC517" s="92">
        <f>IF($E517="","",NETWORKDAYS($E517,Controls!$B$9,Ref!$F$4:$F$47))</f>
        <v/>
      </c>
      <c r="BD517" s="92">
        <f>IF(OR($AH517=1,$AJ517=1),1,0)</f>
        <v/>
      </c>
      <c r="BE517" s="95">
        <f>IF(OR($BD517=1,AND($AE517&lt;&gt;"",$BC517&gt;=Controls!$B$10*$AE517)),1,0)</f>
        <v/>
      </c>
    </row>
    <row r="518" ht="15.75" customHeight="1" s="79">
      <c r="A518" s="5" t="inlineStr">
        <is>
          <t>5674176064</t>
        </is>
      </c>
      <c r="B518" s="5" t="inlineStr">
        <is>
          <t>KMT TRUCKING SERVICE LLC</t>
        </is>
      </c>
      <c r="C518" s="5" t="inlineStr">
        <is>
          <t>KMT TRUCKING SERVICE LLC</t>
        </is>
      </c>
      <c r="D518" s="5" t="inlineStr">
        <is>
          <t>Legal</t>
        </is>
      </c>
      <c r="E518" s="16" t="n">
        <v>46030</v>
      </c>
      <c r="F518" s="16" t="n">
        <v>46038</v>
      </c>
      <c r="G518" s="17" t="n">
        <v>3</v>
      </c>
      <c r="H518" s="5" t="inlineStr">
        <is>
          <t>4212</t>
        </is>
      </c>
      <c r="I518" s="5" t="inlineStr">
        <is>
          <t>Specialized Freight (Except Used Goods) Trucking, Local</t>
        </is>
      </c>
      <c r="J518" s="5" t="inlineStr">
        <is>
          <t>42</t>
        </is>
      </c>
      <c r="K518" s="5" t="n">
        <v>4214</v>
      </c>
      <c r="L518" s="5" t="inlineStr">
        <is>
          <t>MS</t>
        </is>
      </c>
      <c r="M518" s="5" t="inlineStr">
        <is>
          <t>United Secured Capital 8</t>
        </is>
      </c>
      <c r="N518" s="5" t="inlineStr">
        <is>
          <t>New Deal</t>
        </is>
      </c>
      <c r="O518" s="19" t="n">
        <v>1.49</v>
      </c>
      <c r="P518" s="20" t="n">
        <v>10000</v>
      </c>
      <c r="Q518" s="20" t="n">
        <v>0</v>
      </c>
      <c r="R518" s="20" t="n">
        <v>14900</v>
      </c>
      <c r="S518" s="20" t="n">
        <v>992.92</v>
      </c>
      <c r="T518" s="20" t="n">
        <v>13907.08</v>
      </c>
      <c r="U518" s="21" t="n">
        <v>0.0666389261744966</v>
      </c>
      <c r="V518" s="22" t="n">
        <v>1.967</v>
      </c>
      <c r="W518" s="17" t="n">
        <v>218</v>
      </c>
      <c r="X518" s="17" t="n">
        <v>2</v>
      </c>
      <c r="Y518" s="20" t="n">
        <v>100449.21</v>
      </c>
      <c r="Z518" s="21" t="n">
        <v>0.0447</v>
      </c>
      <c r="AA518" s="16" t="n">
        <v>43101</v>
      </c>
      <c r="AB518" s="5">
        <f>IF(V518="","",IF(V518&lt;12,"Months","Weeks"))</f>
        <v/>
      </c>
      <c r="AC518" s="5">
        <f>IF(AB518="","",IF(AB518="Months","Daily","Weekly"))</f>
        <v/>
      </c>
      <c r="AD518" s="17">
        <f>IF(V518="","",IF(AC518="Daily",V518*Controls!$B$13,V518))</f>
        <v/>
      </c>
      <c r="AE518" s="17">
        <f>IF(V518="","",IF(AC518="Daily",V518*Controls!$B$13,V518*Controls!$B$12))</f>
        <v/>
      </c>
      <c r="AF518" s="17">
        <f>IF(OR(E518="",F518=""),"",F518-E518)</f>
        <v/>
      </c>
      <c r="AG518" s="17">
        <f>IF(OR(E518="",F518=""),"",NETWORKDAYS(E518,F518,Ref!$F$4:$F$47))</f>
        <v/>
      </c>
      <c r="AH518" s="39">
        <f>IF(IFERROR(VLOOKUP(D518,Controls!$A$25:$D$35,2,FALSE()),"No")="Yes",1,0)</f>
        <v/>
      </c>
      <c r="AI518" s="39">
        <f>IF(IFERROR(VLOOKUP(D518,Controls!$A$25:$D$35,3,FALSE()),"No")="Yes",1,0)</f>
        <v/>
      </c>
      <c r="AJ518" s="39">
        <f>IF(IFERROR(VLOOKUP(D518,Controls!$A$25:$D$35,4,FALSE()),"No")="Yes",1,0)</f>
        <v/>
      </c>
      <c r="AK518" s="96">
        <f>IF(AND($E518&gt;=Controls!$B$5,$E518&lt;=Controls!$B$6,OR(Controls!$E$9&lt;&gt;"Y",$BE518=1)),1,0)</f>
        <v/>
      </c>
      <c r="AL518" s="39">
        <f>1</f>
        <v/>
      </c>
      <c r="AM518" s="20">
        <f>S518-P518</f>
        <v/>
      </c>
      <c r="AN518" s="20">
        <f>IF(AH518=1,MAX(0,P518-S518),0)</f>
        <v/>
      </c>
      <c r="AO518" s="21">
        <f>IFERROR(S518/P518,"")</f>
        <v/>
      </c>
      <c r="AP518" s="22">
        <f>IF(Y518="","",P518/Y518)</f>
        <v/>
      </c>
      <c r="AQ518" s="39">
        <f>IF(Y518="",0,1)</f>
        <v/>
      </c>
      <c r="AR518" s="39">
        <f>IF(S518&lt;=0,1,0)</f>
        <v/>
      </c>
      <c r="AS518" s="17">
        <f>IF(AH518=1,AG518,"")</f>
        <v/>
      </c>
      <c r="AT518" s="17">
        <f>IF(AND(AH518=0,AJ518=1),AG518,"")</f>
        <v/>
      </c>
      <c r="AU518" s="5">
        <f>IF(P518&lt;10000,"Under $10K",IF(P518&lt;20000,"$10-20K",IF(P518&lt;30000,"$20-30K",IF(P518&lt;50000,"$30-50K",IF(P518&lt;100000,"$50-100K","$100K+")))))</f>
        <v/>
      </c>
      <c r="AV518" s="5">
        <f>IF(O518&lt;=1.35,"1.35 and under",IF(O518&lt;=1.42,"1.36-1.42",IF(O518&lt;=1.45,"1.43-1.45",IF(O518&lt;1.49,"1.46-1.48",IF(O518&lt;=1.49,"1.49","Above 1.49")))))</f>
        <v/>
      </c>
      <c r="AW518" s="5">
        <f>IF(AE518="","",IF(AE518&lt;60,"Under 60",IF(AE518&lt;90,"60-89",IF(AE518&lt;120,"90-119",IF(AE518&lt;150,"120-149","150+")))))</f>
        <v/>
      </c>
      <c r="AX518" s="5">
        <f>IF(AP518="","No revenue data",IF(AP518&lt;0.15,"Under 0.15x",IF(AP518&lt;0.3,"0.15-0.30x",IF(AP518&lt;0.5,"0.30-0.50x",IF(AP518&lt;1,"0.50-1.00x","1.00x+")))))</f>
        <v/>
      </c>
      <c r="AY518" s="5">
        <f>IF(J518="","No SIC",IFERROR(VLOOKUP(J518,Ref!$A$4:$C$67,2,FALSE()),"Unclassified"))</f>
        <v/>
      </c>
      <c r="AZ518" s="5">
        <f>IF(E518="","",TEXT(E518,"YYYY")&amp;"-Q"&amp;ROUNDUP(MONTH(E518)/3,0))</f>
        <v/>
      </c>
      <c r="BA518" s="5">
        <f>IF(E518="","",TEXT(E518,"YYYY-MM"))</f>
        <v/>
      </c>
      <c r="BB518" s="5">
        <f>IF(E518="","",TEXT(E518,"YYYY"))</f>
        <v/>
      </c>
      <c r="BC518" s="92">
        <f>IF($E518="","",NETWORKDAYS($E518,Controls!$B$9,Ref!$F$4:$F$47))</f>
        <v/>
      </c>
      <c r="BD518" s="92">
        <f>IF(OR($AH518=1,$AJ518=1),1,0)</f>
        <v/>
      </c>
      <c r="BE518" s="95">
        <f>IF(OR($BD518=1,AND($AE518&lt;&gt;"",$BC518&gt;=Controls!$B$10*$AE518)),1,0)</f>
        <v/>
      </c>
    </row>
    <row r="519" ht="15.75" customHeight="1" s="79">
      <c r="A519" s="5" t="inlineStr">
        <is>
          <t>5674176066</t>
        </is>
      </c>
      <c r="B519" s="5" t="inlineStr">
        <is>
          <t>TOMPKINS TRANSPORTATION</t>
        </is>
      </c>
      <c r="C519" s="5" t="inlineStr">
        <is>
          <t>TOMPKINS TRANSPORTATION LLC</t>
        </is>
      </c>
      <c r="D519" s="5" t="inlineStr">
        <is>
          <t>Bankruptcy</t>
        </is>
      </c>
      <c r="E519" s="16" t="n">
        <v>46030</v>
      </c>
      <c r="F519" s="16" t="n">
        <v>46052</v>
      </c>
      <c r="G519" s="17" t="n">
        <v>4</v>
      </c>
      <c r="H519" s="5" t="inlineStr">
        <is>
          <t>4212</t>
        </is>
      </c>
      <c r="I519" s="5" t="inlineStr">
        <is>
          <t>Specialized Freight (Except Used Goods) Trucking, Local</t>
        </is>
      </c>
      <c r="J519" s="5" t="inlineStr">
        <is>
          <t>42</t>
        </is>
      </c>
      <c r="K519" s="5" t="n">
        <v>4214</v>
      </c>
      <c r="L519" s="5" t="inlineStr">
        <is>
          <t>VA</t>
        </is>
      </c>
      <c r="M519" s="5" t="inlineStr">
        <is>
          <t>MADVANCEGRP</t>
        </is>
      </c>
      <c r="N519" s="5" t="inlineStr">
        <is>
          <t>New Deal</t>
        </is>
      </c>
      <c r="O519" s="19" t="n">
        <v>1.49</v>
      </c>
      <c r="P519" s="20" t="n">
        <v>25000</v>
      </c>
      <c r="Q519" s="20" t="n">
        <v>0</v>
      </c>
      <c r="R519" s="20" t="n">
        <v>37250</v>
      </c>
      <c r="S519" s="20" t="n">
        <v>3102.18</v>
      </c>
      <c r="T519" s="20" t="n">
        <v>34147.82</v>
      </c>
      <c r="U519" s="21" t="n">
        <v>0.08328000000000001</v>
      </c>
      <c r="V519" s="22" t="n">
        <v>24</v>
      </c>
      <c r="W519" s="17" t="n">
        <v>208</v>
      </c>
      <c r="X519" s="17" t="n">
        <v>1</v>
      </c>
      <c r="Y519" s="20" t="n">
        <v>71976.14</v>
      </c>
      <c r="Z519" s="21" t="n">
        <v>0.0862</v>
      </c>
      <c r="AA519" s="5" t="n"/>
      <c r="AB519" s="5">
        <f>IF(V519="","",IF(V519&lt;12,"Months","Weeks"))</f>
        <v/>
      </c>
      <c r="AC519" s="5">
        <f>IF(AB519="","",IF(AB519="Months","Daily","Weekly"))</f>
        <v/>
      </c>
      <c r="AD519" s="17">
        <f>IF(V519="","",IF(AC519="Daily",V519*Controls!$B$13,V519))</f>
        <v/>
      </c>
      <c r="AE519" s="17">
        <f>IF(V519="","",IF(AC519="Daily",V519*Controls!$B$13,V519*Controls!$B$12))</f>
        <v/>
      </c>
      <c r="AF519" s="17">
        <f>IF(OR(E519="",F519=""),"",F519-E519)</f>
        <v/>
      </c>
      <c r="AG519" s="17">
        <f>IF(OR(E519="",F519=""),"",NETWORKDAYS(E519,F519,Ref!$F$4:$F$47))</f>
        <v/>
      </c>
      <c r="AH519" s="39">
        <f>IF(IFERROR(VLOOKUP(D519,Controls!$A$25:$D$35,2,FALSE()),"No")="Yes",1,0)</f>
        <v/>
      </c>
      <c r="AI519" s="39">
        <f>IF(IFERROR(VLOOKUP(D519,Controls!$A$25:$D$35,3,FALSE()),"No")="Yes",1,0)</f>
        <v/>
      </c>
      <c r="AJ519" s="39">
        <f>IF(IFERROR(VLOOKUP(D519,Controls!$A$25:$D$35,4,FALSE()),"No")="Yes",1,0)</f>
        <v/>
      </c>
      <c r="AK519" s="96">
        <f>IF(AND($E519&gt;=Controls!$B$5,$E519&lt;=Controls!$B$6,OR(Controls!$E$9&lt;&gt;"Y",$BE519=1)),1,0)</f>
        <v/>
      </c>
      <c r="AL519" s="39">
        <f>1</f>
        <v/>
      </c>
      <c r="AM519" s="20">
        <f>S519-P519</f>
        <v/>
      </c>
      <c r="AN519" s="20">
        <f>IF(AH519=1,MAX(0,P519-S519),0)</f>
        <v/>
      </c>
      <c r="AO519" s="21">
        <f>IFERROR(S519/P519,"")</f>
        <v/>
      </c>
      <c r="AP519" s="22">
        <f>IF(Y519="","",P519/Y519)</f>
        <v/>
      </c>
      <c r="AQ519" s="39">
        <f>IF(Y519="",0,1)</f>
        <v/>
      </c>
      <c r="AR519" s="39">
        <f>IF(S519&lt;=0,1,0)</f>
        <v/>
      </c>
      <c r="AS519" s="17">
        <f>IF(AH519=1,AG519,"")</f>
        <v/>
      </c>
      <c r="AT519" s="17">
        <f>IF(AND(AH519=0,AJ519=1),AG519,"")</f>
        <v/>
      </c>
      <c r="AU519" s="5">
        <f>IF(P519&lt;10000,"Under $10K",IF(P519&lt;20000,"$10-20K",IF(P519&lt;30000,"$20-30K",IF(P519&lt;50000,"$30-50K",IF(P519&lt;100000,"$50-100K","$100K+")))))</f>
        <v/>
      </c>
      <c r="AV519" s="5">
        <f>IF(O519&lt;=1.35,"1.35 and under",IF(O519&lt;=1.42,"1.36-1.42",IF(O519&lt;=1.45,"1.43-1.45",IF(O519&lt;1.49,"1.46-1.48",IF(O519&lt;=1.49,"1.49","Above 1.49")))))</f>
        <v/>
      </c>
      <c r="AW519" s="5">
        <f>IF(AE519="","",IF(AE519&lt;60,"Under 60",IF(AE519&lt;90,"60-89",IF(AE519&lt;120,"90-119",IF(AE519&lt;150,"120-149","150+")))))</f>
        <v/>
      </c>
      <c r="AX519" s="5">
        <f>IF(AP519="","No revenue data",IF(AP519&lt;0.15,"Under 0.15x",IF(AP519&lt;0.3,"0.15-0.30x",IF(AP519&lt;0.5,"0.30-0.50x",IF(AP519&lt;1,"0.50-1.00x","1.00x+")))))</f>
        <v/>
      </c>
      <c r="AY519" s="5">
        <f>IF(J519="","No SIC",IFERROR(VLOOKUP(J519,Ref!$A$4:$C$67,2,FALSE()),"Unclassified"))</f>
        <v/>
      </c>
      <c r="AZ519" s="5">
        <f>IF(E519="","",TEXT(E519,"YYYY")&amp;"-Q"&amp;ROUNDUP(MONTH(E519)/3,0))</f>
        <v/>
      </c>
      <c r="BA519" s="5">
        <f>IF(E519="","",TEXT(E519,"YYYY-MM"))</f>
        <v/>
      </c>
      <c r="BB519" s="5">
        <f>IF(E519="","",TEXT(E519,"YYYY"))</f>
        <v/>
      </c>
      <c r="BC519" s="92">
        <f>IF($E519="","",NETWORKDAYS($E519,Controls!$B$9,Ref!$F$4:$F$47))</f>
        <v/>
      </c>
      <c r="BD519" s="92">
        <f>IF(OR($AH519=1,$AJ519=1),1,0)</f>
        <v/>
      </c>
      <c r="BE519" s="95">
        <f>IF(OR($BD519=1,AND($AE519&lt;&gt;"",$BC519&gt;=Controls!$B$10*$AE519)),1,0)</f>
        <v/>
      </c>
    </row>
    <row r="520" ht="15.75" customHeight="1" s="79">
      <c r="A520" s="5" t="inlineStr">
        <is>
          <t>5674176109</t>
        </is>
      </c>
      <c r="B520" s="5" t="inlineStr">
        <is>
          <t>ImpactPro Parts &amp; Supply Inc</t>
        </is>
      </c>
      <c r="C520" s="5" t="inlineStr">
        <is>
          <t>WM Nohle Inc</t>
        </is>
      </c>
      <c r="D520" s="5" t="inlineStr">
        <is>
          <t>Legal</t>
        </is>
      </c>
      <c r="E520" s="16" t="n">
        <v>46031</v>
      </c>
      <c r="F520" s="16" t="n">
        <v>46065</v>
      </c>
      <c r="G520" s="17" t="n">
        <v>3</v>
      </c>
      <c r="H520" s="5" t="inlineStr">
        <is>
          <t>5531</t>
        </is>
      </c>
      <c r="I520" s="5" t="inlineStr">
        <is>
          <t>Automotive Parts and Accessories Stores</t>
        </is>
      </c>
      <c r="J520" s="5" t="inlineStr">
        <is>
          <t>55</t>
        </is>
      </c>
      <c r="K520" s="5" t="n">
        <v>5531</v>
      </c>
      <c r="L520" s="5" t="inlineStr">
        <is>
          <t>VA</t>
        </is>
      </c>
      <c r="M520" s="5" t="inlineStr">
        <is>
          <t>Fundwell</t>
        </is>
      </c>
      <c r="N520" s="5" t="inlineStr">
        <is>
          <t>New Deal</t>
        </is>
      </c>
      <c r="O520" s="19" t="n">
        <v>1.41</v>
      </c>
      <c r="P520" s="20" t="n">
        <v>140000</v>
      </c>
      <c r="Q520" s="20" t="n">
        <v>17500</v>
      </c>
      <c r="R520" s="20" t="n">
        <v>197400</v>
      </c>
      <c r="S520" s="20" t="n">
        <v>13831.7</v>
      </c>
      <c r="T520" s="20" t="n">
        <v>183568.3</v>
      </c>
      <c r="U520" s="21" t="n">
        <v>0.0700694022289767</v>
      </c>
      <c r="V520" s="22" t="n">
        <v>32</v>
      </c>
      <c r="W520" s="17" t="n">
        <v>195</v>
      </c>
      <c r="X520" s="17" t="n">
        <v>2</v>
      </c>
      <c r="Y520" s="20" t="n">
        <v>285786.95</v>
      </c>
      <c r="Z520" s="21" t="n">
        <v>0.0863</v>
      </c>
      <c r="AA520" s="16" t="n">
        <v>43405</v>
      </c>
      <c r="AB520" s="5">
        <f>IF(V520="","",IF(V520&lt;12,"Months","Weeks"))</f>
        <v/>
      </c>
      <c r="AC520" s="5">
        <f>IF(AB520="","",IF(AB520="Months","Daily","Weekly"))</f>
        <v/>
      </c>
      <c r="AD520" s="17">
        <f>IF(V520="","",IF(AC520="Daily",V520*Controls!$B$13,V520))</f>
        <v/>
      </c>
      <c r="AE520" s="17">
        <f>IF(V520="","",IF(AC520="Daily",V520*Controls!$B$13,V520*Controls!$B$12))</f>
        <v/>
      </c>
      <c r="AF520" s="17">
        <f>IF(OR(E520="",F520=""),"",F520-E520)</f>
        <v/>
      </c>
      <c r="AG520" s="17">
        <f>IF(OR(E520="",F520=""),"",NETWORKDAYS(E520,F520,Ref!$F$4:$F$47))</f>
        <v/>
      </c>
      <c r="AH520" s="39">
        <f>IF(IFERROR(VLOOKUP(D520,Controls!$A$25:$D$35,2,FALSE()),"No")="Yes",1,0)</f>
        <v/>
      </c>
      <c r="AI520" s="39">
        <f>IF(IFERROR(VLOOKUP(D520,Controls!$A$25:$D$35,3,FALSE()),"No")="Yes",1,0)</f>
        <v/>
      </c>
      <c r="AJ520" s="39">
        <f>IF(IFERROR(VLOOKUP(D520,Controls!$A$25:$D$35,4,FALSE()),"No")="Yes",1,0)</f>
        <v/>
      </c>
      <c r="AK520" s="96">
        <f>IF(AND($E520&gt;=Controls!$B$5,$E520&lt;=Controls!$B$6,OR(Controls!$E$9&lt;&gt;"Y",$BE520=1)),1,0)</f>
        <v/>
      </c>
      <c r="AL520" s="39">
        <f>1</f>
        <v/>
      </c>
      <c r="AM520" s="20">
        <f>S520-P520</f>
        <v/>
      </c>
      <c r="AN520" s="20">
        <f>IF(AH520=1,MAX(0,P520-S520),0)</f>
        <v/>
      </c>
      <c r="AO520" s="21">
        <f>IFERROR(S520/P520,"")</f>
        <v/>
      </c>
      <c r="AP520" s="22">
        <f>IF(Y520="","",P520/Y520)</f>
        <v/>
      </c>
      <c r="AQ520" s="39">
        <f>IF(Y520="",0,1)</f>
        <v/>
      </c>
      <c r="AR520" s="39">
        <f>IF(S520&lt;=0,1,0)</f>
        <v/>
      </c>
      <c r="AS520" s="17">
        <f>IF(AH520=1,AG520,"")</f>
        <v/>
      </c>
      <c r="AT520" s="17">
        <f>IF(AND(AH520=0,AJ520=1),AG520,"")</f>
        <v/>
      </c>
      <c r="AU520" s="5">
        <f>IF(P520&lt;10000,"Under $10K",IF(P520&lt;20000,"$10-20K",IF(P520&lt;30000,"$20-30K",IF(P520&lt;50000,"$30-50K",IF(P520&lt;100000,"$50-100K","$100K+")))))</f>
        <v/>
      </c>
      <c r="AV520" s="5">
        <f>IF(O520&lt;=1.35,"1.35 and under",IF(O520&lt;=1.42,"1.36-1.42",IF(O520&lt;=1.45,"1.43-1.45",IF(O520&lt;1.49,"1.46-1.48",IF(O520&lt;=1.49,"1.49","Above 1.49")))))</f>
        <v/>
      </c>
      <c r="AW520" s="5">
        <f>IF(AE520="","",IF(AE520&lt;60,"Under 60",IF(AE520&lt;90,"60-89",IF(AE520&lt;120,"90-119",IF(AE520&lt;150,"120-149","150+")))))</f>
        <v/>
      </c>
      <c r="AX520" s="5">
        <f>IF(AP520="","No revenue data",IF(AP520&lt;0.15,"Under 0.15x",IF(AP520&lt;0.3,"0.15-0.30x",IF(AP520&lt;0.5,"0.30-0.50x",IF(AP520&lt;1,"0.50-1.00x","1.00x+")))))</f>
        <v/>
      </c>
      <c r="AY520" s="5">
        <f>IF(J520="","No SIC",IFERROR(VLOOKUP(J520,Ref!$A$4:$C$67,2,FALSE()),"Unclassified"))</f>
        <v/>
      </c>
      <c r="AZ520" s="5">
        <f>IF(E520="","",TEXT(E520,"YYYY")&amp;"-Q"&amp;ROUNDUP(MONTH(E520)/3,0))</f>
        <v/>
      </c>
      <c r="BA520" s="5">
        <f>IF(E520="","",TEXT(E520,"YYYY-MM"))</f>
        <v/>
      </c>
      <c r="BB520" s="5">
        <f>IF(E520="","",TEXT(E520,"YYYY"))</f>
        <v/>
      </c>
      <c r="BC520" s="92">
        <f>IF($E520="","",NETWORKDAYS($E520,Controls!$B$9,Ref!$F$4:$F$47))</f>
        <v/>
      </c>
      <c r="BD520" s="92">
        <f>IF(OR($AH520=1,$AJ520=1),1,0)</f>
        <v/>
      </c>
      <c r="BE520" s="95">
        <f>IF(OR($BD520=1,AND($AE520&lt;&gt;"",$BC520&gt;=Controls!$B$10*$AE520)),1,0)</f>
        <v/>
      </c>
    </row>
    <row r="521" ht="15.75" customHeight="1" s="79">
      <c r="A521" s="5" t="inlineStr">
        <is>
          <t>5674176146</t>
        </is>
      </c>
      <c r="B521" s="5" t="inlineStr">
        <is>
          <t>A &amp; F SERVICES</t>
        </is>
      </c>
      <c r="C521" s="5" t="inlineStr">
        <is>
          <t>I HAUL ASSOCIATES LLC</t>
        </is>
      </c>
      <c r="D521" s="5" t="inlineStr">
        <is>
          <t>Legal</t>
        </is>
      </c>
      <c r="E521" s="16" t="n">
        <v>46031</v>
      </c>
      <c r="F521" s="16" t="n">
        <v>46178</v>
      </c>
      <c r="G521" s="17" t="n">
        <v>4</v>
      </c>
      <c r="H521" s="5" t="inlineStr">
        <is>
          <t>4212</t>
        </is>
      </c>
      <c r="I521" s="5" t="inlineStr">
        <is>
          <t>Specialized Freight (Except Used Goods) Trucking, Local</t>
        </is>
      </c>
      <c r="J521" s="5" t="inlineStr">
        <is>
          <t>42</t>
        </is>
      </c>
      <c r="K521" s="5" t="n">
        <v>4214</v>
      </c>
      <c r="L521" s="5" t="inlineStr">
        <is>
          <t>NJ</t>
        </is>
      </c>
      <c r="M521" s="5" t="inlineStr">
        <is>
          <t>United Secured Capital 8</t>
        </is>
      </c>
      <c r="N521" s="5" t="inlineStr">
        <is>
          <t>New Deal</t>
        </is>
      </c>
      <c r="O521" s="19" t="n">
        <v>1.49</v>
      </c>
      <c r="P521" s="20" t="n">
        <v>15000</v>
      </c>
      <c r="Q521" s="20" t="n">
        <v>2100</v>
      </c>
      <c r="R521" s="20" t="n">
        <v>22350</v>
      </c>
      <c r="S521" s="20" t="n">
        <v>18121.52</v>
      </c>
      <c r="T521" s="20" t="n">
        <v>4228.48</v>
      </c>
      <c r="U521" s="21" t="n">
        <v>0.810806263982103</v>
      </c>
      <c r="V521" s="22" t="n">
        <v>2.951</v>
      </c>
      <c r="W521" s="17" t="n">
        <v>91</v>
      </c>
      <c r="X521" s="17" t="n">
        <v>29</v>
      </c>
      <c r="Y521" s="20" t="n">
        <v>336326.24</v>
      </c>
      <c r="Z521" s="21" t="n">
        <v>0.0155</v>
      </c>
      <c r="AA521" s="16" t="n">
        <v>37155</v>
      </c>
      <c r="AB521" s="5">
        <f>IF(V521="","",IF(V521&lt;12,"Months","Weeks"))</f>
        <v/>
      </c>
      <c r="AC521" s="5">
        <f>IF(AB521="","",IF(AB521="Months","Daily","Weekly"))</f>
        <v/>
      </c>
      <c r="AD521" s="17">
        <f>IF(V521="","",IF(AC521="Daily",V521*Controls!$B$13,V521))</f>
        <v/>
      </c>
      <c r="AE521" s="17">
        <f>IF(V521="","",IF(AC521="Daily",V521*Controls!$B$13,V521*Controls!$B$12))</f>
        <v/>
      </c>
      <c r="AF521" s="17">
        <f>IF(OR(E521="",F521=""),"",F521-E521)</f>
        <v/>
      </c>
      <c r="AG521" s="17">
        <f>IF(OR(E521="",F521=""),"",NETWORKDAYS(E521,F521,Ref!$F$4:$F$47))</f>
        <v/>
      </c>
      <c r="AH521" s="39">
        <f>IF(IFERROR(VLOOKUP(D521,Controls!$A$25:$D$35,2,FALSE()),"No")="Yes",1,0)</f>
        <v/>
      </c>
      <c r="AI521" s="39">
        <f>IF(IFERROR(VLOOKUP(D521,Controls!$A$25:$D$35,3,FALSE()),"No")="Yes",1,0)</f>
        <v/>
      </c>
      <c r="AJ521" s="39">
        <f>IF(IFERROR(VLOOKUP(D521,Controls!$A$25:$D$35,4,FALSE()),"No")="Yes",1,0)</f>
        <v/>
      </c>
      <c r="AK521" s="96">
        <f>IF(AND($E521&gt;=Controls!$B$5,$E521&lt;=Controls!$B$6,OR(Controls!$E$9&lt;&gt;"Y",$BE521=1)),1,0)</f>
        <v/>
      </c>
      <c r="AL521" s="39">
        <f>1</f>
        <v/>
      </c>
      <c r="AM521" s="20">
        <f>S521-P521</f>
        <v/>
      </c>
      <c r="AN521" s="20">
        <f>IF(AH521=1,MAX(0,P521-S521),0)</f>
        <v/>
      </c>
      <c r="AO521" s="21">
        <f>IFERROR(S521/P521,"")</f>
        <v/>
      </c>
      <c r="AP521" s="22">
        <f>IF(Y521="","",P521/Y521)</f>
        <v/>
      </c>
      <c r="AQ521" s="39">
        <f>IF(Y521="",0,1)</f>
        <v/>
      </c>
      <c r="AR521" s="39">
        <f>IF(S521&lt;=0,1,0)</f>
        <v/>
      </c>
      <c r="AS521" s="17">
        <f>IF(AH521=1,AG521,"")</f>
        <v/>
      </c>
      <c r="AT521" s="17">
        <f>IF(AND(AH521=0,AJ521=1),AG521,"")</f>
        <v/>
      </c>
      <c r="AU521" s="5">
        <f>IF(P521&lt;10000,"Under $10K",IF(P521&lt;20000,"$10-20K",IF(P521&lt;30000,"$20-30K",IF(P521&lt;50000,"$30-50K",IF(P521&lt;100000,"$50-100K","$100K+")))))</f>
        <v/>
      </c>
      <c r="AV521" s="5">
        <f>IF(O521&lt;=1.35,"1.35 and under",IF(O521&lt;=1.42,"1.36-1.42",IF(O521&lt;=1.45,"1.43-1.45",IF(O521&lt;1.49,"1.46-1.48",IF(O521&lt;=1.49,"1.49","Above 1.49")))))</f>
        <v/>
      </c>
      <c r="AW521" s="5">
        <f>IF(AE521="","",IF(AE521&lt;60,"Under 60",IF(AE521&lt;90,"60-89",IF(AE521&lt;120,"90-119",IF(AE521&lt;150,"120-149","150+")))))</f>
        <v/>
      </c>
      <c r="AX521" s="5">
        <f>IF(AP521="","No revenue data",IF(AP521&lt;0.15,"Under 0.15x",IF(AP521&lt;0.3,"0.15-0.30x",IF(AP521&lt;0.5,"0.30-0.50x",IF(AP521&lt;1,"0.50-1.00x","1.00x+")))))</f>
        <v/>
      </c>
      <c r="AY521" s="5">
        <f>IF(J521="","No SIC",IFERROR(VLOOKUP(J521,Ref!$A$4:$C$67,2,FALSE()),"Unclassified"))</f>
        <v/>
      </c>
      <c r="AZ521" s="5">
        <f>IF(E521="","",TEXT(E521,"YYYY")&amp;"-Q"&amp;ROUNDUP(MONTH(E521)/3,0))</f>
        <v/>
      </c>
      <c r="BA521" s="5">
        <f>IF(E521="","",TEXT(E521,"YYYY-MM"))</f>
        <v/>
      </c>
      <c r="BB521" s="5">
        <f>IF(E521="","",TEXT(E521,"YYYY"))</f>
        <v/>
      </c>
      <c r="BC521" s="92">
        <f>IF($E521="","",NETWORKDAYS($E521,Controls!$B$9,Ref!$F$4:$F$47))</f>
        <v/>
      </c>
      <c r="BD521" s="92">
        <f>IF(OR($AH521=1,$AJ521=1),1,0)</f>
        <v/>
      </c>
      <c r="BE521" s="95">
        <f>IF(OR($BD521=1,AND($AE521&lt;&gt;"",$BC521&gt;=Controls!$B$10*$AE521)),1,0)</f>
        <v/>
      </c>
    </row>
    <row r="522" ht="15.75" customHeight="1" s="79">
      <c r="A522" s="5" t="inlineStr">
        <is>
          <t>5674176152</t>
        </is>
      </c>
      <c r="B522" s="5" t="inlineStr">
        <is>
          <t>QWIK PACK &amp; SHIP</t>
        </is>
      </c>
      <c r="C522" s="5" t="inlineStr">
        <is>
          <t>QWIK PACK &amp; SHIP USA, LLC</t>
        </is>
      </c>
      <c r="D522" s="5" t="inlineStr">
        <is>
          <t>Open</t>
        </is>
      </c>
      <c r="E522" s="16" t="n">
        <v>46031</v>
      </c>
      <c r="F522" s="16" t="n">
        <v>46248</v>
      </c>
      <c r="G522" s="17" t="n">
        <v>2</v>
      </c>
      <c r="H522" s="5" t="inlineStr">
        <is>
          <t>2752</t>
        </is>
      </c>
      <c r="I522" s="5" t="inlineStr">
        <is>
          <t>Commercial Printing (Except Screen and Books)</t>
        </is>
      </c>
      <c r="J522" s="5" t="inlineStr">
        <is>
          <t>27</t>
        </is>
      </c>
      <c r="K522" s="5" t="n">
        <v>2741</v>
      </c>
      <c r="L522" s="5" t="inlineStr">
        <is>
          <t>GA</t>
        </is>
      </c>
      <c r="M522" s="5" t="inlineStr">
        <is>
          <t>Fundwell</t>
        </is>
      </c>
      <c r="N522" s="5" t="inlineStr">
        <is>
          <t>New Deal</t>
        </is>
      </c>
      <c r="O522" s="19" t="n">
        <v>1.4</v>
      </c>
      <c r="P522" s="20" t="n">
        <v>50000</v>
      </c>
      <c r="Q522" s="20" t="n">
        <v>6750</v>
      </c>
      <c r="R522" s="20" t="n">
        <v>70000</v>
      </c>
      <c r="S522" s="20" t="n">
        <v>45219.39</v>
      </c>
      <c r="T522" s="20" t="n">
        <v>24780.61</v>
      </c>
      <c r="U522" s="21" t="n">
        <v>0.645991285714286</v>
      </c>
      <c r="V522" s="22" t="n">
        <v>48</v>
      </c>
      <c r="W522" s="17" t="n">
        <v>5</v>
      </c>
      <c r="X522" s="17" t="n">
        <v>0</v>
      </c>
      <c r="Y522" s="20" t="n">
        <v>63628.77</v>
      </c>
      <c r="Z522" s="21" t="n">
        <v>0.0917</v>
      </c>
      <c r="AA522" s="16" t="n">
        <v>33377</v>
      </c>
      <c r="AB522" s="5">
        <f>IF(V522="","",IF(V522&lt;12,"Months","Weeks"))</f>
        <v/>
      </c>
      <c r="AC522" s="5">
        <f>IF(AB522="","",IF(AB522="Months","Daily","Weekly"))</f>
        <v/>
      </c>
      <c r="AD522" s="17">
        <f>IF(V522="","",IF(AC522="Daily",V522*Controls!$B$13,V522))</f>
        <v/>
      </c>
      <c r="AE522" s="17">
        <f>IF(V522="","",IF(AC522="Daily",V522*Controls!$B$13,V522*Controls!$B$12))</f>
        <v/>
      </c>
      <c r="AF522" s="17">
        <f>IF(OR(E522="",F522=""),"",F522-E522)</f>
        <v/>
      </c>
      <c r="AG522" s="17">
        <f>IF(OR(E522="",F522=""),"",NETWORKDAYS(E522,F522,Ref!$F$4:$F$47))</f>
        <v/>
      </c>
      <c r="AH522" s="39">
        <f>IF(IFERROR(VLOOKUP(D522,Controls!$A$25:$D$35,2,FALSE()),"No")="Yes",1,0)</f>
        <v/>
      </c>
      <c r="AI522" s="39">
        <f>IF(IFERROR(VLOOKUP(D522,Controls!$A$25:$D$35,3,FALSE()),"No")="Yes",1,0)</f>
        <v/>
      </c>
      <c r="AJ522" s="39">
        <f>IF(IFERROR(VLOOKUP(D522,Controls!$A$25:$D$35,4,FALSE()),"No")="Yes",1,0)</f>
        <v/>
      </c>
      <c r="AK522" s="96">
        <f>IF(AND($E522&gt;=Controls!$B$5,$E522&lt;=Controls!$B$6,OR(Controls!$E$9&lt;&gt;"Y",$BE522=1)),1,0)</f>
        <v/>
      </c>
      <c r="AL522" s="39">
        <f>1</f>
        <v/>
      </c>
      <c r="AM522" s="20">
        <f>S522-P522</f>
        <v/>
      </c>
      <c r="AN522" s="20">
        <f>IF(AH522=1,MAX(0,P522-S522),0)</f>
        <v/>
      </c>
      <c r="AO522" s="21">
        <f>IFERROR(S522/P522,"")</f>
        <v/>
      </c>
      <c r="AP522" s="22">
        <f>IF(Y522="","",P522/Y522)</f>
        <v/>
      </c>
      <c r="AQ522" s="39">
        <f>IF(Y522="",0,1)</f>
        <v/>
      </c>
      <c r="AR522" s="39">
        <f>IF(S522&lt;=0,1,0)</f>
        <v/>
      </c>
      <c r="AS522" s="17">
        <f>IF(AH522=1,AG522,"")</f>
        <v/>
      </c>
      <c r="AT522" s="17">
        <f>IF(AND(AH522=0,AJ522=1),AG522,"")</f>
        <v/>
      </c>
      <c r="AU522" s="5">
        <f>IF(P522&lt;10000,"Under $10K",IF(P522&lt;20000,"$10-20K",IF(P522&lt;30000,"$20-30K",IF(P522&lt;50000,"$30-50K",IF(P522&lt;100000,"$50-100K","$100K+")))))</f>
        <v/>
      </c>
      <c r="AV522" s="5">
        <f>IF(O522&lt;=1.35,"1.35 and under",IF(O522&lt;=1.42,"1.36-1.42",IF(O522&lt;=1.45,"1.43-1.45",IF(O522&lt;1.49,"1.46-1.48",IF(O522&lt;=1.49,"1.49","Above 1.49")))))</f>
        <v/>
      </c>
      <c r="AW522" s="5">
        <f>IF(AE522="","",IF(AE522&lt;60,"Under 60",IF(AE522&lt;90,"60-89",IF(AE522&lt;120,"90-119",IF(AE522&lt;150,"120-149","150+")))))</f>
        <v/>
      </c>
      <c r="AX522" s="5">
        <f>IF(AP522="","No revenue data",IF(AP522&lt;0.15,"Under 0.15x",IF(AP522&lt;0.3,"0.15-0.30x",IF(AP522&lt;0.5,"0.30-0.50x",IF(AP522&lt;1,"0.50-1.00x","1.00x+")))))</f>
        <v/>
      </c>
      <c r="AY522" s="5">
        <f>IF(J522="","No SIC",IFERROR(VLOOKUP(J522,Ref!$A$4:$C$67,2,FALSE()),"Unclassified"))</f>
        <v/>
      </c>
      <c r="AZ522" s="5">
        <f>IF(E522="","",TEXT(E522,"YYYY")&amp;"-Q"&amp;ROUNDUP(MONTH(E522)/3,0))</f>
        <v/>
      </c>
      <c r="BA522" s="5">
        <f>IF(E522="","",TEXT(E522,"YYYY-MM"))</f>
        <v/>
      </c>
      <c r="BB522" s="5">
        <f>IF(E522="","",TEXT(E522,"YYYY"))</f>
        <v/>
      </c>
      <c r="BC522" s="92">
        <f>IF($E522="","",NETWORKDAYS($E522,Controls!$B$9,Ref!$F$4:$F$47))</f>
        <v/>
      </c>
      <c r="BD522" s="92">
        <f>IF(OR($AH522=1,$AJ522=1),1,0)</f>
        <v/>
      </c>
      <c r="BE522" s="95">
        <f>IF(OR($BD522=1,AND($AE522&lt;&gt;"",$BC522&gt;=Controls!$B$10*$AE522)),1,0)</f>
        <v/>
      </c>
    </row>
    <row r="523" ht="15.75" customHeight="1" s="79">
      <c r="A523" s="5" t="inlineStr">
        <is>
          <t>5674176174</t>
        </is>
      </c>
      <c r="B523" s="5" t="inlineStr">
        <is>
          <t>LONDON'S LITTLE ANGELS LEARNING ACADEMY</t>
        </is>
      </c>
      <c r="C523" s="5" t="inlineStr">
        <is>
          <t>LONDON'S LITTLE ANGELS LEARNING ACADEMY INC</t>
        </is>
      </c>
      <c r="D523" s="5" t="inlineStr">
        <is>
          <t>Closed</t>
        </is>
      </c>
      <c r="E523" s="16" t="n">
        <v>46034</v>
      </c>
      <c r="F523" s="16" t="n">
        <v>46122</v>
      </c>
      <c r="G523" s="17" t="n">
        <v>4</v>
      </c>
      <c r="H523" s="5" t="inlineStr">
        <is>
          <t>8211</t>
        </is>
      </c>
      <c r="I523" s="5" t="inlineStr">
        <is>
          <t>Elementary and Secondary Schools</t>
        </is>
      </c>
      <c r="J523" s="5" t="inlineStr">
        <is>
          <t>82</t>
        </is>
      </c>
      <c r="K523" s="5" t="n">
        <v>8211</v>
      </c>
      <c r="L523" s="5" t="inlineStr">
        <is>
          <t>GA</t>
        </is>
      </c>
      <c r="M523" s="5" t="inlineStr">
        <is>
          <t>Ballicci</t>
        </is>
      </c>
      <c r="N523" s="5" t="inlineStr">
        <is>
          <t>New Deal</t>
        </is>
      </c>
      <c r="O523" s="19" t="n">
        <v>1.49</v>
      </c>
      <c r="P523" s="20" t="n">
        <v>15000</v>
      </c>
      <c r="Q523" s="20" t="n">
        <v>2100</v>
      </c>
      <c r="R523" s="20" t="n">
        <v>22350</v>
      </c>
      <c r="S523" s="20" t="n">
        <v>22350</v>
      </c>
      <c r="T523" s="20" t="n">
        <v>0</v>
      </c>
      <c r="U523" s="21" t="n">
        <v>1</v>
      </c>
      <c r="V523" s="22" t="n">
        <v>2.951</v>
      </c>
      <c r="W523" s="17" t="n">
        <v>131</v>
      </c>
      <c r="X523" s="17" t="n">
        <v>0</v>
      </c>
      <c r="Y523" s="20" t="n">
        <v>43810.35</v>
      </c>
      <c r="Z523" s="21" t="n">
        <v>0.119</v>
      </c>
      <c r="AA523" s="16" t="n">
        <v>43621</v>
      </c>
      <c r="AB523" s="5">
        <f>IF(V523="","",IF(V523&lt;12,"Months","Weeks"))</f>
        <v/>
      </c>
      <c r="AC523" s="5">
        <f>IF(AB523="","",IF(AB523="Months","Daily","Weekly"))</f>
        <v/>
      </c>
      <c r="AD523" s="17">
        <f>IF(V523="","",IF(AC523="Daily",V523*Controls!$B$13,V523))</f>
        <v/>
      </c>
      <c r="AE523" s="17">
        <f>IF(V523="","",IF(AC523="Daily",V523*Controls!$B$13,V523*Controls!$B$12))</f>
        <v/>
      </c>
      <c r="AF523" s="17">
        <f>IF(OR(E523="",F523=""),"",F523-E523)</f>
        <v/>
      </c>
      <c r="AG523" s="17">
        <f>IF(OR(E523="",F523=""),"",NETWORKDAYS(E523,F523,Ref!$F$4:$F$47))</f>
        <v/>
      </c>
      <c r="AH523" s="39">
        <f>IF(IFERROR(VLOOKUP(D523,Controls!$A$25:$D$35,2,FALSE()),"No")="Yes",1,0)</f>
        <v/>
      </c>
      <c r="AI523" s="39">
        <f>IF(IFERROR(VLOOKUP(D523,Controls!$A$25:$D$35,3,FALSE()),"No")="Yes",1,0)</f>
        <v/>
      </c>
      <c r="AJ523" s="39">
        <f>IF(IFERROR(VLOOKUP(D523,Controls!$A$25:$D$35,4,FALSE()),"No")="Yes",1,0)</f>
        <v/>
      </c>
      <c r="AK523" s="96">
        <f>IF(AND($E523&gt;=Controls!$B$5,$E523&lt;=Controls!$B$6,OR(Controls!$E$9&lt;&gt;"Y",$BE523=1)),1,0)</f>
        <v/>
      </c>
      <c r="AL523" s="39">
        <f>1</f>
        <v/>
      </c>
      <c r="AM523" s="20">
        <f>S523-P523</f>
        <v/>
      </c>
      <c r="AN523" s="20">
        <f>IF(AH523=1,MAX(0,P523-S523),0)</f>
        <v/>
      </c>
      <c r="AO523" s="21">
        <f>IFERROR(S523/P523,"")</f>
        <v/>
      </c>
      <c r="AP523" s="22">
        <f>IF(Y523="","",P523/Y523)</f>
        <v/>
      </c>
      <c r="AQ523" s="39">
        <f>IF(Y523="",0,1)</f>
        <v/>
      </c>
      <c r="AR523" s="39">
        <f>IF(S523&lt;=0,1,0)</f>
        <v/>
      </c>
      <c r="AS523" s="17">
        <f>IF(AH523=1,AG523,"")</f>
        <v/>
      </c>
      <c r="AT523" s="17">
        <f>IF(AND(AH523=0,AJ523=1),AG523,"")</f>
        <v/>
      </c>
      <c r="AU523" s="5">
        <f>IF(P523&lt;10000,"Under $10K",IF(P523&lt;20000,"$10-20K",IF(P523&lt;30000,"$20-30K",IF(P523&lt;50000,"$30-50K",IF(P523&lt;100000,"$50-100K","$100K+")))))</f>
        <v/>
      </c>
      <c r="AV523" s="5">
        <f>IF(O523&lt;=1.35,"1.35 and under",IF(O523&lt;=1.42,"1.36-1.42",IF(O523&lt;=1.45,"1.43-1.45",IF(O523&lt;1.49,"1.46-1.48",IF(O523&lt;=1.49,"1.49","Above 1.49")))))</f>
        <v/>
      </c>
      <c r="AW523" s="5">
        <f>IF(AE523="","",IF(AE523&lt;60,"Under 60",IF(AE523&lt;90,"60-89",IF(AE523&lt;120,"90-119",IF(AE523&lt;150,"120-149","150+")))))</f>
        <v/>
      </c>
      <c r="AX523" s="5">
        <f>IF(AP523="","No revenue data",IF(AP523&lt;0.15,"Under 0.15x",IF(AP523&lt;0.3,"0.15-0.30x",IF(AP523&lt;0.5,"0.30-0.50x",IF(AP523&lt;1,"0.50-1.00x","1.00x+")))))</f>
        <v/>
      </c>
      <c r="AY523" s="5">
        <f>IF(J523="","No SIC",IFERROR(VLOOKUP(J523,Ref!$A$4:$C$67,2,FALSE()),"Unclassified"))</f>
        <v/>
      </c>
      <c r="AZ523" s="5">
        <f>IF(E523="","",TEXT(E523,"YYYY")&amp;"-Q"&amp;ROUNDUP(MONTH(E523)/3,0))</f>
        <v/>
      </c>
      <c r="BA523" s="5">
        <f>IF(E523="","",TEXT(E523,"YYYY-MM"))</f>
        <v/>
      </c>
      <c r="BB523" s="5">
        <f>IF(E523="","",TEXT(E523,"YYYY"))</f>
        <v/>
      </c>
      <c r="BC523" s="92">
        <f>IF($E523="","",NETWORKDAYS($E523,Controls!$B$9,Ref!$F$4:$F$47))</f>
        <v/>
      </c>
      <c r="BD523" s="92">
        <f>IF(OR($AH523=1,$AJ523=1),1,0)</f>
        <v/>
      </c>
      <c r="BE523" s="95">
        <f>IF(OR($BD523=1,AND($AE523&lt;&gt;"",$BC523&gt;=Controls!$B$10*$AE523)),1,0)</f>
        <v/>
      </c>
    </row>
    <row r="524" ht="15.75" customHeight="1" s="79">
      <c r="A524" s="5" t="inlineStr">
        <is>
          <t>5674176222</t>
        </is>
      </c>
      <c r="B524" s="5" t="inlineStr">
        <is>
          <t>SAYRAS DBA JQ'S QUICK SHOPPE DBA RED AND WHITE DBA CORNER SHOPPE</t>
        </is>
      </c>
      <c r="C524" s="5" t="inlineStr">
        <is>
          <t>SAYRAS LLC</t>
        </is>
      </c>
      <c r="D524" s="5" t="inlineStr">
        <is>
          <t>Closed</t>
        </is>
      </c>
      <c r="E524" s="16" t="n">
        <v>46034</v>
      </c>
      <c r="F524" s="16" t="n">
        <v>46077</v>
      </c>
      <c r="G524" s="17" t="n">
        <v>3</v>
      </c>
      <c r="H524" s="5" t="inlineStr">
        <is>
          <t>5399</t>
        </is>
      </c>
      <c r="I524" s="5" t="inlineStr">
        <is>
          <t>All Other General Merchandise Stores</t>
        </is>
      </c>
      <c r="J524" s="5" t="inlineStr">
        <is>
          <t>53</t>
        </is>
      </c>
      <c r="K524" s="5" t="n">
        <v>5399</v>
      </c>
      <c r="L524" s="5" t="inlineStr">
        <is>
          <t>No state</t>
        </is>
      </c>
      <c r="M524" s="5" t="inlineStr">
        <is>
          <t>Amerishop Financial services</t>
        </is>
      </c>
      <c r="N524" s="5" t="inlineStr">
        <is>
          <t>New Deal</t>
        </is>
      </c>
      <c r="O524" s="19" t="n">
        <v>1.41556118</v>
      </c>
      <c r="P524" s="20" t="n">
        <v>85000</v>
      </c>
      <c r="Q524" s="20" t="n">
        <v>11900</v>
      </c>
      <c r="R524" s="20" t="n">
        <v>120322.7003</v>
      </c>
      <c r="S524" s="20" t="n">
        <v>120322.7</v>
      </c>
      <c r="T524" s="20" t="n">
        <v>0.000300000014249235</v>
      </c>
      <c r="U524" s="21" t="n">
        <v>0.999999997506705</v>
      </c>
      <c r="V524" s="22" t="n">
        <v>30</v>
      </c>
      <c r="W524" s="17" t="n">
        <v>176</v>
      </c>
      <c r="X524" s="17" t="n">
        <v>0</v>
      </c>
      <c r="Y524" s="20" t="n">
        <v>182358.15</v>
      </c>
      <c r="Z524" s="21" t="n">
        <v>0.1003</v>
      </c>
      <c r="AA524" s="5" t="n"/>
      <c r="AB524" s="5">
        <f>IF(V524="","",IF(V524&lt;12,"Months","Weeks"))</f>
        <v/>
      </c>
      <c r="AC524" s="5">
        <f>IF(AB524="","",IF(AB524="Months","Daily","Weekly"))</f>
        <v/>
      </c>
      <c r="AD524" s="17">
        <f>IF(V524="","",IF(AC524="Daily",V524*Controls!$B$13,V524))</f>
        <v/>
      </c>
      <c r="AE524" s="17">
        <f>IF(V524="","",IF(AC524="Daily",V524*Controls!$B$13,V524*Controls!$B$12))</f>
        <v/>
      </c>
      <c r="AF524" s="17">
        <f>IF(OR(E524="",F524=""),"",F524-E524)</f>
        <v/>
      </c>
      <c r="AG524" s="17">
        <f>IF(OR(E524="",F524=""),"",NETWORKDAYS(E524,F524,Ref!$F$4:$F$47))</f>
        <v/>
      </c>
      <c r="AH524" s="39">
        <f>IF(IFERROR(VLOOKUP(D524,Controls!$A$25:$D$35,2,FALSE()),"No")="Yes",1,0)</f>
        <v/>
      </c>
      <c r="AI524" s="39">
        <f>IF(IFERROR(VLOOKUP(D524,Controls!$A$25:$D$35,3,FALSE()),"No")="Yes",1,0)</f>
        <v/>
      </c>
      <c r="AJ524" s="39">
        <f>IF(IFERROR(VLOOKUP(D524,Controls!$A$25:$D$35,4,FALSE()),"No")="Yes",1,0)</f>
        <v/>
      </c>
      <c r="AK524" s="96">
        <f>IF(AND($E524&gt;=Controls!$B$5,$E524&lt;=Controls!$B$6,OR(Controls!$E$9&lt;&gt;"Y",$BE524=1)),1,0)</f>
        <v/>
      </c>
      <c r="AL524" s="39">
        <f>1</f>
        <v/>
      </c>
      <c r="AM524" s="20">
        <f>S524-P524</f>
        <v/>
      </c>
      <c r="AN524" s="20">
        <f>IF(AH524=1,MAX(0,P524-S524),0)</f>
        <v/>
      </c>
      <c r="AO524" s="21">
        <f>IFERROR(S524/P524,"")</f>
        <v/>
      </c>
      <c r="AP524" s="22">
        <f>IF(Y524="","",P524/Y524)</f>
        <v/>
      </c>
      <c r="AQ524" s="39">
        <f>IF(Y524="",0,1)</f>
        <v/>
      </c>
      <c r="AR524" s="39">
        <f>IF(S524&lt;=0,1,0)</f>
        <v/>
      </c>
      <c r="AS524" s="17">
        <f>IF(AH524=1,AG524,"")</f>
        <v/>
      </c>
      <c r="AT524" s="17">
        <f>IF(AND(AH524=0,AJ524=1),AG524,"")</f>
        <v/>
      </c>
      <c r="AU524" s="5">
        <f>IF(P524&lt;10000,"Under $10K",IF(P524&lt;20000,"$10-20K",IF(P524&lt;30000,"$20-30K",IF(P524&lt;50000,"$30-50K",IF(P524&lt;100000,"$50-100K","$100K+")))))</f>
        <v/>
      </c>
      <c r="AV524" s="5">
        <f>IF(O524&lt;=1.35,"1.35 and under",IF(O524&lt;=1.42,"1.36-1.42",IF(O524&lt;=1.45,"1.43-1.45",IF(O524&lt;1.49,"1.46-1.48",IF(O524&lt;=1.49,"1.49","Above 1.49")))))</f>
        <v/>
      </c>
      <c r="AW524" s="5">
        <f>IF(AE524="","",IF(AE524&lt;60,"Under 60",IF(AE524&lt;90,"60-89",IF(AE524&lt;120,"90-119",IF(AE524&lt;150,"120-149","150+")))))</f>
        <v/>
      </c>
      <c r="AX524" s="5">
        <f>IF(AP524="","No revenue data",IF(AP524&lt;0.15,"Under 0.15x",IF(AP524&lt;0.3,"0.15-0.30x",IF(AP524&lt;0.5,"0.30-0.50x",IF(AP524&lt;1,"0.50-1.00x","1.00x+")))))</f>
        <v/>
      </c>
      <c r="AY524" s="5">
        <f>IF(J524="","No SIC",IFERROR(VLOOKUP(J524,Ref!$A$4:$C$67,2,FALSE()),"Unclassified"))</f>
        <v/>
      </c>
      <c r="AZ524" s="5">
        <f>IF(E524="","",TEXT(E524,"YYYY")&amp;"-Q"&amp;ROUNDUP(MONTH(E524)/3,0))</f>
        <v/>
      </c>
      <c r="BA524" s="5">
        <f>IF(E524="","",TEXT(E524,"YYYY-MM"))</f>
        <v/>
      </c>
      <c r="BB524" s="5">
        <f>IF(E524="","",TEXT(E524,"YYYY"))</f>
        <v/>
      </c>
      <c r="BC524" s="92">
        <f>IF($E524="","",NETWORKDAYS($E524,Controls!$B$9,Ref!$F$4:$F$47))</f>
        <v/>
      </c>
      <c r="BD524" s="92">
        <f>IF(OR($AH524=1,$AJ524=1),1,0)</f>
        <v/>
      </c>
      <c r="BE524" s="95">
        <f>IF(OR($BD524=1,AND($AE524&lt;&gt;"",$BC524&gt;=Controls!$B$10*$AE524)),1,0)</f>
        <v/>
      </c>
    </row>
    <row r="525" ht="15.75" customHeight="1" s="79">
      <c r="A525" s="5" t="inlineStr">
        <is>
          <t>5674176242</t>
        </is>
      </c>
      <c r="B525" s="5" t="inlineStr">
        <is>
          <t>Hitaway Baseball Training LLC</t>
        </is>
      </c>
      <c r="C525" s="5" t="inlineStr">
        <is>
          <t>HITAWAY BASEBALL TRAINING LLC</t>
        </is>
      </c>
      <c r="D525" s="5" t="inlineStr">
        <is>
          <t>Lowered Payments</t>
        </is>
      </c>
      <c r="E525" s="16" t="n">
        <v>46034</v>
      </c>
      <c r="F525" s="16" t="n">
        <v>46253</v>
      </c>
      <c r="G525" s="17" t="n">
        <v>1</v>
      </c>
      <c r="H525" s="5" t="inlineStr">
        <is>
          <t>8331</t>
        </is>
      </c>
      <c r="I525" s="5" t="inlineStr">
        <is>
          <t>Vocational Rehabilitation Services</t>
        </is>
      </c>
      <c r="J525" s="5" t="inlineStr">
        <is>
          <t>83</t>
        </is>
      </c>
      <c r="K525" s="5" t="n">
        <v>8249</v>
      </c>
      <c r="L525" s="5" t="inlineStr">
        <is>
          <t>TX</t>
        </is>
      </c>
      <c r="M525" s="5" t="inlineStr">
        <is>
          <t>Fundwell</t>
        </is>
      </c>
      <c r="N525" s="5" t="inlineStr">
        <is>
          <t>New Deal</t>
        </is>
      </c>
      <c r="O525" s="19" t="n">
        <v>1.49</v>
      </c>
      <c r="P525" s="20" t="n">
        <v>11000</v>
      </c>
      <c r="Q525" s="20" t="n">
        <v>1815</v>
      </c>
      <c r="R525" s="20" t="n">
        <v>16390</v>
      </c>
      <c r="S525" s="20" t="n">
        <v>14561.37</v>
      </c>
      <c r="T525" s="20" t="n">
        <v>1828.63</v>
      </c>
      <c r="U525" s="21" t="n">
        <v>0.888430140329469</v>
      </c>
      <c r="V525" s="22" t="n">
        <v>24</v>
      </c>
      <c r="W525" s="17" t="n">
        <v>0</v>
      </c>
      <c r="X525" s="17" t="n">
        <v>12</v>
      </c>
      <c r="Y525" s="20" t="n">
        <v>13828.3</v>
      </c>
      <c r="Z525" s="21" t="n">
        <v>0.1975</v>
      </c>
      <c r="AA525" s="16" t="n">
        <v>44835</v>
      </c>
      <c r="AB525" s="5">
        <f>IF(V525="","",IF(V525&lt;12,"Months","Weeks"))</f>
        <v/>
      </c>
      <c r="AC525" s="5">
        <f>IF(AB525="","",IF(AB525="Months","Daily","Weekly"))</f>
        <v/>
      </c>
      <c r="AD525" s="17">
        <f>IF(V525="","",IF(AC525="Daily",V525*Controls!$B$13,V525))</f>
        <v/>
      </c>
      <c r="AE525" s="17">
        <f>IF(V525="","",IF(AC525="Daily",V525*Controls!$B$13,V525*Controls!$B$12))</f>
        <v/>
      </c>
      <c r="AF525" s="17">
        <f>IF(OR(E525="",F525=""),"",F525-E525)</f>
        <v/>
      </c>
      <c r="AG525" s="17">
        <f>IF(OR(E525="",F525=""),"",NETWORKDAYS(E525,F525,Ref!$F$4:$F$47))</f>
        <v/>
      </c>
      <c r="AH525" s="39">
        <f>IF(IFERROR(VLOOKUP(D525,Controls!$A$25:$D$35,2,FALSE()),"No")="Yes",1,0)</f>
        <v/>
      </c>
      <c r="AI525" s="39">
        <f>IF(IFERROR(VLOOKUP(D525,Controls!$A$25:$D$35,3,FALSE()),"No")="Yes",1,0)</f>
        <v/>
      </c>
      <c r="AJ525" s="39">
        <f>IF(IFERROR(VLOOKUP(D525,Controls!$A$25:$D$35,4,FALSE()),"No")="Yes",1,0)</f>
        <v/>
      </c>
      <c r="AK525" s="96">
        <f>IF(AND($E525&gt;=Controls!$B$5,$E525&lt;=Controls!$B$6,OR(Controls!$E$9&lt;&gt;"Y",$BE525=1)),1,0)</f>
        <v/>
      </c>
      <c r="AL525" s="39">
        <f>1</f>
        <v/>
      </c>
      <c r="AM525" s="20">
        <f>S525-P525</f>
        <v/>
      </c>
      <c r="AN525" s="20">
        <f>IF(AH525=1,MAX(0,P525-S525),0)</f>
        <v/>
      </c>
      <c r="AO525" s="21">
        <f>IFERROR(S525/P525,"")</f>
        <v/>
      </c>
      <c r="AP525" s="22">
        <f>IF(Y525="","",P525/Y525)</f>
        <v/>
      </c>
      <c r="AQ525" s="39">
        <f>IF(Y525="",0,1)</f>
        <v/>
      </c>
      <c r="AR525" s="39">
        <f>IF(S525&lt;=0,1,0)</f>
        <v/>
      </c>
      <c r="AS525" s="17">
        <f>IF(AH525=1,AG525,"")</f>
        <v/>
      </c>
      <c r="AT525" s="17">
        <f>IF(AND(AH525=0,AJ525=1),AG525,"")</f>
        <v/>
      </c>
      <c r="AU525" s="5">
        <f>IF(P525&lt;10000,"Under $10K",IF(P525&lt;20000,"$10-20K",IF(P525&lt;30000,"$20-30K",IF(P525&lt;50000,"$30-50K",IF(P525&lt;100000,"$50-100K","$100K+")))))</f>
        <v/>
      </c>
      <c r="AV525" s="5">
        <f>IF(O525&lt;=1.35,"1.35 and under",IF(O525&lt;=1.42,"1.36-1.42",IF(O525&lt;=1.45,"1.43-1.45",IF(O525&lt;1.49,"1.46-1.48",IF(O525&lt;=1.49,"1.49","Above 1.49")))))</f>
        <v/>
      </c>
      <c r="AW525" s="5">
        <f>IF(AE525="","",IF(AE525&lt;60,"Under 60",IF(AE525&lt;90,"60-89",IF(AE525&lt;120,"90-119",IF(AE525&lt;150,"120-149","150+")))))</f>
        <v/>
      </c>
      <c r="AX525" s="5">
        <f>IF(AP525="","No revenue data",IF(AP525&lt;0.15,"Under 0.15x",IF(AP525&lt;0.3,"0.15-0.30x",IF(AP525&lt;0.5,"0.30-0.50x",IF(AP525&lt;1,"0.50-1.00x","1.00x+")))))</f>
        <v/>
      </c>
      <c r="AY525" s="5">
        <f>IF(J525="","No SIC",IFERROR(VLOOKUP(J525,Ref!$A$4:$C$67,2,FALSE()),"Unclassified"))</f>
        <v/>
      </c>
      <c r="AZ525" s="5">
        <f>IF(E525="","",TEXT(E525,"YYYY")&amp;"-Q"&amp;ROUNDUP(MONTH(E525)/3,0))</f>
        <v/>
      </c>
      <c r="BA525" s="5">
        <f>IF(E525="","",TEXT(E525,"YYYY-MM"))</f>
        <v/>
      </c>
      <c r="BB525" s="5">
        <f>IF(E525="","",TEXT(E525,"YYYY"))</f>
        <v/>
      </c>
      <c r="BC525" s="92">
        <f>IF($E525="","",NETWORKDAYS($E525,Controls!$B$9,Ref!$F$4:$F$47))</f>
        <v/>
      </c>
      <c r="BD525" s="92">
        <f>IF(OR($AH525=1,$AJ525=1),1,0)</f>
        <v/>
      </c>
      <c r="BE525" s="95">
        <f>IF(OR($BD525=1,AND($AE525&lt;&gt;"",$BC525&gt;=Controls!$B$10*$AE525)),1,0)</f>
        <v/>
      </c>
    </row>
    <row r="526" ht="15.75" customHeight="1" s="79">
      <c r="A526" s="5" t="inlineStr">
        <is>
          <t>5674176247</t>
        </is>
      </c>
      <c r="B526" s="5" t="inlineStr">
        <is>
          <t>US FOOD TRUCK FACTORY</t>
        </is>
      </c>
      <c r="C526" s="5" t="inlineStr">
        <is>
          <t>NORTHSTAR MILLENIUM LLC</t>
        </is>
      </c>
      <c r="D526" s="5" t="inlineStr">
        <is>
          <t>Lowered Payments</t>
        </is>
      </c>
      <c r="E526" s="16" t="n">
        <v>46034</v>
      </c>
      <c r="F526" s="16" t="n">
        <v>46248</v>
      </c>
      <c r="G526" s="17" t="n">
        <v>3</v>
      </c>
      <c r="H526" s="5" t="inlineStr">
        <is>
          <t>5812</t>
        </is>
      </c>
      <c r="I526" s="5" t="inlineStr">
        <is>
          <t>Full-Service Restaurants</t>
        </is>
      </c>
      <c r="J526" s="5" t="inlineStr">
        <is>
          <t>58</t>
        </is>
      </c>
      <c r="K526" s="5" t="n">
        <v>5812</v>
      </c>
      <c r="L526" s="5" t="inlineStr">
        <is>
          <t>No state</t>
        </is>
      </c>
      <c r="M526" s="5" t="inlineStr">
        <is>
          <t>Linked In Funding</t>
        </is>
      </c>
      <c r="N526" s="5" t="inlineStr">
        <is>
          <t>New Deal</t>
        </is>
      </c>
      <c r="O526" s="19" t="n">
        <v>1.44</v>
      </c>
      <c r="P526" s="20" t="n">
        <v>22000</v>
      </c>
      <c r="Q526" s="20" t="n">
        <v>2530</v>
      </c>
      <c r="R526" s="20" t="n">
        <v>31680</v>
      </c>
      <c r="S526" s="20" t="n">
        <v>14716.52</v>
      </c>
      <c r="T526" s="20" t="n">
        <v>16963.48</v>
      </c>
      <c r="U526" s="21" t="n">
        <v>0.464536616161616</v>
      </c>
      <c r="V526" s="22" t="n">
        <v>28</v>
      </c>
      <c r="W526" s="17" t="n">
        <v>5</v>
      </c>
      <c r="X526" s="17" t="n">
        <v>7</v>
      </c>
      <c r="Y526" s="20" t="n">
        <v>79721.31</v>
      </c>
      <c r="Z526" s="21" t="n">
        <v>0.0568</v>
      </c>
      <c r="AA526" s="16" t="n">
        <v>42449</v>
      </c>
      <c r="AB526" s="5">
        <f>IF(V526="","",IF(V526&lt;12,"Months","Weeks"))</f>
        <v/>
      </c>
      <c r="AC526" s="5">
        <f>IF(AB526="","",IF(AB526="Months","Daily","Weekly"))</f>
        <v/>
      </c>
      <c r="AD526" s="17">
        <f>IF(V526="","",IF(AC526="Daily",V526*Controls!$B$13,V526))</f>
        <v/>
      </c>
      <c r="AE526" s="17">
        <f>IF(V526="","",IF(AC526="Daily",V526*Controls!$B$13,V526*Controls!$B$12))</f>
        <v/>
      </c>
      <c r="AF526" s="17">
        <f>IF(OR(E526="",F526=""),"",F526-E526)</f>
        <v/>
      </c>
      <c r="AG526" s="17">
        <f>IF(OR(E526="",F526=""),"",NETWORKDAYS(E526,F526,Ref!$F$4:$F$47))</f>
        <v/>
      </c>
      <c r="AH526" s="39">
        <f>IF(IFERROR(VLOOKUP(D526,Controls!$A$25:$D$35,2,FALSE()),"No")="Yes",1,0)</f>
        <v/>
      </c>
      <c r="AI526" s="39">
        <f>IF(IFERROR(VLOOKUP(D526,Controls!$A$25:$D$35,3,FALSE()),"No")="Yes",1,0)</f>
        <v/>
      </c>
      <c r="AJ526" s="39">
        <f>IF(IFERROR(VLOOKUP(D526,Controls!$A$25:$D$35,4,FALSE()),"No")="Yes",1,0)</f>
        <v/>
      </c>
      <c r="AK526" s="96">
        <f>IF(AND($E526&gt;=Controls!$B$5,$E526&lt;=Controls!$B$6,OR(Controls!$E$9&lt;&gt;"Y",$BE526=1)),1,0)</f>
        <v/>
      </c>
      <c r="AL526" s="39">
        <f>1</f>
        <v/>
      </c>
      <c r="AM526" s="20">
        <f>S526-P526</f>
        <v/>
      </c>
      <c r="AN526" s="20">
        <f>IF(AH526=1,MAX(0,P526-S526),0)</f>
        <v/>
      </c>
      <c r="AO526" s="21">
        <f>IFERROR(S526/P526,"")</f>
        <v/>
      </c>
      <c r="AP526" s="22">
        <f>IF(Y526="","",P526/Y526)</f>
        <v/>
      </c>
      <c r="AQ526" s="39">
        <f>IF(Y526="",0,1)</f>
        <v/>
      </c>
      <c r="AR526" s="39">
        <f>IF(S526&lt;=0,1,0)</f>
        <v/>
      </c>
      <c r="AS526" s="17">
        <f>IF(AH526=1,AG526,"")</f>
        <v/>
      </c>
      <c r="AT526" s="17">
        <f>IF(AND(AH526=0,AJ526=1),AG526,"")</f>
        <v/>
      </c>
      <c r="AU526" s="5">
        <f>IF(P526&lt;10000,"Under $10K",IF(P526&lt;20000,"$10-20K",IF(P526&lt;30000,"$20-30K",IF(P526&lt;50000,"$30-50K",IF(P526&lt;100000,"$50-100K","$100K+")))))</f>
        <v/>
      </c>
      <c r="AV526" s="5">
        <f>IF(O526&lt;=1.35,"1.35 and under",IF(O526&lt;=1.42,"1.36-1.42",IF(O526&lt;=1.45,"1.43-1.45",IF(O526&lt;1.49,"1.46-1.48",IF(O526&lt;=1.49,"1.49","Above 1.49")))))</f>
        <v/>
      </c>
      <c r="AW526" s="5">
        <f>IF(AE526="","",IF(AE526&lt;60,"Under 60",IF(AE526&lt;90,"60-89",IF(AE526&lt;120,"90-119",IF(AE526&lt;150,"120-149","150+")))))</f>
        <v/>
      </c>
      <c r="AX526" s="5">
        <f>IF(AP526="","No revenue data",IF(AP526&lt;0.15,"Under 0.15x",IF(AP526&lt;0.3,"0.15-0.30x",IF(AP526&lt;0.5,"0.30-0.50x",IF(AP526&lt;1,"0.50-1.00x","1.00x+")))))</f>
        <v/>
      </c>
      <c r="AY526" s="5">
        <f>IF(J526="","No SIC",IFERROR(VLOOKUP(J526,Ref!$A$4:$C$67,2,FALSE()),"Unclassified"))</f>
        <v/>
      </c>
      <c r="AZ526" s="5">
        <f>IF(E526="","",TEXT(E526,"YYYY")&amp;"-Q"&amp;ROUNDUP(MONTH(E526)/3,0))</f>
        <v/>
      </c>
      <c r="BA526" s="5">
        <f>IF(E526="","",TEXT(E526,"YYYY-MM"))</f>
        <v/>
      </c>
      <c r="BB526" s="5">
        <f>IF(E526="","",TEXT(E526,"YYYY"))</f>
        <v/>
      </c>
      <c r="BC526" s="92">
        <f>IF($E526="","",NETWORKDAYS($E526,Controls!$B$9,Ref!$F$4:$F$47))</f>
        <v/>
      </c>
      <c r="BD526" s="92">
        <f>IF(OR($AH526=1,$AJ526=1),1,0)</f>
        <v/>
      </c>
      <c r="BE526" s="95">
        <f>IF(OR($BD526=1,AND($AE526&lt;&gt;"",$BC526&gt;=Controls!$B$10*$AE526)),1,0)</f>
        <v/>
      </c>
    </row>
    <row r="527" ht="15.75" customHeight="1" s="79">
      <c r="A527" s="5" t="inlineStr">
        <is>
          <t>5674176262</t>
        </is>
      </c>
      <c r="B527" s="5" t="inlineStr">
        <is>
          <t>Marcus, Fairall, Bristol + Co., PLLC</t>
        </is>
      </c>
      <c r="C527" s="5" t="inlineStr">
        <is>
          <t>Marcus, Fairall, Bristol + Co., PLLC</t>
        </is>
      </c>
      <c r="D527" s="5" t="inlineStr">
        <is>
          <t>Open</t>
        </is>
      </c>
      <c r="E527" s="16" t="n">
        <v>46034</v>
      </c>
      <c r="F527" s="16" t="n">
        <v>46251</v>
      </c>
      <c r="G527" s="17" t="n">
        <v>3</v>
      </c>
      <c r="H527" s="5" t="n"/>
      <c r="I527" s="5" t="n"/>
      <c r="J527" s="5" t="n"/>
      <c r="K527" s="5" t="n">
        <v>9311</v>
      </c>
      <c r="L527" s="5" t="inlineStr">
        <is>
          <t>No state</t>
        </is>
      </c>
      <c r="M527" s="5" t="inlineStr">
        <is>
          <t>Fundwell</t>
        </is>
      </c>
      <c r="N527" s="5" t="inlineStr">
        <is>
          <t>New Deal</t>
        </is>
      </c>
      <c r="O527" s="19" t="n">
        <v>1.4</v>
      </c>
      <c r="P527" s="20" t="n">
        <v>30000</v>
      </c>
      <c r="Q527" s="20" t="n">
        <v>4050</v>
      </c>
      <c r="R527" s="20" t="n">
        <v>42000</v>
      </c>
      <c r="S527" s="20" t="n">
        <v>40685.64</v>
      </c>
      <c r="T527" s="20" t="n">
        <v>1314.36</v>
      </c>
      <c r="U527" s="21" t="n">
        <v>0.9687057142857139</v>
      </c>
      <c r="V527" s="22" t="n">
        <v>32</v>
      </c>
      <c r="W527" s="17" t="n">
        <v>2</v>
      </c>
      <c r="X527" s="17" t="n">
        <v>0</v>
      </c>
      <c r="Y527" s="20" t="n">
        <v>66468.22</v>
      </c>
      <c r="Z527" s="21" t="n">
        <v>0.1026</v>
      </c>
      <c r="AA527" s="16" t="n">
        <v>32994</v>
      </c>
      <c r="AB527" s="5">
        <f>IF(V527="","",IF(V527&lt;12,"Months","Weeks"))</f>
        <v/>
      </c>
      <c r="AC527" s="5">
        <f>IF(AB527="","",IF(AB527="Months","Daily","Weekly"))</f>
        <v/>
      </c>
      <c r="AD527" s="17">
        <f>IF(V527="","",IF(AC527="Daily",V527*Controls!$B$13,V527))</f>
        <v/>
      </c>
      <c r="AE527" s="17">
        <f>IF(V527="","",IF(AC527="Daily",V527*Controls!$B$13,V527*Controls!$B$12))</f>
        <v/>
      </c>
      <c r="AF527" s="17">
        <f>IF(OR(E527="",F527=""),"",F527-E527)</f>
        <v/>
      </c>
      <c r="AG527" s="17">
        <f>IF(OR(E527="",F527=""),"",NETWORKDAYS(E527,F527,Ref!$F$4:$F$47))</f>
        <v/>
      </c>
      <c r="AH527" s="39">
        <f>IF(IFERROR(VLOOKUP(D527,Controls!$A$25:$D$35,2,FALSE()),"No")="Yes",1,0)</f>
        <v/>
      </c>
      <c r="AI527" s="39">
        <f>IF(IFERROR(VLOOKUP(D527,Controls!$A$25:$D$35,3,FALSE()),"No")="Yes",1,0)</f>
        <v/>
      </c>
      <c r="AJ527" s="39">
        <f>IF(IFERROR(VLOOKUP(D527,Controls!$A$25:$D$35,4,FALSE()),"No")="Yes",1,0)</f>
        <v/>
      </c>
      <c r="AK527" s="96">
        <f>IF(AND($E527&gt;=Controls!$B$5,$E527&lt;=Controls!$B$6,OR(Controls!$E$9&lt;&gt;"Y",$BE527=1)),1,0)</f>
        <v/>
      </c>
      <c r="AL527" s="39">
        <f>1</f>
        <v/>
      </c>
      <c r="AM527" s="20">
        <f>S527-P527</f>
        <v/>
      </c>
      <c r="AN527" s="20">
        <f>IF(AH527=1,MAX(0,P527-S527),0)</f>
        <v/>
      </c>
      <c r="AO527" s="21">
        <f>IFERROR(S527/P527,"")</f>
        <v/>
      </c>
      <c r="AP527" s="22">
        <f>IF(Y527="","",P527/Y527)</f>
        <v/>
      </c>
      <c r="AQ527" s="39">
        <f>IF(Y527="",0,1)</f>
        <v/>
      </c>
      <c r="AR527" s="39">
        <f>IF(S527&lt;=0,1,0)</f>
        <v/>
      </c>
      <c r="AS527" s="17">
        <f>IF(AH527=1,AG527,"")</f>
        <v/>
      </c>
      <c r="AT527" s="17">
        <f>IF(AND(AH527=0,AJ527=1),AG527,"")</f>
        <v/>
      </c>
      <c r="AU527" s="5">
        <f>IF(P527&lt;10000,"Under $10K",IF(P527&lt;20000,"$10-20K",IF(P527&lt;30000,"$20-30K",IF(P527&lt;50000,"$30-50K",IF(P527&lt;100000,"$50-100K","$100K+")))))</f>
        <v/>
      </c>
      <c r="AV527" s="5">
        <f>IF(O527&lt;=1.35,"1.35 and under",IF(O527&lt;=1.42,"1.36-1.42",IF(O527&lt;=1.45,"1.43-1.45",IF(O527&lt;1.49,"1.46-1.48",IF(O527&lt;=1.49,"1.49","Above 1.49")))))</f>
        <v/>
      </c>
      <c r="AW527" s="5">
        <f>IF(AE527="","",IF(AE527&lt;60,"Under 60",IF(AE527&lt;90,"60-89",IF(AE527&lt;120,"90-119",IF(AE527&lt;150,"120-149","150+")))))</f>
        <v/>
      </c>
      <c r="AX527" s="5">
        <f>IF(AP527="","No revenue data",IF(AP527&lt;0.15,"Under 0.15x",IF(AP527&lt;0.3,"0.15-0.30x",IF(AP527&lt;0.5,"0.30-0.50x",IF(AP527&lt;1,"0.50-1.00x","1.00x+")))))</f>
        <v/>
      </c>
      <c r="AY527" s="5">
        <f>IF(J527="","No SIC",IFERROR(VLOOKUP(J527,Ref!$A$4:$C$67,2,FALSE()),"Unclassified"))</f>
        <v/>
      </c>
      <c r="AZ527" s="5">
        <f>IF(E527="","",TEXT(E527,"YYYY")&amp;"-Q"&amp;ROUNDUP(MONTH(E527)/3,0))</f>
        <v/>
      </c>
      <c r="BA527" s="5">
        <f>IF(E527="","",TEXT(E527,"YYYY-MM"))</f>
        <v/>
      </c>
      <c r="BB527" s="5">
        <f>IF(E527="","",TEXT(E527,"YYYY"))</f>
        <v/>
      </c>
      <c r="BC527" s="92">
        <f>IF($E527="","",NETWORKDAYS($E527,Controls!$B$9,Ref!$F$4:$F$47))</f>
        <v/>
      </c>
      <c r="BD527" s="92">
        <f>IF(OR($AH527=1,$AJ527=1),1,0)</f>
        <v/>
      </c>
      <c r="BE527" s="95">
        <f>IF(OR($BD527=1,AND($AE527&lt;&gt;"",$BC527&gt;=Controls!$B$10*$AE527)),1,0)</f>
        <v/>
      </c>
    </row>
    <row r="528" ht="15.75" customHeight="1" s="79">
      <c r="A528" s="5" t="inlineStr">
        <is>
          <t>5674176267</t>
        </is>
      </c>
      <c r="B528" s="5" t="inlineStr">
        <is>
          <t>HJM CONSTRUCTION DBA HOLLY SERVIN MBR</t>
        </is>
      </c>
      <c r="C528" s="5" t="inlineStr">
        <is>
          <t>HJM Construction LLC</t>
        </is>
      </c>
      <c r="D528" s="5" t="inlineStr">
        <is>
          <t>Legal</t>
        </is>
      </c>
      <c r="E528" s="16" t="n">
        <v>46035</v>
      </c>
      <c r="F528" s="16" t="n">
        <v>46218</v>
      </c>
      <c r="G528" s="17" t="n">
        <v>3</v>
      </c>
      <c r="H528" s="5" t="inlineStr">
        <is>
          <t>0781</t>
        </is>
      </c>
      <c r="I528" s="5" t="inlineStr">
        <is>
          <t>Landscape Architectural Services</t>
        </is>
      </c>
      <c r="J528" s="5" t="inlineStr">
        <is>
          <t>07</t>
        </is>
      </c>
      <c r="K528" s="5" t="n">
        <v>8911</v>
      </c>
      <c r="L528" s="5" t="inlineStr">
        <is>
          <t>TX</t>
        </is>
      </c>
      <c r="M528" s="5" t="inlineStr">
        <is>
          <t>ecp business capital</t>
        </is>
      </c>
      <c r="N528" s="5" t="inlineStr">
        <is>
          <t>New Deal</t>
        </is>
      </c>
      <c r="O528" s="19" t="n">
        <v>1.49</v>
      </c>
      <c r="P528" s="20" t="n">
        <v>105000</v>
      </c>
      <c r="Q528" s="20" t="n">
        <v>14700</v>
      </c>
      <c r="R528" s="20" t="n">
        <v>156450</v>
      </c>
      <c r="S528" s="20" t="n">
        <v>108640</v>
      </c>
      <c r="T528" s="20" t="n">
        <v>47810</v>
      </c>
      <c r="U528" s="21" t="n">
        <v>0.694407158836689</v>
      </c>
      <c r="V528" s="22" t="n">
        <v>36</v>
      </c>
      <c r="W528" s="17" t="n">
        <v>42</v>
      </c>
      <c r="X528" s="17" t="n">
        <v>1</v>
      </c>
      <c r="Y528" s="20" t="n">
        <v>256000.15</v>
      </c>
      <c r="Z528" s="21" t="n">
        <v>0.0679</v>
      </c>
      <c r="AA528" s="16" t="n">
        <v>43604</v>
      </c>
      <c r="AB528" s="5">
        <f>IF(V528="","",IF(V528&lt;12,"Months","Weeks"))</f>
        <v/>
      </c>
      <c r="AC528" s="5">
        <f>IF(AB528="","",IF(AB528="Months","Daily","Weekly"))</f>
        <v/>
      </c>
      <c r="AD528" s="17">
        <f>IF(V528="","",IF(AC528="Daily",V528*Controls!$B$13,V528))</f>
        <v/>
      </c>
      <c r="AE528" s="17">
        <f>IF(V528="","",IF(AC528="Daily",V528*Controls!$B$13,V528*Controls!$B$12))</f>
        <v/>
      </c>
      <c r="AF528" s="17">
        <f>IF(OR(E528="",F528=""),"",F528-E528)</f>
        <v/>
      </c>
      <c r="AG528" s="17">
        <f>IF(OR(E528="",F528=""),"",NETWORKDAYS(E528,F528,Ref!$F$4:$F$47))</f>
        <v/>
      </c>
      <c r="AH528" s="39">
        <f>IF(IFERROR(VLOOKUP(D528,Controls!$A$25:$D$35,2,FALSE()),"No")="Yes",1,0)</f>
        <v/>
      </c>
      <c r="AI528" s="39">
        <f>IF(IFERROR(VLOOKUP(D528,Controls!$A$25:$D$35,3,FALSE()),"No")="Yes",1,0)</f>
        <v/>
      </c>
      <c r="AJ528" s="39">
        <f>IF(IFERROR(VLOOKUP(D528,Controls!$A$25:$D$35,4,FALSE()),"No")="Yes",1,0)</f>
        <v/>
      </c>
      <c r="AK528" s="96">
        <f>IF(AND($E528&gt;=Controls!$B$5,$E528&lt;=Controls!$B$6,OR(Controls!$E$9&lt;&gt;"Y",$BE528=1)),1,0)</f>
        <v/>
      </c>
      <c r="AL528" s="39">
        <f>1</f>
        <v/>
      </c>
      <c r="AM528" s="20">
        <f>S528-P528</f>
        <v/>
      </c>
      <c r="AN528" s="20">
        <f>IF(AH528=1,MAX(0,P528-S528),0)</f>
        <v/>
      </c>
      <c r="AO528" s="21">
        <f>IFERROR(S528/P528,"")</f>
        <v/>
      </c>
      <c r="AP528" s="22">
        <f>IF(Y528="","",P528/Y528)</f>
        <v/>
      </c>
      <c r="AQ528" s="39">
        <f>IF(Y528="",0,1)</f>
        <v/>
      </c>
      <c r="AR528" s="39">
        <f>IF(S528&lt;=0,1,0)</f>
        <v/>
      </c>
      <c r="AS528" s="17">
        <f>IF(AH528=1,AG528,"")</f>
        <v/>
      </c>
      <c r="AT528" s="17">
        <f>IF(AND(AH528=0,AJ528=1),AG528,"")</f>
        <v/>
      </c>
      <c r="AU528" s="5">
        <f>IF(P528&lt;10000,"Under $10K",IF(P528&lt;20000,"$10-20K",IF(P528&lt;30000,"$20-30K",IF(P528&lt;50000,"$30-50K",IF(P528&lt;100000,"$50-100K","$100K+")))))</f>
        <v/>
      </c>
      <c r="AV528" s="5">
        <f>IF(O528&lt;=1.35,"1.35 and under",IF(O528&lt;=1.42,"1.36-1.42",IF(O528&lt;=1.45,"1.43-1.45",IF(O528&lt;1.49,"1.46-1.48",IF(O528&lt;=1.49,"1.49","Above 1.49")))))</f>
        <v/>
      </c>
      <c r="AW528" s="5">
        <f>IF(AE528="","",IF(AE528&lt;60,"Under 60",IF(AE528&lt;90,"60-89",IF(AE528&lt;120,"90-119",IF(AE528&lt;150,"120-149","150+")))))</f>
        <v/>
      </c>
      <c r="AX528" s="5">
        <f>IF(AP528="","No revenue data",IF(AP528&lt;0.15,"Under 0.15x",IF(AP528&lt;0.3,"0.15-0.30x",IF(AP528&lt;0.5,"0.30-0.50x",IF(AP528&lt;1,"0.50-1.00x","1.00x+")))))</f>
        <v/>
      </c>
      <c r="AY528" s="5">
        <f>IF(J528="","No SIC",IFERROR(VLOOKUP(J528,Ref!$A$4:$C$67,2,FALSE()),"Unclassified"))</f>
        <v/>
      </c>
      <c r="AZ528" s="5">
        <f>IF(E528="","",TEXT(E528,"YYYY")&amp;"-Q"&amp;ROUNDUP(MONTH(E528)/3,0))</f>
        <v/>
      </c>
      <c r="BA528" s="5">
        <f>IF(E528="","",TEXT(E528,"YYYY-MM"))</f>
        <v/>
      </c>
      <c r="BB528" s="5">
        <f>IF(E528="","",TEXT(E528,"YYYY"))</f>
        <v/>
      </c>
      <c r="BC528" s="92">
        <f>IF($E528="","",NETWORKDAYS($E528,Controls!$B$9,Ref!$F$4:$F$47))</f>
        <v/>
      </c>
      <c r="BD528" s="92">
        <f>IF(OR($AH528=1,$AJ528=1),1,0)</f>
        <v/>
      </c>
      <c r="BE528" s="95">
        <f>IF(OR($BD528=1,AND($AE528&lt;&gt;"",$BC528&gt;=Controls!$B$10*$AE528)),1,0)</f>
        <v/>
      </c>
    </row>
    <row r="529" ht="15.75" customHeight="1" s="79">
      <c r="A529" s="5" t="inlineStr">
        <is>
          <t>5674176304</t>
        </is>
      </c>
      <c r="B529" s="5" t="inlineStr">
        <is>
          <t>BLUEPRINT GLOBAL USA, LLC</t>
        </is>
      </c>
      <c r="C529" s="5" t="inlineStr">
        <is>
          <t>BLUEPRINT GLOBAL USA, LLC</t>
        </is>
      </c>
      <c r="D529" s="5" t="inlineStr">
        <is>
          <t>Open</t>
        </is>
      </c>
      <c r="E529" s="16" t="n">
        <v>46035</v>
      </c>
      <c r="F529" s="16" t="n">
        <v>46248</v>
      </c>
      <c r="G529" s="17" t="n">
        <v>1</v>
      </c>
      <c r="H529" s="5" t="inlineStr">
        <is>
          <t>1629</t>
        </is>
      </c>
      <c r="I529" s="5" t="inlineStr">
        <is>
          <t>Other Heavy and Civil Engineering Construction</t>
        </is>
      </c>
      <c r="J529" s="5" t="inlineStr">
        <is>
          <t>16</t>
        </is>
      </c>
      <c r="K529" s="5" t="n">
        <v>1520</v>
      </c>
      <c r="L529" s="5" t="inlineStr">
        <is>
          <t>TX</t>
        </is>
      </c>
      <c r="M529" s="5" t="inlineStr">
        <is>
          <t>Fundwell</t>
        </is>
      </c>
      <c r="N529" s="5" t="inlineStr">
        <is>
          <t>New Deal</t>
        </is>
      </c>
      <c r="O529" s="19" t="n">
        <v>1.38</v>
      </c>
      <c r="P529" s="20" t="n">
        <v>150000</v>
      </c>
      <c r="Q529" s="20" t="n">
        <v>17250</v>
      </c>
      <c r="R529" s="20" t="n">
        <v>207000</v>
      </c>
      <c r="S529" s="20" t="n">
        <v>119389.2</v>
      </c>
      <c r="T529" s="20" t="n">
        <v>87610.8</v>
      </c>
      <c r="U529" s="21" t="n">
        <v>0.5767594202898551</v>
      </c>
      <c r="V529" s="22" t="n">
        <v>52</v>
      </c>
      <c r="W529" s="17" t="n">
        <v>5</v>
      </c>
      <c r="X529" s="17" t="n">
        <v>0</v>
      </c>
      <c r="Y529" s="20" t="n">
        <v>329576.44</v>
      </c>
      <c r="Z529" s="21" t="n">
        <v>0.0483</v>
      </c>
      <c r="AA529" s="16" t="n">
        <v>43574</v>
      </c>
      <c r="AB529" s="5">
        <f>IF(V529="","",IF(V529&lt;12,"Months","Weeks"))</f>
        <v/>
      </c>
      <c r="AC529" s="5">
        <f>IF(AB529="","",IF(AB529="Months","Daily","Weekly"))</f>
        <v/>
      </c>
      <c r="AD529" s="17">
        <f>IF(V529="","",IF(AC529="Daily",V529*Controls!$B$13,V529))</f>
        <v/>
      </c>
      <c r="AE529" s="17">
        <f>IF(V529="","",IF(AC529="Daily",V529*Controls!$B$13,V529*Controls!$B$12))</f>
        <v/>
      </c>
      <c r="AF529" s="17">
        <f>IF(OR(E529="",F529=""),"",F529-E529)</f>
        <v/>
      </c>
      <c r="AG529" s="17">
        <f>IF(OR(E529="",F529=""),"",NETWORKDAYS(E529,F529,Ref!$F$4:$F$47))</f>
        <v/>
      </c>
      <c r="AH529" s="39">
        <f>IF(IFERROR(VLOOKUP(D529,Controls!$A$25:$D$35,2,FALSE()),"No")="Yes",1,0)</f>
        <v/>
      </c>
      <c r="AI529" s="39">
        <f>IF(IFERROR(VLOOKUP(D529,Controls!$A$25:$D$35,3,FALSE()),"No")="Yes",1,0)</f>
        <v/>
      </c>
      <c r="AJ529" s="39">
        <f>IF(IFERROR(VLOOKUP(D529,Controls!$A$25:$D$35,4,FALSE()),"No")="Yes",1,0)</f>
        <v/>
      </c>
      <c r="AK529" s="96">
        <f>IF(AND($E529&gt;=Controls!$B$5,$E529&lt;=Controls!$B$6,OR(Controls!$E$9&lt;&gt;"Y",$BE529=1)),1,0)</f>
        <v/>
      </c>
      <c r="AL529" s="39">
        <f>1</f>
        <v/>
      </c>
      <c r="AM529" s="20">
        <f>S529-P529</f>
        <v/>
      </c>
      <c r="AN529" s="20">
        <f>IF(AH529=1,MAX(0,P529-S529),0)</f>
        <v/>
      </c>
      <c r="AO529" s="21">
        <f>IFERROR(S529/P529,"")</f>
        <v/>
      </c>
      <c r="AP529" s="22">
        <f>IF(Y529="","",P529/Y529)</f>
        <v/>
      </c>
      <c r="AQ529" s="39">
        <f>IF(Y529="",0,1)</f>
        <v/>
      </c>
      <c r="AR529" s="39">
        <f>IF(S529&lt;=0,1,0)</f>
        <v/>
      </c>
      <c r="AS529" s="17">
        <f>IF(AH529=1,AG529,"")</f>
        <v/>
      </c>
      <c r="AT529" s="17">
        <f>IF(AND(AH529=0,AJ529=1),AG529,"")</f>
        <v/>
      </c>
      <c r="AU529" s="5">
        <f>IF(P529&lt;10000,"Under $10K",IF(P529&lt;20000,"$10-20K",IF(P529&lt;30000,"$20-30K",IF(P529&lt;50000,"$30-50K",IF(P529&lt;100000,"$50-100K","$100K+")))))</f>
        <v/>
      </c>
      <c r="AV529" s="5">
        <f>IF(O529&lt;=1.35,"1.35 and under",IF(O529&lt;=1.42,"1.36-1.42",IF(O529&lt;=1.45,"1.43-1.45",IF(O529&lt;1.49,"1.46-1.48",IF(O529&lt;=1.49,"1.49","Above 1.49")))))</f>
        <v/>
      </c>
      <c r="AW529" s="5">
        <f>IF(AE529="","",IF(AE529&lt;60,"Under 60",IF(AE529&lt;90,"60-89",IF(AE529&lt;120,"90-119",IF(AE529&lt;150,"120-149","150+")))))</f>
        <v/>
      </c>
      <c r="AX529" s="5">
        <f>IF(AP529="","No revenue data",IF(AP529&lt;0.15,"Under 0.15x",IF(AP529&lt;0.3,"0.15-0.30x",IF(AP529&lt;0.5,"0.30-0.50x",IF(AP529&lt;1,"0.50-1.00x","1.00x+")))))</f>
        <v/>
      </c>
      <c r="AY529" s="5">
        <f>IF(J529="","No SIC",IFERROR(VLOOKUP(J529,Ref!$A$4:$C$67,2,FALSE()),"Unclassified"))</f>
        <v/>
      </c>
      <c r="AZ529" s="5">
        <f>IF(E529="","",TEXT(E529,"YYYY")&amp;"-Q"&amp;ROUNDUP(MONTH(E529)/3,0))</f>
        <v/>
      </c>
      <c r="BA529" s="5">
        <f>IF(E529="","",TEXT(E529,"YYYY-MM"))</f>
        <v/>
      </c>
      <c r="BB529" s="5">
        <f>IF(E529="","",TEXT(E529,"YYYY"))</f>
        <v/>
      </c>
      <c r="BC529" s="92">
        <f>IF($E529="","",NETWORKDAYS($E529,Controls!$B$9,Ref!$F$4:$F$47))</f>
        <v/>
      </c>
      <c r="BD529" s="92">
        <f>IF(OR($AH529=1,$AJ529=1),1,0)</f>
        <v/>
      </c>
      <c r="BE529" s="95">
        <f>IF(OR($BD529=1,AND($AE529&lt;&gt;"",$BC529&gt;=Controls!$B$10*$AE529)),1,0)</f>
        <v/>
      </c>
    </row>
    <row r="530" ht="15.75" customHeight="1" s="79">
      <c r="A530" s="5" t="inlineStr">
        <is>
          <t>5674176318</t>
        </is>
      </c>
      <c r="B530" s="5" t="inlineStr">
        <is>
          <t>Tw services llc</t>
        </is>
      </c>
      <c r="C530" s="5" t="inlineStr">
        <is>
          <t>Tw services llc</t>
        </is>
      </c>
      <c r="D530" s="5" t="inlineStr">
        <is>
          <t>Legal</t>
        </is>
      </c>
      <c r="E530" s="16" t="n">
        <v>46035</v>
      </c>
      <c r="F530" s="16" t="n">
        <v>46196</v>
      </c>
      <c r="G530" s="17" t="n">
        <v>4</v>
      </c>
      <c r="H530" s="5" t="inlineStr">
        <is>
          <t>7211</t>
        </is>
      </c>
      <c r="I530" s="5" t="inlineStr">
        <is>
          <t>Drycleaning and Laundry Services (Except Coin-Operated)</t>
        </is>
      </c>
      <c r="J530" s="5" t="inlineStr">
        <is>
          <t>72</t>
        </is>
      </c>
      <c r="K530" s="5" t="n">
        <v>7211</v>
      </c>
      <c r="L530" s="5" t="inlineStr">
        <is>
          <t>TX</t>
        </is>
      </c>
      <c r="M530" s="5" t="inlineStr">
        <is>
          <t>Fundwell</t>
        </is>
      </c>
      <c r="N530" s="5" t="inlineStr">
        <is>
          <t>New Deal</t>
        </is>
      </c>
      <c r="O530" s="19" t="n">
        <v>1.46</v>
      </c>
      <c r="P530" s="20" t="n">
        <v>20000</v>
      </c>
      <c r="Q530" s="20" t="n">
        <v>3300</v>
      </c>
      <c r="R530" s="20" t="n">
        <v>29200</v>
      </c>
      <c r="S530" s="20" t="n">
        <v>21885.72</v>
      </c>
      <c r="T530" s="20" t="n">
        <v>7314.28</v>
      </c>
      <c r="U530" s="21" t="n">
        <v>0.74951095890411</v>
      </c>
      <c r="V530" s="22" t="n">
        <v>16</v>
      </c>
      <c r="W530" s="17" t="n">
        <v>134</v>
      </c>
      <c r="X530" s="17" t="n">
        <v>11</v>
      </c>
      <c r="Y530" s="20" t="n">
        <v>108721.93</v>
      </c>
      <c r="Z530" s="21" t="n">
        <v>0.06710000000000001</v>
      </c>
      <c r="AA530" s="16" t="n">
        <v>45275</v>
      </c>
      <c r="AB530" s="5">
        <f>IF(V530="","",IF(V530&lt;12,"Months","Weeks"))</f>
        <v/>
      </c>
      <c r="AC530" s="5">
        <f>IF(AB530="","",IF(AB530="Months","Daily","Weekly"))</f>
        <v/>
      </c>
      <c r="AD530" s="17">
        <f>IF(V530="","",IF(AC530="Daily",V530*Controls!$B$13,V530))</f>
        <v/>
      </c>
      <c r="AE530" s="17">
        <f>IF(V530="","",IF(AC530="Daily",V530*Controls!$B$13,V530*Controls!$B$12))</f>
        <v/>
      </c>
      <c r="AF530" s="17">
        <f>IF(OR(E530="",F530=""),"",F530-E530)</f>
        <v/>
      </c>
      <c r="AG530" s="17">
        <f>IF(OR(E530="",F530=""),"",NETWORKDAYS(E530,F530,Ref!$F$4:$F$47))</f>
        <v/>
      </c>
      <c r="AH530" s="39">
        <f>IF(IFERROR(VLOOKUP(D530,Controls!$A$25:$D$35,2,FALSE()),"No")="Yes",1,0)</f>
        <v/>
      </c>
      <c r="AI530" s="39">
        <f>IF(IFERROR(VLOOKUP(D530,Controls!$A$25:$D$35,3,FALSE()),"No")="Yes",1,0)</f>
        <v/>
      </c>
      <c r="AJ530" s="39">
        <f>IF(IFERROR(VLOOKUP(D530,Controls!$A$25:$D$35,4,FALSE()),"No")="Yes",1,0)</f>
        <v/>
      </c>
      <c r="AK530" s="96">
        <f>IF(AND($E530&gt;=Controls!$B$5,$E530&lt;=Controls!$B$6,OR(Controls!$E$9&lt;&gt;"Y",$BE530=1)),1,0)</f>
        <v/>
      </c>
      <c r="AL530" s="39">
        <f>1</f>
        <v/>
      </c>
      <c r="AM530" s="20">
        <f>S530-P530</f>
        <v/>
      </c>
      <c r="AN530" s="20">
        <f>IF(AH530=1,MAX(0,P530-S530),0)</f>
        <v/>
      </c>
      <c r="AO530" s="21">
        <f>IFERROR(S530/P530,"")</f>
        <v/>
      </c>
      <c r="AP530" s="22">
        <f>IF(Y530="","",P530/Y530)</f>
        <v/>
      </c>
      <c r="AQ530" s="39">
        <f>IF(Y530="",0,1)</f>
        <v/>
      </c>
      <c r="AR530" s="39">
        <f>IF(S530&lt;=0,1,0)</f>
        <v/>
      </c>
      <c r="AS530" s="17">
        <f>IF(AH530=1,AG530,"")</f>
        <v/>
      </c>
      <c r="AT530" s="17">
        <f>IF(AND(AH530=0,AJ530=1),AG530,"")</f>
        <v/>
      </c>
      <c r="AU530" s="5">
        <f>IF(P530&lt;10000,"Under $10K",IF(P530&lt;20000,"$10-20K",IF(P530&lt;30000,"$20-30K",IF(P530&lt;50000,"$30-50K",IF(P530&lt;100000,"$50-100K","$100K+")))))</f>
        <v/>
      </c>
      <c r="AV530" s="5">
        <f>IF(O530&lt;=1.35,"1.35 and under",IF(O530&lt;=1.42,"1.36-1.42",IF(O530&lt;=1.45,"1.43-1.45",IF(O530&lt;1.49,"1.46-1.48",IF(O530&lt;=1.49,"1.49","Above 1.49")))))</f>
        <v/>
      </c>
      <c r="AW530" s="5">
        <f>IF(AE530="","",IF(AE530&lt;60,"Under 60",IF(AE530&lt;90,"60-89",IF(AE530&lt;120,"90-119",IF(AE530&lt;150,"120-149","150+")))))</f>
        <v/>
      </c>
      <c r="AX530" s="5">
        <f>IF(AP530="","No revenue data",IF(AP530&lt;0.15,"Under 0.15x",IF(AP530&lt;0.3,"0.15-0.30x",IF(AP530&lt;0.5,"0.30-0.50x",IF(AP530&lt;1,"0.50-1.00x","1.00x+")))))</f>
        <v/>
      </c>
      <c r="AY530" s="5">
        <f>IF(J530="","No SIC",IFERROR(VLOOKUP(J530,Ref!$A$4:$C$67,2,FALSE()),"Unclassified"))</f>
        <v/>
      </c>
      <c r="AZ530" s="5">
        <f>IF(E530="","",TEXT(E530,"YYYY")&amp;"-Q"&amp;ROUNDUP(MONTH(E530)/3,0))</f>
        <v/>
      </c>
      <c r="BA530" s="5">
        <f>IF(E530="","",TEXT(E530,"YYYY-MM"))</f>
        <v/>
      </c>
      <c r="BB530" s="5">
        <f>IF(E530="","",TEXT(E530,"YYYY"))</f>
        <v/>
      </c>
      <c r="BC530" s="92">
        <f>IF($E530="","",NETWORKDAYS($E530,Controls!$B$9,Ref!$F$4:$F$47))</f>
        <v/>
      </c>
      <c r="BD530" s="92">
        <f>IF(OR($AH530=1,$AJ530=1),1,0)</f>
        <v/>
      </c>
      <c r="BE530" s="95">
        <f>IF(OR($BD530=1,AND($AE530&lt;&gt;"",$BC530&gt;=Controls!$B$10*$AE530)),1,0)</f>
        <v/>
      </c>
    </row>
    <row r="531" ht="15.75" customHeight="1" s="79">
      <c r="A531" s="5" t="inlineStr">
        <is>
          <t>5674176320</t>
        </is>
      </c>
      <c r="B531" s="5" t="inlineStr">
        <is>
          <t>TJ&amp;ASSOCIATES LLC</t>
        </is>
      </c>
      <c r="C531" s="5" t="inlineStr">
        <is>
          <t>TJ&amp;ASSOCIATES LLC</t>
        </is>
      </c>
      <c r="D531" s="5" t="inlineStr">
        <is>
          <t>Open</t>
        </is>
      </c>
      <c r="E531" s="16" t="n">
        <v>46035</v>
      </c>
      <c r="F531" s="16" t="n">
        <v>46240</v>
      </c>
      <c r="G531" s="17" t="n">
        <v>6</v>
      </c>
      <c r="H531" s="5" t="inlineStr">
        <is>
          <t>8111</t>
        </is>
      </c>
      <c r="I531" s="5" t="inlineStr">
        <is>
          <t>Offices of Lawyers</t>
        </is>
      </c>
      <c r="J531" s="5" t="inlineStr">
        <is>
          <t>81</t>
        </is>
      </c>
      <c r="K531" s="5" t="n">
        <v>8111</v>
      </c>
      <c r="L531" s="5" t="inlineStr">
        <is>
          <t>AL</t>
        </is>
      </c>
      <c r="M531" s="5" t="inlineStr">
        <is>
          <t>Westwood</t>
        </is>
      </c>
      <c r="N531" s="5" t="inlineStr">
        <is>
          <t>New Deal</t>
        </is>
      </c>
      <c r="O531" s="19" t="n">
        <v>1.49</v>
      </c>
      <c r="P531" s="20" t="n">
        <v>13500</v>
      </c>
      <c r="Q531" s="20" t="n">
        <v>1890</v>
      </c>
      <c r="R531" s="20" t="n">
        <v>20115</v>
      </c>
      <c r="S531" s="20" t="n">
        <v>12906.94</v>
      </c>
      <c r="T531" s="20" t="n">
        <v>7208.06</v>
      </c>
      <c r="U531" s="21" t="n">
        <v>0.641657469550087</v>
      </c>
      <c r="V531" s="22" t="n">
        <v>1.967</v>
      </c>
      <c r="W531" s="17" t="n">
        <v>13</v>
      </c>
      <c r="X531" s="17" t="n">
        <v>53</v>
      </c>
      <c r="Y531" s="20" t="n">
        <v>39717.24</v>
      </c>
      <c r="Z531" s="21" t="n">
        <v>0.1773</v>
      </c>
      <c r="AA531" s="16" t="n">
        <v>44193</v>
      </c>
      <c r="AB531" s="5">
        <f>IF(V531="","",IF(V531&lt;12,"Months","Weeks"))</f>
        <v/>
      </c>
      <c r="AC531" s="5">
        <f>IF(AB531="","",IF(AB531="Months","Daily","Weekly"))</f>
        <v/>
      </c>
      <c r="AD531" s="17">
        <f>IF(V531="","",IF(AC531="Daily",V531*Controls!$B$13,V531))</f>
        <v/>
      </c>
      <c r="AE531" s="17">
        <f>IF(V531="","",IF(AC531="Daily",V531*Controls!$B$13,V531*Controls!$B$12))</f>
        <v/>
      </c>
      <c r="AF531" s="17">
        <f>IF(OR(E531="",F531=""),"",F531-E531)</f>
        <v/>
      </c>
      <c r="AG531" s="17">
        <f>IF(OR(E531="",F531=""),"",NETWORKDAYS(E531,F531,Ref!$F$4:$F$47))</f>
        <v/>
      </c>
      <c r="AH531" s="39">
        <f>IF(IFERROR(VLOOKUP(D531,Controls!$A$25:$D$35,2,FALSE()),"No")="Yes",1,0)</f>
        <v/>
      </c>
      <c r="AI531" s="39">
        <f>IF(IFERROR(VLOOKUP(D531,Controls!$A$25:$D$35,3,FALSE()),"No")="Yes",1,0)</f>
        <v/>
      </c>
      <c r="AJ531" s="39">
        <f>IF(IFERROR(VLOOKUP(D531,Controls!$A$25:$D$35,4,FALSE()),"No")="Yes",1,0)</f>
        <v/>
      </c>
      <c r="AK531" s="96">
        <f>IF(AND($E531&gt;=Controls!$B$5,$E531&lt;=Controls!$B$6,OR(Controls!$E$9&lt;&gt;"Y",$BE531=1)),1,0)</f>
        <v/>
      </c>
      <c r="AL531" s="39">
        <f>1</f>
        <v/>
      </c>
      <c r="AM531" s="20">
        <f>S531-P531</f>
        <v/>
      </c>
      <c r="AN531" s="20">
        <f>IF(AH531=1,MAX(0,P531-S531),0)</f>
        <v/>
      </c>
      <c r="AO531" s="21">
        <f>IFERROR(S531/P531,"")</f>
        <v/>
      </c>
      <c r="AP531" s="22">
        <f>IF(Y531="","",P531/Y531)</f>
        <v/>
      </c>
      <c r="AQ531" s="39">
        <f>IF(Y531="",0,1)</f>
        <v/>
      </c>
      <c r="AR531" s="39">
        <f>IF(S531&lt;=0,1,0)</f>
        <v/>
      </c>
      <c r="AS531" s="17">
        <f>IF(AH531=1,AG531,"")</f>
        <v/>
      </c>
      <c r="AT531" s="17">
        <f>IF(AND(AH531=0,AJ531=1),AG531,"")</f>
        <v/>
      </c>
      <c r="AU531" s="5">
        <f>IF(P531&lt;10000,"Under $10K",IF(P531&lt;20000,"$10-20K",IF(P531&lt;30000,"$20-30K",IF(P531&lt;50000,"$30-50K",IF(P531&lt;100000,"$50-100K","$100K+")))))</f>
        <v/>
      </c>
      <c r="AV531" s="5">
        <f>IF(O531&lt;=1.35,"1.35 and under",IF(O531&lt;=1.42,"1.36-1.42",IF(O531&lt;=1.45,"1.43-1.45",IF(O531&lt;1.49,"1.46-1.48",IF(O531&lt;=1.49,"1.49","Above 1.49")))))</f>
        <v/>
      </c>
      <c r="AW531" s="5">
        <f>IF(AE531="","",IF(AE531&lt;60,"Under 60",IF(AE531&lt;90,"60-89",IF(AE531&lt;120,"90-119",IF(AE531&lt;150,"120-149","150+")))))</f>
        <v/>
      </c>
      <c r="AX531" s="5">
        <f>IF(AP531="","No revenue data",IF(AP531&lt;0.15,"Under 0.15x",IF(AP531&lt;0.3,"0.15-0.30x",IF(AP531&lt;0.5,"0.30-0.50x",IF(AP531&lt;1,"0.50-1.00x","1.00x+")))))</f>
        <v/>
      </c>
      <c r="AY531" s="5">
        <f>IF(J531="","No SIC",IFERROR(VLOOKUP(J531,Ref!$A$4:$C$67,2,FALSE()),"Unclassified"))</f>
        <v/>
      </c>
      <c r="AZ531" s="5">
        <f>IF(E531="","",TEXT(E531,"YYYY")&amp;"-Q"&amp;ROUNDUP(MONTH(E531)/3,0))</f>
        <v/>
      </c>
      <c r="BA531" s="5">
        <f>IF(E531="","",TEXT(E531,"YYYY-MM"))</f>
        <v/>
      </c>
      <c r="BB531" s="5">
        <f>IF(E531="","",TEXT(E531,"YYYY"))</f>
        <v/>
      </c>
      <c r="BC531" s="92">
        <f>IF($E531="","",NETWORKDAYS($E531,Controls!$B$9,Ref!$F$4:$F$47))</f>
        <v/>
      </c>
      <c r="BD531" s="92">
        <f>IF(OR($AH531=1,$AJ531=1),1,0)</f>
        <v/>
      </c>
      <c r="BE531" s="95">
        <f>IF(OR($BD531=1,AND($AE531&lt;&gt;"",$BC531&gt;=Controls!$B$10*$AE531)),1,0)</f>
        <v/>
      </c>
    </row>
    <row r="532" ht="15.75" customHeight="1" s="79">
      <c r="A532" s="5" t="inlineStr">
        <is>
          <t>5674176323</t>
        </is>
      </c>
      <c r="B532" s="5" t="inlineStr">
        <is>
          <t>Medina And Associates PC</t>
        </is>
      </c>
      <c r="C532" s="5" t="inlineStr">
        <is>
          <t>Medina And Associates PC</t>
        </is>
      </c>
      <c r="D532" s="5" t="inlineStr">
        <is>
          <t>Closed</t>
        </is>
      </c>
      <c r="E532" s="16" t="n">
        <v>46035</v>
      </c>
      <c r="F532" s="16" t="n">
        <v>46168</v>
      </c>
      <c r="G532" s="17" t="n">
        <v>5</v>
      </c>
      <c r="H532" s="5" t="inlineStr">
        <is>
          <t>8111</t>
        </is>
      </c>
      <c r="I532" s="5" t="inlineStr">
        <is>
          <t>Offices of Lawyers</t>
        </is>
      </c>
      <c r="J532" s="5" t="inlineStr">
        <is>
          <t>81</t>
        </is>
      </c>
      <c r="K532" s="5" t="n">
        <v>8111</v>
      </c>
      <c r="L532" s="5" t="inlineStr">
        <is>
          <t>MD</t>
        </is>
      </c>
      <c r="M532" s="5" t="inlineStr">
        <is>
          <t>Premium Capital (AMRK)</t>
        </is>
      </c>
      <c r="N532" s="5" t="inlineStr">
        <is>
          <t>Renewal</t>
        </is>
      </c>
      <c r="O532" s="19" t="n">
        <v>1.49</v>
      </c>
      <c r="P532" s="20" t="n">
        <v>65000</v>
      </c>
      <c r="Q532" s="20" t="n">
        <v>9100</v>
      </c>
      <c r="R532" s="20" t="n">
        <v>96850</v>
      </c>
      <c r="S532" s="20" t="n">
        <v>96850</v>
      </c>
      <c r="T532" s="20" t="n">
        <v>0</v>
      </c>
      <c r="U532" s="21" t="n">
        <v>1</v>
      </c>
      <c r="V532" s="22" t="n">
        <v>32</v>
      </c>
      <c r="W532" s="17" t="n">
        <v>85</v>
      </c>
      <c r="X532" s="17" t="n">
        <v>3</v>
      </c>
      <c r="Y532" s="20" t="n">
        <v>122458.04</v>
      </c>
      <c r="Z532" s="21" t="n">
        <v>0.1041</v>
      </c>
      <c r="AA532" s="5" t="n"/>
      <c r="AB532" s="5">
        <f>IF(V532="","",IF(V532&lt;12,"Months","Weeks"))</f>
        <v/>
      </c>
      <c r="AC532" s="5">
        <f>IF(AB532="","",IF(AB532="Months","Daily","Weekly"))</f>
        <v/>
      </c>
      <c r="AD532" s="17">
        <f>IF(V532="","",IF(AC532="Daily",V532*Controls!$B$13,V532))</f>
        <v/>
      </c>
      <c r="AE532" s="17">
        <f>IF(V532="","",IF(AC532="Daily",V532*Controls!$B$13,V532*Controls!$B$12))</f>
        <v/>
      </c>
      <c r="AF532" s="17">
        <f>IF(OR(E532="",F532=""),"",F532-E532)</f>
        <v/>
      </c>
      <c r="AG532" s="17">
        <f>IF(OR(E532="",F532=""),"",NETWORKDAYS(E532,F532,Ref!$F$4:$F$47))</f>
        <v/>
      </c>
      <c r="AH532" s="39">
        <f>IF(IFERROR(VLOOKUP(D532,Controls!$A$25:$D$35,2,FALSE()),"No")="Yes",1,0)</f>
        <v/>
      </c>
      <c r="AI532" s="39">
        <f>IF(IFERROR(VLOOKUP(D532,Controls!$A$25:$D$35,3,FALSE()),"No")="Yes",1,0)</f>
        <v/>
      </c>
      <c r="AJ532" s="39">
        <f>IF(IFERROR(VLOOKUP(D532,Controls!$A$25:$D$35,4,FALSE()),"No")="Yes",1,0)</f>
        <v/>
      </c>
      <c r="AK532" s="96">
        <f>IF(AND($E532&gt;=Controls!$B$5,$E532&lt;=Controls!$B$6,OR(Controls!$E$9&lt;&gt;"Y",$BE532=1)),1,0)</f>
        <v/>
      </c>
      <c r="AL532" s="39">
        <f>1</f>
        <v/>
      </c>
      <c r="AM532" s="20">
        <f>S532-P532</f>
        <v/>
      </c>
      <c r="AN532" s="20">
        <f>IF(AH532=1,MAX(0,P532-S532),0)</f>
        <v/>
      </c>
      <c r="AO532" s="21">
        <f>IFERROR(S532/P532,"")</f>
        <v/>
      </c>
      <c r="AP532" s="22">
        <f>IF(Y532="","",P532/Y532)</f>
        <v/>
      </c>
      <c r="AQ532" s="39">
        <f>IF(Y532="",0,1)</f>
        <v/>
      </c>
      <c r="AR532" s="39">
        <f>IF(S532&lt;=0,1,0)</f>
        <v/>
      </c>
      <c r="AS532" s="17">
        <f>IF(AH532=1,AG532,"")</f>
        <v/>
      </c>
      <c r="AT532" s="17">
        <f>IF(AND(AH532=0,AJ532=1),AG532,"")</f>
        <v/>
      </c>
      <c r="AU532" s="5">
        <f>IF(P532&lt;10000,"Under $10K",IF(P532&lt;20000,"$10-20K",IF(P532&lt;30000,"$20-30K",IF(P532&lt;50000,"$30-50K",IF(P532&lt;100000,"$50-100K","$100K+")))))</f>
        <v/>
      </c>
      <c r="AV532" s="5">
        <f>IF(O532&lt;=1.35,"1.35 and under",IF(O532&lt;=1.42,"1.36-1.42",IF(O532&lt;=1.45,"1.43-1.45",IF(O532&lt;1.49,"1.46-1.48",IF(O532&lt;=1.49,"1.49","Above 1.49")))))</f>
        <v/>
      </c>
      <c r="AW532" s="5">
        <f>IF(AE532="","",IF(AE532&lt;60,"Under 60",IF(AE532&lt;90,"60-89",IF(AE532&lt;120,"90-119",IF(AE532&lt;150,"120-149","150+")))))</f>
        <v/>
      </c>
      <c r="AX532" s="5">
        <f>IF(AP532="","No revenue data",IF(AP532&lt;0.15,"Under 0.15x",IF(AP532&lt;0.3,"0.15-0.30x",IF(AP532&lt;0.5,"0.30-0.50x",IF(AP532&lt;1,"0.50-1.00x","1.00x+")))))</f>
        <v/>
      </c>
      <c r="AY532" s="5">
        <f>IF(J532="","No SIC",IFERROR(VLOOKUP(J532,Ref!$A$4:$C$67,2,FALSE()),"Unclassified"))</f>
        <v/>
      </c>
      <c r="AZ532" s="5">
        <f>IF(E532="","",TEXT(E532,"YYYY")&amp;"-Q"&amp;ROUNDUP(MONTH(E532)/3,0))</f>
        <v/>
      </c>
      <c r="BA532" s="5">
        <f>IF(E532="","",TEXT(E532,"YYYY-MM"))</f>
        <v/>
      </c>
      <c r="BB532" s="5">
        <f>IF(E532="","",TEXT(E532,"YYYY"))</f>
        <v/>
      </c>
      <c r="BC532" s="92">
        <f>IF($E532="","",NETWORKDAYS($E532,Controls!$B$9,Ref!$F$4:$F$47))</f>
        <v/>
      </c>
      <c r="BD532" s="92">
        <f>IF(OR($AH532=1,$AJ532=1),1,0)</f>
        <v/>
      </c>
      <c r="BE532" s="95">
        <f>IF(OR($BD532=1,AND($AE532&lt;&gt;"",$BC532&gt;=Controls!$B$10*$AE532)),1,0)</f>
        <v/>
      </c>
    </row>
    <row r="533" ht="15.75" customHeight="1" s="79">
      <c r="A533" s="5" t="inlineStr">
        <is>
          <t>5674176347</t>
        </is>
      </c>
      <c r="B533" s="5" t="inlineStr">
        <is>
          <t>MOISES MARES AGUILAR</t>
        </is>
      </c>
      <c r="C533" s="5" t="inlineStr">
        <is>
          <t>MOISES MARES AGUILAR</t>
        </is>
      </c>
      <c r="D533" s="5" t="inlineStr">
        <is>
          <t>Closed</t>
        </is>
      </c>
      <c r="E533" s="16" t="n">
        <v>46035</v>
      </c>
      <c r="F533" s="16" t="n">
        <v>46155</v>
      </c>
      <c r="G533" s="17" t="n">
        <v>5</v>
      </c>
      <c r="H533" s="5" t="inlineStr">
        <is>
          <t>7538</t>
        </is>
      </c>
      <c r="I533" s="5" t="inlineStr">
        <is>
          <t>General Automotive Repair</t>
        </is>
      </c>
      <c r="J533" s="5" t="inlineStr">
        <is>
          <t>75</t>
        </is>
      </c>
      <c r="K533" s="5" t="n">
        <v>7538</v>
      </c>
      <c r="L533" s="5" t="inlineStr">
        <is>
          <t>TX</t>
        </is>
      </c>
      <c r="M533" s="5" t="inlineStr">
        <is>
          <t>United Secured Capital 8</t>
        </is>
      </c>
      <c r="N533" s="5" t="inlineStr">
        <is>
          <t>New Deal</t>
        </is>
      </c>
      <c r="O533" s="19" t="n">
        <v>1.49</v>
      </c>
      <c r="P533" s="20" t="n">
        <v>35000</v>
      </c>
      <c r="Q533" s="20" t="n">
        <v>4900</v>
      </c>
      <c r="R533" s="20" t="n">
        <v>52150</v>
      </c>
      <c r="S533" s="20" t="n">
        <v>52150</v>
      </c>
      <c r="T533" s="20" t="n">
        <v>0</v>
      </c>
      <c r="U533" s="21" t="n">
        <v>1</v>
      </c>
      <c r="V533" s="22" t="n">
        <v>3.607</v>
      </c>
      <c r="W533" s="17" t="n">
        <v>98</v>
      </c>
      <c r="X533" s="17" t="n">
        <v>0</v>
      </c>
      <c r="Y533" s="20" t="n">
        <v>135177.51</v>
      </c>
      <c r="Z533" s="21" t="n">
        <v>0.0737</v>
      </c>
      <c r="AA533" s="5" t="n"/>
      <c r="AB533" s="5">
        <f>IF(V533="","",IF(V533&lt;12,"Months","Weeks"))</f>
        <v/>
      </c>
      <c r="AC533" s="5">
        <f>IF(AB533="","",IF(AB533="Months","Daily","Weekly"))</f>
        <v/>
      </c>
      <c r="AD533" s="17">
        <f>IF(V533="","",IF(AC533="Daily",V533*Controls!$B$13,V533))</f>
        <v/>
      </c>
      <c r="AE533" s="17">
        <f>IF(V533="","",IF(AC533="Daily",V533*Controls!$B$13,V533*Controls!$B$12))</f>
        <v/>
      </c>
      <c r="AF533" s="17">
        <f>IF(OR(E533="",F533=""),"",F533-E533)</f>
        <v/>
      </c>
      <c r="AG533" s="17">
        <f>IF(OR(E533="",F533=""),"",NETWORKDAYS(E533,F533,Ref!$F$4:$F$47))</f>
        <v/>
      </c>
      <c r="AH533" s="39">
        <f>IF(IFERROR(VLOOKUP(D533,Controls!$A$25:$D$35,2,FALSE()),"No")="Yes",1,0)</f>
        <v/>
      </c>
      <c r="AI533" s="39">
        <f>IF(IFERROR(VLOOKUP(D533,Controls!$A$25:$D$35,3,FALSE()),"No")="Yes",1,0)</f>
        <v/>
      </c>
      <c r="AJ533" s="39">
        <f>IF(IFERROR(VLOOKUP(D533,Controls!$A$25:$D$35,4,FALSE()),"No")="Yes",1,0)</f>
        <v/>
      </c>
      <c r="AK533" s="96">
        <f>IF(AND($E533&gt;=Controls!$B$5,$E533&lt;=Controls!$B$6,OR(Controls!$E$9&lt;&gt;"Y",$BE533=1)),1,0)</f>
        <v/>
      </c>
      <c r="AL533" s="39">
        <f>1</f>
        <v/>
      </c>
      <c r="AM533" s="20">
        <f>S533-P533</f>
        <v/>
      </c>
      <c r="AN533" s="20">
        <f>IF(AH533=1,MAX(0,P533-S533),0)</f>
        <v/>
      </c>
      <c r="AO533" s="21">
        <f>IFERROR(S533/P533,"")</f>
        <v/>
      </c>
      <c r="AP533" s="22">
        <f>IF(Y533="","",P533/Y533)</f>
        <v/>
      </c>
      <c r="AQ533" s="39">
        <f>IF(Y533="",0,1)</f>
        <v/>
      </c>
      <c r="AR533" s="39">
        <f>IF(S533&lt;=0,1,0)</f>
        <v/>
      </c>
      <c r="AS533" s="17">
        <f>IF(AH533=1,AG533,"")</f>
        <v/>
      </c>
      <c r="AT533" s="17">
        <f>IF(AND(AH533=0,AJ533=1),AG533,"")</f>
        <v/>
      </c>
      <c r="AU533" s="5">
        <f>IF(P533&lt;10000,"Under $10K",IF(P533&lt;20000,"$10-20K",IF(P533&lt;30000,"$20-30K",IF(P533&lt;50000,"$30-50K",IF(P533&lt;100000,"$50-100K","$100K+")))))</f>
        <v/>
      </c>
      <c r="AV533" s="5">
        <f>IF(O533&lt;=1.35,"1.35 and under",IF(O533&lt;=1.42,"1.36-1.42",IF(O533&lt;=1.45,"1.43-1.45",IF(O533&lt;1.49,"1.46-1.48",IF(O533&lt;=1.49,"1.49","Above 1.49")))))</f>
        <v/>
      </c>
      <c r="AW533" s="5">
        <f>IF(AE533="","",IF(AE533&lt;60,"Under 60",IF(AE533&lt;90,"60-89",IF(AE533&lt;120,"90-119",IF(AE533&lt;150,"120-149","150+")))))</f>
        <v/>
      </c>
      <c r="AX533" s="5">
        <f>IF(AP533="","No revenue data",IF(AP533&lt;0.15,"Under 0.15x",IF(AP533&lt;0.3,"0.15-0.30x",IF(AP533&lt;0.5,"0.30-0.50x",IF(AP533&lt;1,"0.50-1.00x","1.00x+")))))</f>
        <v/>
      </c>
      <c r="AY533" s="5">
        <f>IF(J533="","No SIC",IFERROR(VLOOKUP(J533,Ref!$A$4:$C$67,2,FALSE()),"Unclassified"))</f>
        <v/>
      </c>
      <c r="AZ533" s="5">
        <f>IF(E533="","",TEXT(E533,"YYYY")&amp;"-Q"&amp;ROUNDUP(MONTH(E533)/3,0))</f>
        <v/>
      </c>
      <c r="BA533" s="5">
        <f>IF(E533="","",TEXT(E533,"YYYY-MM"))</f>
        <v/>
      </c>
      <c r="BB533" s="5">
        <f>IF(E533="","",TEXT(E533,"YYYY"))</f>
        <v/>
      </c>
      <c r="BC533" s="92">
        <f>IF($E533="","",NETWORKDAYS($E533,Controls!$B$9,Ref!$F$4:$F$47))</f>
        <v/>
      </c>
      <c r="BD533" s="92">
        <f>IF(OR($AH533=1,$AJ533=1),1,0)</f>
        <v/>
      </c>
      <c r="BE533" s="95">
        <f>IF(OR($BD533=1,AND($AE533&lt;&gt;"",$BC533&gt;=Controls!$B$10*$AE533)),1,0)</f>
        <v/>
      </c>
    </row>
    <row r="534" ht="15.75" customHeight="1" s="79">
      <c r="A534" s="5" t="inlineStr">
        <is>
          <t>5674176350</t>
        </is>
      </c>
      <c r="B534" s="5" t="inlineStr">
        <is>
          <t>Baby Boss Auto Shop</t>
        </is>
      </c>
      <c r="C534" s="5" t="inlineStr">
        <is>
          <t>Carlos A Jamie</t>
        </is>
      </c>
      <c r="D534" s="5" t="inlineStr">
        <is>
          <t>Closed</t>
        </is>
      </c>
      <c r="E534" s="16" t="n">
        <v>46035</v>
      </c>
      <c r="F534" s="16" t="n">
        <v>46112</v>
      </c>
      <c r="G534" s="17" t="n">
        <v>5</v>
      </c>
      <c r="H534" s="5" t="inlineStr">
        <is>
          <t>7538</t>
        </is>
      </c>
      <c r="I534" s="5" t="inlineStr">
        <is>
          <t>General Automotive Repair</t>
        </is>
      </c>
      <c r="J534" s="5" t="inlineStr">
        <is>
          <t>75</t>
        </is>
      </c>
      <c r="K534" s="5" t="n">
        <v>7538</v>
      </c>
      <c r="L534" s="5" t="inlineStr">
        <is>
          <t>TX</t>
        </is>
      </c>
      <c r="M534" s="5" t="inlineStr">
        <is>
          <t>Ballicci</t>
        </is>
      </c>
      <c r="N534" s="5" t="inlineStr">
        <is>
          <t>New Deal</t>
        </is>
      </c>
      <c r="O534" s="19" t="n">
        <v>1.49</v>
      </c>
      <c r="P534" s="20" t="n">
        <v>20000</v>
      </c>
      <c r="Q534" s="20" t="n">
        <v>2800</v>
      </c>
      <c r="R534" s="20" t="n">
        <v>29800</v>
      </c>
      <c r="S534" s="20" t="n">
        <v>29800</v>
      </c>
      <c r="T534" s="20" t="n">
        <v>0</v>
      </c>
      <c r="U534" s="21" t="n">
        <v>1</v>
      </c>
      <c r="V534" s="22" t="n">
        <v>2.951</v>
      </c>
      <c r="W534" s="17" t="n">
        <v>141</v>
      </c>
      <c r="X534" s="17" t="n">
        <v>0</v>
      </c>
      <c r="Y534" s="20" t="n">
        <v>50675.93</v>
      </c>
      <c r="Z534" s="21" t="n">
        <v>0.1372</v>
      </c>
      <c r="AA534" s="16" t="n">
        <v>44845</v>
      </c>
      <c r="AB534" s="5">
        <f>IF(V534="","",IF(V534&lt;12,"Months","Weeks"))</f>
        <v/>
      </c>
      <c r="AC534" s="5">
        <f>IF(AB534="","",IF(AB534="Months","Daily","Weekly"))</f>
        <v/>
      </c>
      <c r="AD534" s="17">
        <f>IF(V534="","",IF(AC534="Daily",V534*Controls!$B$13,V534))</f>
        <v/>
      </c>
      <c r="AE534" s="17">
        <f>IF(V534="","",IF(AC534="Daily",V534*Controls!$B$13,V534*Controls!$B$12))</f>
        <v/>
      </c>
      <c r="AF534" s="17">
        <f>IF(OR(E534="",F534=""),"",F534-E534)</f>
        <v/>
      </c>
      <c r="AG534" s="17">
        <f>IF(OR(E534="",F534=""),"",NETWORKDAYS(E534,F534,Ref!$F$4:$F$47))</f>
        <v/>
      </c>
      <c r="AH534" s="39">
        <f>IF(IFERROR(VLOOKUP(D534,Controls!$A$25:$D$35,2,FALSE()),"No")="Yes",1,0)</f>
        <v/>
      </c>
      <c r="AI534" s="39">
        <f>IF(IFERROR(VLOOKUP(D534,Controls!$A$25:$D$35,3,FALSE()),"No")="Yes",1,0)</f>
        <v/>
      </c>
      <c r="AJ534" s="39">
        <f>IF(IFERROR(VLOOKUP(D534,Controls!$A$25:$D$35,4,FALSE()),"No")="Yes",1,0)</f>
        <v/>
      </c>
      <c r="AK534" s="96">
        <f>IF(AND($E534&gt;=Controls!$B$5,$E534&lt;=Controls!$B$6,OR(Controls!$E$9&lt;&gt;"Y",$BE534=1)),1,0)</f>
        <v/>
      </c>
      <c r="AL534" s="39">
        <f>1</f>
        <v/>
      </c>
      <c r="AM534" s="20">
        <f>S534-P534</f>
        <v/>
      </c>
      <c r="AN534" s="20">
        <f>IF(AH534=1,MAX(0,P534-S534),0)</f>
        <v/>
      </c>
      <c r="AO534" s="21">
        <f>IFERROR(S534/P534,"")</f>
        <v/>
      </c>
      <c r="AP534" s="22">
        <f>IF(Y534="","",P534/Y534)</f>
        <v/>
      </c>
      <c r="AQ534" s="39">
        <f>IF(Y534="",0,1)</f>
        <v/>
      </c>
      <c r="AR534" s="39">
        <f>IF(S534&lt;=0,1,0)</f>
        <v/>
      </c>
      <c r="AS534" s="17">
        <f>IF(AH534=1,AG534,"")</f>
        <v/>
      </c>
      <c r="AT534" s="17">
        <f>IF(AND(AH534=0,AJ534=1),AG534,"")</f>
        <v/>
      </c>
      <c r="AU534" s="5">
        <f>IF(P534&lt;10000,"Under $10K",IF(P534&lt;20000,"$10-20K",IF(P534&lt;30000,"$20-30K",IF(P534&lt;50000,"$30-50K",IF(P534&lt;100000,"$50-100K","$100K+")))))</f>
        <v/>
      </c>
      <c r="AV534" s="5">
        <f>IF(O534&lt;=1.35,"1.35 and under",IF(O534&lt;=1.42,"1.36-1.42",IF(O534&lt;=1.45,"1.43-1.45",IF(O534&lt;1.49,"1.46-1.48",IF(O534&lt;=1.49,"1.49","Above 1.49")))))</f>
        <v/>
      </c>
      <c r="AW534" s="5">
        <f>IF(AE534="","",IF(AE534&lt;60,"Under 60",IF(AE534&lt;90,"60-89",IF(AE534&lt;120,"90-119",IF(AE534&lt;150,"120-149","150+")))))</f>
        <v/>
      </c>
      <c r="AX534" s="5">
        <f>IF(AP534="","No revenue data",IF(AP534&lt;0.15,"Under 0.15x",IF(AP534&lt;0.3,"0.15-0.30x",IF(AP534&lt;0.5,"0.30-0.50x",IF(AP534&lt;1,"0.50-1.00x","1.00x+")))))</f>
        <v/>
      </c>
      <c r="AY534" s="5">
        <f>IF(J534="","No SIC",IFERROR(VLOOKUP(J534,Ref!$A$4:$C$67,2,FALSE()),"Unclassified"))</f>
        <v/>
      </c>
      <c r="AZ534" s="5">
        <f>IF(E534="","",TEXT(E534,"YYYY")&amp;"-Q"&amp;ROUNDUP(MONTH(E534)/3,0))</f>
        <v/>
      </c>
      <c r="BA534" s="5">
        <f>IF(E534="","",TEXT(E534,"YYYY-MM"))</f>
        <v/>
      </c>
      <c r="BB534" s="5">
        <f>IF(E534="","",TEXT(E534,"YYYY"))</f>
        <v/>
      </c>
      <c r="BC534" s="92">
        <f>IF($E534="","",NETWORKDAYS($E534,Controls!$B$9,Ref!$F$4:$F$47))</f>
        <v/>
      </c>
      <c r="BD534" s="92">
        <f>IF(OR($AH534=1,$AJ534=1),1,0)</f>
        <v/>
      </c>
      <c r="BE534" s="95">
        <f>IF(OR($BD534=1,AND($AE534&lt;&gt;"",$BC534&gt;=Controls!$B$10*$AE534)),1,0)</f>
        <v/>
      </c>
    </row>
    <row r="535" ht="15.75" customHeight="1" s="79">
      <c r="A535" s="5" t="inlineStr">
        <is>
          <t>5674176418</t>
        </is>
      </c>
      <c r="B535" s="5" t="inlineStr">
        <is>
          <t>Southern Panc Eat Good LLC DBA Southern Pancake House</t>
        </is>
      </c>
      <c r="C535" s="5" t="inlineStr">
        <is>
          <t>Let'em Eat Good LLC</t>
        </is>
      </c>
      <c r="D535" s="5" t="inlineStr">
        <is>
          <t>Closed</t>
        </is>
      </c>
      <c r="E535" s="16" t="n">
        <v>46036</v>
      </c>
      <c r="F535" s="16" t="n">
        <v>46184</v>
      </c>
      <c r="G535" s="17" t="n">
        <v>1</v>
      </c>
      <c r="H535" s="5" t="inlineStr">
        <is>
          <t>5812</t>
        </is>
      </c>
      <c r="I535" s="5" t="inlineStr">
        <is>
          <t>Snack and Nonalcoholic Beverage Bars</t>
        </is>
      </c>
      <c r="J535" s="5" t="inlineStr">
        <is>
          <t>58</t>
        </is>
      </c>
      <c r="K535" s="5" t="n">
        <v>5812</v>
      </c>
      <c r="L535" s="5" t="inlineStr">
        <is>
          <t>VA</t>
        </is>
      </c>
      <c r="M535" s="5" t="inlineStr">
        <is>
          <t>Premium Capital (AMRK)</t>
        </is>
      </c>
      <c r="N535" s="5" t="inlineStr">
        <is>
          <t>Renewal</t>
        </is>
      </c>
      <c r="O535" s="19" t="n">
        <v>1.45</v>
      </c>
      <c r="P535" s="20" t="n">
        <v>65000</v>
      </c>
      <c r="Q535" s="20" t="n">
        <v>7800</v>
      </c>
      <c r="R535" s="20" t="n">
        <v>94250</v>
      </c>
      <c r="S535" s="20" t="n">
        <v>94250</v>
      </c>
      <c r="T535" s="20" t="n">
        <v>0</v>
      </c>
      <c r="U535" s="21" t="n">
        <v>1</v>
      </c>
      <c r="V535" s="22" t="n">
        <v>5.246</v>
      </c>
      <c r="W535" s="17" t="n">
        <v>69</v>
      </c>
      <c r="X535" s="17" t="n">
        <v>9</v>
      </c>
      <c r="Y535" s="20" t="n">
        <v>73218.44</v>
      </c>
      <c r="Z535" s="21" t="n">
        <v>0.169</v>
      </c>
      <c r="AA535" s="5" t="n"/>
      <c r="AB535" s="5">
        <f>IF(V535="","",IF(V535&lt;12,"Months","Weeks"))</f>
        <v/>
      </c>
      <c r="AC535" s="5">
        <f>IF(AB535="","",IF(AB535="Months","Daily","Weekly"))</f>
        <v/>
      </c>
      <c r="AD535" s="17">
        <f>IF(V535="","",IF(AC535="Daily",V535*Controls!$B$13,V535))</f>
        <v/>
      </c>
      <c r="AE535" s="17">
        <f>IF(V535="","",IF(AC535="Daily",V535*Controls!$B$13,V535*Controls!$B$12))</f>
        <v/>
      </c>
      <c r="AF535" s="17">
        <f>IF(OR(E535="",F535=""),"",F535-E535)</f>
        <v/>
      </c>
      <c r="AG535" s="17">
        <f>IF(OR(E535="",F535=""),"",NETWORKDAYS(E535,F535,Ref!$F$4:$F$47))</f>
        <v/>
      </c>
      <c r="AH535" s="39">
        <f>IF(IFERROR(VLOOKUP(D535,Controls!$A$25:$D$35,2,FALSE()),"No")="Yes",1,0)</f>
        <v/>
      </c>
      <c r="AI535" s="39">
        <f>IF(IFERROR(VLOOKUP(D535,Controls!$A$25:$D$35,3,FALSE()),"No")="Yes",1,0)</f>
        <v/>
      </c>
      <c r="AJ535" s="39">
        <f>IF(IFERROR(VLOOKUP(D535,Controls!$A$25:$D$35,4,FALSE()),"No")="Yes",1,0)</f>
        <v/>
      </c>
      <c r="AK535" s="96">
        <f>IF(AND($E535&gt;=Controls!$B$5,$E535&lt;=Controls!$B$6,OR(Controls!$E$9&lt;&gt;"Y",$BE535=1)),1,0)</f>
        <v/>
      </c>
      <c r="AL535" s="39">
        <f>1</f>
        <v/>
      </c>
      <c r="AM535" s="20">
        <f>S535-P535</f>
        <v/>
      </c>
      <c r="AN535" s="20">
        <f>IF(AH535=1,MAX(0,P535-S535),0)</f>
        <v/>
      </c>
      <c r="AO535" s="21">
        <f>IFERROR(S535/P535,"")</f>
        <v/>
      </c>
      <c r="AP535" s="22">
        <f>IF(Y535="","",P535/Y535)</f>
        <v/>
      </c>
      <c r="AQ535" s="39">
        <f>IF(Y535="",0,1)</f>
        <v/>
      </c>
      <c r="AR535" s="39">
        <f>IF(S535&lt;=0,1,0)</f>
        <v/>
      </c>
      <c r="AS535" s="17">
        <f>IF(AH535=1,AG535,"")</f>
        <v/>
      </c>
      <c r="AT535" s="17">
        <f>IF(AND(AH535=0,AJ535=1),AG535,"")</f>
        <v/>
      </c>
      <c r="AU535" s="5">
        <f>IF(P535&lt;10000,"Under $10K",IF(P535&lt;20000,"$10-20K",IF(P535&lt;30000,"$20-30K",IF(P535&lt;50000,"$30-50K",IF(P535&lt;100000,"$50-100K","$100K+")))))</f>
        <v/>
      </c>
      <c r="AV535" s="5">
        <f>IF(O535&lt;=1.35,"1.35 and under",IF(O535&lt;=1.42,"1.36-1.42",IF(O535&lt;=1.45,"1.43-1.45",IF(O535&lt;1.49,"1.46-1.48",IF(O535&lt;=1.49,"1.49","Above 1.49")))))</f>
        <v/>
      </c>
      <c r="AW535" s="5">
        <f>IF(AE535="","",IF(AE535&lt;60,"Under 60",IF(AE535&lt;90,"60-89",IF(AE535&lt;120,"90-119",IF(AE535&lt;150,"120-149","150+")))))</f>
        <v/>
      </c>
      <c r="AX535" s="5">
        <f>IF(AP535="","No revenue data",IF(AP535&lt;0.15,"Under 0.15x",IF(AP535&lt;0.3,"0.15-0.30x",IF(AP535&lt;0.5,"0.30-0.50x",IF(AP535&lt;1,"0.50-1.00x","1.00x+")))))</f>
        <v/>
      </c>
      <c r="AY535" s="5">
        <f>IF(J535="","No SIC",IFERROR(VLOOKUP(J535,Ref!$A$4:$C$67,2,FALSE()),"Unclassified"))</f>
        <v/>
      </c>
      <c r="AZ535" s="5">
        <f>IF(E535="","",TEXT(E535,"YYYY")&amp;"-Q"&amp;ROUNDUP(MONTH(E535)/3,0))</f>
        <v/>
      </c>
      <c r="BA535" s="5">
        <f>IF(E535="","",TEXT(E535,"YYYY-MM"))</f>
        <v/>
      </c>
      <c r="BB535" s="5">
        <f>IF(E535="","",TEXT(E535,"YYYY"))</f>
        <v/>
      </c>
      <c r="BC535" s="92">
        <f>IF($E535="","",NETWORKDAYS($E535,Controls!$B$9,Ref!$F$4:$F$47))</f>
        <v/>
      </c>
      <c r="BD535" s="92">
        <f>IF(OR($AH535=1,$AJ535=1),1,0)</f>
        <v/>
      </c>
      <c r="BE535" s="95">
        <f>IF(OR($BD535=1,AND($AE535&lt;&gt;"",$BC535&gt;=Controls!$B$10*$AE535)),1,0)</f>
        <v/>
      </c>
    </row>
    <row r="536" ht="15.75" customHeight="1" s="79">
      <c r="A536" s="5" t="inlineStr">
        <is>
          <t>5674176425</t>
        </is>
      </c>
      <c r="B536" s="5" t="inlineStr">
        <is>
          <t>Hot Lava Agency</t>
        </is>
      </c>
      <c r="C536" s="5" t="inlineStr">
        <is>
          <t>HOT LAVA AGENCY LLC</t>
        </is>
      </c>
      <c r="D536" s="5" t="inlineStr">
        <is>
          <t>Open</t>
        </is>
      </c>
      <c r="E536" s="16" t="n">
        <v>46036</v>
      </c>
      <c r="F536" s="16" t="n">
        <v>46240</v>
      </c>
      <c r="G536" s="17" t="n">
        <v>2</v>
      </c>
      <c r="H536" s="5" t="inlineStr">
        <is>
          <t>0139</t>
        </is>
      </c>
      <c r="I536" s="5" t="inlineStr">
        <is>
          <t>All Other Misc. Crop Farming</t>
        </is>
      </c>
      <c r="J536" s="5" t="inlineStr">
        <is>
          <t>01</t>
        </is>
      </c>
      <c r="K536" s="5" t="n">
        <v>763</v>
      </c>
      <c r="L536" s="5" t="inlineStr">
        <is>
          <t>CA</t>
        </is>
      </c>
      <c r="M536" s="5" t="inlineStr">
        <is>
          <t>Fundwell</t>
        </is>
      </c>
      <c r="N536" s="5" t="inlineStr">
        <is>
          <t>New Deal</t>
        </is>
      </c>
      <c r="O536" s="19" t="n">
        <v>1.339</v>
      </c>
      <c r="P536" s="20" t="n">
        <v>100000</v>
      </c>
      <c r="Q536" s="20" t="n">
        <v>8000</v>
      </c>
      <c r="R536" s="20" t="n">
        <v>133900</v>
      </c>
      <c r="S536" s="20" t="n">
        <v>83782.49000000001</v>
      </c>
      <c r="T536" s="20" t="n">
        <v>50117.51</v>
      </c>
      <c r="U536" s="21" t="n">
        <v>0.625709410007468</v>
      </c>
      <c r="V536" s="22" t="n">
        <v>48</v>
      </c>
      <c r="W536" s="17" t="n">
        <v>13</v>
      </c>
      <c r="X536" s="17" t="n">
        <v>0</v>
      </c>
      <c r="Y536" s="20" t="n">
        <v>389233.5</v>
      </c>
      <c r="Z536" s="21" t="n">
        <v>0.0287</v>
      </c>
      <c r="AA536" s="16" t="n">
        <v>45244</v>
      </c>
      <c r="AB536" s="5">
        <f>IF(V536="","",IF(V536&lt;12,"Months","Weeks"))</f>
        <v/>
      </c>
      <c r="AC536" s="5">
        <f>IF(AB536="","",IF(AB536="Months","Daily","Weekly"))</f>
        <v/>
      </c>
      <c r="AD536" s="17">
        <f>IF(V536="","",IF(AC536="Daily",V536*Controls!$B$13,V536))</f>
        <v/>
      </c>
      <c r="AE536" s="17">
        <f>IF(V536="","",IF(AC536="Daily",V536*Controls!$B$13,V536*Controls!$B$12))</f>
        <v/>
      </c>
      <c r="AF536" s="17">
        <f>IF(OR(E536="",F536=""),"",F536-E536)</f>
        <v/>
      </c>
      <c r="AG536" s="17">
        <f>IF(OR(E536="",F536=""),"",NETWORKDAYS(E536,F536,Ref!$F$4:$F$47))</f>
        <v/>
      </c>
      <c r="AH536" s="39">
        <f>IF(IFERROR(VLOOKUP(D536,Controls!$A$25:$D$35,2,FALSE()),"No")="Yes",1,0)</f>
        <v/>
      </c>
      <c r="AI536" s="39">
        <f>IF(IFERROR(VLOOKUP(D536,Controls!$A$25:$D$35,3,FALSE()),"No")="Yes",1,0)</f>
        <v/>
      </c>
      <c r="AJ536" s="39">
        <f>IF(IFERROR(VLOOKUP(D536,Controls!$A$25:$D$35,4,FALSE()),"No")="Yes",1,0)</f>
        <v/>
      </c>
      <c r="AK536" s="96">
        <f>IF(AND($E536&gt;=Controls!$B$5,$E536&lt;=Controls!$B$6,OR(Controls!$E$9&lt;&gt;"Y",$BE536=1)),1,0)</f>
        <v/>
      </c>
      <c r="AL536" s="39">
        <f>1</f>
        <v/>
      </c>
      <c r="AM536" s="20">
        <f>S536-P536</f>
        <v/>
      </c>
      <c r="AN536" s="20">
        <f>IF(AH536=1,MAX(0,P536-S536),0)</f>
        <v/>
      </c>
      <c r="AO536" s="21">
        <f>IFERROR(S536/P536,"")</f>
        <v/>
      </c>
      <c r="AP536" s="22">
        <f>IF(Y536="","",P536/Y536)</f>
        <v/>
      </c>
      <c r="AQ536" s="39">
        <f>IF(Y536="",0,1)</f>
        <v/>
      </c>
      <c r="AR536" s="39">
        <f>IF(S536&lt;=0,1,0)</f>
        <v/>
      </c>
      <c r="AS536" s="17">
        <f>IF(AH536=1,AG536,"")</f>
        <v/>
      </c>
      <c r="AT536" s="17">
        <f>IF(AND(AH536=0,AJ536=1),AG536,"")</f>
        <v/>
      </c>
      <c r="AU536" s="5">
        <f>IF(P536&lt;10000,"Under $10K",IF(P536&lt;20000,"$10-20K",IF(P536&lt;30000,"$20-30K",IF(P536&lt;50000,"$30-50K",IF(P536&lt;100000,"$50-100K","$100K+")))))</f>
        <v/>
      </c>
      <c r="AV536" s="5">
        <f>IF(O536&lt;=1.35,"1.35 and under",IF(O536&lt;=1.42,"1.36-1.42",IF(O536&lt;=1.45,"1.43-1.45",IF(O536&lt;1.49,"1.46-1.48",IF(O536&lt;=1.49,"1.49","Above 1.49")))))</f>
        <v/>
      </c>
      <c r="AW536" s="5">
        <f>IF(AE536="","",IF(AE536&lt;60,"Under 60",IF(AE536&lt;90,"60-89",IF(AE536&lt;120,"90-119",IF(AE536&lt;150,"120-149","150+")))))</f>
        <v/>
      </c>
      <c r="AX536" s="5">
        <f>IF(AP536="","No revenue data",IF(AP536&lt;0.15,"Under 0.15x",IF(AP536&lt;0.3,"0.15-0.30x",IF(AP536&lt;0.5,"0.30-0.50x",IF(AP536&lt;1,"0.50-1.00x","1.00x+")))))</f>
        <v/>
      </c>
      <c r="AY536" s="5">
        <f>IF(J536="","No SIC",IFERROR(VLOOKUP(J536,Ref!$A$4:$C$67,2,FALSE()),"Unclassified"))</f>
        <v/>
      </c>
      <c r="AZ536" s="5">
        <f>IF(E536="","",TEXT(E536,"YYYY")&amp;"-Q"&amp;ROUNDUP(MONTH(E536)/3,0))</f>
        <v/>
      </c>
      <c r="BA536" s="5">
        <f>IF(E536="","",TEXT(E536,"YYYY-MM"))</f>
        <v/>
      </c>
      <c r="BB536" s="5">
        <f>IF(E536="","",TEXT(E536,"YYYY"))</f>
        <v/>
      </c>
      <c r="BC536" s="92">
        <f>IF($E536="","",NETWORKDAYS($E536,Controls!$B$9,Ref!$F$4:$F$47))</f>
        <v/>
      </c>
      <c r="BD536" s="92">
        <f>IF(OR($AH536=1,$AJ536=1),1,0)</f>
        <v/>
      </c>
      <c r="BE536" s="95">
        <f>IF(OR($BD536=1,AND($AE536&lt;&gt;"",$BC536&gt;=Controls!$B$10*$AE536)),1,0)</f>
        <v/>
      </c>
    </row>
    <row r="537" ht="15.75" customHeight="1" s="79">
      <c r="A537" s="5" t="inlineStr">
        <is>
          <t>5674176533</t>
        </is>
      </c>
      <c r="B537" s="5" t="inlineStr">
        <is>
          <t>BRIAN K MOTZ DDS PC</t>
        </is>
      </c>
      <c r="C537" s="5" t="inlineStr">
        <is>
          <t>BRIAN K MOTZ DDS PC</t>
        </is>
      </c>
      <c r="D537" s="5" t="inlineStr">
        <is>
          <t>Closed</t>
        </is>
      </c>
      <c r="E537" s="16" t="n">
        <v>46037</v>
      </c>
      <c r="F537" s="16" t="n">
        <v>46119</v>
      </c>
      <c r="G537" s="17" t="n">
        <v>1</v>
      </c>
      <c r="H537" s="5" t="inlineStr">
        <is>
          <t>8021</t>
        </is>
      </c>
      <c r="I537" s="5" t="inlineStr">
        <is>
          <t>Offices of Dentists</t>
        </is>
      </c>
      <c r="J537" s="5" t="inlineStr">
        <is>
          <t>80</t>
        </is>
      </c>
      <c r="K537" s="5" t="n">
        <v>8021</v>
      </c>
      <c r="L537" s="5" t="inlineStr">
        <is>
          <t>MD</t>
        </is>
      </c>
      <c r="M537" s="5" t="inlineStr">
        <is>
          <t>United Secured Capital 8</t>
        </is>
      </c>
      <c r="N537" s="5" t="inlineStr">
        <is>
          <t>New Deal</t>
        </is>
      </c>
      <c r="O537" s="19" t="n">
        <v>1.47533333</v>
      </c>
      <c r="P537" s="20" t="n">
        <v>22500</v>
      </c>
      <c r="Q537" s="20" t="n">
        <v>3150</v>
      </c>
      <c r="R537" s="20" t="n">
        <v>33194.999925</v>
      </c>
      <c r="S537" s="20" t="n">
        <v>33195</v>
      </c>
      <c r="T537" s="20" t="n">
        <v>-7.50000035623089e-05</v>
      </c>
      <c r="U537" s="21" t="n">
        <v>1.00000000225938</v>
      </c>
      <c r="V537" s="22" t="n">
        <v>22</v>
      </c>
      <c r="W537" s="17" t="n">
        <v>134</v>
      </c>
      <c r="X537" s="17" t="n">
        <v>0</v>
      </c>
      <c r="Y537" s="20" t="n">
        <v>85821.21000000001</v>
      </c>
      <c r="Z537" s="21" t="n">
        <v>0.07099999999999999</v>
      </c>
      <c r="AA537" s="5" t="n"/>
      <c r="AB537" s="5">
        <f>IF(V537="","",IF(V537&lt;12,"Months","Weeks"))</f>
        <v/>
      </c>
      <c r="AC537" s="5">
        <f>IF(AB537="","",IF(AB537="Months","Daily","Weekly"))</f>
        <v/>
      </c>
      <c r="AD537" s="17">
        <f>IF(V537="","",IF(AC537="Daily",V537*Controls!$B$13,V537))</f>
        <v/>
      </c>
      <c r="AE537" s="17">
        <f>IF(V537="","",IF(AC537="Daily",V537*Controls!$B$13,V537*Controls!$B$12))</f>
        <v/>
      </c>
      <c r="AF537" s="17">
        <f>IF(OR(E537="",F537=""),"",F537-E537)</f>
        <v/>
      </c>
      <c r="AG537" s="17">
        <f>IF(OR(E537="",F537=""),"",NETWORKDAYS(E537,F537,Ref!$F$4:$F$47))</f>
        <v/>
      </c>
      <c r="AH537" s="39">
        <f>IF(IFERROR(VLOOKUP(D537,Controls!$A$25:$D$35,2,FALSE()),"No")="Yes",1,0)</f>
        <v/>
      </c>
      <c r="AI537" s="39">
        <f>IF(IFERROR(VLOOKUP(D537,Controls!$A$25:$D$35,3,FALSE()),"No")="Yes",1,0)</f>
        <v/>
      </c>
      <c r="AJ537" s="39">
        <f>IF(IFERROR(VLOOKUP(D537,Controls!$A$25:$D$35,4,FALSE()),"No")="Yes",1,0)</f>
        <v/>
      </c>
      <c r="AK537" s="96">
        <f>IF(AND($E537&gt;=Controls!$B$5,$E537&lt;=Controls!$B$6,OR(Controls!$E$9&lt;&gt;"Y",$BE537=1)),1,0)</f>
        <v/>
      </c>
      <c r="AL537" s="39">
        <f>1</f>
        <v/>
      </c>
      <c r="AM537" s="20">
        <f>S537-P537</f>
        <v/>
      </c>
      <c r="AN537" s="20">
        <f>IF(AH537=1,MAX(0,P537-S537),0)</f>
        <v/>
      </c>
      <c r="AO537" s="21">
        <f>IFERROR(S537/P537,"")</f>
        <v/>
      </c>
      <c r="AP537" s="22">
        <f>IF(Y537="","",P537/Y537)</f>
        <v/>
      </c>
      <c r="AQ537" s="39">
        <f>IF(Y537="",0,1)</f>
        <v/>
      </c>
      <c r="AR537" s="39">
        <f>IF(S537&lt;=0,1,0)</f>
        <v/>
      </c>
      <c r="AS537" s="17">
        <f>IF(AH537=1,AG537,"")</f>
        <v/>
      </c>
      <c r="AT537" s="17">
        <f>IF(AND(AH537=0,AJ537=1),AG537,"")</f>
        <v/>
      </c>
      <c r="AU537" s="5">
        <f>IF(P537&lt;10000,"Under $10K",IF(P537&lt;20000,"$10-20K",IF(P537&lt;30000,"$20-30K",IF(P537&lt;50000,"$30-50K",IF(P537&lt;100000,"$50-100K","$100K+")))))</f>
        <v/>
      </c>
      <c r="AV537" s="5">
        <f>IF(O537&lt;=1.35,"1.35 and under",IF(O537&lt;=1.42,"1.36-1.42",IF(O537&lt;=1.45,"1.43-1.45",IF(O537&lt;1.49,"1.46-1.48",IF(O537&lt;=1.49,"1.49","Above 1.49")))))</f>
        <v/>
      </c>
      <c r="AW537" s="5">
        <f>IF(AE537="","",IF(AE537&lt;60,"Under 60",IF(AE537&lt;90,"60-89",IF(AE537&lt;120,"90-119",IF(AE537&lt;150,"120-149","150+")))))</f>
        <v/>
      </c>
      <c r="AX537" s="5">
        <f>IF(AP537="","No revenue data",IF(AP537&lt;0.15,"Under 0.15x",IF(AP537&lt;0.3,"0.15-0.30x",IF(AP537&lt;0.5,"0.30-0.50x",IF(AP537&lt;1,"0.50-1.00x","1.00x+")))))</f>
        <v/>
      </c>
      <c r="AY537" s="5">
        <f>IF(J537="","No SIC",IFERROR(VLOOKUP(J537,Ref!$A$4:$C$67,2,FALSE()),"Unclassified"))</f>
        <v/>
      </c>
      <c r="AZ537" s="5">
        <f>IF(E537="","",TEXT(E537,"YYYY")&amp;"-Q"&amp;ROUNDUP(MONTH(E537)/3,0))</f>
        <v/>
      </c>
      <c r="BA537" s="5">
        <f>IF(E537="","",TEXT(E537,"YYYY-MM"))</f>
        <v/>
      </c>
      <c r="BB537" s="5">
        <f>IF(E537="","",TEXT(E537,"YYYY"))</f>
        <v/>
      </c>
      <c r="BC537" s="92">
        <f>IF($E537="","",NETWORKDAYS($E537,Controls!$B$9,Ref!$F$4:$F$47))</f>
        <v/>
      </c>
      <c r="BD537" s="92">
        <f>IF(OR($AH537=1,$AJ537=1),1,0)</f>
        <v/>
      </c>
      <c r="BE537" s="95">
        <f>IF(OR($BD537=1,AND($AE537&lt;&gt;"",$BC537&gt;=Controls!$B$10*$AE537)),1,0)</f>
        <v/>
      </c>
    </row>
    <row r="538" ht="15.75" customHeight="1" s="79">
      <c r="A538" s="5" t="inlineStr">
        <is>
          <t>5674176539</t>
        </is>
      </c>
      <c r="B538" s="5" t="inlineStr">
        <is>
          <t>MAPD HELPDESK INSURANCE AGENCY</t>
        </is>
      </c>
      <c r="C538" s="5" t="inlineStr">
        <is>
          <t>MAPD HELPDESK INSURANCE AGENCY</t>
        </is>
      </c>
      <c r="D538" s="5" t="inlineStr">
        <is>
          <t>Legal</t>
        </is>
      </c>
      <c r="E538" s="16" t="n">
        <v>46037</v>
      </c>
      <c r="F538" s="16" t="n">
        <v>46058</v>
      </c>
      <c r="G538" s="17" t="n">
        <v>4</v>
      </c>
      <c r="H538" s="5" t="inlineStr">
        <is>
          <t>6411</t>
        </is>
      </c>
      <c r="I538" s="5" t="inlineStr">
        <is>
          <t>Insurance Agencies and Brokerages</t>
        </is>
      </c>
      <c r="J538" s="5" t="inlineStr">
        <is>
          <t>64</t>
        </is>
      </c>
      <c r="K538" s="5" t="n">
        <v>5960</v>
      </c>
      <c r="L538" s="5" t="inlineStr">
        <is>
          <t>FL</t>
        </is>
      </c>
      <c r="M538" s="5" t="inlineStr">
        <is>
          <t>Top Floor Advance</t>
        </is>
      </c>
      <c r="N538" s="5" t="inlineStr">
        <is>
          <t>New Deal</t>
        </is>
      </c>
      <c r="O538" s="19" t="n">
        <v>1.49</v>
      </c>
      <c r="P538" s="20" t="n">
        <v>20000</v>
      </c>
      <c r="Q538" s="20" t="n">
        <v>2800</v>
      </c>
      <c r="R538" s="20" t="n">
        <v>29800</v>
      </c>
      <c r="S538" s="20" t="n">
        <v>1991.06</v>
      </c>
      <c r="T538" s="20" t="n">
        <v>27808.94</v>
      </c>
      <c r="U538" s="21" t="n">
        <v>0.06681409395973149</v>
      </c>
      <c r="V538" s="22" t="n">
        <v>30</v>
      </c>
      <c r="W538" s="17" t="n">
        <v>202</v>
      </c>
      <c r="X538" s="17" t="n">
        <v>1</v>
      </c>
      <c r="Y538" s="20" t="n">
        <v>228857.97</v>
      </c>
      <c r="Z538" s="21" t="n">
        <v>0.0174</v>
      </c>
      <c r="AA538" s="16" t="n">
        <v>44149</v>
      </c>
      <c r="AB538" s="5">
        <f>IF(V538="","",IF(V538&lt;12,"Months","Weeks"))</f>
        <v/>
      </c>
      <c r="AC538" s="5">
        <f>IF(AB538="","",IF(AB538="Months","Daily","Weekly"))</f>
        <v/>
      </c>
      <c r="AD538" s="17">
        <f>IF(V538="","",IF(AC538="Daily",V538*Controls!$B$13,V538))</f>
        <v/>
      </c>
      <c r="AE538" s="17">
        <f>IF(V538="","",IF(AC538="Daily",V538*Controls!$B$13,V538*Controls!$B$12))</f>
        <v/>
      </c>
      <c r="AF538" s="17">
        <f>IF(OR(E538="",F538=""),"",F538-E538)</f>
        <v/>
      </c>
      <c r="AG538" s="17">
        <f>IF(OR(E538="",F538=""),"",NETWORKDAYS(E538,F538,Ref!$F$4:$F$47))</f>
        <v/>
      </c>
      <c r="AH538" s="39">
        <f>IF(IFERROR(VLOOKUP(D538,Controls!$A$25:$D$35,2,FALSE()),"No")="Yes",1,0)</f>
        <v/>
      </c>
      <c r="AI538" s="39">
        <f>IF(IFERROR(VLOOKUP(D538,Controls!$A$25:$D$35,3,FALSE()),"No")="Yes",1,0)</f>
        <v/>
      </c>
      <c r="AJ538" s="39">
        <f>IF(IFERROR(VLOOKUP(D538,Controls!$A$25:$D$35,4,FALSE()),"No")="Yes",1,0)</f>
        <v/>
      </c>
      <c r="AK538" s="96">
        <f>IF(AND($E538&gt;=Controls!$B$5,$E538&lt;=Controls!$B$6,OR(Controls!$E$9&lt;&gt;"Y",$BE538=1)),1,0)</f>
        <v/>
      </c>
      <c r="AL538" s="39">
        <f>1</f>
        <v/>
      </c>
      <c r="AM538" s="20">
        <f>S538-P538</f>
        <v/>
      </c>
      <c r="AN538" s="20">
        <f>IF(AH538=1,MAX(0,P538-S538),0)</f>
        <v/>
      </c>
      <c r="AO538" s="21">
        <f>IFERROR(S538/P538,"")</f>
        <v/>
      </c>
      <c r="AP538" s="22">
        <f>IF(Y538="","",P538/Y538)</f>
        <v/>
      </c>
      <c r="AQ538" s="39">
        <f>IF(Y538="",0,1)</f>
        <v/>
      </c>
      <c r="AR538" s="39">
        <f>IF(S538&lt;=0,1,0)</f>
        <v/>
      </c>
      <c r="AS538" s="17">
        <f>IF(AH538=1,AG538,"")</f>
        <v/>
      </c>
      <c r="AT538" s="17">
        <f>IF(AND(AH538=0,AJ538=1),AG538,"")</f>
        <v/>
      </c>
      <c r="AU538" s="5">
        <f>IF(P538&lt;10000,"Under $10K",IF(P538&lt;20000,"$10-20K",IF(P538&lt;30000,"$20-30K",IF(P538&lt;50000,"$30-50K",IF(P538&lt;100000,"$50-100K","$100K+")))))</f>
        <v/>
      </c>
      <c r="AV538" s="5">
        <f>IF(O538&lt;=1.35,"1.35 and under",IF(O538&lt;=1.42,"1.36-1.42",IF(O538&lt;=1.45,"1.43-1.45",IF(O538&lt;1.49,"1.46-1.48",IF(O538&lt;=1.49,"1.49","Above 1.49")))))</f>
        <v/>
      </c>
      <c r="AW538" s="5">
        <f>IF(AE538="","",IF(AE538&lt;60,"Under 60",IF(AE538&lt;90,"60-89",IF(AE538&lt;120,"90-119",IF(AE538&lt;150,"120-149","150+")))))</f>
        <v/>
      </c>
      <c r="AX538" s="5">
        <f>IF(AP538="","No revenue data",IF(AP538&lt;0.15,"Under 0.15x",IF(AP538&lt;0.3,"0.15-0.30x",IF(AP538&lt;0.5,"0.30-0.50x",IF(AP538&lt;1,"0.50-1.00x","1.00x+")))))</f>
        <v/>
      </c>
      <c r="AY538" s="5">
        <f>IF(J538="","No SIC",IFERROR(VLOOKUP(J538,Ref!$A$4:$C$67,2,FALSE()),"Unclassified"))</f>
        <v/>
      </c>
      <c r="AZ538" s="5">
        <f>IF(E538="","",TEXT(E538,"YYYY")&amp;"-Q"&amp;ROUNDUP(MONTH(E538)/3,0))</f>
        <v/>
      </c>
      <c r="BA538" s="5">
        <f>IF(E538="","",TEXT(E538,"YYYY-MM"))</f>
        <v/>
      </c>
      <c r="BB538" s="5">
        <f>IF(E538="","",TEXT(E538,"YYYY"))</f>
        <v/>
      </c>
      <c r="BC538" s="92">
        <f>IF($E538="","",NETWORKDAYS($E538,Controls!$B$9,Ref!$F$4:$F$47))</f>
        <v/>
      </c>
      <c r="BD538" s="92">
        <f>IF(OR($AH538=1,$AJ538=1),1,0)</f>
        <v/>
      </c>
      <c r="BE538" s="95">
        <f>IF(OR($BD538=1,AND($AE538&lt;&gt;"",$BC538&gt;=Controls!$B$10*$AE538)),1,0)</f>
        <v/>
      </c>
    </row>
    <row r="539" ht="15.75" customHeight="1" s="79">
      <c r="A539" s="5" t="inlineStr">
        <is>
          <t>5674176546</t>
        </is>
      </c>
      <c r="B539" s="5" t="inlineStr">
        <is>
          <t>INTOWN DOOR SERVICES</t>
        </is>
      </c>
      <c r="C539" s="5" t="inlineStr">
        <is>
          <t>Intown Door Services LLC</t>
        </is>
      </c>
      <c r="D539" s="5" t="inlineStr">
        <is>
          <t>Open</t>
        </is>
      </c>
      <c r="E539" s="16" t="n">
        <v>46037</v>
      </c>
      <c r="F539" s="16" t="n">
        <v>46247</v>
      </c>
      <c r="G539" s="17" t="n">
        <v>1</v>
      </c>
      <c r="H539" s="5" t="inlineStr">
        <is>
          <t>3442</t>
        </is>
      </c>
      <c r="I539" s="5" t="inlineStr">
        <is>
          <t>Metal Window and Door Mfg.</t>
        </is>
      </c>
      <c r="J539" s="5" t="inlineStr">
        <is>
          <t>34</t>
        </is>
      </c>
      <c r="K539" s="5" t="n">
        <v>5719</v>
      </c>
      <c r="L539" s="5" t="inlineStr">
        <is>
          <t>GA</t>
        </is>
      </c>
      <c r="M539" s="5" t="inlineStr">
        <is>
          <t>Fundwell</t>
        </is>
      </c>
      <c r="N539" s="5" t="inlineStr">
        <is>
          <t>New Deal</t>
        </is>
      </c>
      <c r="O539" s="19" t="n">
        <v>1.36</v>
      </c>
      <c r="P539" s="20" t="n">
        <v>25000</v>
      </c>
      <c r="Q539" s="20" t="n">
        <v>2625</v>
      </c>
      <c r="R539" s="20" t="n">
        <v>34000</v>
      </c>
      <c r="S539" s="20" t="n">
        <v>26577</v>
      </c>
      <c r="T539" s="20" t="n">
        <v>7423</v>
      </c>
      <c r="U539" s="21" t="n">
        <v>0.781676470588235</v>
      </c>
      <c r="V539" s="22" t="n">
        <v>32</v>
      </c>
      <c r="W539" s="17" t="n">
        <v>6</v>
      </c>
      <c r="X539" s="17" t="n">
        <v>6</v>
      </c>
      <c r="Y539" s="20" t="n">
        <v>82891.31</v>
      </c>
      <c r="Z539" s="21" t="n">
        <v>0.0513</v>
      </c>
      <c r="AA539" s="16" t="n">
        <v>41690</v>
      </c>
      <c r="AB539" s="5">
        <f>IF(V539="","",IF(V539&lt;12,"Months","Weeks"))</f>
        <v/>
      </c>
      <c r="AC539" s="5">
        <f>IF(AB539="","",IF(AB539="Months","Daily","Weekly"))</f>
        <v/>
      </c>
      <c r="AD539" s="17">
        <f>IF(V539="","",IF(AC539="Daily",V539*Controls!$B$13,V539))</f>
        <v/>
      </c>
      <c r="AE539" s="17">
        <f>IF(V539="","",IF(AC539="Daily",V539*Controls!$B$13,V539*Controls!$B$12))</f>
        <v/>
      </c>
      <c r="AF539" s="17">
        <f>IF(OR(E539="",F539=""),"",F539-E539)</f>
        <v/>
      </c>
      <c r="AG539" s="17">
        <f>IF(OR(E539="",F539=""),"",NETWORKDAYS(E539,F539,Ref!$F$4:$F$47))</f>
        <v/>
      </c>
      <c r="AH539" s="39">
        <f>IF(IFERROR(VLOOKUP(D539,Controls!$A$25:$D$35,2,FALSE()),"No")="Yes",1,0)</f>
        <v/>
      </c>
      <c r="AI539" s="39">
        <f>IF(IFERROR(VLOOKUP(D539,Controls!$A$25:$D$35,3,FALSE()),"No")="Yes",1,0)</f>
        <v/>
      </c>
      <c r="AJ539" s="39">
        <f>IF(IFERROR(VLOOKUP(D539,Controls!$A$25:$D$35,4,FALSE()),"No")="Yes",1,0)</f>
        <v/>
      </c>
      <c r="AK539" s="96">
        <f>IF(AND($E539&gt;=Controls!$B$5,$E539&lt;=Controls!$B$6,OR(Controls!$E$9&lt;&gt;"Y",$BE539=1)),1,0)</f>
        <v/>
      </c>
      <c r="AL539" s="39">
        <f>1</f>
        <v/>
      </c>
      <c r="AM539" s="20">
        <f>S539-P539</f>
        <v/>
      </c>
      <c r="AN539" s="20">
        <f>IF(AH539=1,MAX(0,P539-S539),0)</f>
        <v/>
      </c>
      <c r="AO539" s="21">
        <f>IFERROR(S539/P539,"")</f>
        <v/>
      </c>
      <c r="AP539" s="22">
        <f>IF(Y539="","",P539/Y539)</f>
        <v/>
      </c>
      <c r="AQ539" s="39">
        <f>IF(Y539="",0,1)</f>
        <v/>
      </c>
      <c r="AR539" s="39">
        <f>IF(S539&lt;=0,1,0)</f>
        <v/>
      </c>
      <c r="AS539" s="17">
        <f>IF(AH539=1,AG539,"")</f>
        <v/>
      </c>
      <c r="AT539" s="17">
        <f>IF(AND(AH539=0,AJ539=1),AG539,"")</f>
        <v/>
      </c>
      <c r="AU539" s="5">
        <f>IF(P539&lt;10000,"Under $10K",IF(P539&lt;20000,"$10-20K",IF(P539&lt;30000,"$20-30K",IF(P539&lt;50000,"$30-50K",IF(P539&lt;100000,"$50-100K","$100K+")))))</f>
        <v/>
      </c>
      <c r="AV539" s="5">
        <f>IF(O539&lt;=1.35,"1.35 and under",IF(O539&lt;=1.42,"1.36-1.42",IF(O539&lt;=1.45,"1.43-1.45",IF(O539&lt;1.49,"1.46-1.48",IF(O539&lt;=1.49,"1.49","Above 1.49")))))</f>
        <v/>
      </c>
      <c r="AW539" s="5">
        <f>IF(AE539="","",IF(AE539&lt;60,"Under 60",IF(AE539&lt;90,"60-89",IF(AE539&lt;120,"90-119",IF(AE539&lt;150,"120-149","150+")))))</f>
        <v/>
      </c>
      <c r="AX539" s="5">
        <f>IF(AP539="","No revenue data",IF(AP539&lt;0.15,"Under 0.15x",IF(AP539&lt;0.3,"0.15-0.30x",IF(AP539&lt;0.5,"0.30-0.50x",IF(AP539&lt;1,"0.50-1.00x","1.00x+")))))</f>
        <v/>
      </c>
      <c r="AY539" s="5">
        <f>IF(J539="","No SIC",IFERROR(VLOOKUP(J539,Ref!$A$4:$C$67,2,FALSE()),"Unclassified"))</f>
        <v/>
      </c>
      <c r="AZ539" s="5">
        <f>IF(E539="","",TEXT(E539,"YYYY")&amp;"-Q"&amp;ROUNDUP(MONTH(E539)/3,0))</f>
        <v/>
      </c>
      <c r="BA539" s="5">
        <f>IF(E539="","",TEXT(E539,"YYYY-MM"))</f>
        <v/>
      </c>
      <c r="BB539" s="5">
        <f>IF(E539="","",TEXT(E539,"YYYY"))</f>
        <v/>
      </c>
      <c r="BC539" s="92">
        <f>IF($E539="","",NETWORKDAYS($E539,Controls!$B$9,Ref!$F$4:$F$47))</f>
        <v/>
      </c>
      <c r="BD539" s="92">
        <f>IF(OR($AH539=1,$AJ539=1),1,0)</f>
        <v/>
      </c>
      <c r="BE539" s="95">
        <f>IF(OR($BD539=1,AND($AE539&lt;&gt;"",$BC539&gt;=Controls!$B$10*$AE539)),1,0)</f>
        <v/>
      </c>
    </row>
    <row r="540" ht="15.75" customHeight="1" s="79">
      <c r="A540" s="5" t="inlineStr">
        <is>
          <t>5674176547</t>
        </is>
      </c>
      <c r="B540" s="5" t="inlineStr">
        <is>
          <t>MONTROSE CONCRETE, INC.</t>
        </is>
      </c>
      <c r="C540" s="5" t="inlineStr">
        <is>
          <t>MONTROSE CONCRETE, INC.</t>
        </is>
      </c>
      <c r="D540" s="5" t="inlineStr">
        <is>
          <t>Open</t>
        </is>
      </c>
      <c r="E540" s="16" t="n">
        <v>46037</v>
      </c>
      <c r="F540" s="16" t="n">
        <v>46253</v>
      </c>
      <c r="G540" s="17" t="n">
        <v>2</v>
      </c>
      <c r="H540" s="5" t="inlineStr">
        <is>
          <t>1771</t>
        </is>
      </c>
      <c r="I540" s="5" t="inlineStr">
        <is>
          <t>Poured Concrete Foundation and Structure Contractors</t>
        </is>
      </c>
      <c r="J540" s="5" t="inlineStr">
        <is>
          <t>17</t>
        </is>
      </c>
      <c r="K540" s="5" t="n">
        <v>1771</v>
      </c>
      <c r="L540" s="5" t="inlineStr">
        <is>
          <t>TX</t>
        </is>
      </c>
      <c r="M540" s="5" t="inlineStr">
        <is>
          <t>Fundwell</t>
        </is>
      </c>
      <c r="N540" s="5" t="inlineStr">
        <is>
          <t>New Deal</t>
        </is>
      </c>
      <c r="O540" s="19" t="n">
        <v>1.38</v>
      </c>
      <c r="P540" s="20" t="n">
        <v>30000</v>
      </c>
      <c r="Q540" s="20" t="n">
        <v>3450</v>
      </c>
      <c r="R540" s="20" t="n">
        <v>41400</v>
      </c>
      <c r="S540" s="20" t="n">
        <v>38833.5</v>
      </c>
      <c r="T540" s="20" t="n">
        <v>2566.5</v>
      </c>
      <c r="U540" s="21" t="n">
        <v>0.938007246376812</v>
      </c>
      <c r="V540" s="22" t="n">
        <v>32</v>
      </c>
      <c r="W540" s="17" t="n">
        <v>0</v>
      </c>
      <c r="X540" s="17" t="n">
        <v>1</v>
      </c>
      <c r="Y540" s="20" t="n">
        <v>118154.64</v>
      </c>
      <c r="Z540" s="21" t="n">
        <v>0.058</v>
      </c>
      <c r="AA540" s="16" t="n">
        <v>29495</v>
      </c>
      <c r="AB540" s="5">
        <f>IF(V540="","",IF(V540&lt;12,"Months","Weeks"))</f>
        <v/>
      </c>
      <c r="AC540" s="5">
        <f>IF(AB540="","",IF(AB540="Months","Daily","Weekly"))</f>
        <v/>
      </c>
      <c r="AD540" s="17">
        <f>IF(V540="","",IF(AC540="Daily",V540*Controls!$B$13,V540))</f>
        <v/>
      </c>
      <c r="AE540" s="17">
        <f>IF(V540="","",IF(AC540="Daily",V540*Controls!$B$13,V540*Controls!$B$12))</f>
        <v/>
      </c>
      <c r="AF540" s="17">
        <f>IF(OR(E540="",F540=""),"",F540-E540)</f>
        <v/>
      </c>
      <c r="AG540" s="17">
        <f>IF(OR(E540="",F540=""),"",NETWORKDAYS(E540,F540,Ref!$F$4:$F$47))</f>
        <v/>
      </c>
      <c r="AH540" s="39">
        <f>IF(IFERROR(VLOOKUP(D540,Controls!$A$25:$D$35,2,FALSE()),"No")="Yes",1,0)</f>
        <v/>
      </c>
      <c r="AI540" s="39">
        <f>IF(IFERROR(VLOOKUP(D540,Controls!$A$25:$D$35,3,FALSE()),"No")="Yes",1,0)</f>
        <v/>
      </c>
      <c r="AJ540" s="39">
        <f>IF(IFERROR(VLOOKUP(D540,Controls!$A$25:$D$35,4,FALSE()),"No")="Yes",1,0)</f>
        <v/>
      </c>
      <c r="AK540" s="96">
        <f>IF(AND($E540&gt;=Controls!$B$5,$E540&lt;=Controls!$B$6,OR(Controls!$E$9&lt;&gt;"Y",$BE540=1)),1,0)</f>
        <v/>
      </c>
      <c r="AL540" s="39">
        <f>1</f>
        <v/>
      </c>
      <c r="AM540" s="20">
        <f>S540-P540</f>
        <v/>
      </c>
      <c r="AN540" s="20">
        <f>IF(AH540=1,MAX(0,P540-S540),0)</f>
        <v/>
      </c>
      <c r="AO540" s="21">
        <f>IFERROR(S540/P540,"")</f>
        <v/>
      </c>
      <c r="AP540" s="22">
        <f>IF(Y540="","",P540/Y540)</f>
        <v/>
      </c>
      <c r="AQ540" s="39">
        <f>IF(Y540="",0,1)</f>
        <v/>
      </c>
      <c r="AR540" s="39">
        <f>IF(S540&lt;=0,1,0)</f>
        <v/>
      </c>
      <c r="AS540" s="17">
        <f>IF(AH540=1,AG540,"")</f>
        <v/>
      </c>
      <c r="AT540" s="17">
        <f>IF(AND(AH540=0,AJ540=1),AG540,"")</f>
        <v/>
      </c>
      <c r="AU540" s="5">
        <f>IF(P540&lt;10000,"Under $10K",IF(P540&lt;20000,"$10-20K",IF(P540&lt;30000,"$20-30K",IF(P540&lt;50000,"$30-50K",IF(P540&lt;100000,"$50-100K","$100K+")))))</f>
        <v/>
      </c>
      <c r="AV540" s="5">
        <f>IF(O540&lt;=1.35,"1.35 and under",IF(O540&lt;=1.42,"1.36-1.42",IF(O540&lt;=1.45,"1.43-1.45",IF(O540&lt;1.49,"1.46-1.48",IF(O540&lt;=1.49,"1.49","Above 1.49")))))</f>
        <v/>
      </c>
      <c r="AW540" s="5">
        <f>IF(AE540="","",IF(AE540&lt;60,"Under 60",IF(AE540&lt;90,"60-89",IF(AE540&lt;120,"90-119",IF(AE540&lt;150,"120-149","150+")))))</f>
        <v/>
      </c>
      <c r="AX540" s="5">
        <f>IF(AP540="","No revenue data",IF(AP540&lt;0.15,"Under 0.15x",IF(AP540&lt;0.3,"0.15-0.30x",IF(AP540&lt;0.5,"0.30-0.50x",IF(AP540&lt;1,"0.50-1.00x","1.00x+")))))</f>
        <v/>
      </c>
      <c r="AY540" s="5">
        <f>IF(J540="","No SIC",IFERROR(VLOOKUP(J540,Ref!$A$4:$C$67,2,FALSE()),"Unclassified"))</f>
        <v/>
      </c>
      <c r="AZ540" s="5">
        <f>IF(E540="","",TEXT(E540,"YYYY")&amp;"-Q"&amp;ROUNDUP(MONTH(E540)/3,0))</f>
        <v/>
      </c>
      <c r="BA540" s="5">
        <f>IF(E540="","",TEXT(E540,"YYYY-MM"))</f>
        <v/>
      </c>
      <c r="BB540" s="5">
        <f>IF(E540="","",TEXT(E540,"YYYY"))</f>
        <v/>
      </c>
      <c r="BC540" s="92">
        <f>IF($E540="","",NETWORKDAYS($E540,Controls!$B$9,Ref!$F$4:$F$47))</f>
        <v/>
      </c>
      <c r="BD540" s="92">
        <f>IF(OR($AH540=1,$AJ540=1),1,0)</f>
        <v/>
      </c>
      <c r="BE540" s="95">
        <f>IF(OR($BD540=1,AND($AE540&lt;&gt;"",$BC540&gt;=Controls!$B$10*$AE540)),1,0)</f>
        <v/>
      </c>
    </row>
    <row r="541" ht="15.75" customHeight="1" s="79">
      <c r="A541" s="5" t="inlineStr">
        <is>
          <t>5674176597</t>
        </is>
      </c>
      <c r="B541" s="5" t="inlineStr">
        <is>
          <t>Simco Building and Remodeling</t>
        </is>
      </c>
      <c r="C541" s="5" t="inlineStr">
        <is>
          <t>Simco Building and Remodeling</t>
        </is>
      </c>
      <c r="D541" s="5" t="inlineStr">
        <is>
          <t>Legal</t>
        </is>
      </c>
      <c r="E541" s="16" t="n">
        <v>46037</v>
      </c>
      <c r="F541" s="16" t="n">
        <v>46122</v>
      </c>
      <c r="G541" s="17" t="n">
        <v>1</v>
      </c>
      <c r="H541" s="5" t="inlineStr">
        <is>
          <t>1521</t>
        </is>
      </c>
      <c r="I541" s="5" t="inlineStr">
        <is>
          <t>New Single-Family Housing Construction (Except For-Sale Builders)</t>
        </is>
      </c>
      <c r="J541" s="5" t="inlineStr">
        <is>
          <t>15</t>
        </is>
      </c>
      <c r="K541" s="5" t="n">
        <v>1520</v>
      </c>
      <c r="L541" s="5" t="inlineStr">
        <is>
          <t>MO</t>
        </is>
      </c>
      <c r="M541" s="5" t="inlineStr">
        <is>
          <t>TRUSTFI</t>
        </is>
      </c>
      <c r="N541" s="5" t="inlineStr">
        <is>
          <t>New Deal</t>
        </is>
      </c>
      <c r="O541" s="19" t="n">
        <v>1.49</v>
      </c>
      <c r="P541" s="20" t="n">
        <v>20000</v>
      </c>
      <c r="Q541" s="20" t="n">
        <v>2800</v>
      </c>
      <c r="R541" s="20" t="n">
        <v>29800</v>
      </c>
      <c r="S541" s="20" t="n">
        <v>13409.37</v>
      </c>
      <c r="T541" s="20" t="n">
        <v>16390.63</v>
      </c>
      <c r="U541" s="21" t="n">
        <v>0.449978859060403</v>
      </c>
      <c r="V541" s="22" t="n">
        <v>20</v>
      </c>
      <c r="W541" s="17" t="n">
        <v>152</v>
      </c>
      <c r="X541" s="17" t="n">
        <v>3</v>
      </c>
      <c r="Y541" s="20" t="n">
        <v>36141.37</v>
      </c>
      <c r="Z541" s="21" t="n">
        <v>0.1649</v>
      </c>
      <c r="AA541" s="16" t="n">
        <v>45078</v>
      </c>
      <c r="AB541" s="5">
        <f>IF(V541="","",IF(V541&lt;12,"Months","Weeks"))</f>
        <v/>
      </c>
      <c r="AC541" s="5">
        <f>IF(AB541="","",IF(AB541="Months","Daily","Weekly"))</f>
        <v/>
      </c>
      <c r="AD541" s="17">
        <f>IF(V541="","",IF(AC541="Daily",V541*Controls!$B$13,V541))</f>
        <v/>
      </c>
      <c r="AE541" s="17">
        <f>IF(V541="","",IF(AC541="Daily",V541*Controls!$B$13,V541*Controls!$B$12))</f>
        <v/>
      </c>
      <c r="AF541" s="17">
        <f>IF(OR(E541="",F541=""),"",F541-E541)</f>
        <v/>
      </c>
      <c r="AG541" s="17">
        <f>IF(OR(E541="",F541=""),"",NETWORKDAYS(E541,F541,Ref!$F$4:$F$47))</f>
        <v/>
      </c>
      <c r="AH541" s="39">
        <f>IF(IFERROR(VLOOKUP(D541,Controls!$A$25:$D$35,2,FALSE()),"No")="Yes",1,0)</f>
        <v/>
      </c>
      <c r="AI541" s="39">
        <f>IF(IFERROR(VLOOKUP(D541,Controls!$A$25:$D$35,3,FALSE()),"No")="Yes",1,0)</f>
        <v/>
      </c>
      <c r="AJ541" s="39">
        <f>IF(IFERROR(VLOOKUP(D541,Controls!$A$25:$D$35,4,FALSE()),"No")="Yes",1,0)</f>
        <v/>
      </c>
      <c r="AK541" s="96">
        <f>IF(AND($E541&gt;=Controls!$B$5,$E541&lt;=Controls!$B$6,OR(Controls!$E$9&lt;&gt;"Y",$BE541=1)),1,0)</f>
        <v/>
      </c>
      <c r="AL541" s="39">
        <f>1</f>
        <v/>
      </c>
      <c r="AM541" s="20">
        <f>S541-P541</f>
        <v/>
      </c>
      <c r="AN541" s="20">
        <f>IF(AH541=1,MAX(0,P541-S541),0)</f>
        <v/>
      </c>
      <c r="AO541" s="21">
        <f>IFERROR(S541/P541,"")</f>
        <v/>
      </c>
      <c r="AP541" s="22">
        <f>IF(Y541="","",P541/Y541)</f>
        <v/>
      </c>
      <c r="AQ541" s="39">
        <f>IF(Y541="",0,1)</f>
        <v/>
      </c>
      <c r="AR541" s="39">
        <f>IF(S541&lt;=0,1,0)</f>
        <v/>
      </c>
      <c r="AS541" s="17">
        <f>IF(AH541=1,AG541,"")</f>
        <v/>
      </c>
      <c r="AT541" s="17">
        <f>IF(AND(AH541=0,AJ541=1),AG541,"")</f>
        <v/>
      </c>
      <c r="AU541" s="5">
        <f>IF(P541&lt;10000,"Under $10K",IF(P541&lt;20000,"$10-20K",IF(P541&lt;30000,"$20-30K",IF(P541&lt;50000,"$30-50K",IF(P541&lt;100000,"$50-100K","$100K+")))))</f>
        <v/>
      </c>
      <c r="AV541" s="5">
        <f>IF(O541&lt;=1.35,"1.35 and under",IF(O541&lt;=1.42,"1.36-1.42",IF(O541&lt;=1.45,"1.43-1.45",IF(O541&lt;1.49,"1.46-1.48",IF(O541&lt;=1.49,"1.49","Above 1.49")))))</f>
        <v/>
      </c>
      <c r="AW541" s="5">
        <f>IF(AE541="","",IF(AE541&lt;60,"Under 60",IF(AE541&lt;90,"60-89",IF(AE541&lt;120,"90-119",IF(AE541&lt;150,"120-149","150+")))))</f>
        <v/>
      </c>
      <c r="AX541" s="5">
        <f>IF(AP541="","No revenue data",IF(AP541&lt;0.15,"Under 0.15x",IF(AP541&lt;0.3,"0.15-0.30x",IF(AP541&lt;0.5,"0.30-0.50x",IF(AP541&lt;1,"0.50-1.00x","1.00x+")))))</f>
        <v/>
      </c>
      <c r="AY541" s="5">
        <f>IF(J541="","No SIC",IFERROR(VLOOKUP(J541,Ref!$A$4:$C$67,2,FALSE()),"Unclassified"))</f>
        <v/>
      </c>
      <c r="AZ541" s="5">
        <f>IF(E541="","",TEXT(E541,"YYYY")&amp;"-Q"&amp;ROUNDUP(MONTH(E541)/3,0))</f>
        <v/>
      </c>
      <c r="BA541" s="5">
        <f>IF(E541="","",TEXT(E541,"YYYY-MM"))</f>
        <v/>
      </c>
      <c r="BB541" s="5">
        <f>IF(E541="","",TEXT(E541,"YYYY"))</f>
        <v/>
      </c>
      <c r="BC541" s="92">
        <f>IF($E541="","",NETWORKDAYS($E541,Controls!$B$9,Ref!$F$4:$F$47))</f>
        <v/>
      </c>
      <c r="BD541" s="92">
        <f>IF(OR($AH541=1,$AJ541=1),1,0)</f>
        <v/>
      </c>
      <c r="BE541" s="95">
        <f>IF(OR($BD541=1,AND($AE541&lt;&gt;"",$BC541&gt;=Controls!$B$10*$AE541)),1,0)</f>
        <v/>
      </c>
    </row>
    <row r="542" ht="15.75" customHeight="1" s="79">
      <c r="A542" s="5" t="inlineStr">
        <is>
          <t>5674176604</t>
        </is>
      </c>
      <c r="B542" s="5" t="inlineStr">
        <is>
          <t>LOS ALVAREZ CONSTRUCTION SERVICE CORP</t>
        </is>
      </c>
      <c r="C542" s="5" t="inlineStr">
        <is>
          <t>LOS ALVAREZ CONSTRUCTION SERVICE CORP</t>
        </is>
      </c>
      <c r="D542" s="5" t="inlineStr">
        <is>
          <t>Legal</t>
        </is>
      </c>
      <c r="E542" s="16" t="n">
        <v>46037</v>
      </c>
      <c r="F542" s="16" t="n">
        <v>46136</v>
      </c>
      <c r="G542" s="17" t="n">
        <v>1</v>
      </c>
      <c r="H542" s="5" t="inlineStr">
        <is>
          <t>1521</t>
        </is>
      </c>
      <c r="I542" s="5" t="inlineStr">
        <is>
          <t>New Single-Family Housing Construction (Except For-Sale Builders)</t>
        </is>
      </c>
      <c r="J542" s="5" t="inlineStr">
        <is>
          <t>15</t>
        </is>
      </c>
      <c r="K542" s="5" t="n">
        <v>1520</v>
      </c>
      <c r="L542" s="5" t="inlineStr">
        <is>
          <t>FL</t>
        </is>
      </c>
      <c r="M542" s="5" t="inlineStr">
        <is>
          <t>Ballicci</t>
        </is>
      </c>
      <c r="N542" s="5" t="inlineStr">
        <is>
          <t>New Deal</t>
        </is>
      </c>
      <c r="O542" s="19" t="n">
        <v>1.49</v>
      </c>
      <c r="P542" s="20" t="n">
        <v>25000</v>
      </c>
      <c r="Q542" s="20" t="n">
        <v>3500</v>
      </c>
      <c r="R542" s="20" t="n">
        <v>37250</v>
      </c>
      <c r="S542" s="20" t="n">
        <v>413.84</v>
      </c>
      <c r="T542" s="20" t="n">
        <v>36836.16</v>
      </c>
      <c r="U542" s="21" t="n">
        <v>0.0111097986577181</v>
      </c>
      <c r="V542" s="22" t="n">
        <v>2.951</v>
      </c>
      <c r="W542" s="17" t="n">
        <v>216</v>
      </c>
      <c r="X542" s="17" t="n">
        <v>12</v>
      </c>
      <c r="Y542" s="20" t="n">
        <v>48578.52</v>
      </c>
      <c r="Z542" s="21" t="n">
        <v>0.1789</v>
      </c>
      <c r="AA542" s="16" t="n">
        <v>45510</v>
      </c>
      <c r="AB542" s="5">
        <f>IF(V542="","",IF(V542&lt;12,"Months","Weeks"))</f>
        <v/>
      </c>
      <c r="AC542" s="5">
        <f>IF(AB542="","",IF(AB542="Months","Daily","Weekly"))</f>
        <v/>
      </c>
      <c r="AD542" s="17">
        <f>IF(V542="","",IF(AC542="Daily",V542*Controls!$B$13,V542))</f>
        <v/>
      </c>
      <c r="AE542" s="17">
        <f>IF(V542="","",IF(AC542="Daily",V542*Controls!$B$13,V542*Controls!$B$12))</f>
        <v/>
      </c>
      <c r="AF542" s="17">
        <f>IF(OR(E542="",F542=""),"",F542-E542)</f>
        <v/>
      </c>
      <c r="AG542" s="17">
        <f>IF(OR(E542="",F542=""),"",NETWORKDAYS(E542,F542,Ref!$F$4:$F$47))</f>
        <v/>
      </c>
      <c r="AH542" s="39">
        <f>IF(IFERROR(VLOOKUP(D542,Controls!$A$25:$D$35,2,FALSE()),"No")="Yes",1,0)</f>
        <v/>
      </c>
      <c r="AI542" s="39">
        <f>IF(IFERROR(VLOOKUP(D542,Controls!$A$25:$D$35,3,FALSE()),"No")="Yes",1,0)</f>
        <v/>
      </c>
      <c r="AJ542" s="39">
        <f>IF(IFERROR(VLOOKUP(D542,Controls!$A$25:$D$35,4,FALSE()),"No")="Yes",1,0)</f>
        <v/>
      </c>
      <c r="AK542" s="96">
        <f>IF(AND($E542&gt;=Controls!$B$5,$E542&lt;=Controls!$B$6,OR(Controls!$E$9&lt;&gt;"Y",$BE542=1)),1,0)</f>
        <v/>
      </c>
      <c r="AL542" s="39">
        <f>1</f>
        <v/>
      </c>
      <c r="AM542" s="20">
        <f>S542-P542</f>
        <v/>
      </c>
      <c r="AN542" s="20">
        <f>IF(AH542=1,MAX(0,P542-S542),0)</f>
        <v/>
      </c>
      <c r="AO542" s="21">
        <f>IFERROR(S542/P542,"")</f>
        <v/>
      </c>
      <c r="AP542" s="22">
        <f>IF(Y542="","",P542/Y542)</f>
        <v/>
      </c>
      <c r="AQ542" s="39">
        <f>IF(Y542="",0,1)</f>
        <v/>
      </c>
      <c r="AR542" s="39">
        <f>IF(S542&lt;=0,1,0)</f>
        <v/>
      </c>
      <c r="AS542" s="17">
        <f>IF(AH542=1,AG542,"")</f>
        <v/>
      </c>
      <c r="AT542" s="17">
        <f>IF(AND(AH542=0,AJ542=1),AG542,"")</f>
        <v/>
      </c>
      <c r="AU542" s="5">
        <f>IF(P542&lt;10000,"Under $10K",IF(P542&lt;20000,"$10-20K",IF(P542&lt;30000,"$20-30K",IF(P542&lt;50000,"$30-50K",IF(P542&lt;100000,"$50-100K","$100K+")))))</f>
        <v/>
      </c>
      <c r="AV542" s="5">
        <f>IF(O542&lt;=1.35,"1.35 and under",IF(O542&lt;=1.42,"1.36-1.42",IF(O542&lt;=1.45,"1.43-1.45",IF(O542&lt;1.49,"1.46-1.48",IF(O542&lt;=1.49,"1.49","Above 1.49")))))</f>
        <v/>
      </c>
      <c r="AW542" s="5">
        <f>IF(AE542="","",IF(AE542&lt;60,"Under 60",IF(AE542&lt;90,"60-89",IF(AE542&lt;120,"90-119",IF(AE542&lt;150,"120-149","150+")))))</f>
        <v/>
      </c>
      <c r="AX542" s="5">
        <f>IF(AP542="","No revenue data",IF(AP542&lt;0.15,"Under 0.15x",IF(AP542&lt;0.3,"0.15-0.30x",IF(AP542&lt;0.5,"0.30-0.50x",IF(AP542&lt;1,"0.50-1.00x","1.00x+")))))</f>
        <v/>
      </c>
      <c r="AY542" s="5">
        <f>IF(J542="","No SIC",IFERROR(VLOOKUP(J542,Ref!$A$4:$C$67,2,FALSE()),"Unclassified"))</f>
        <v/>
      </c>
      <c r="AZ542" s="5">
        <f>IF(E542="","",TEXT(E542,"YYYY")&amp;"-Q"&amp;ROUNDUP(MONTH(E542)/3,0))</f>
        <v/>
      </c>
      <c r="BA542" s="5">
        <f>IF(E542="","",TEXT(E542,"YYYY-MM"))</f>
        <v/>
      </c>
      <c r="BB542" s="5">
        <f>IF(E542="","",TEXT(E542,"YYYY"))</f>
        <v/>
      </c>
      <c r="BC542" s="92">
        <f>IF($E542="","",NETWORKDAYS($E542,Controls!$B$9,Ref!$F$4:$F$47))</f>
        <v/>
      </c>
      <c r="BD542" s="92">
        <f>IF(OR($AH542=1,$AJ542=1),1,0)</f>
        <v/>
      </c>
      <c r="BE542" s="95">
        <f>IF(OR($BD542=1,AND($AE542&lt;&gt;"",$BC542&gt;=Controls!$B$10*$AE542)),1,0)</f>
        <v/>
      </c>
    </row>
    <row r="543" ht="15.75" customHeight="1" s="79">
      <c r="A543" s="5" t="inlineStr">
        <is>
          <t>5674176627</t>
        </is>
      </c>
      <c r="B543" s="5" t="inlineStr">
        <is>
          <t>SIERRA SHRED</t>
        </is>
      </c>
      <c r="C543" s="5" t="inlineStr">
        <is>
          <t>SIERRA SHRED LLC</t>
        </is>
      </c>
      <c r="D543" s="5" t="inlineStr">
        <is>
          <t>Settlement Agreement</t>
        </is>
      </c>
      <c r="E543" s="16" t="n">
        <v>46037</v>
      </c>
      <c r="F543" s="16" t="n">
        <v>46238</v>
      </c>
      <c r="G543" s="17" t="n">
        <v>1</v>
      </c>
      <c r="H543" s="5" t="inlineStr">
        <is>
          <t>5093</t>
        </is>
      </c>
      <c r="I543" s="5" t="inlineStr">
        <is>
          <t>Recyclable Material Merchant Wholesalers</t>
        </is>
      </c>
      <c r="J543" s="5" t="inlineStr">
        <is>
          <t>50</t>
        </is>
      </c>
      <c r="K543" s="5" t="n">
        <v>5099</v>
      </c>
      <c r="L543" s="5" t="inlineStr">
        <is>
          <t>TX</t>
        </is>
      </c>
      <c r="M543" s="5" t="inlineStr">
        <is>
          <t>secure way capital</t>
        </is>
      </c>
      <c r="N543" s="5" t="inlineStr">
        <is>
          <t>New Deal</t>
        </is>
      </c>
      <c r="O543" s="19" t="n">
        <v>1.4</v>
      </c>
      <c r="P543" s="20" t="n">
        <v>40000</v>
      </c>
      <c r="Q543" s="20" t="n">
        <v>3800</v>
      </c>
      <c r="R543" s="20" t="n">
        <v>56000</v>
      </c>
      <c r="S543" s="20" t="n">
        <v>45344.94</v>
      </c>
      <c r="T543" s="20" t="n">
        <v>10655.06</v>
      </c>
      <c r="U543" s="21" t="n">
        <v>0.809731071428572</v>
      </c>
      <c r="V543" s="22" t="n">
        <v>2.459</v>
      </c>
      <c r="W543" s="17" t="n">
        <v>15</v>
      </c>
      <c r="X543" s="17" t="n">
        <v>31</v>
      </c>
      <c r="Y543" s="20" t="n">
        <v>300161.23</v>
      </c>
      <c r="Z543" s="21" t="n">
        <v>0.0468</v>
      </c>
      <c r="AA543" s="16" t="n">
        <v>38951</v>
      </c>
      <c r="AB543" s="5">
        <f>IF(V543="","",IF(V543&lt;12,"Months","Weeks"))</f>
        <v/>
      </c>
      <c r="AC543" s="5">
        <f>IF(AB543="","",IF(AB543="Months","Daily","Weekly"))</f>
        <v/>
      </c>
      <c r="AD543" s="17">
        <f>IF(V543="","",IF(AC543="Daily",V543*Controls!$B$13,V543))</f>
        <v/>
      </c>
      <c r="AE543" s="17">
        <f>IF(V543="","",IF(AC543="Daily",V543*Controls!$B$13,V543*Controls!$B$12))</f>
        <v/>
      </c>
      <c r="AF543" s="17">
        <f>IF(OR(E543="",F543=""),"",F543-E543)</f>
        <v/>
      </c>
      <c r="AG543" s="17">
        <f>IF(OR(E543="",F543=""),"",NETWORKDAYS(E543,F543,Ref!$F$4:$F$47))</f>
        <v/>
      </c>
      <c r="AH543" s="39">
        <f>IF(IFERROR(VLOOKUP(D543,Controls!$A$25:$D$35,2,FALSE()),"No")="Yes",1,0)</f>
        <v/>
      </c>
      <c r="AI543" s="39">
        <f>IF(IFERROR(VLOOKUP(D543,Controls!$A$25:$D$35,3,FALSE()),"No")="Yes",1,0)</f>
        <v/>
      </c>
      <c r="AJ543" s="39">
        <f>IF(IFERROR(VLOOKUP(D543,Controls!$A$25:$D$35,4,FALSE()),"No")="Yes",1,0)</f>
        <v/>
      </c>
      <c r="AK543" s="96">
        <f>IF(AND($E543&gt;=Controls!$B$5,$E543&lt;=Controls!$B$6,OR(Controls!$E$9&lt;&gt;"Y",$BE543=1)),1,0)</f>
        <v/>
      </c>
      <c r="AL543" s="39">
        <f>1</f>
        <v/>
      </c>
      <c r="AM543" s="20">
        <f>S543-P543</f>
        <v/>
      </c>
      <c r="AN543" s="20">
        <f>IF(AH543=1,MAX(0,P543-S543),0)</f>
        <v/>
      </c>
      <c r="AO543" s="21">
        <f>IFERROR(S543/P543,"")</f>
        <v/>
      </c>
      <c r="AP543" s="22">
        <f>IF(Y543="","",P543/Y543)</f>
        <v/>
      </c>
      <c r="AQ543" s="39">
        <f>IF(Y543="",0,1)</f>
        <v/>
      </c>
      <c r="AR543" s="39">
        <f>IF(S543&lt;=0,1,0)</f>
        <v/>
      </c>
      <c r="AS543" s="17">
        <f>IF(AH543=1,AG543,"")</f>
        <v/>
      </c>
      <c r="AT543" s="17">
        <f>IF(AND(AH543=0,AJ543=1),AG543,"")</f>
        <v/>
      </c>
      <c r="AU543" s="5">
        <f>IF(P543&lt;10000,"Under $10K",IF(P543&lt;20000,"$10-20K",IF(P543&lt;30000,"$20-30K",IF(P543&lt;50000,"$30-50K",IF(P543&lt;100000,"$50-100K","$100K+")))))</f>
        <v/>
      </c>
      <c r="AV543" s="5">
        <f>IF(O543&lt;=1.35,"1.35 and under",IF(O543&lt;=1.42,"1.36-1.42",IF(O543&lt;=1.45,"1.43-1.45",IF(O543&lt;1.49,"1.46-1.48",IF(O543&lt;=1.49,"1.49","Above 1.49")))))</f>
        <v/>
      </c>
      <c r="AW543" s="5">
        <f>IF(AE543="","",IF(AE543&lt;60,"Under 60",IF(AE543&lt;90,"60-89",IF(AE543&lt;120,"90-119",IF(AE543&lt;150,"120-149","150+")))))</f>
        <v/>
      </c>
      <c r="AX543" s="5">
        <f>IF(AP543="","No revenue data",IF(AP543&lt;0.15,"Under 0.15x",IF(AP543&lt;0.3,"0.15-0.30x",IF(AP543&lt;0.5,"0.30-0.50x",IF(AP543&lt;1,"0.50-1.00x","1.00x+")))))</f>
        <v/>
      </c>
      <c r="AY543" s="5">
        <f>IF(J543="","No SIC",IFERROR(VLOOKUP(J543,Ref!$A$4:$C$67,2,FALSE()),"Unclassified"))</f>
        <v/>
      </c>
      <c r="AZ543" s="5">
        <f>IF(E543="","",TEXT(E543,"YYYY")&amp;"-Q"&amp;ROUNDUP(MONTH(E543)/3,0))</f>
        <v/>
      </c>
      <c r="BA543" s="5">
        <f>IF(E543="","",TEXT(E543,"YYYY-MM"))</f>
        <v/>
      </c>
      <c r="BB543" s="5">
        <f>IF(E543="","",TEXT(E543,"YYYY"))</f>
        <v/>
      </c>
      <c r="BC543" s="92">
        <f>IF($E543="","",NETWORKDAYS($E543,Controls!$B$9,Ref!$F$4:$F$47))</f>
        <v/>
      </c>
      <c r="BD543" s="92">
        <f>IF(OR($AH543=1,$AJ543=1),1,0)</f>
        <v/>
      </c>
      <c r="BE543" s="95">
        <f>IF(OR($BD543=1,AND($AE543&lt;&gt;"",$BC543&gt;=Controls!$B$10*$AE543)),1,0)</f>
        <v/>
      </c>
    </row>
    <row r="544" ht="15.75" customHeight="1" s="79">
      <c r="A544" s="5" t="inlineStr">
        <is>
          <t>5674176677</t>
        </is>
      </c>
      <c r="B544" s="5" t="inlineStr">
        <is>
          <t>T &amp; B LOGISTICS INC</t>
        </is>
      </c>
      <c r="C544" s="5" t="inlineStr">
        <is>
          <t>T &amp; B LOGISTICS INC</t>
        </is>
      </c>
      <c r="D544" s="5" t="inlineStr">
        <is>
          <t>In House Collection</t>
        </is>
      </c>
      <c r="E544" s="16" t="n">
        <v>46038</v>
      </c>
      <c r="F544" s="16" t="n">
        <v>46094</v>
      </c>
      <c r="G544" s="17" t="n">
        <v>1</v>
      </c>
      <c r="H544" s="5" t="inlineStr">
        <is>
          <t>4212</t>
        </is>
      </c>
      <c r="I544" s="5" t="inlineStr">
        <is>
          <t>Specialized Freight (Except Used Goods) Trucking, Local</t>
        </is>
      </c>
      <c r="J544" s="5" t="inlineStr">
        <is>
          <t>42</t>
        </is>
      </c>
      <c r="K544" s="5" t="n">
        <v>4214</v>
      </c>
      <c r="L544" s="5" t="inlineStr">
        <is>
          <t>CA</t>
        </is>
      </c>
      <c r="M544" s="5" t="inlineStr">
        <is>
          <t>United Secured Capital 8</t>
        </is>
      </c>
      <c r="N544" s="5" t="inlineStr">
        <is>
          <t>New Deal</t>
        </is>
      </c>
      <c r="O544" s="19" t="n">
        <v>1.49</v>
      </c>
      <c r="P544" s="20" t="n">
        <v>20000</v>
      </c>
      <c r="Q544" s="20" t="n">
        <v>2800</v>
      </c>
      <c r="R544" s="20" t="n">
        <v>29800</v>
      </c>
      <c r="S544" s="20" t="n">
        <v>10431.54</v>
      </c>
      <c r="T544" s="20" t="n">
        <v>19368.46</v>
      </c>
      <c r="U544" s="21" t="n">
        <v>0.350051677852349</v>
      </c>
      <c r="V544" s="22" t="n">
        <v>20</v>
      </c>
      <c r="W544" s="17" t="n">
        <v>166</v>
      </c>
      <c r="X544" s="17" t="n">
        <v>1</v>
      </c>
      <c r="Y544" s="20" t="n">
        <v>20871.48</v>
      </c>
      <c r="Z544" s="21" t="n">
        <v>0.2856</v>
      </c>
      <c r="AA544" s="16" t="n">
        <v>44562</v>
      </c>
      <c r="AB544" s="5">
        <f>IF(V544="","",IF(V544&lt;12,"Months","Weeks"))</f>
        <v/>
      </c>
      <c r="AC544" s="5">
        <f>IF(AB544="","",IF(AB544="Months","Daily","Weekly"))</f>
        <v/>
      </c>
      <c r="AD544" s="17">
        <f>IF(V544="","",IF(AC544="Daily",V544*Controls!$B$13,V544))</f>
        <v/>
      </c>
      <c r="AE544" s="17">
        <f>IF(V544="","",IF(AC544="Daily",V544*Controls!$B$13,V544*Controls!$B$12))</f>
        <v/>
      </c>
      <c r="AF544" s="17">
        <f>IF(OR(E544="",F544=""),"",F544-E544)</f>
        <v/>
      </c>
      <c r="AG544" s="17">
        <f>IF(OR(E544="",F544=""),"",NETWORKDAYS(E544,F544,Ref!$F$4:$F$47))</f>
        <v/>
      </c>
      <c r="AH544" s="39">
        <f>IF(IFERROR(VLOOKUP(D544,Controls!$A$25:$D$35,2,FALSE()),"No")="Yes",1,0)</f>
        <v/>
      </c>
      <c r="AI544" s="39">
        <f>IF(IFERROR(VLOOKUP(D544,Controls!$A$25:$D$35,3,FALSE()),"No")="Yes",1,0)</f>
        <v/>
      </c>
      <c r="AJ544" s="39">
        <f>IF(IFERROR(VLOOKUP(D544,Controls!$A$25:$D$35,4,FALSE()),"No")="Yes",1,0)</f>
        <v/>
      </c>
      <c r="AK544" s="96">
        <f>IF(AND($E544&gt;=Controls!$B$5,$E544&lt;=Controls!$B$6,OR(Controls!$E$9&lt;&gt;"Y",$BE544=1)),1,0)</f>
        <v/>
      </c>
      <c r="AL544" s="39">
        <f>1</f>
        <v/>
      </c>
      <c r="AM544" s="20">
        <f>S544-P544</f>
        <v/>
      </c>
      <c r="AN544" s="20">
        <f>IF(AH544=1,MAX(0,P544-S544),0)</f>
        <v/>
      </c>
      <c r="AO544" s="21">
        <f>IFERROR(S544/P544,"")</f>
        <v/>
      </c>
      <c r="AP544" s="22">
        <f>IF(Y544="","",P544/Y544)</f>
        <v/>
      </c>
      <c r="AQ544" s="39">
        <f>IF(Y544="",0,1)</f>
        <v/>
      </c>
      <c r="AR544" s="39">
        <f>IF(S544&lt;=0,1,0)</f>
        <v/>
      </c>
      <c r="AS544" s="17">
        <f>IF(AH544=1,AG544,"")</f>
        <v/>
      </c>
      <c r="AT544" s="17">
        <f>IF(AND(AH544=0,AJ544=1),AG544,"")</f>
        <v/>
      </c>
      <c r="AU544" s="5">
        <f>IF(P544&lt;10000,"Under $10K",IF(P544&lt;20000,"$10-20K",IF(P544&lt;30000,"$20-30K",IF(P544&lt;50000,"$30-50K",IF(P544&lt;100000,"$50-100K","$100K+")))))</f>
        <v/>
      </c>
      <c r="AV544" s="5">
        <f>IF(O544&lt;=1.35,"1.35 and under",IF(O544&lt;=1.42,"1.36-1.42",IF(O544&lt;=1.45,"1.43-1.45",IF(O544&lt;1.49,"1.46-1.48",IF(O544&lt;=1.49,"1.49","Above 1.49")))))</f>
        <v/>
      </c>
      <c r="AW544" s="5">
        <f>IF(AE544="","",IF(AE544&lt;60,"Under 60",IF(AE544&lt;90,"60-89",IF(AE544&lt;120,"90-119",IF(AE544&lt;150,"120-149","150+")))))</f>
        <v/>
      </c>
      <c r="AX544" s="5">
        <f>IF(AP544="","No revenue data",IF(AP544&lt;0.15,"Under 0.15x",IF(AP544&lt;0.3,"0.15-0.30x",IF(AP544&lt;0.5,"0.30-0.50x",IF(AP544&lt;1,"0.50-1.00x","1.00x+")))))</f>
        <v/>
      </c>
      <c r="AY544" s="5">
        <f>IF(J544="","No SIC",IFERROR(VLOOKUP(J544,Ref!$A$4:$C$67,2,FALSE()),"Unclassified"))</f>
        <v/>
      </c>
      <c r="AZ544" s="5">
        <f>IF(E544="","",TEXT(E544,"YYYY")&amp;"-Q"&amp;ROUNDUP(MONTH(E544)/3,0))</f>
        <v/>
      </c>
      <c r="BA544" s="5">
        <f>IF(E544="","",TEXT(E544,"YYYY-MM"))</f>
        <v/>
      </c>
      <c r="BB544" s="5">
        <f>IF(E544="","",TEXT(E544,"YYYY"))</f>
        <v/>
      </c>
      <c r="BC544" s="92">
        <f>IF($E544="","",NETWORKDAYS($E544,Controls!$B$9,Ref!$F$4:$F$47))</f>
        <v/>
      </c>
      <c r="BD544" s="92">
        <f>IF(OR($AH544=1,$AJ544=1),1,0)</f>
        <v/>
      </c>
      <c r="BE544" s="95">
        <f>IF(OR($BD544=1,AND($AE544&lt;&gt;"",$BC544&gt;=Controls!$B$10*$AE544)),1,0)</f>
        <v/>
      </c>
    </row>
    <row r="545" ht="15.75" customHeight="1" s="79">
      <c r="A545" s="5" t="inlineStr">
        <is>
          <t>5674176696</t>
        </is>
      </c>
      <c r="B545" s="5" t="inlineStr">
        <is>
          <t>FIRST GENERATION GASTRONOMY CO</t>
        </is>
      </c>
      <c r="C545" s="5" t="inlineStr">
        <is>
          <t>FIRST GENERATION GASTRONOMY CO</t>
        </is>
      </c>
      <c r="D545" s="5" t="inlineStr">
        <is>
          <t>In House Collection</t>
        </is>
      </c>
      <c r="E545" s="16" t="n">
        <v>46038</v>
      </c>
      <c r="F545" s="16" t="n">
        <v>46211</v>
      </c>
      <c r="G545" s="17" t="n">
        <v>1</v>
      </c>
      <c r="H545" s="5" t="inlineStr">
        <is>
          <t>5812</t>
        </is>
      </c>
      <c r="I545" s="5" t="inlineStr">
        <is>
          <t>Snack and Nonalcoholic Beverage Bars</t>
        </is>
      </c>
      <c r="J545" s="5" t="inlineStr">
        <is>
          <t>58</t>
        </is>
      </c>
      <c r="K545" s="5" t="n">
        <v>5812</v>
      </c>
      <c r="L545" s="5" t="inlineStr">
        <is>
          <t>GA</t>
        </is>
      </c>
      <c r="M545" s="5" t="inlineStr">
        <is>
          <t>Ballicci</t>
        </is>
      </c>
      <c r="N545" s="5" t="inlineStr">
        <is>
          <t>New Deal</t>
        </is>
      </c>
      <c r="O545" s="19" t="n">
        <v>1.49</v>
      </c>
      <c r="P545" s="20" t="n">
        <v>30000</v>
      </c>
      <c r="Q545" s="20" t="n">
        <v>0</v>
      </c>
      <c r="R545" s="20" t="n">
        <v>44700</v>
      </c>
      <c r="S545" s="20" t="n">
        <v>2322.27</v>
      </c>
      <c r="T545" s="20" t="n">
        <v>42377.73</v>
      </c>
      <c r="U545" s="21" t="n">
        <v>0.0519523489932886</v>
      </c>
      <c r="V545" s="22" t="n">
        <v>3.934</v>
      </c>
      <c r="W545" s="17" t="n">
        <v>93</v>
      </c>
      <c r="X545" s="17" t="n">
        <v>45</v>
      </c>
      <c r="Y545" s="20" t="n">
        <v>95106.64</v>
      </c>
      <c r="Z545" s="21" t="n">
        <v>0.0822</v>
      </c>
      <c r="AA545" s="16" t="n">
        <v>45927</v>
      </c>
      <c r="AB545" s="5">
        <f>IF(V545="","",IF(V545&lt;12,"Months","Weeks"))</f>
        <v/>
      </c>
      <c r="AC545" s="5">
        <f>IF(AB545="","",IF(AB545="Months","Daily","Weekly"))</f>
        <v/>
      </c>
      <c r="AD545" s="17">
        <f>IF(V545="","",IF(AC545="Daily",V545*Controls!$B$13,V545))</f>
        <v/>
      </c>
      <c r="AE545" s="17">
        <f>IF(V545="","",IF(AC545="Daily",V545*Controls!$B$13,V545*Controls!$B$12))</f>
        <v/>
      </c>
      <c r="AF545" s="17">
        <f>IF(OR(E545="",F545=""),"",F545-E545)</f>
        <v/>
      </c>
      <c r="AG545" s="17">
        <f>IF(OR(E545="",F545=""),"",NETWORKDAYS(E545,F545,Ref!$F$4:$F$47))</f>
        <v/>
      </c>
      <c r="AH545" s="39">
        <f>IF(IFERROR(VLOOKUP(D545,Controls!$A$25:$D$35,2,FALSE()),"No")="Yes",1,0)</f>
        <v/>
      </c>
      <c r="AI545" s="39">
        <f>IF(IFERROR(VLOOKUP(D545,Controls!$A$25:$D$35,3,FALSE()),"No")="Yes",1,0)</f>
        <v/>
      </c>
      <c r="AJ545" s="39">
        <f>IF(IFERROR(VLOOKUP(D545,Controls!$A$25:$D$35,4,FALSE()),"No")="Yes",1,0)</f>
        <v/>
      </c>
      <c r="AK545" s="96">
        <f>IF(AND($E545&gt;=Controls!$B$5,$E545&lt;=Controls!$B$6,OR(Controls!$E$9&lt;&gt;"Y",$BE545=1)),1,0)</f>
        <v/>
      </c>
      <c r="AL545" s="39">
        <f>1</f>
        <v/>
      </c>
      <c r="AM545" s="20">
        <f>S545-P545</f>
        <v/>
      </c>
      <c r="AN545" s="20">
        <f>IF(AH545=1,MAX(0,P545-S545),0)</f>
        <v/>
      </c>
      <c r="AO545" s="21">
        <f>IFERROR(S545/P545,"")</f>
        <v/>
      </c>
      <c r="AP545" s="22">
        <f>IF(Y545="","",P545/Y545)</f>
        <v/>
      </c>
      <c r="AQ545" s="39">
        <f>IF(Y545="",0,1)</f>
        <v/>
      </c>
      <c r="AR545" s="39">
        <f>IF(S545&lt;=0,1,0)</f>
        <v/>
      </c>
      <c r="AS545" s="17">
        <f>IF(AH545=1,AG545,"")</f>
        <v/>
      </c>
      <c r="AT545" s="17">
        <f>IF(AND(AH545=0,AJ545=1),AG545,"")</f>
        <v/>
      </c>
      <c r="AU545" s="5">
        <f>IF(P545&lt;10000,"Under $10K",IF(P545&lt;20000,"$10-20K",IF(P545&lt;30000,"$20-30K",IF(P545&lt;50000,"$30-50K",IF(P545&lt;100000,"$50-100K","$100K+")))))</f>
        <v/>
      </c>
      <c r="AV545" s="5">
        <f>IF(O545&lt;=1.35,"1.35 and under",IF(O545&lt;=1.42,"1.36-1.42",IF(O545&lt;=1.45,"1.43-1.45",IF(O545&lt;1.49,"1.46-1.48",IF(O545&lt;=1.49,"1.49","Above 1.49")))))</f>
        <v/>
      </c>
      <c r="AW545" s="5">
        <f>IF(AE545="","",IF(AE545&lt;60,"Under 60",IF(AE545&lt;90,"60-89",IF(AE545&lt;120,"90-119",IF(AE545&lt;150,"120-149","150+")))))</f>
        <v/>
      </c>
      <c r="AX545" s="5">
        <f>IF(AP545="","No revenue data",IF(AP545&lt;0.15,"Under 0.15x",IF(AP545&lt;0.3,"0.15-0.30x",IF(AP545&lt;0.5,"0.30-0.50x",IF(AP545&lt;1,"0.50-1.00x","1.00x+")))))</f>
        <v/>
      </c>
      <c r="AY545" s="5">
        <f>IF(J545="","No SIC",IFERROR(VLOOKUP(J545,Ref!$A$4:$C$67,2,FALSE()),"Unclassified"))</f>
        <v/>
      </c>
      <c r="AZ545" s="5">
        <f>IF(E545="","",TEXT(E545,"YYYY")&amp;"-Q"&amp;ROUNDUP(MONTH(E545)/3,0))</f>
        <v/>
      </c>
      <c r="BA545" s="5">
        <f>IF(E545="","",TEXT(E545,"YYYY-MM"))</f>
        <v/>
      </c>
      <c r="BB545" s="5">
        <f>IF(E545="","",TEXT(E545,"YYYY"))</f>
        <v/>
      </c>
      <c r="BC545" s="92">
        <f>IF($E545="","",NETWORKDAYS($E545,Controls!$B$9,Ref!$F$4:$F$47))</f>
        <v/>
      </c>
      <c r="BD545" s="92">
        <f>IF(OR($AH545=1,$AJ545=1),1,0)</f>
        <v/>
      </c>
      <c r="BE545" s="95">
        <f>IF(OR($BD545=1,AND($AE545&lt;&gt;"",$BC545&gt;=Controls!$B$10*$AE545)),1,0)</f>
        <v/>
      </c>
    </row>
    <row r="546" ht="15.75" customHeight="1" s="79">
      <c r="A546" s="5" t="inlineStr">
        <is>
          <t>5674176709</t>
        </is>
      </c>
      <c r="B546" s="5" t="inlineStr">
        <is>
          <t>REP Provisions</t>
        </is>
      </c>
      <c r="C546" s="5" t="inlineStr">
        <is>
          <t>REP Provisions LLC</t>
        </is>
      </c>
      <c r="D546" s="5" t="inlineStr">
        <is>
          <t>Closed</t>
        </is>
      </c>
      <c r="E546" s="16" t="n">
        <v>46038</v>
      </c>
      <c r="F546" s="16" t="n">
        <v>46241</v>
      </c>
      <c r="G546" s="17" t="n">
        <v>3</v>
      </c>
      <c r="H546" s="5" t="inlineStr">
        <is>
          <t>5147</t>
        </is>
      </c>
      <c r="I546" s="5" t="inlineStr">
        <is>
          <t>Meat and Meat Product Merchant Wholesalers</t>
        </is>
      </c>
      <c r="J546" s="5" t="inlineStr">
        <is>
          <t>51</t>
        </is>
      </c>
      <c r="K546" s="5" t="n">
        <v>5422</v>
      </c>
      <c r="L546" s="5" t="inlineStr">
        <is>
          <t>OK</t>
        </is>
      </c>
      <c r="M546" s="5" t="inlineStr">
        <is>
          <t>Fundwell</t>
        </is>
      </c>
      <c r="N546" s="5" t="inlineStr">
        <is>
          <t>New Deal</t>
        </is>
      </c>
      <c r="O546" s="19" t="n">
        <v>1.38</v>
      </c>
      <c r="P546" s="20" t="n">
        <v>175000</v>
      </c>
      <c r="Q546" s="20" t="n">
        <v>19250</v>
      </c>
      <c r="R546" s="20" t="n">
        <v>241500</v>
      </c>
      <c r="S546" s="20" t="n">
        <v>241500</v>
      </c>
      <c r="T546" s="20" t="n">
        <v>-2.91038304567337e-11</v>
      </c>
      <c r="U546" s="21" t="n">
        <v>1</v>
      </c>
      <c r="V546" s="22" t="n">
        <v>40</v>
      </c>
      <c r="W546" s="17" t="n">
        <v>12</v>
      </c>
      <c r="X546" s="17" t="n">
        <v>0</v>
      </c>
      <c r="Y546" s="20" t="n">
        <v>425126.47</v>
      </c>
      <c r="Z546" s="21" t="n">
        <v>0.0568</v>
      </c>
      <c r="AA546" s="16" t="n">
        <v>43159</v>
      </c>
      <c r="AB546" s="5">
        <f>IF(V546="","",IF(V546&lt;12,"Months","Weeks"))</f>
        <v/>
      </c>
      <c r="AC546" s="5">
        <f>IF(AB546="","",IF(AB546="Months","Daily","Weekly"))</f>
        <v/>
      </c>
      <c r="AD546" s="17">
        <f>IF(V546="","",IF(AC546="Daily",V546*Controls!$B$13,V546))</f>
        <v/>
      </c>
      <c r="AE546" s="17">
        <f>IF(V546="","",IF(AC546="Daily",V546*Controls!$B$13,V546*Controls!$B$12))</f>
        <v/>
      </c>
      <c r="AF546" s="17">
        <f>IF(OR(E546="",F546=""),"",F546-E546)</f>
        <v/>
      </c>
      <c r="AG546" s="17">
        <f>IF(OR(E546="",F546=""),"",NETWORKDAYS(E546,F546,Ref!$F$4:$F$47))</f>
        <v/>
      </c>
      <c r="AH546" s="39">
        <f>IF(IFERROR(VLOOKUP(D546,Controls!$A$25:$D$35,2,FALSE()),"No")="Yes",1,0)</f>
        <v/>
      </c>
      <c r="AI546" s="39">
        <f>IF(IFERROR(VLOOKUP(D546,Controls!$A$25:$D$35,3,FALSE()),"No")="Yes",1,0)</f>
        <v/>
      </c>
      <c r="AJ546" s="39">
        <f>IF(IFERROR(VLOOKUP(D546,Controls!$A$25:$D$35,4,FALSE()),"No")="Yes",1,0)</f>
        <v/>
      </c>
      <c r="AK546" s="96">
        <f>IF(AND($E546&gt;=Controls!$B$5,$E546&lt;=Controls!$B$6,OR(Controls!$E$9&lt;&gt;"Y",$BE546=1)),1,0)</f>
        <v/>
      </c>
      <c r="AL546" s="39">
        <f>1</f>
        <v/>
      </c>
      <c r="AM546" s="20">
        <f>S546-P546</f>
        <v/>
      </c>
      <c r="AN546" s="20">
        <f>IF(AH546=1,MAX(0,P546-S546),0)</f>
        <v/>
      </c>
      <c r="AO546" s="21">
        <f>IFERROR(S546/P546,"")</f>
        <v/>
      </c>
      <c r="AP546" s="22">
        <f>IF(Y546="","",P546/Y546)</f>
        <v/>
      </c>
      <c r="AQ546" s="39">
        <f>IF(Y546="",0,1)</f>
        <v/>
      </c>
      <c r="AR546" s="39">
        <f>IF(S546&lt;=0,1,0)</f>
        <v/>
      </c>
      <c r="AS546" s="17">
        <f>IF(AH546=1,AG546,"")</f>
        <v/>
      </c>
      <c r="AT546" s="17">
        <f>IF(AND(AH546=0,AJ546=1),AG546,"")</f>
        <v/>
      </c>
      <c r="AU546" s="5">
        <f>IF(P546&lt;10000,"Under $10K",IF(P546&lt;20000,"$10-20K",IF(P546&lt;30000,"$20-30K",IF(P546&lt;50000,"$30-50K",IF(P546&lt;100000,"$50-100K","$100K+")))))</f>
        <v/>
      </c>
      <c r="AV546" s="5">
        <f>IF(O546&lt;=1.35,"1.35 and under",IF(O546&lt;=1.42,"1.36-1.42",IF(O546&lt;=1.45,"1.43-1.45",IF(O546&lt;1.49,"1.46-1.48",IF(O546&lt;=1.49,"1.49","Above 1.49")))))</f>
        <v/>
      </c>
      <c r="AW546" s="5">
        <f>IF(AE546="","",IF(AE546&lt;60,"Under 60",IF(AE546&lt;90,"60-89",IF(AE546&lt;120,"90-119",IF(AE546&lt;150,"120-149","150+")))))</f>
        <v/>
      </c>
      <c r="AX546" s="5">
        <f>IF(AP546="","No revenue data",IF(AP546&lt;0.15,"Under 0.15x",IF(AP546&lt;0.3,"0.15-0.30x",IF(AP546&lt;0.5,"0.30-0.50x",IF(AP546&lt;1,"0.50-1.00x","1.00x+")))))</f>
        <v/>
      </c>
      <c r="AY546" s="5">
        <f>IF(J546="","No SIC",IFERROR(VLOOKUP(J546,Ref!$A$4:$C$67,2,FALSE()),"Unclassified"))</f>
        <v/>
      </c>
      <c r="AZ546" s="5">
        <f>IF(E546="","",TEXT(E546,"YYYY")&amp;"-Q"&amp;ROUNDUP(MONTH(E546)/3,0))</f>
        <v/>
      </c>
      <c r="BA546" s="5">
        <f>IF(E546="","",TEXT(E546,"YYYY-MM"))</f>
        <v/>
      </c>
      <c r="BB546" s="5">
        <f>IF(E546="","",TEXT(E546,"YYYY"))</f>
        <v/>
      </c>
      <c r="BC546" s="92">
        <f>IF($E546="","",NETWORKDAYS($E546,Controls!$B$9,Ref!$F$4:$F$47))</f>
        <v/>
      </c>
      <c r="BD546" s="92">
        <f>IF(OR($AH546=1,$AJ546=1),1,0)</f>
        <v/>
      </c>
      <c r="BE546" s="95">
        <f>IF(OR($BD546=1,AND($AE546&lt;&gt;"",$BC546&gt;=Controls!$B$10*$AE546)),1,0)</f>
        <v/>
      </c>
    </row>
    <row r="547" ht="15.75" customHeight="1" s="79">
      <c r="A547" s="5" t="inlineStr">
        <is>
          <t>5674176711</t>
        </is>
      </c>
      <c r="B547" s="5" t="inlineStr">
        <is>
          <t>Performance DSD, LLC</t>
        </is>
      </c>
      <c r="C547" s="5" t="inlineStr">
        <is>
          <t>Performance DSD, LLC</t>
        </is>
      </c>
      <c r="D547" s="5" t="inlineStr">
        <is>
          <t>Open</t>
        </is>
      </c>
      <c r="E547" s="16" t="n">
        <v>46038</v>
      </c>
      <c r="F547" s="16" t="n">
        <v>46248</v>
      </c>
      <c r="G547" s="17" t="n">
        <v>1</v>
      </c>
      <c r="H547" s="5" t="inlineStr">
        <is>
          <t>4212</t>
        </is>
      </c>
      <c r="I547" s="5" t="inlineStr">
        <is>
          <t>General Freight Trucking, Local</t>
        </is>
      </c>
      <c r="J547" s="5" t="inlineStr">
        <is>
          <t>42</t>
        </is>
      </c>
      <c r="K547" s="5" t="n">
        <v>4214</v>
      </c>
      <c r="L547" s="5" t="inlineStr">
        <is>
          <t>GA</t>
        </is>
      </c>
      <c r="M547" s="5" t="inlineStr">
        <is>
          <t>Fundwell</t>
        </is>
      </c>
      <c r="N547" s="5" t="inlineStr">
        <is>
          <t>New Deal</t>
        </is>
      </c>
      <c r="O547" s="19" t="n">
        <v>1.39</v>
      </c>
      <c r="P547" s="20" t="n">
        <v>75000</v>
      </c>
      <c r="Q547" s="20" t="n">
        <v>9375</v>
      </c>
      <c r="R547" s="20" t="n">
        <v>104250</v>
      </c>
      <c r="S547" s="20" t="n">
        <v>65148</v>
      </c>
      <c r="T547" s="20" t="n">
        <v>39102</v>
      </c>
      <c r="U547" s="21" t="n">
        <v>0.624920863309353</v>
      </c>
      <c r="V547" s="22" t="n">
        <v>48</v>
      </c>
      <c r="W547" s="17" t="n">
        <v>5</v>
      </c>
      <c r="X547" s="17" t="n">
        <v>0</v>
      </c>
      <c r="Y547" s="20" t="n">
        <v>129454.36</v>
      </c>
      <c r="Z547" s="21" t="n">
        <v>0.06710000000000001</v>
      </c>
      <c r="AA547" s="16" t="n">
        <v>42803</v>
      </c>
      <c r="AB547" s="5">
        <f>IF(V547="","",IF(V547&lt;12,"Months","Weeks"))</f>
        <v/>
      </c>
      <c r="AC547" s="5">
        <f>IF(AB547="","",IF(AB547="Months","Daily","Weekly"))</f>
        <v/>
      </c>
      <c r="AD547" s="17">
        <f>IF(V547="","",IF(AC547="Daily",V547*Controls!$B$13,V547))</f>
        <v/>
      </c>
      <c r="AE547" s="17">
        <f>IF(V547="","",IF(AC547="Daily",V547*Controls!$B$13,V547*Controls!$B$12))</f>
        <v/>
      </c>
      <c r="AF547" s="17">
        <f>IF(OR(E547="",F547=""),"",F547-E547)</f>
        <v/>
      </c>
      <c r="AG547" s="17">
        <f>IF(OR(E547="",F547=""),"",NETWORKDAYS(E547,F547,Ref!$F$4:$F$47))</f>
        <v/>
      </c>
      <c r="AH547" s="39">
        <f>IF(IFERROR(VLOOKUP(D547,Controls!$A$25:$D$35,2,FALSE()),"No")="Yes",1,0)</f>
        <v/>
      </c>
      <c r="AI547" s="39">
        <f>IF(IFERROR(VLOOKUP(D547,Controls!$A$25:$D$35,3,FALSE()),"No")="Yes",1,0)</f>
        <v/>
      </c>
      <c r="AJ547" s="39">
        <f>IF(IFERROR(VLOOKUP(D547,Controls!$A$25:$D$35,4,FALSE()),"No")="Yes",1,0)</f>
        <v/>
      </c>
      <c r="AK547" s="96">
        <f>IF(AND($E547&gt;=Controls!$B$5,$E547&lt;=Controls!$B$6,OR(Controls!$E$9&lt;&gt;"Y",$BE547=1)),1,0)</f>
        <v/>
      </c>
      <c r="AL547" s="39">
        <f>1</f>
        <v/>
      </c>
      <c r="AM547" s="20">
        <f>S547-P547</f>
        <v/>
      </c>
      <c r="AN547" s="20">
        <f>IF(AH547=1,MAX(0,P547-S547),0)</f>
        <v/>
      </c>
      <c r="AO547" s="21">
        <f>IFERROR(S547/P547,"")</f>
        <v/>
      </c>
      <c r="AP547" s="22">
        <f>IF(Y547="","",P547/Y547)</f>
        <v/>
      </c>
      <c r="AQ547" s="39">
        <f>IF(Y547="",0,1)</f>
        <v/>
      </c>
      <c r="AR547" s="39">
        <f>IF(S547&lt;=0,1,0)</f>
        <v/>
      </c>
      <c r="AS547" s="17">
        <f>IF(AH547=1,AG547,"")</f>
        <v/>
      </c>
      <c r="AT547" s="17">
        <f>IF(AND(AH547=0,AJ547=1),AG547,"")</f>
        <v/>
      </c>
      <c r="AU547" s="5">
        <f>IF(P547&lt;10000,"Under $10K",IF(P547&lt;20000,"$10-20K",IF(P547&lt;30000,"$20-30K",IF(P547&lt;50000,"$30-50K",IF(P547&lt;100000,"$50-100K","$100K+")))))</f>
        <v/>
      </c>
      <c r="AV547" s="5">
        <f>IF(O547&lt;=1.35,"1.35 and under",IF(O547&lt;=1.42,"1.36-1.42",IF(O547&lt;=1.45,"1.43-1.45",IF(O547&lt;1.49,"1.46-1.48",IF(O547&lt;=1.49,"1.49","Above 1.49")))))</f>
        <v/>
      </c>
      <c r="AW547" s="5">
        <f>IF(AE547="","",IF(AE547&lt;60,"Under 60",IF(AE547&lt;90,"60-89",IF(AE547&lt;120,"90-119",IF(AE547&lt;150,"120-149","150+")))))</f>
        <v/>
      </c>
      <c r="AX547" s="5">
        <f>IF(AP547="","No revenue data",IF(AP547&lt;0.15,"Under 0.15x",IF(AP547&lt;0.3,"0.15-0.30x",IF(AP547&lt;0.5,"0.30-0.50x",IF(AP547&lt;1,"0.50-1.00x","1.00x+")))))</f>
        <v/>
      </c>
      <c r="AY547" s="5">
        <f>IF(J547="","No SIC",IFERROR(VLOOKUP(J547,Ref!$A$4:$C$67,2,FALSE()),"Unclassified"))</f>
        <v/>
      </c>
      <c r="AZ547" s="5">
        <f>IF(E547="","",TEXT(E547,"YYYY")&amp;"-Q"&amp;ROUNDUP(MONTH(E547)/3,0))</f>
        <v/>
      </c>
      <c r="BA547" s="5">
        <f>IF(E547="","",TEXT(E547,"YYYY-MM"))</f>
        <v/>
      </c>
      <c r="BB547" s="5">
        <f>IF(E547="","",TEXT(E547,"YYYY"))</f>
        <v/>
      </c>
      <c r="BC547" s="92">
        <f>IF($E547="","",NETWORKDAYS($E547,Controls!$B$9,Ref!$F$4:$F$47))</f>
        <v/>
      </c>
      <c r="BD547" s="92">
        <f>IF(OR($AH547=1,$AJ547=1),1,0)</f>
        <v/>
      </c>
      <c r="BE547" s="95">
        <f>IF(OR($BD547=1,AND($AE547&lt;&gt;"",$BC547&gt;=Controls!$B$10*$AE547)),1,0)</f>
        <v/>
      </c>
    </row>
    <row r="548" ht="15.75" customHeight="1" s="79">
      <c r="A548" s="5" t="inlineStr">
        <is>
          <t>5674176795</t>
        </is>
      </c>
      <c r="B548" s="5" t="inlineStr">
        <is>
          <t>Stampmill Inn</t>
        </is>
      </c>
      <c r="C548" s="5" t="inlineStr">
        <is>
          <t>Renaissance Concepts Llc</t>
        </is>
      </c>
      <c r="D548" s="5" t="inlineStr">
        <is>
          <t>Closed</t>
        </is>
      </c>
      <c r="E548" s="16" t="n">
        <v>46042</v>
      </c>
      <c r="F548" s="16" t="n">
        <v>46114</v>
      </c>
      <c r="G548" s="17" t="n">
        <v>2</v>
      </c>
      <c r="H548" s="5" t="inlineStr">
        <is>
          <t>7011</t>
        </is>
      </c>
      <c r="I548" s="5" t="inlineStr">
        <is>
          <t>Hotels (Except Casino Hotels) and Motels</t>
        </is>
      </c>
      <c r="J548" s="5" t="inlineStr">
        <is>
          <t>70</t>
        </is>
      </c>
      <c r="K548" s="5" t="n">
        <v>7011</v>
      </c>
      <c r="L548" s="5" t="inlineStr">
        <is>
          <t>SD</t>
        </is>
      </c>
      <c r="M548" s="5" t="inlineStr">
        <is>
          <t>Ballicci</t>
        </is>
      </c>
      <c r="N548" s="5" t="inlineStr">
        <is>
          <t>New Deal</t>
        </is>
      </c>
      <c r="O548" s="19" t="n">
        <v>1.49</v>
      </c>
      <c r="P548" s="20" t="n">
        <v>25000</v>
      </c>
      <c r="Q548" s="20" t="n">
        <v>3500</v>
      </c>
      <c r="R548" s="20" t="n">
        <v>37250</v>
      </c>
      <c r="S548" s="20" t="n">
        <v>37250</v>
      </c>
      <c r="T548" s="20" t="n">
        <v>0</v>
      </c>
      <c r="U548" s="21" t="n">
        <v>1</v>
      </c>
      <c r="V548" s="22" t="n">
        <v>2.951</v>
      </c>
      <c r="W548" s="17" t="n">
        <v>140</v>
      </c>
      <c r="X548" s="17" t="n">
        <v>1</v>
      </c>
      <c r="Y548" s="20" t="n">
        <v>28006.87</v>
      </c>
      <c r="Z548" s="21" t="n">
        <v>0.3103</v>
      </c>
      <c r="AA548" s="5" t="n"/>
      <c r="AB548" s="5">
        <f>IF(V548="","",IF(V548&lt;12,"Months","Weeks"))</f>
        <v/>
      </c>
      <c r="AC548" s="5">
        <f>IF(AB548="","",IF(AB548="Months","Daily","Weekly"))</f>
        <v/>
      </c>
      <c r="AD548" s="17">
        <f>IF(V548="","",IF(AC548="Daily",V548*Controls!$B$13,V548))</f>
        <v/>
      </c>
      <c r="AE548" s="17">
        <f>IF(V548="","",IF(AC548="Daily",V548*Controls!$B$13,V548*Controls!$B$12))</f>
        <v/>
      </c>
      <c r="AF548" s="17">
        <f>IF(OR(E548="",F548=""),"",F548-E548)</f>
        <v/>
      </c>
      <c r="AG548" s="17">
        <f>IF(OR(E548="",F548=""),"",NETWORKDAYS(E548,F548,Ref!$F$4:$F$47))</f>
        <v/>
      </c>
      <c r="AH548" s="39">
        <f>IF(IFERROR(VLOOKUP(D548,Controls!$A$25:$D$35,2,FALSE()),"No")="Yes",1,0)</f>
        <v/>
      </c>
      <c r="AI548" s="39">
        <f>IF(IFERROR(VLOOKUP(D548,Controls!$A$25:$D$35,3,FALSE()),"No")="Yes",1,0)</f>
        <v/>
      </c>
      <c r="AJ548" s="39">
        <f>IF(IFERROR(VLOOKUP(D548,Controls!$A$25:$D$35,4,FALSE()),"No")="Yes",1,0)</f>
        <v/>
      </c>
      <c r="AK548" s="96">
        <f>IF(AND($E548&gt;=Controls!$B$5,$E548&lt;=Controls!$B$6,OR(Controls!$E$9&lt;&gt;"Y",$BE548=1)),1,0)</f>
        <v/>
      </c>
      <c r="AL548" s="39">
        <f>1</f>
        <v/>
      </c>
      <c r="AM548" s="20">
        <f>S548-P548</f>
        <v/>
      </c>
      <c r="AN548" s="20">
        <f>IF(AH548=1,MAX(0,P548-S548),0)</f>
        <v/>
      </c>
      <c r="AO548" s="21">
        <f>IFERROR(S548/P548,"")</f>
        <v/>
      </c>
      <c r="AP548" s="22">
        <f>IF(Y548="","",P548/Y548)</f>
        <v/>
      </c>
      <c r="AQ548" s="39">
        <f>IF(Y548="",0,1)</f>
        <v/>
      </c>
      <c r="AR548" s="39">
        <f>IF(S548&lt;=0,1,0)</f>
        <v/>
      </c>
      <c r="AS548" s="17">
        <f>IF(AH548=1,AG548,"")</f>
        <v/>
      </c>
      <c r="AT548" s="17">
        <f>IF(AND(AH548=0,AJ548=1),AG548,"")</f>
        <v/>
      </c>
      <c r="AU548" s="5">
        <f>IF(P548&lt;10000,"Under $10K",IF(P548&lt;20000,"$10-20K",IF(P548&lt;30000,"$20-30K",IF(P548&lt;50000,"$30-50K",IF(P548&lt;100000,"$50-100K","$100K+")))))</f>
        <v/>
      </c>
      <c r="AV548" s="5">
        <f>IF(O548&lt;=1.35,"1.35 and under",IF(O548&lt;=1.42,"1.36-1.42",IF(O548&lt;=1.45,"1.43-1.45",IF(O548&lt;1.49,"1.46-1.48",IF(O548&lt;=1.49,"1.49","Above 1.49")))))</f>
        <v/>
      </c>
      <c r="AW548" s="5">
        <f>IF(AE548="","",IF(AE548&lt;60,"Under 60",IF(AE548&lt;90,"60-89",IF(AE548&lt;120,"90-119",IF(AE548&lt;150,"120-149","150+")))))</f>
        <v/>
      </c>
      <c r="AX548" s="5">
        <f>IF(AP548="","No revenue data",IF(AP548&lt;0.15,"Under 0.15x",IF(AP548&lt;0.3,"0.15-0.30x",IF(AP548&lt;0.5,"0.30-0.50x",IF(AP548&lt;1,"0.50-1.00x","1.00x+")))))</f>
        <v/>
      </c>
      <c r="AY548" s="5">
        <f>IF(J548="","No SIC",IFERROR(VLOOKUP(J548,Ref!$A$4:$C$67,2,FALSE()),"Unclassified"))</f>
        <v/>
      </c>
      <c r="AZ548" s="5">
        <f>IF(E548="","",TEXT(E548,"YYYY")&amp;"-Q"&amp;ROUNDUP(MONTH(E548)/3,0))</f>
        <v/>
      </c>
      <c r="BA548" s="5">
        <f>IF(E548="","",TEXT(E548,"YYYY-MM"))</f>
        <v/>
      </c>
      <c r="BB548" s="5">
        <f>IF(E548="","",TEXT(E548,"YYYY"))</f>
        <v/>
      </c>
      <c r="BC548" s="92">
        <f>IF($E548="","",NETWORKDAYS($E548,Controls!$B$9,Ref!$F$4:$F$47))</f>
        <v/>
      </c>
      <c r="BD548" s="92">
        <f>IF(OR($AH548=1,$AJ548=1),1,0)</f>
        <v/>
      </c>
      <c r="BE548" s="95">
        <f>IF(OR($BD548=1,AND($AE548&lt;&gt;"",$BC548&gt;=Controls!$B$10*$AE548)),1,0)</f>
        <v/>
      </c>
    </row>
    <row r="549" ht="15.75" customHeight="1" s="79">
      <c r="A549" s="5" t="inlineStr">
        <is>
          <t>5674176799</t>
        </is>
      </c>
      <c r="B549" s="5" t="inlineStr">
        <is>
          <t>ONELLA HOME CARE LLC</t>
        </is>
      </c>
      <c r="C549" s="5" t="inlineStr">
        <is>
          <t>ONELLA HOME CARE LLC</t>
        </is>
      </c>
      <c r="D549" s="5" t="inlineStr">
        <is>
          <t>Legal</t>
        </is>
      </c>
      <c r="E549" s="16" t="n">
        <v>46042</v>
      </c>
      <c r="F549" s="16" t="n">
        <v>46091</v>
      </c>
      <c r="G549" s="17" t="n">
        <v>1</v>
      </c>
      <c r="H549" s="5" t="inlineStr">
        <is>
          <t>8082</t>
        </is>
      </c>
      <c r="I549" s="5" t="inlineStr">
        <is>
          <t>Home Health Care Services</t>
        </is>
      </c>
      <c r="J549" s="5" t="inlineStr">
        <is>
          <t>80</t>
        </is>
      </c>
      <c r="K549" s="5" t="n">
        <v>8050</v>
      </c>
      <c r="L549" s="5" t="inlineStr">
        <is>
          <t>TX</t>
        </is>
      </c>
      <c r="M549" s="5" t="inlineStr">
        <is>
          <t>United Secured Capital 8</t>
        </is>
      </c>
      <c r="N549" s="5" t="inlineStr">
        <is>
          <t>New Deal</t>
        </is>
      </c>
      <c r="O549" s="19" t="n">
        <v>1.49</v>
      </c>
      <c r="P549" s="20" t="n">
        <v>10000</v>
      </c>
      <c r="Q549" s="20" t="n">
        <v>1400</v>
      </c>
      <c r="R549" s="20" t="n">
        <v>14900</v>
      </c>
      <c r="S549" s="20" t="n">
        <v>3806.96</v>
      </c>
      <c r="T549" s="20" t="n">
        <v>11093.04</v>
      </c>
      <c r="U549" s="21" t="n">
        <v>0.25550067114094</v>
      </c>
      <c r="V549" s="22" t="n">
        <v>2.951</v>
      </c>
      <c r="W549" s="17" t="n">
        <v>174</v>
      </c>
      <c r="X549" s="17" t="n">
        <v>12</v>
      </c>
      <c r="Y549" s="20" t="n">
        <v>19571.08</v>
      </c>
      <c r="Z549" s="21" t="n">
        <v>0.1776</v>
      </c>
      <c r="AA549" s="5" t="n"/>
      <c r="AB549" s="5">
        <f>IF(V549="","",IF(V549&lt;12,"Months","Weeks"))</f>
        <v/>
      </c>
      <c r="AC549" s="5">
        <f>IF(AB549="","",IF(AB549="Months","Daily","Weekly"))</f>
        <v/>
      </c>
      <c r="AD549" s="17">
        <f>IF(V549="","",IF(AC549="Daily",V549*Controls!$B$13,V549))</f>
        <v/>
      </c>
      <c r="AE549" s="17">
        <f>IF(V549="","",IF(AC549="Daily",V549*Controls!$B$13,V549*Controls!$B$12))</f>
        <v/>
      </c>
      <c r="AF549" s="17">
        <f>IF(OR(E549="",F549=""),"",F549-E549)</f>
        <v/>
      </c>
      <c r="AG549" s="17">
        <f>IF(OR(E549="",F549=""),"",NETWORKDAYS(E549,F549,Ref!$F$4:$F$47))</f>
        <v/>
      </c>
      <c r="AH549" s="39">
        <f>IF(IFERROR(VLOOKUP(D549,Controls!$A$25:$D$35,2,FALSE()),"No")="Yes",1,0)</f>
        <v/>
      </c>
      <c r="AI549" s="39">
        <f>IF(IFERROR(VLOOKUP(D549,Controls!$A$25:$D$35,3,FALSE()),"No")="Yes",1,0)</f>
        <v/>
      </c>
      <c r="AJ549" s="39">
        <f>IF(IFERROR(VLOOKUP(D549,Controls!$A$25:$D$35,4,FALSE()),"No")="Yes",1,0)</f>
        <v/>
      </c>
      <c r="AK549" s="96">
        <f>IF(AND($E549&gt;=Controls!$B$5,$E549&lt;=Controls!$B$6,OR(Controls!$E$9&lt;&gt;"Y",$BE549=1)),1,0)</f>
        <v/>
      </c>
      <c r="AL549" s="39">
        <f>1</f>
        <v/>
      </c>
      <c r="AM549" s="20">
        <f>S549-P549</f>
        <v/>
      </c>
      <c r="AN549" s="20">
        <f>IF(AH549=1,MAX(0,P549-S549),0)</f>
        <v/>
      </c>
      <c r="AO549" s="21">
        <f>IFERROR(S549/P549,"")</f>
        <v/>
      </c>
      <c r="AP549" s="22">
        <f>IF(Y549="","",P549/Y549)</f>
        <v/>
      </c>
      <c r="AQ549" s="39">
        <f>IF(Y549="",0,1)</f>
        <v/>
      </c>
      <c r="AR549" s="39">
        <f>IF(S549&lt;=0,1,0)</f>
        <v/>
      </c>
      <c r="AS549" s="17">
        <f>IF(AH549=1,AG549,"")</f>
        <v/>
      </c>
      <c r="AT549" s="17">
        <f>IF(AND(AH549=0,AJ549=1),AG549,"")</f>
        <v/>
      </c>
      <c r="AU549" s="5">
        <f>IF(P549&lt;10000,"Under $10K",IF(P549&lt;20000,"$10-20K",IF(P549&lt;30000,"$20-30K",IF(P549&lt;50000,"$30-50K",IF(P549&lt;100000,"$50-100K","$100K+")))))</f>
        <v/>
      </c>
      <c r="AV549" s="5">
        <f>IF(O549&lt;=1.35,"1.35 and under",IF(O549&lt;=1.42,"1.36-1.42",IF(O549&lt;=1.45,"1.43-1.45",IF(O549&lt;1.49,"1.46-1.48",IF(O549&lt;=1.49,"1.49","Above 1.49")))))</f>
        <v/>
      </c>
      <c r="AW549" s="5">
        <f>IF(AE549="","",IF(AE549&lt;60,"Under 60",IF(AE549&lt;90,"60-89",IF(AE549&lt;120,"90-119",IF(AE549&lt;150,"120-149","150+")))))</f>
        <v/>
      </c>
      <c r="AX549" s="5">
        <f>IF(AP549="","No revenue data",IF(AP549&lt;0.15,"Under 0.15x",IF(AP549&lt;0.3,"0.15-0.30x",IF(AP549&lt;0.5,"0.30-0.50x",IF(AP549&lt;1,"0.50-1.00x","1.00x+")))))</f>
        <v/>
      </c>
      <c r="AY549" s="5">
        <f>IF(J549="","No SIC",IFERROR(VLOOKUP(J549,Ref!$A$4:$C$67,2,FALSE()),"Unclassified"))</f>
        <v/>
      </c>
      <c r="AZ549" s="5">
        <f>IF(E549="","",TEXT(E549,"YYYY")&amp;"-Q"&amp;ROUNDUP(MONTH(E549)/3,0))</f>
        <v/>
      </c>
      <c r="BA549" s="5">
        <f>IF(E549="","",TEXT(E549,"YYYY-MM"))</f>
        <v/>
      </c>
      <c r="BB549" s="5">
        <f>IF(E549="","",TEXT(E549,"YYYY"))</f>
        <v/>
      </c>
      <c r="BC549" s="92">
        <f>IF($E549="","",NETWORKDAYS($E549,Controls!$B$9,Ref!$F$4:$F$47))</f>
        <v/>
      </c>
      <c r="BD549" s="92">
        <f>IF(OR($AH549=1,$AJ549=1),1,0)</f>
        <v/>
      </c>
      <c r="BE549" s="95">
        <f>IF(OR($BD549=1,AND($AE549&lt;&gt;"",$BC549&gt;=Controls!$B$10*$AE549)),1,0)</f>
        <v/>
      </c>
    </row>
    <row r="550" ht="15.75" customHeight="1" s="79">
      <c r="A550" s="5" t="inlineStr">
        <is>
          <t>5674176820</t>
        </is>
      </c>
      <c r="B550" s="5" t="inlineStr">
        <is>
          <t>Starter Cars</t>
        </is>
      </c>
      <c r="C550" s="5" t="inlineStr">
        <is>
          <t>SCOTT R DEGOL</t>
        </is>
      </c>
      <c r="D550" s="5" t="inlineStr">
        <is>
          <t>Open</t>
        </is>
      </c>
      <c r="E550" s="16" t="n">
        <v>46042</v>
      </c>
      <c r="F550" s="16" t="n">
        <v>46247</v>
      </c>
      <c r="G550" s="17" t="n">
        <v>1</v>
      </c>
      <c r="H550" s="5" t="inlineStr">
        <is>
          <t>5511</t>
        </is>
      </c>
      <c r="I550" s="5" t="inlineStr">
        <is>
          <t>New Car Dealers</t>
        </is>
      </c>
      <c r="J550" s="5" t="inlineStr">
        <is>
          <t>55</t>
        </is>
      </c>
      <c r="K550" s="5" t="n">
        <v>5511</v>
      </c>
      <c r="L550" s="5" t="inlineStr">
        <is>
          <t>No state</t>
        </is>
      </c>
      <c r="M550" s="5" t="inlineStr">
        <is>
          <t>PMF</t>
        </is>
      </c>
      <c r="N550" s="5" t="inlineStr">
        <is>
          <t>New Deal</t>
        </is>
      </c>
      <c r="O550" s="19" t="n">
        <v>1.4</v>
      </c>
      <c r="P550" s="20" t="n">
        <v>100000</v>
      </c>
      <c r="Q550" s="20" t="n">
        <v>8500</v>
      </c>
      <c r="R550" s="20" t="n">
        <v>140000</v>
      </c>
      <c r="S550" s="20" t="n">
        <v>115432.24</v>
      </c>
      <c r="T550" s="20" t="n">
        <v>24567.76</v>
      </c>
      <c r="U550" s="21" t="n">
        <v>0.824516</v>
      </c>
      <c r="V550" s="22" t="n">
        <v>34</v>
      </c>
      <c r="W550" s="17" t="n">
        <v>6</v>
      </c>
      <c r="X550" s="17" t="n">
        <v>0</v>
      </c>
      <c r="Y550" s="20" t="n">
        <v>596441.6</v>
      </c>
      <c r="Z550" s="21" t="n">
        <v>0.032</v>
      </c>
      <c r="AA550" s="16" t="n">
        <v>40522</v>
      </c>
      <c r="AB550" s="5">
        <f>IF(V550="","",IF(V550&lt;12,"Months","Weeks"))</f>
        <v/>
      </c>
      <c r="AC550" s="5">
        <f>IF(AB550="","",IF(AB550="Months","Daily","Weekly"))</f>
        <v/>
      </c>
      <c r="AD550" s="17">
        <f>IF(V550="","",IF(AC550="Daily",V550*Controls!$B$13,V550))</f>
        <v/>
      </c>
      <c r="AE550" s="17">
        <f>IF(V550="","",IF(AC550="Daily",V550*Controls!$B$13,V550*Controls!$B$12))</f>
        <v/>
      </c>
      <c r="AF550" s="17">
        <f>IF(OR(E550="",F550=""),"",F550-E550)</f>
        <v/>
      </c>
      <c r="AG550" s="17">
        <f>IF(OR(E550="",F550=""),"",NETWORKDAYS(E550,F550,Ref!$F$4:$F$47))</f>
        <v/>
      </c>
      <c r="AH550" s="39">
        <f>IF(IFERROR(VLOOKUP(D550,Controls!$A$25:$D$35,2,FALSE()),"No")="Yes",1,0)</f>
        <v/>
      </c>
      <c r="AI550" s="39">
        <f>IF(IFERROR(VLOOKUP(D550,Controls!$A$25:$D$35,3,FALSE()),"No")="Yes",1,0)</f>
        <v/>
      </c>
      <c r="AJ550" s="39">
        <f>IF(IFERROR(VLOOKUP(D550,Controls!$A$25:$D$35,4,FALSE()),"No")="Yes",1,0)</f>
        <v/>
      </c>
      <c r="AK550" s="96">
        <f>IF(AND($E550&gt;=Controls!$B$5,$E550&lt;=Controls!$B$6,OR(Controls!$E$9&lt;&gt;"Y",$BE550=1)),1,0)</f>
        <v/>
      </c>
      <c r="AL550" s="39">
        <f>1</f>
        <v/>
      </c>
      <c r="AM550" s="20">
        <f>S550-P550</f>
        <v/>
      </c>
      <c r="AN550" s="20">
        <f>IF(AH550=1,MAX(0,P550-S550),0)</f>
        <v/>
      </c>
      <c r="AO550" s="21">
        <f>IFERROR(S550/P550,"")</f>
        <v/>
      </c>
      <c r="AP550" s="22">
        <f>IF(Y550="","",P550/Y550)</f>
        <v/>
      </c>
      <c r="AQ550" s="39">
        <f>IF(Y550="",0,1)</f>
        <v/>
      </c>
      <c r="AR550" s="39">
        <f>IF(S550&lt;=0,1,0)</f>
        <v/>
      </c>
      <c r="AS550" s="17">
        <f>IF(AH550=1,AG550,"")</f>
        <v/>
      </c>
      <c r="AT550" s="17">
        <f>IF(AND(AH550=0,AJ550=1),AG550,"")</f>
        <v/>
      </c>
      <c r="AU550" s="5">
        <f>IF(P550&lt;10000,"Under $10K",IF(P550&lt;20000,"$10-20K",IF(P550&lt;30000,"$20-30K",IF(P550&lt;50000,"$30-50K",IF(P550&lt;100000,"$50-100K","$100K+")))))</f>
        <v/>
      </c>
      <c r="AV550" s="5">
        <f>IF(O550&lt;=1.35,"1.35 and under",IF(O550&lt;=1.42,"1.36-1.42",IF(O550&lt;=1.45,"1.43-1.45",IF(O550&lt;1.49,"1.46-1.48",IF(O550&lt;=1.49,"1.49","Above 1.49")))))</f>
        <v/>
      </c>
      <c r="AW550" s="5">
        <f>IF(AE550="","",IF(AE550&lt;60,"Under 60",IF(AE550&lt;90,"60-89",IF(AE550&lt;120,"90-119",IF(AE550&lt;150,"120-149","150+")))))</f>
        <v/>
      </c>
      <c r="AX550" s="5">
        <f>IF(AP550="","No revenue data",IF(AP550&lt;0.15,"Under 0.15x",IF(AP550&lt;0.3,"0.15-0.30x",IF(AP550&lt;0.5,"0.30-0.50x",IF(AP550&lt;1,"0.50-1.00x","1.00x+")))))</f>
        <v/>
      </c>
      <c r="AY550" s="5">
        <f>IF(J550="","No SIC",IFERROR(VLOOKUP(J550,Ref!$A$4:$C$67,2,FALSE()),"Unclassified"))</f>
        <v/>
      </c>
      <c r="AZ550" s="5">
        <f>IF(E550="","",TEXT(E550,"YYYY")&amp;"-Q"&amp;ROUNDUP(MONTH(E550)/3,0))</f>
        <v/>
      </c>
      <c r="BA550" s="5">
        <f>IF(E550="","",TEXT(E550,"YYYY-MM"))</f>
        <v/>
      </c>
      <c r="BB550" s="5">
        <f>IF(E550="","",TEXT(E550,"YYYY"))</f>
        <v/>
      </c>
      <c r="BC550" s="92">
        <f>IF($E550="","",NETWORKDAYS($E550,Controls!$B$9,Ref!$F$4:$F$47))</f>
        <v/>
      </c>
      <c r="BD550" s="92">
        <f>IF(OR($AH550=1,$AJ550=1),1,0)</f>
        <v/>
      </c>
      <c r="BE550" s="95">
        <f>IF(OR($BD550=1,AND($AE550&lt;&gt;"",$BC550&gt;=Controls!$B$10*$AE550)),1,0)</f>
        <v/>
      </c>
    </row>
    <row r="551" ht="15.75" customHeight="1" s="79">
      <c r="A551" s="5" t="inlineStr">
        <is>
          <t>5674176864</t>
        </is>
      </c>
      <c r="B551" s="5" t="inlineStr">
        <is>
          <t>National Food Equipment LLC</t>
        </is>
      </c>
      <c r="C551" s="5" t="inlineStr">
        <is>
          <t>National Food Equipment LLC</t>
        </is>
      </c>
      <c r="D551" s="5" t="inlineStr">
        <is>
          <t>Closed</t>
        </is>
      </c>
      <c r="E551" s="16" t="n">
        <v>46043</v>
      </c>
      <c r="F551" s="16" t="n">
        <v>46122</v>
      </c>
      <c r="G551" s="17" t="n">
        <v>2</v>
      </c>
      <c r="H551" s="5" t="inlineStr">
        <is>
          <t>5812</t>
        </is>
      </c>
      <c r="I551" s="5" t="inlineStr">
        <is>
          <t>Snack and Nonalcoholic Beverage Bars</t>
        </is>
      </c>
      <c r="J551" s="5" t="inlineStr">
        <is>
          <t>58</t>
        </is>
      </c>
      <c r="K551" s="5" t="n">
        <v>5812</v>
      </c>
      <c r="L551" s="5" t="inlineStr">
        <is>
          <t>CA</t>
        </is>
      </c>
      <c r="M551" s="5" t="inlineStr">
        <is>
          <t>AVON ADVANCE</t>
        </is>
      </c>
      <c r="N551" s="5" t="inlineStr">
        <is>
          <t>New Deal</t>
        </is>
      </c>
      <c r="O551" s="19" t="n">
        <v>1.49</v>
      </c>
      <c r="P551" s="20" t="n">
        <v>7000</v>
      </c>
      <c r="Q551" s="20" t="n">
        <v>980</v>
      </c>
      <c r="R551" s="20" t="n">
        <v>10430</v>
      </c>
      <c r="S551" s="20" t="n">
        <v>10430</v>
      </c>
      <c r="T551" s="20" t="n">
        <v>0</v>
      </c>
      <c r="U551" s="21" t="n">
        <v>1</v>
      </c>
      <c r="V551" s="22" t="n">
        <v>2.131</v>
      </c>
      <c r="W551" s="17" t="n">
        <v>131</v>
      </c>
      <c r="X551" s="17" t="n">
        <v>1</v>
      </c>
      <c r="Y551" s="20" t="n">
        <v>25605.71</v>
      </c>
      <c r="Z551" s="21" t="n">
        <v>0.1316</v>
      </c>
      <c r="AA551" s="16" t="n">
        <v>42370</v>
      </c>
      <c r="AB551" s="5">
        <f>IF(V551="","",IF(V551&lt;12,"Months","Weeks"))</f>
        <v/>
      </c>
      <c r="AC551" s="5">
        <f>IF(AB551="","",IF(AB551="Months","Daily","Weekly"))</f>
        <v/>
      </c>
      <c r="AD551" s="17">
        <f>IF(V551="","",IF(AC551="Daily",V551*Controls!$B$13,V551))</f>
        <v/>
      </c>
      <c r="AE551" s="17">
        <f>IF(V551="","",IF(AC551="Daily",V551*Controls!$B$13,V551*Controls!$B$12))</f>
        <v/>
      </c>
      <c r="AF551" s="17">
        <f>IF(OR(E551="",F551=""),"",F551-E551)</f>
        <v/>
      </c>
      <c r="AG551" s="17">
        <f>IF(OR(E551="",F551=""),"",NETWORKDAYS(E551,F551,Ref!$F$4:$F$47))</f>
        <v/>
      </c>
      <c r="AH551" s="39">
        <f>IF(IFERROR(VLOOKUP(D551,Controls!$A$25:$D$35,2,FALSE()),"No")="Yes",1,0)</f>
        <v/>
      </c>
      <c r="AI551" s="39">
        <f>IF(IFERROR(VLOOKUP(D551,Controls!$A$25:$D$35,3,FALSE()),"No")="Yes",1,0)</f>
        <v/>
      </c>
      <c r="AJ551" s="39">
        <f>IF(IFERROR(VLOOKUP(D551,Controls!$A$25:$D$35,4,FALSE()),"No")="Yes",1,0)</f>
        <v/>
      </c>
      <c r="AK551" s="96">
        <f>IF(AND($E551&gt;=Controls!$B$5,$E551&lt;=Controls!$B$6,OR(Controls!$E$9&lt;&gt;"Y",$BE551=1)),1,0)</f>
        <v/>
      </c>
      <c r="AL551" s="39">
        <f>1</f>
        <v/>
      </c>
      <c r="AM551" s="20">
        <f>S551-P551</f>
        <v/>
      </c>
      <c r="AN551" s="20">
        <f>IF(AH551=1,MAX(0,P551-S551),0)</f>
        <v/>
      </c>
      <c r="AO551" s="21">
        <f>IFERROR(S551/P551,"")</f>
        <v/>
      </c>
      <c r="AP551" s="22">
        <f>IF(Y551="","",P551/Y551)</f>
        <v/>
      </c>
      <c r="AQ551" s="39">
        <f>IF(Y551="",0,1)</f>
        <v/>
      </c>
      <c r="AR551" s="39">
        <f>IF(S551&lt;=0,1,0)</f>
        <v/>
      </c>
      <c r="AS551" s="17">
        <f>IF(AH551=1,AG551,"")</f>
        <v/>
      </c>
      <c r="AT551" s="17">
        <f>IF(AND(AH551=0,AJ551=1),AG551,"")</f>
        <v/>
      </c>
      <c r="AU551" s="5">
        <f>IF(P551&lt;10000,"Under $10K",IF(P551&lt;20000,"$10-20K",IF(P551&lt;30000,"$20-30K",IF(P551&lt;50000,"$30-50K",IF(P551&lt;100000,"$50-100K","$100K+")))))</f>
        <v/>
      </c>
      <c r="AV551" s="5">
        <f>IF(O551&lt;=1.35,"1.35 and under",IF(O551&lt;=1.42,"1.36-1.42",IF(O551&lt;=1.45,"1.43-1.45",IF(O551&lt;1.49,"1.46-1.48",IF(O551&lt;=1.49,"1.49","Above 1.49")))))</f>
        <v/>
      </c>
      <c r="AW551" s="5">
        <f>IF(AE551="","",IF(AE551&lt;60,"Under 60",IF(AE551&lt;90,"60-89",IF(AE551&lt;120,"90-119",IF(AE551&lt;150,"120-149","150+")))))</f>
        <v/>
      </c>
      <c r="AX551" s="5">
        <f>IF(AP551="","No revenue data",IF(AP551&lt;0.15,"Under 0.15x",IF(AP551&lt;0.3,"0.15-0.30x",IF(AP551&lt;0.5,"0.30-0.50x",IF(AP551&lt;1,"0.50-1.00x","1.00x+")))))</f>
        <v/>
      </c>
      <c r="AY551" s="5">
        <f>IF(J551="","No SIC",IFERROR(VLOOKUP(J551,Ref!$A$4:$C$67,2,FALSE()),"Unclassified"))</f>
        <v/>
      </c>
      <c r="AZ551" s="5">
        <f>IF(E551="","",TEXT(E551,"YYYY")&amp;"-Q"&amp;ROUNDUP(MONTH(E551)/3,0))</f>
        <v/>
      </c>
      <c r="BA551" s="5">
        <f>IF(E551="","",TEXT(E551,"YYYY-MM"))</f>
        <v/>
      </c>
      <c r="BB551" s="5">
        <f>IF(E551="","",TEXT(E551,"YYYY"))</f>
        <v/>
      </c>
      <c r="BC551" s="92">
        <f>IF($E551="","",NETWORKDAYS($E551,Controls!$B$9,Ref!$F$4:$F$47))</f>
        <v/>
      </c>
      <c r="BD551" s="92">
        <f>IF(OR($AH551=1,$AJ551=1),1,0)</f>
        <v/>
      </c>
      <c r="BE551" s="95">
        <f>IF(OR($BD551=1,AND($AE551&lt;&gt;"",$BC551&gt;=Controls!$B$10*$AE551)),1,0)</f>
        <v/>
      </c>
    </row>
    <row r="552" ht="15.75" customHeight="1" s="79">
      <c r="A552" s="5" t="inlineStr">
        <is>
          <t>5674176899</t>
        </is>
      </c>
      <c r="B552" s="5" t="inlineStr">
        <is>
          <t>EMPIRE DENTAL SUPPLIES &amp; SERVICE</t>
        </is>
      </c>
      <c r="C552" s="5" t="inlineStr">
        <is>
          <t>EMPIRE DENTAL SUPPLIES &amp; SERVICE</t>
        </is>
      </c>
      <c r="D552" s="5" t="inlineStr">
        <is>
          <t>Legal</t>
        </is>
      </c>
      <c r="E552" s="16" t="n">
        <v>46043</v>
      </c>
      <c r="F552" s="16" t="n">
        <v>46233</v>
      </c>
      <c r="G552" s="17" t="n">
        <v>1</v>
      </c>
      <c r="H552" s="5" t="inlineStr">
        <is>
          <t>8021</t>
        </is>
      </c>
      <c r="I552" s="5" t="inlineStr">
        <is>
          <t>Offices of Dentists</t>
        </is>
      </c>
      <c r="J552" s="5" t="inlineStr">
        <is>
          <t>80</t>
        </is>
      </c>
      <c r="K552" s="5" t="n">
        <v>8021</v>
      </c>
      <c r="L552" s="5" t="inlineStr">
        <is>
          <t>CA</t>
        </is>
      </c>
      <c r="M552" s="5" t="inlineStr">
        <is>
          <t>Fundwell</t>
        </is>
      </c>
      <c r="N552" s="5" t="inlineStr">
        <is>
          <t>Renewal</t>
        </is>
      </c>
      <c r="O552" s="19" t="n">
        <v>1.4</v>
      </c>
      <c r="P552" s="20" t="n">
        <v>35000</v>
      </c>
      <c r="Q552" s="20" t="n">
        <v>4550</v>
      </c>
      <c r="R552" s="20" t="n">
        <v>49000</v>
      </c>
      <c r="S552" s="20" t="n">
        <v>14241.96</v>
      </c>
      <c r="T552" s="20" t="n">
        <v>34758.04</v>
      </c>
      <c r="U552" s="21" t="n">
        <v>0.290652244897959</v>
      </c>
      <c r="V552" s="22" t="n">
        <v>3.279</v>
      </c>
      <c r="W552" s="17" t="n">
        <v>20</v>
      </c>
      <c r="X552" s="17" t="n">
        <v>8</v>
      </c>
      <c r="Y552" s="20" t="n">
        <v>138102.73</v>
      </c>
      <c r="Z552" s="21" t="n">
        <v>0.0752</v>
      </c>
      <c r="AA552" s="5" t="n"/>
      <c r="AB552" s="5">
        <f>IF(V552="","",IF(V552&lt;12,"Months","Weeks"))</f>
        <v/>
      </c>
      <c r="AC552" s="5">
        <f>IF(AB552="","",IF(AB552="Months","Daily","Weekly"))</f>
        <v/>
      </c>
      <c r="AD552" s="17">
        <f>IF(V552="","",IF(AC552="Daily",V552*Controls!$B$13,V552))</f>
        <v/>
      </c>
      <c r="AE552" s="17">
        <f>IF(V552="","",IF(AC552="Daily",V552*Controls!$B$13,V552*Controls!$B$12))</f>
        <v/>
      </c>
      <c r="AF552" s="17">
        <f>IF(OR(E552="",F552=""),"",F552-E552)</f>
        <v/>
      </c>
      <c r="AG552" s="17">
        <f>IF(OR(E552="",F552=""),"",NETWORKDAYS(E552,F552,Ref!$F$4:$F$47))</f>
        <v/>
      </c>
      <c r="AH552" s="39">
        <f>IF(IFERROR(VLOOKUP(D552,Controls!$A$25:$D$35,2,FALSE()),"No")="Yes",1,0)</f>
        <v/>
      </c>
      <c r="AI552" s="39">
        <f>IF(IFERROR(VLOOKUP(D552,Controls!$A$25:$D$35,3,FALSE()),"No")="Yes",1,0)</f>
        <v/>
      </c>
      <c r="AJ552" s="39">
        <f>IF(IFERROR(VLOOKUP(D552,Controls!$A$25:$D$35,4,FALSE()),"No")="Yes",1,0)</f>
        <v/>
      </c>
      <c r="AK552" s="96">
        <f>IF(AND($E552&gt;=Controls!$B$5,$E552&lt;=Controls!$B$6,OR(Controls!$E$9&lt;&gt;"Y",$BE552=1)),1,0)</f>
        <v/>
      </c>
      <c r="AL552" s="39">
        <f>1</f>
        <v/>
      </c>
      <c r="AM552" s="20">
        <f>S552-P552</f>
        <v/>
      </c>
      <c r="AN552" s="20">
        <f>IF(AH552=1,MAX(0,P552-S552),0)</f>
        <v/>
      </c>
      <c r="AO552" s="21">
        <f>IFERROR(S552/P552,"")</f>
        <v/>
      </c>
      <c r="AP552" s="22">
        <f>IF(Y552="","",P552/Y552)</f>
        <v/>
      </c>
      <c r="AQ552" s="39">
        <f>IF(Y552="",0,1)</f>
        <v/>
      </c>
      <c r="AR552" s="39">
        <f>IF(S552&lt;=0,1,0)</f>
        <v/>
      </c>
      <c r="AS552" s="17">
        <f>IF(AH552=1,AG552,"")</f>
        <v/>
      </c>
      <c r="AT552" s="17">
        <f>IF(AND(AH552=0,AJ552=1),AG552,"")</f>
        <v/>
      </c>
      <c r="AU552" s="5">
        <f>IF(P552&lt;10000,"Under $10K",IF(P552&lt;20000,"$10-20K",IF(P552&lt;30000,"$20-30K",IF(P552&lt;50000,"$30-50K",IF(P552&lt;100000,"$50-100K","$100K+")))))</f>
        <v/>
      </c>
      <c r="AV552" s="5">
        <f>IF(O552&lt;=1.35,"1.35 and under",IF(O552&lt;=1.42,"1.36-1.42",IF(O552&lt;=1.45,"1.43-1.45",IF(O552&lt;1.49,"1.46-1.48",IF(O552&lt;=1.49,"1.49","Above 1.49")))))</f>
        <v/>
      </c>
      <c r="AW552" s="5">
        <f>IF(AE552="","",IF(AE552&lt;60,"Under 60",IF(AE552&lt;90,"60-89",IF(AE552&lt;120,"90-119",IF(AE552&lt;150,"120-149","150+")))))</f>
        <v/>
      </c>
      <c r="AX552" s="5">
        <f>IF(AP552="","No revenue data",IF(AP552&lt;0.15,"Under 0.15x",IF(AP552&lt;0.3,"0.15-0.30x",IF(AP552&lt;0.5,"0.30-0.50x",IF(AP552&lt;1,"0.50-1.00x","1.00x+")))))</f>
        <v/>
      </c>
      <c r="AY552" s="5">
        <f>IF(J552="","No SIC",IFERROR(VLOOKUP(J552,Ref!$A$4:$C$67,2,FALSE()),"Unclassified"))</f>
        <v/>
      </c>
      <c r="AZ552" s="5">
        <f>IF(E552="","",TEXT(E552,"YYYY")&amp;"-Q"&amp;ROUNDUP(MONTH(E552)/3,0))</f>
        <v/>
      </c>
      <c r="BA552" s="5">
        <f>IF(E552="","",TEXT(E552,"YYYY-MM"))</f>
        <v/>
      </c>
      <c r="BB552" s="5">
        <f>IF(E552="","",TEXT(E552,"YYYY"))</f>
        <v/>
      </c>
      <c r="BC552" s="92">
        <f>IF($E552="","",NETWORKDAYS($E552,Controls!$B$9,Ref!$F$4:$F$47))</f>
        <v/>
      </c>
      <c r="BD552" s="92">
        <f>IF(OR($AH552=1,$AJ552=1),1,0)</f>
        <v/>
      </c>
      <c r="BE552" s="95">
        <f>IF(OR($BD552=1,AND($AE552&lt;&gt;"",$BC552&gt;=Controls!$B$10*$AE552)),1,0)</f>
        <v/>
      </c>
    </row>
    <row r="553" ht="15.75" customHeight="1" s="79">
      <c r="A553" s="5" t="inlineStr">
        <is>
          <t>5674176909</t>
        </is>
      </c>
      <c r="B553" s="5" t="inlineStr">
        <is>
          <t>Das Contractors</t>
        </is>
      </c>
      <c r="C553" s="5" t="inlineStr">
        <is>
          <t>Das Contractors</t>
        </is>
      </c>
      <c r="D553" s="5" t="inlineStr">
        <is>
          <t>Legal</t>
        </is>
      </c>
      <c r="E553" s="16" t="n">
        <v>46043</v>
      </c>
      <c r="F553" s="16" t="n">
        <v>46073</v>
      </c>
      <c r="G553" s="17" t="n">
        <v>3</v>
      </c>
      <c r="H553" s="5" t="inlineStr">
        <is>
          <t>1521</t>
        </is>
      </c>
      <c r="I553" s="5" t="inlineStr">
        <is>
          <t>New Single-Family Housing Construction (Except For-Sale Builders)</t>
        </is>
      </c>
      <c r="J553" s="5" t="inlineStr">
        <is>
          <t>15</t>
        </is>
      </c>
      <c r="K553" s="5" t="n">
        <v>1520</v>
      </c>
      <c r="L553" s="5" t="inlineStr">
        <is>
          <t>TX</t>
        </is>
      </c>
      <c r="M553" s="5" t="inlineStr">
        <is>
          <t>PMF</t>
        </is>
      </c>
      <c r="N553" s="5" t="inlineStr">
        <is>
          <t>New Deal</t>
        </is>
      </c>
      <c r="O553" s="19" t="n">
        <v>1.45</v>
      </c>
      <c r="P553" s="20" t="n">
        <v>30000</v>
      </c>
      <c r="Q553" s="20" t="n">
        <v>0</v>
      </c>
      <c r="R553" s="20" t="n">
        <v>43500</v>
      </c>
      <c r="S553" s="20" t="n">
        <v>6691.16</v>
      </c>
      <c r="T553" s="20" t="n">
        <v>36808.84</v>
      </c>
      <c r="U553" s="21" t="n">
        <v>0.153819770114943</v>
      </c>
      <c r="V553" s="22" t="n">
        <v>26</v>
      </c>
      <c r="W553" s="17" t="n">
        <v>187</v>
      </c>
      <c r="X553" s="17" t="n">
        <v>1</v>
      </c>
      <c r="Y553" s="20" t="n">
        <v>106887.32</v>
      </c>
      <c r="Z553" s="21" t="n">
        <v>0.0626</v>
      </c>
      <c r="AA553" s="16" t="n">
        <v>42095</v>
      </c>
      <c r="AB553" s="5">
        <f>IF(V553="","",IF(V553&lt;12,"Months","Weeks"))</f>
        <v/>
      </c>
      <c r="AC553" s="5">
        <f>IF(AB553="","",IF(AB553="Months","Daily","Weekly"))</f>
        <v/>
      </c>
      <c r="AD553" s="17">
        <f>IF(V553="","",IF(AC553="Daily",V553*Controls!$B$13,V553))</f>
        <v/>
      </c>
      <c r="AE553" s="17">
        <f>IF(V553="","",IF(AC553="Daily",V553*Controls!$B$13,V553*Controls!$B$12))</f>
        <v/>
      </c>
      <c r="AF553" s="17">
        <f>IF(OR(E553="",F553=""),"",F553-E553)</f>
        <v/>
      </c>
      <c r="AG553" s="17">
        <f>IF(OR(E553="",F553=""),"",NETWORKDAYS(E553,F553,Ref!$F$4:$F$47))</f>
        <v/>
      </c>
      <c r="AH553" s="39">
        <f>IF(IFERROR(VLOOKUP(D553,Controls!$A$25:$D$35,2,FALSE()),"No")="Yes",1,0)</f>
        <v/>
      </c>
      <c r="AI553" s="39">
        <f>IF(IFERROR(VLOOKUP(D553,Controls!$A$25:$D$35,3,FALSE()),"No")="Yes",1,0)</f>
        <v/>
      </c>
      <c r="AJ553" s="39">
        <f>IF(IFERROR(VLOOKUP(D553,Controls!$A$25:$D$35,4,FALSE()),"No")="Yes",1,0)</f>
        <v/>
      </c>
      <c r="AK553" s="96">
        <f>IF(AND($E553&gt;=Controls!$B$5,$E553&lt;=Controls!$B$6,OR(Controls!$E$9&lt;&gt;"Y",$BE553=1)),1,0)</f>
        <v/>
      </c>
      <c r="AL553" s="39">
        <f>1</f>
        <v/>
      </c>
      <c r="AM553" s="20">
        <f>S553-P553</f>
        <v/>
      </c>
      <c r="AN553" s="20">
        <f>IF(AH553=1,MAX(0,P553-S553),0)</f>
        <v/>
      </c>
      <c r="AO553" s="21">
        <f>IFERROR(S553/P553,"")</f>
        <v/>
      </c>
      <c r="AP553" s="22">
        <f>IF(Y553="","",P553/Y553)</f>
        <v/>
      </c>
      <c r="AQ553" s="39">
        <f>IF(Y553="",0,1)</f>
        <v/>
      </c>
      <c r="AR553" s="39">
        <f>IF(S553&lt;=0,1,0)</f>
        <v/>
      </c>
      <c r="AS553" s="17">
        <f>IF(AH553=1,AG553,"")</f>
        <v/>
      </c>
      <c r="AT553" s="17">
        <f>IF(AND(AH553=0,AJ553=1),AG553,"")</f>
        <v/>
      </c>
      <c r="AU553" s="5">
        <f>IF(P553&lt;10000,"Under $10K",IF(P553&lt;20000,"$10-20K",IF(P553&lt;30000,"$20-30K",IF(P553&lt;50000,"$30-50K",IF(P553&lt;100000,"$50-100K","$100K+")))))</f>
        <v/>
      </c>
      <c r="AV553" s="5">
        <f>IF(O553&lt;=1.35,"1.35 and under",IF(O553&lt;=1.42,"1.36-1.42",IF(O553&lt;=1.45,"1.43-1.45",IF(O553&lt;1.49,"1.46-1.48",IF(O553&lt;=1.49,"1.49","Above 1.49")))))</f>
        <v/>
      </c>
      <c r="AW553" s="5">
        <f>IF(AE553="","",IF(AE553&lt;60,"Under 60",IF(AE553&lt;90,"60-89",IF(AE553&lt;120,"90-119",IF(AE553&lt;150,"120-149","150+")))))</f>
        <v/>
      </c>
      <c r="AX553" s="5">
        <f>IF(AP553="","No revenue data",IF(AP553&lt;0.15,"Under 0.15x",IF(AP553&lt;0.3,"0.15-0.30x",IF(AP553&lt;0.5,"0.30-0.50x",IF(AP553&lt;1,"0.50-1.00x","1.00x+")))))</f>
        <v/>
      </c>
      <c r="AY553" s="5">
        <f>IF(J553="","No SIC",IFERROR(VLOOKUP(J553,Ref!$A$4:$C$67,2,FALSE()),"Unclassified"))</f>
        <v/>
      </c>
      <c r="AZ553" s="5">
        <f>IF(E553="","",TEXT(E553,"YYYY")&amp;"-Q"&amp;ROUNDUP(MONTH(E553)/3,0))</f>
        <v/>
      </c>
      <c r="BA553" s="5">
        <f>IF(E553="","",TEXT(E553,"YYYY-MM"))</f>
        <v/>
      </c>
      <c r="BB553" s="5">
        <f>IF(E553="","",TEXT(E553,"YYYY"))</f>
        <v/>
      </c>
      <c r="BC553" s="92">
        <f>IF($E553="","",NETWORKDAYS($E553,Controls!$B$9,Ref!$F$4:$F$47))</f>
        <v/>
      </c>
      <c r="BD553" s="92">
        <f>IF(OR($AH553=1,$AJ553=1),1,0)</f>
        <v/>
      </c>
      <c r="BE553" s="95">
        <f>IF(OR($BD553=1,AND($AE553&lt;&gt;"",$BC553&gt;=Controls!$B$10*$AE553)),1,0)</f>
        <v/>
      </c>
    </row>
    <row r="554" ht="15.75" customHeight="1" s="79">
      <c r="A554" s="5" t="inlineStr">
        <is>
          <t>5674176973</t>
        </is>
      </c>
      <c r="B554" s="5" t="inlineStr">
        <is>
          <t>Shawnee Litigator Law</t>
        </is>
      </c>
      <c r="C554" s="5" t="inlineStr">
        <is>
          <t>Shelley L Levisay PLLC</t>
        </is>
      </c>
      <c r="D554" s="5" t="inlineStr">
        <is>
          <t>In House Collection</t>
        </is>
      </c>
      <c r="E554" s="16" t="n">
        <v>46044</v>
      </c>
      <c r="F554" s="16" t="n">
        <v>46142</v>
      </c>
      <c r="G554" s="17" t="n">
        <v>2</v>
      </c>
      <c r="H554" s="5" t="inlineStr">
        <is>
          <t>8111</t>
        </is>
      </c>
      <c r="I554" s="5" t="inlineStr">
        <is>
          <t>Offices of Lawyers</t>
        </is>
      </c>
      <c r="J554" s="5" t="inlineStr">
        <is>
          <t>81</t>
        </is>
      </c>
      <c r="K554" s="5" t="n">
        <v>8111</v>
      </c>
      <c r="L554" s="5" t="inlineStr">
        <is>
          <t>OK</t>
        </is>
      </c>
      <c r="M554" s="5" t="inlineStr">
        <is>
          <t>Ballicci</t>
        </is>
      </c>
      <c r="N554" s="5" t="inlineStr">
        <is>
          <t>New Deal</t>
        </is>
      </c>
      <c r="O554" s="19" t="n">
        <v>1.49</v>
      </c>
      <c r="P554" s="20" t="n">
        <v>20000</v>
      </c>
      <c r="Q554" s="20" t="n">
        <v>2800</v>
      </c>
      <c r="R554" s="20" t="n">
        <v>29800</v>
      </c>
      <c r="S554" s="20" t="n">
        <v>4221.1</v>
      </c>
      <c r="T554" s="20" t="n">
        <v>25578.9</v>
      </c>
      <c r="U554" s="21" t="n">
        <v>0.141647651006711</v>
      </c>
      <c r="V554" s="22" t="n">
        <v>3.934</v>
      </c>
      <c r="W554" s="17" t="n">
        <v>183</v>
      </c>
      <c r="X554" s="17" t="n">
        <v>7</v>
      </c>
      <c r="Y554" s="20" t="n">
        <v>73234.22</v>
      </c>
      <c r="Z554" s="21" t="n">
        <v>0.0712</v>
      </c>
      <c r="AA554" s="16" t="n">
        <v>41921</v>
      </c>
      <c r="AB554" s="5">
        <f>IF(V554="","",IF(V554&lt;12,"Months","Weeks"))</f>
        <v/>
      </c>
      <c r="AC554" s="5">
        <f>IF(AB554="","",IF(AB554="Months","Daily","Weekly"))</f>
        <v/>
      </c>
      <c r="AD554" s="17">
        <f>IF(V554="","",IF(AC554="Daily",V554*Controls!$B$13,V554))</f>
        <v/>
      </c>
      <c r="AE554" s="17">
        <f>IF(V554="","",IF(AC554="Daily",V554*Controls!$B$13,V554*Controls!$B$12))</f>
        <v/>
      </c>
      <c r="AF554" s="17">
        <f>IF(OR(E554="",F554=""),"",F554-E554)</f>
        <v/>
      </c>
      <c r="AG554" s="17">
        <f>IF(OR(E554="",F554=""),"",NETWORKDAYS(E554,F554,Ref!$F$4:$F$47))</f>
        <v/>
      </c>
      <c r="AH554" s="39">
        <f>IF(IFERROR(VLOOKUP(D554,Controls!$A$25:$D$35,2,FALSE()),"No")="Yes",1,0)</f>
        <v/>
      </c>
      <c r="AI554" s="39">
        <f>IF(IFERROR(VLOOKUP(D554,Controls!$A$25:$D$35,3,FALSE()),"No")="Yes",1,0)</f>
        <v/>
      </c>
      <c r="AJ554" s="39">
        <f>IF(IFERROR(VLOOKUP(D554,Controls!$A$25:$D$35,4,FALSE()),"No")="Yes",1,0)</f>
        <v/>
      </c>
      <c r="AK554" s="96">
        <f>IF(AND($E554&gt;=Controls!$B$5,$E554&lt;=Controls!$B$6,OR(Controls!$E$9&lt;&gt;"Y",$BE554=1)),1,0)</f>
        <v/>
      </c>
      <c r="AL554" s="39">
        <f>1</f>
        <v/>
      </c>
      <c r="AM554" s="20">
        <f>S554-P554</f>
        <v/>
      </c>
      <c r="AN554" s="20">
        <f>IF(AH554=1,MAX(0,P554-S554),0)</f>
        <v/>
      </c>
      <c r="AO554" s="21">
        <f>IFERROR(S554/P554,"")</f>
        <v/>
      </c>
      <c r="AP554" s="22">
        <f>IF(Y554="","",P554/Y554)</f>
        <v/>
      </c>
      <c r="AQ554" s="39">
        <f>IF(Y554="",0,1)</f>
        <v/>
      </c>
      <c r="AR554" s="39">
        <f>IF(S554&lt;=0,1,0)</f>
        <v/>
      </c>
      <c r="AS554" s="17">
        <f>IF(AH554=1,AG554,"")</f>
        <v/>
      </c>
      <c r="AT554" s="17">
        <f>IF(AND(AH554=0,AJ554=1),AG554,"")</f>
        <v/>
      </c>
      <c r="AU554" s="5">
        <f>IF(P554&lt;10000,"Under $10K",IF(P554&lt;20000,"$10-20K",IF(P554&lt;30000,"$20-30K",IF(P554&lt;50000,"$30-50K",IF(P554&lt;100000,"$50-100K","$100K+")))))</f>
        <v/>
      </c>
      <c r="AV554" s="5">
        <f>IF(O554&lt;=1.35,"1.35 and under",IF(O554&lt;=1.42,"1.36-1.42",IF(O554&lt;=1.45,"1.43-1.45",IF(O554&lt;1.49,"1.46-1.48",IF(O554&lt;=1.49,"1.49","Above 1.49")))))</f>
        <v/>
      </c>
      <c r="AW554" s="5">
        <f>IF(AE554="","",IF(AE554&lt;60,"Under 60",IF(AE554&lt;90,"60-89",IF(AE554&lt;120,"90-119",IF(AE554&lt;150,"120-149","150+")))))</f>
        <v/>
      </c>
      <c r="AX554" s="5">
        <f>IF(AP554="","No revenue data",IF(AP554&lt;0.15,"Under 0.15x",IF(AP554&lt;0.3,"0.15-0.30x",IF(AP554&lt;0.5,"0.30-0.50x",IF(AP554&lt;1,"0.50-1.00x","1.00x+")))))</f>
        <v/>
      </c>
      <c r="AY554" s="5">
        <f>IF(J554="","No SIC",IFERROR(VLOOKUP(J554,Ref!$A$4:$C$67,2,FALSE()),"Unclassified"))</f>
        <v/>
      </c>
      <c r="AZ554" s="5">
        <f>IF(E554="","",TEXT(E554,"YYYY")&amp;"-Q"&amp;ROUNDUP(MONTH(E554)/3,0))</f>
        <v/>
      </c>
      <c r="BA554" s="5">
        <f>IF(E554="","",TEXT(E554,"YYYY-MM"))</f>
        <v/>
      </c>
      <c r="BB554" s="5">
        <f>IF(E554="","",TEXT(E554,"YYYY"))</f>
        <v/>
      </c>
      <c r="BC554" s="92">
        <f>IF($E554="","",NETWORKDAYS($E554,Controls!$B$9,Ref!$F$4:$F$47))</f>
        <v/>
      </c>
      <c r="BD554" s="92">
        <f>IF(OR($AH554=1,$AJ554=1),1,0)</f>
        <v/>
      </c>
      <c r="BE554" s="95">
        <f>IF(OR($BD554=1,AND($AE554&lt;&gt;"",$BC554&gt;=Controls!$B$10*$AE554)),1,0)</f>
        <v/>
      </c>
    </row>
    <row r="555" ht="15.75" customHeight="1" s="79">
      <c r="A555" s="5" t="inlineStr">
        <is>
          <t>5674176997</t>
        </is>
      </c>
      <c r="B555" s="5" t="inlineStr">
        <is>
          <t>APPALACHIAN LANDSCAPING</t>
        </is>
      </c>
      <c r="C555" s="5" t="inlineStr">
        <is>
          <t>APPALACHIAN LANDSCAPING</t>
        </is>
      </c>
      <c r="D555" s="5" t="inlineStr">
        <is>
          <t>In House Collection</t>
        </is>
      </c>
      <c r="E555" s="16" t="n">
        <v>46044</v>
      </c>
      <c r="F555" s="16" t="n">
        <v>46240</v>
      </c>
      <c r="G555" s="17" t="n">
        <v>3</v>
      </c>
      <c r="H555" s="5" t="inlineStr">
        <is>
          <t>0781</t>
        </is>
      </c>
      <c r="I555" s="5" t="inlineStr">
        <is>
          <t>Landscape Architectural Services</t>
        </is>
      </c>
      <c r="J555" s="5" t="inlineStr">
        <is>
          <t>07</t>
        </is>
      </c>
      <c r="K555" s="5" t="n">
        <v>1799</v>
      </c>
      <c r="L555" s="5" t="inlineStr">
        <is>
          <t>TN</t>
        </is>
      </c>
      <c r="M555" s="5" t="inlineStr">
        <is>
          <t>PMF</t>
        </is>
      </c>
      <c r="N555" s="5" t="inlineStr">
        <is>
          <t>New Deal</t>
        </is>
      </c>
      <c r="O555" s="19" t="n">
        <v>1.42</v>
      </c>
      <c r="P555" s="20" t="n">
        <v>40000</v>
      </c>
      <c r="Q555" s="20" t="n">
        <v>4200</v>
      </c>
      <c r="R555" s="20" t="n">
        <v>56800</v>
      </c>
      <c r="S555" s="20" t="n">
        <v>19155.34</v>
      </c>
      <c r="T555" s="20" t="n">
        <v>37644.66</v>
      </c>
      <c r="U555" s="21" t="n">
        <v>0.337241901408451</v>
      </c>
      <c r="V555" s="22" t="n">
        <v>4.59</v>
      </c>
      <c r="W555" s="17" t="n">
        <v>13</v>
      </c>
      <c r="X555" s="17" t="n">
        <v>22</v>
      </c>
      <c r="Y555" s="20" t="n">
        <v>271905.48</v>
      </c>
      <c r="Z555" s="21" t="n">
        <v>0.0852</v>
      </c>
      <c r="AA555" s="16" t="n">
        <v>37377</v>
      </c>
      <c r="AB555" s="5">
        <f>IF(V555="","",IF(V555&lt;12,"Months","Weeks"))</f>
        <v/>
      </c>
      <c r="AC555" s="5">
        <f>IF(AB555="","",IF(AB555="Months","Daily","Weekly"))</f>
        <v/>
      </c>
      <c r="AD555" s="17">
        <f>IF(V555="","",IF(AC555="Daily",V555*Controls!$B$13,V555))</f>
        <v/>
      </c>
      <c r="AE555" s="17">
        <f>IF(V555="","",IF(AC555="Daily",V555*Controls!$B$13,V555*Controls!$B$12))</f>
        <v/>
      </c>
      <c r="AF555" s="17">
        <f>IF(OR(E555="",F555=""),"",F555-E555)</f>
        <v/>
      </c>
      <c r="AG555" s="17">
        <f>IF(OR(E555="",F555=""),"",NETWORKDAYS(E555,F555,Ref!$F$4:$F$47))</f>
        <v/>
      </c>
      <c r="AH555" s="39">
        <f>IF(IFERROR(VLOOKUP(D555,Controls!$A$25:$D$35,2,FALSE()),"No")="Yes",1,0)</f>
        <v/>
      </c>
      <c r="AI555" s="39">
        <f>IF(IFERROR(VLOOKUP(D555,Controls!$A$25:$D$35,3,FALSE()),"No")="Yes",1,0)</f>
        <v/>
      </c>
      <c r="AJ555" s="39">
        <f>IF(IFERROR(VLOOKUP(D555,Controls!$A$25:$D$35,4,FALSE()),"No")="Yes",1,0)</f>
        <v/>
      </c>
      <c r="AK555" s="96">
        <f>IF(AND($E555&gt;=Controls!$B$5,$E555&lt;=Controls!$B$6,OR(Controls!$E$9&lt;&gt;"Y",$BE555=1)),1,0)</f>
        <v/>
      </c>
      <c r="AL555" s="39">
        <f>1</f>
        <v/>
      </c>
      <c r="AM555" s="20">
        <f>S555-P555</f>
        <v/>
      </c>
      <c r="AN555" s="20">
        <f>IF(AH555=1,MAX(0,P555-S555),0)</f>
        <v/>
      </c>
      <c r="AO555" s="21">
        <f>IFERROR(S555/P555,"")</f>
        <v/>
      </c>
      <c r="AP555" s="22">
        <f>IF(Y555="","",P555/Y555)</f>
        <v/>
      </c>
      <c r="AQ555" s="39">
        <f>IF(Y555="",0,1)</f>
        <v/>
      </c>
      <c r="AR555" s="39">
        <f>IF(S555&lt;=0,1,0)</f>
        <v/>
      </c>
      <c r="AS555" s="17">
        <f>IF(AH555=1,AG555,"")</f>
        <v/>
      </c>
      <c r="AT555" s="17">
        <f>IF(AND(AH555=0,AJ555=1),AG555,"")</f>
        <v/>
      </c>
      <c r="AU555" s="5">
        <f>IF(P555&lt;10000,"Under $10K",IF(P555&lt;20000,"$10-20K",IF(P555&lt;30000,"$20-30K",IF(P555&lt;50000,"$30-50K",IF(P555&lt;100000,"$50-100K","$100K+")))))</f>
        <v/>
      </c>
      <c r="AV555" s="5">
        <f>IF(O555&lt;=1.35,"1.35 and under",IF(O555&lt;=1.42,"1.36-1.42",IF(O555&lt;=1.45,"1.43-1.45",IF(O555&lt;1.49,"1.46-1.48",IF(O555&lt;=1.49,"1.49","Above 1.49")))))</f>
        <v/>
      </c>
      <c r="AW555" s="5">
        <f>IF(AE555="","",IF(AE555&lt;60,"Under 60",IF(AE555&lt;90,"60-89",IF(AE555&lt;120,"90-119",IF(AE555&lt;150,"120-149","150+")))))</f>
        <v/>
      </c>
      <c r="AX555" s="5">
        <f>IF(AP555="","No revenue data",IF(AP555&lt;0.15,"Under 0.15x",IF(AP555&lt;0.3,"0.15-0.30x",IF(AP555&lt;0.5,"0.30-0.50x",IF(AP555&lt;1,"0.50-1.00x","1.00x+")))))</f>
        <v/>
      </c>
      <c r="AY555" s="5">
        <f>IF(J555="","No SIC",IFERROR(VLOOKUP(J555,Ref!$A$4:$C$67,2,FALSE()),"Unclassified"))</f>
        <v/>
      </c>
      <c r="AZ555" s="5">
        <f>IF(E555="","",TEXT(E555,"YYYY")&amp;"-Q"&amp;ROUNDUP(MONTH(E555)/3,0))</f>
        <v/>
      </c>
      <c r="BA555" s="5">
        <f>IF(E555="","",TEXT(E555,"YYYY-MM"))</f>
        <v/>
      </c>
      <c r="BB555" s="5">
        <f>IF(E555="","",TEXT(E555,"YYYY"))</f>
        <v/>
      </c>
      <c r="BC555" s="92">
        <f>IF($E555="","",NETWORKDAYS($E555,Controls!$B$9,Ref!$F$4:$F$47))</f>
        <v/>
      </c>
      <c r="BD555" s="92">
        <f>IF(OR($AH555=1,$AJ555=1),1,0)</f>
        <v/>
      </c>
      <c r="BE555" s="95">
        <f>IF(OR($BD555=1,AND($AE555&lt;&gt;"",$BC555&gt;=Controls!$B$10*$AE555)),1,0)</f>
        <v/>
      </c>
    </row>
    <row r="556" ht="15.75" customHeight="1" s="79">
      <c r="A556" s="5" t="inlineStr">
        <is>
          <t>5674177004</t>
        </is>
      </c>
      <c r="B556" s="5" t="inlineStr">
        <is>
          <t>Summit Solar Solutions, LLC</t>
        </is>
      </c>
      <c r="C556" s="5" t="inlineStr">
        <is>
          <t>Summit Solar Solutions, LLC</t>
        </is>
      </c>
      <c r="D556" s="5" t="inlineStr">
        <is>
          <t>Legal</t>
        </is>
      </c>
      <c r="E556" s="16" t="n">
        <v>46044</v>
      </c>
      <c r="F556" s="16" t="n">
        <v>46205</v>
      </c>
      <c r="G556" s="17" t="n">
        <v>3</v>
      </c>
      <c r="H556" s="5" t="inlineStr">
        <is>
          <t>1711</t>
        </is>
      </c>
      <c r="I556" s="5" t="inlineStr">
        <is>
          <t>Plumbing, Heating, and Air Conditioning Contractors</t>
        </is>
      </c>
      <c r="J556" s="5" t="inlineStr">
        <is>
          <t>17</t>
        </is>
      </c>
      <c r="K556" s="5" t="n">
        <v>1711</v>
      </c>
      <c r="L556" s="5" t="inlineStr">
        <is>
          <t>MA</t>
        </is>
      </c>
      <c r="M556" s="5" t="inlineStr">
        <is>
          <t>PMF</t>
        </is>
      </c>
      <c r="N556" s="5" t="inlineStr">
        <is>
          <t>New Deal</t>
        </is>
      </c>
      <c r="O556" s="19" t="n">
        <v>1.43</v>
      </c>
      <c r="P556" s="20" t="n">
        <v>175000</v>
      </c>
      <c r="Q556" s="20" t="n">
        <v>15750</v>
      </c>
      <c r="R556" s="20" t="n">
        <v>250250</v>
      </c>
      <c r="S556" s="20" t="n">
        <v>51015.73</v>
      </c>
      <c r="T556" s="20" t="n">
        <v>199234.27</v>
      </c>
      <c r="U556" s="21" t="n">
        <v>0.203859060939061</v>
      </c>
      <c r="V556" s="22" t="n">
        <v>38</v>
      </c>
      <c r="W556" s="17" t="n">
        <v>58</v>
      </c>
      <c r="X556" s="17" t="n">
        <v>3</v>
      </c>
      <c r="Y556" s="20" t="n">
        <v>2347109.12</v>
      </c>
      <c r="Z556" s="21" t="n">
        <v>0.0112</v>
      </c>
      <c r="AA556" s="16" t="n">
        <v>42632</v>
      </c>
      <c r="AB556" s="5">
        <f>IF(V556="","",IF(V556&lt;12,"Months","Weeks"))</f>
        <v/>
      </c>
      <c r="AC556" s="5">
        <f>IF(AB556="","",IF(AB556="Months","Daily","Weekly"))</f>
        <v/>
      </c>
      <c r="AD556" s="17">
        <f>IF(V556="","",IF(AC556="Daily",V556*Controls!$B$13,V556))</f>
        <v/>
      </c>
      <c r="AE556" s="17">
        <f>IF(V556="","",IF(AC556="Daily",V556*Controls!$B$13,V556*Controls!$B$12))</f>
        <v/>
      </c>
      <c r="AF556" s="17">
        <f>IF(OR(E556="",F556=""),"",F556-E556)</f>
        <v/>
      </c>
      <c r="AG556" s="17">
        <f>IF(OR(E556="",F556=""),"",NETWORKDAYS(E556,F556,Ref!$F$4:$F$47))</f>
        <v/>
      </c>
      <c r="AH556" s="39">
        <f>IF(IFERROR(VLOOKUP(D556,Controls!$A$25:$D$35,2,FALSE()),"No")="Yes",1,0)</f>
        <v/>
      </c>
      <c r="AI556" s="39">
        <f>IF(IFERROR(VLOOKUP(D556,Controls!$A$25:$D$35,3,FALSE()),"No")="Yes",1,0)</f>
        <v/>
      </c>
      <c r="AJ556" s="39">
        <f>IF(IFERROR(VLOOKUP(D556,Controls!$A$25:$D$35,4,FALSE()),"No")="Yes",1,0)</f>
        <v/>
      </c>
      <c r="AK556" s="96">
        <f>IF(AND($E556&gt;=Controls!$B$5,$E556&lt;=Controls!$B$6,OR(Controls!$E$9&lt;&gt;"Y",$BE556=1)),1,0)</f>
        <v/>
      </c>
      <c r="AL556" s="39">
        <f>1</f>
        <v/>
      </c>
      <c r="AM556" s="20">
        <f>S556-P556</f>
        <v/>
      </c>
      <c r="AN556" s="20">
        <f>IF(AH556=1,MAX(0,P556-S556),0)</f>
        <v/>
      </c>
      <c r="AO556" s="21">
        <f>IFERROR(S556/P556,"")</f>
        <v/>
      </c>
      <c r="AP556" s="22">
        <f>IF(Y556="","",P556/Y556)</f>
        <v/>
      </c>
      <c r="AQ556" s="39">
        <f>IF(Y556="",0,1)</f>
        <v/>
      </c>
      <c r="AR556" s="39">
        <f>IF(S556&lt;=0,1,0)</f>
        <v/>
      </c>
      <c r="AS556" s="17">
        <f>IF(AH556=1,AG556,"")</f>
        <v/>
      </c>
      <c r="AT556" s="17">
        <f>IF(AND(AH556=0,AJ556=1),AG556,"")</f>
        <v/>
      </c>
      <c r="AU556" s="5">
        <f>IF(P556&lt;10000,"Under $10K",IF(P556&lt;20000,"$10-20K",IF(P556&lt;30000,"$20-30K",IF(P556&lt;50000,"$30-50K",IF(P556&lt;100000,"$50-100K","$100K+")))))</f>
        <v/>
      </c>
      <c r="AV556" s="5">
        <f>IF(O556&lt;=1.35,"1.35 and under",IF(O556&lt;=1.42,"1.36-1.42",IF(O556&lt;=1.45,"1.43-1.45",IF(O556&lt;1.49,"1.46-1.48",IF(O556&lt;=1.49,"1.49","Above 1.49")))))</f>
        <v/>
      </c>
      <c r="AW556" s="5">
        <f>IF(AE556="","",IF(AE556&lt;60,"Under 60",IF(AE556&lt;90,"60-89",IF(AE556&lt;120,"90-119",IF(AE556&lt;150,"120-149","150+")))))</f>
        <v/>
      </c>
      <c r="AX556" s="5">
        <f>IF(AP556="","No revenue data",IF(AP556&lt;0.15,"Under 0.15x",IF(AP556&lt;0.3,"0.15-0.30x",IF(AP556&lt;0.5,"0.30-0.50x",IF(AP556&lt;1,"0.50-1.00x","1.00x+")))))</f>
        <v/>
      </c>
      <c r="AY556" s="5">
        <f>IF(J556="","No SIC",IFERROR(VLOOKUP(J556,Ref!$A$4:$C$67,2,FALSE()),"Unclassified"))</f>
        <v/>
      </c>
      <c r="AZ556" s="5">
        <f>IF(E556="","",TEXT(E556,"YYYY")&amp;"-Q"&amp;ROUNDUP(MONTH(E556)/3,0))</f>
        <v/>
      </c>
      <c r="BA556" s="5">
        <f>IF(E556="","",TEXT(E556,"YYYY-MM"))</f>
        <v/>
      </c>
      <c r="BB556" s="5">
        <f>IF(E556="","",TEXT(E556,"YYYY"))</f>
        <v/>
      </c>
      <c r="BC556" s="92">
        <f>IF($E556="","",NETWORKDAYS($E556,Controls!$B$9,Ref!$F$4:$F$47))</f>
        <v/>
      </c>
      <c r="BD556" s="92">
        <f>IF(OR($AH556=1,$AJ556=1),1,0)</f>
        <v/>
      </c>
      <c r="BE556" s="95">
        <f>IF(OR($BD556=1,AND($AE556&lt;&gt;"",$BC556&gt;=Controls!$B$10*$AE556)),1,0)</f>
        <v/>
      </c>
    </row>
    <row r="557" ht="15.75" customHeight="1" s="79">
      <c r="A557" s="5" t="inlineStr">
        <is>
          <t>5674177010</t>
        </is>
      </c>
      <c r="B557" s="5" t="inlineStr">
        <is>
          <t>ABOUT ANYWHERE PORTA POTTY AND SEPTIC LLC</t>
        </is>
      </c>
      <c r="C557" s="5" t="inlineStr">
        <is>
          <t>ABOUT ANYWHERE PORTA POTTY AND SEPTIC LLC</t>
        </is>
      </c>
      <c r="D557" s="5" t="inlineStr">
        <is>
          <t>Settlement Agreement</t>
        </is>
      </c>
      <c r="E557" s="16" t="n">
        <v>46044</v>
      </c>
      <c r="F557" s="16" t="n">
        <v>46248</v>
      </c>
      <c r="G557" s="17" t="n">
        <v>3</v>
      </c>
      <c r="H557" s="5" t="inlineStr">
        <is>
          <t>4959</t>
        </is>
      </c>
      <c r="I557" s="5" t="inlineStr">
        <is>
          <t>All Other Misc. Waste Management Services</t>
        </is>
      </c>
      <c r="J557" s="5" t="inlineStr">
        <is>
          <t>49</t>
        </is>
      </c>
      <c r="K557" s="5" t="n">
        <v>4900</v>
      </c>
      <c r="L557" s="5" t="inlineStr">
        <is>
          <t>MO</t>
        </is>
      </c>
      <c r="M557" s="5" t="inlineStr">
        <is>
          <t>Can I Have Money</t>
        </is>
      </c>
      <c r="N557" s="5" t="inlineStr">
        <is>
          <t>New Deal</t>
        </is>
      </c>
      <c r="O557" s="19" t="n">
        <v>1.49</v>
      </c>
      <c r="P557" s="20" t="n">
        <v>9000</v>
      </c>
      <c r="Q557" s="20" t="n">
        <v>1260</v>
      </c>
      <c r="R557" s="20" t="n">
        <v>13410</v>
      </c>
      <c r="S557" s="20" t="n">
        <v>6996.22</v>
      </c>
      <c r="T557" s="20" t="n">
        <v>6413.78</v>
      </c>
      <c r="U557" s="21" t="n">
        <v>0.521716629381059</v>
      </c>
      <c r="V557" s="22" t="n">
        <v>2.623</v>
      </c>
      <c r="W557" s="17" t="n">
        <v>5</v>
      </c>
      <c r="X557" s="17" t="n">
        <v>4</v>
      </c>
      <c r="Y557" s="20" t="n">
        <v>22520.35</v>
      </c>
      <c r="Z557" s="21" t="n">
        <v>0.1563</v>
      </c>
      <c r="AA557" s="16" t="n">
        <v>39833</v>
      </c>
      <c r="AB557" s="5">
        <f>IF(V557="","",IF(V557&lt;12,"Months","Weeks"))</f>
        <v/>
      </c>
      <c r="AC557" s="5">
        <f>IF(AB557="","",IF(AB557="Months","Daily","Weekly"))</f>
        <v/>
      </c>
      <c r="AD557" s="17">
        <f>IF(V557="","",IF(AC557="Daily",V557*Controls!$B$13,V557))</f>
        <v/>
      </c>
      <c r="AE557" s="17">
        <f>IF(V557="","",IF(AC557="Daily",V557*Controls!$B$13,V557*Controls!$B$12))</f>
        <v/>
      </c>
      <c r="AF557" s="17">
        <f>IF(OR(E557="",F557=""),"",F557-E557)</f>
        <v/>
      </c>
      <c r="AG557" s="17">
        <f>IF(OR(E557="",F557=""),"",NETWORKDAYS(E557,F557,Ref!$F$4:$F$47))</f>
        <v/>
      </c>
      <c r="AH557" s="39">
        <f>IF(IFERROR(VLOOKUP(D557,Controls!$A$25:$D$35,2,FALSE()),"No")="Yes",1,0)</f>
        <v/>
      </c>
      <c r="AI557" s="39">
        <f>IF(IFERROR(VLOOKUP(D557,Controls!$A$25:$D$35,3,FALSE()),"No")="Yes",1,0)</f>
        <v/>
      </c>
      <c r="AJ557" s="39">
        <f>IF(IFERROR(VLOOKUP(D557,Controls!$A$25:$D$35,4,FALSE()),"No")="Yes",1,0)</f>
        <v/>
      </c>
      <c r="AK557" s="96">
        <f>IF(AND($E557&gt;=Controls!$B$5,$E557&lt;=Controls!$B$6,OR(Controls!$E$9&lt;&gt;"Y",$BE557=1)),1,0)</f>
        <v/>
      </c>
      <c r="AL557" s="39">
        <f>1</f>
        <v/>
      </c>
      <c r="AM557" s="20">
        <f>S557-P557</f>
        <v/>
      </c>
      <c r="AN557" s="20">
        <f>IF(AH557=1,MAX(0,P557-S557),0)</f>
        <v/>
      </c>
      <c r="AO557" s="21">
        <f>IFERROR(S557/P557,"")</f>
        <v/>
      </c>
      <c r="AP557" s="22">
        <f>IF(Y557="","",P557/Y557)</f>
        <v/>
      </c>
      <c r="AQ557" s="39">
        <f>IF(Y557="",0,1)</f>
        <v/>
      </c>
      <c r="AR557" s="39">
        <f>IF(S557&lt;=0,1,0)</f>
        <v/>
      </c>
      <c r="AS557" s="17">
        <f>IF(AH557=1,AG557,"")</f>
        <v/>
      </c>
      <c r="AT557" s="17">
        <f>IF(AND(AH557=0,AJ557=1),AG557,"")</f>
        <v/>
      </c>
      <c r="AU557" s="5">
        <f>IF(P557&lt;10000,"Under $10K",IF(P557&lt;20000,"$10-20K",IF(P557&lt;30000,"$20-30K",IF(P557&lt;50000,"$30-50K",IF(P557&lt;100000,"$50-100K","$100K+")))))</f>
        <v/>
      </c>
      <c r="AV557" s="5">
        <f>IF(O557&lt;=1.35,"1.35 and under",IF(O557&lt;=1.42,"1.36-1.42",IF(O557&lt;=1.45,"1.43-1.45",IF(O557&lt;1.49,"1.46-1.48",IF(O557&lt;=1.49,"1.49","Above 1.49")))))</f>
        <v/>
      </c>
      <c r="AW557" s="5">
        <f>IF(AE557="","",IF(AE557&lt;60,"Under 60",IF(AE557&lt;90,"60-89",IF(AE557&lt;120,"90-119",IF(AE557&lt;150,"120-149","150+")))))</f>
        <v/>
      </c>
      <c r="AX557" s="5">
        <f>IF(AP557="","No revenue data",IF(AP557&lt;0.15,"Under 0.15x",IF(AP557&lt;0.3,"0.15-0.30x",IF(AP557&lt;0.5,"0.30-0.50x",IF(AP557&lt;1,"0.50-1.00x","1.00x+")))))</f>
        <v/>
      </c>
      <c r="AY557" s="5">
        <f>IF(J557="","No SIC",IFERROR(VLOOKUP(J557,Ref!$A$4:$C$67,2,FALSE()),"Unclassified"))</f>
        <v/>
      </c>
      <c r="AZ557" s="5">
        <f>IF(E557="","",TEXT(E557,"YYYY")&amp;"-Q"&amp;ROUNDUP(MONTH(E557)/3,0))</f>
        <v/>
      </c>
      <c r="BA557" s="5">
        <f>IF(E557="","",TEXT(E557,"YYYY-MM"))</f>
        <v/>
      </c>
      <c r="BB557" s="5">
        <f>IF(E557="","",TEXT(E557,"YYYY"))</f>
        <v/>
      </c>
      <c r="BC557" s="92">
        <f>IF($E557="","",NETWORKDAYS($E557,Controls!$B$9,Ref!$F$4:$F$47))</f>
        <v/>
      </c>
      <c r="BD557" s="92">
        <f>IF(OR($AH557=1,$AJ557=1),1,0)</f>
        <v/>
      </c>
      <c r="BE557" s="95">
        <f>IF(OR($BD557=1,AND($AE557&lt;&gt;"",$BC557&gt;=Controls!$B$10*$AE557)),1,0)</f>
        <v/>
      </c>
    </row>
    <row r="558" ht="15.75" customHeight="1" s="79">
      <c r="A558" s="5" t="inlineStr">
        <is>
          <t>5674177016</t>
        </is>
      </c>
      <c r="B558" s="5" t="inlineStr">
        <is>
          <t>RS WELDING CONSTRUCTION LLC</t>
        </is>
      </c>
      <c r="C558" s="5" t="inlineStr">
        <is>
          <t>RS WELDING CONSTRUCTION LLC</t>
        </is>
      </c>
      <c r="D558" s="5" t="inlineStr">
        <is>
          <t>Legal</t>
        </is>
      </c>
      <c r="E558" s="16" t="n">
        <v>46044</v>
      </c>
      <c r="F558" s="16" t="n">
        <v>46108</v>
      </c>
      <c r="G558" s="17" t="n">
        <v>2</v>
      </c>
      <c r="H558" s="5" t="inlineStr">
        <is>
          <t>7692</t>
        </is>
      </c>
      <c r="I558" s="5" t="inlineStr">
        <is>
          <t>Other Personal and Household Goods Repair and Maintenance</t>
        </is>
      </c>
      <c r="J558" s="5" t="inlineStr">
        <is>
          <t>76</t>
        </is>
      </c>
      <c r="K558" s="5" t="n">
        <v>7692</v>
      </c>
      <c r="L558" s="5" t="inlineStr">
        <is>
          <t>TX</t>
        </is>
      </c>
      <c r="M558" s="5" t="inlineStr">
        <is>
          <t>Ballicci</t>
        </is>
      </c>
      <c r="N558" s="5" t="inlineStr">
        <is>
          <t>New Deal</t>
        </is>
      </c>
      <c r="O558" s="19" t="n">
        <v>1.49</v>
      </c>
      <c r="P558" s="20" t="n">
        <v>30000</v>
      </c>
      <c r="Q558" s="20" t="n">
        <v>4200</v>
      </c>
      <c r="R558" s="20" t="n">
        <v>44700</v>
      </c>
      <c r="S558" s="20" t="n">
        <v>5215.14</v>
      </c>
      <c r="T558" s="20" t="n">
        <v>39484.86</v>
      </c>
      <c r="U558" s="21" t="n">
        <v>0.116669798657718</v>
      </c>
      <c r="V558" s="22" t="n">
        <v>3.934</v>
      </c>
      <c r="W558" s="17" t="n">
        <v>187</v>
      </c>
      <c r="X558" s="17" t="n">
        <v>29</v>
      </c>
      <c r="Y558" s="20" t="n">
        <v>79986.60000000001</v>
      </c>
      <c r="Z558" s="21" t="n">
        <v>0.0978</v>
      </c>
      <c r="AA558" s="16" t="n">
        <v>45642</v>
      </c>
      <c r="AB558" s="5">
        <f>IF(V558="","",IF(V558&lt;12,"Months","Weeks"))</f>
        <v/>
      </c>
      <c r="AC558" s="5">
        <f>IF(AB558="","",IF(AB558="Months","Daily","Weekly"))</f>
        <v/>
      </c>
      <c r="AD558" s="17">
        <f>IF(V558="","",IF(AC558="Daily",V558*Controls!$B$13,V558))</f>
        <v/>
      </c>
      <c r="AE558" s="17">
        <f>IF(V558="","",IF(AC558="Daily",V558*Controls!$B$13,V558*Controls!$B$12))</f>
        <v/>
      </c>
      <c r="AF558" s="17">
        <f>IF(OR(E558="",F558=""),"",F558-E558)</f>
        <v/>
      </c>
      <c r="AG558" s="17">
        <f>IF(OR(E558="",F558=""),"",NETWORKDAYS(E558,F558,Ref!$F$4:$F$47))</f>
        <v/>
      </c>
      <c r="AH558" s="39">
        <f>IF(IFERROR(VLOOKUP(D558,Controls!$A$25:$D$35,2,FALSE()),"No")="Yes",1,0)</f>
        <v/>
      </c>
      <c r="AI558" s="39">
        <f>IF(IFERROR(VLOOKUP(D558,Controls!$A$25:$D$35,3,FALSE()),"No")="Yes",1,0)</f>
        <v/>
      </c>
      <c r="AJ558" s="39">
        <f>IF(IFERROR(VLOOKUP(D558,Controls!$A$25:$D$35,4,FALSE()),"No")="Yes",1,0)</f>
        <v/>
      </c>
      <c r="AK558" s="96">
        <f>IF(AND($E558&gt;=Controls!$B$5,$E558&lt;=Controls!$B$6,OR(Controls!$E$9&lt;&gt;"Y",$BE558=1)),1,0)</f>
        <v/>
      </c>
      <c r="AL558" s="39">
        <f>1</f>
        <v/>
      </c>
      <c r="AM558" s="20">
        <f>S558-P558</f>
        <v/>
      </c>
      <c r="AN558" s="20">
        <f>IF(AH558=1,MAX(0,P558-S558),0)</f>
        <v/>
      </c>
      <c r="AO558" s="21">
        <f>IFERROR(S558/P558,"")</f>
        <v/>
      </c>
      <c r="AP558" s="22">
        <f>IF(Y558="","",P558/Y558)</f>
        <v/>
      </c>
      <c r="AQ558" s="39">
        <f>IF(Y558="",0,1)</f>
        <v/>
      </c>
      <c r="AR558" s="39">
        <f>IF(S558&lt;=0,1,0)</f>
        <v/>
      </c>
      <c r="AS558" s="17">
        <f>IF(AH558=1,AG558,"")</f>
        <v/>
      </c>
      <c r="AT558" s="17">
        <f>IF(AND(AH558=0,AJ558=1),AG558,"")</f>
        <v/>
      </c>
      <c r="AU558" s="5">
        <f>IF(P558&lt;10000,"Under $10K",IF(P558&lt;20000,"$10-20K",IF(P558&lt;30000,"$20-30K",IF(P558&lt;50000,"$30-50K",IF(P558&lt;100000,"$50-100K","$100K+")))))</f>
        <v/>
      </c>
      <c r="AV558" s="5">
        <f>IF(O558&lt;=1.35,"1.35 and under",IF(O558&lt;=1.42,"1.36-1.42",IF(O558&lt;=1.45,"1.43-1.45",IF(O558&lt;1.49,"1.46-1.48",IF(O558&lt;=1.49,"1.49","Above 1.49")))))</f>
        <v/>
      </c>
      <c r="AW558" s="5">
        <f>IF(AE558="","",IF(AE558&lt;60,"Under 60",IF(AE558&lt;90,"60-89",IF(AE558&lt;120,"90-119",IF(AE558&lt;150,"120-149","150+")))))</f>
        <v/>
      </c>
      <c r="AX558" s="5">
        <f>IF(AP558="","No revenue data",IF(AP558&lt;0.15,"Under 0.15x",IF(AP558&lt;0.3,"0.15-0.30x",IF(AP558&lt;0.5,"0.30-0.50x",IF(AP558&lt;1,"0.50-1.00x","1.00x+")))))</f>
        <v/>
      </c>
      <c r="AY558" s="5">
        <f>IF(J558="","No SIC",IFERROR(VLOOKUP(J558,Ref!$A$4:$C$67,2,FALSE()),"Unclassified"))</f>
        <v/>
      </c>
      <c r="AZ558" s="5">
        <f>IF(E558="","",TEXT(E558,"YYYY")&amp;"-Q"&amp;ROUNDUP(MONTH(E558)/3,0))</f>
        <v/>
      </c>
      <c r="BA558" s="5">
        <f>IF(E558="","",TEXT(E558,"YYYY-MM"))</f>
        <v/>
      </c>
      <c r="BB558" s="5">
        <f>IF(E558="","",TEXT(E558,"YYYY"))</f>
        <v/>
      </c>
      <c r="BC558" s="92">
        <f>IF($E558="","",NETWORKDAYS($E558,Controls!$B$9,Ref!$F$4:$F$47))</f>
        <v/>
      </c>
      <c r="BD558" s="92">
        <f>IF(OR($AH558=1,$AJ558=1),1,0)</f>
        <v/>
      </c>
      <c r="BE558" s="95">
        <f>IF(OR($BD558=1,AND($AE558&lt;&gt;"",$BC558&gt;=Controls!$B$10*$AE558)),1,0)</f>
        <v/>
      </c>
    </row>
    <row r="559" ht="15.75" customHeight="1" s="79">
      <c r="A559" s="5" t="inlineStr">
        <is>
          <t>5674177060</t>
        </is>
      </c>
      <c r="B559" s="5" t="inlineStr">
        <is>
          <t>WINNING MENTALITY INVESTMENTS</t>
        </is>
      </c>
      <c r="C559" s="5" t="inlineStr">
        <is>
          <t>WINNING MENTALITY INVESTMENTS INC</t>
        </is>
      </c>
      <c r="D559" s="5" t="inlineStr">
        <is>
          <t>In House Collection</t>
        </is>
      </c>
      <c r="E559" s="16" t="n">
        <v>46045</v>
      </c>
      <c r="F559" s="16" t="n">
        <v>46093</v>
      </c>
      <c r="G559" s="17" t="n">
        <v>2</v>
      </c>
      <c r="H559" s="5" t="inlineStr">
        <is>
          <t>7538</t>
        </is>
      </c>
      <c r="I559" s="5" t="inlineStr">
        <is>
          <t>General Automotive Repair</t>
        </is>
      </c>
      <c r="J559" s="5" t="inlineStr">
        <is>
          <t>75</t>
        </is>
      </c>
      <c r="K559" s="5" t="n">
        <v>7538</v>
      </c>
      <c r="L559" s="5" t="inlineStr">
        <is>
          <t>CA</t>
        </is>
      </c>
      <c r="M559" s="5" t="inlineStr">
        <is>
          <t>Tech Consulting Pro LLC D/B/A: Nationwide Advance</t>
        </is>
      </c>
      <c r="N559" s="5" t="inlineStr">
        <is>
          <t>New Deal</t>
        </is>
      </c>
      <c r="O559" s="19" t="n">
        <v>1.49</v>
      </c>
      <c r="P559" s="20" t="n">
        <v>25000</v>
      </c>
      <c r="Q559" s="20" t="n">
        <v>3500</v>
      </c>
      <c r="R559" s="20" t="n">
        <v>37250</v>
      </c>
      <c r="S559" s="20" t="n">
        <v>9316.5</v>
      </c>
      <c r="T559" s="20" t="n">
        <v>27933.5</v>
      </c>
      <c r="U559" s="21" t="n">
        <v>0.250107382550336</v>
      </c>
      <c r="V559" s="22" t="n">
        <v>3.934</v>
      </c>
      <c r="W559" s="17" t="n">
        <v>166</v>
      </c>
      <c r="X559" s="17" t="n">
        <v>4</v>
      </c>
      <c r="Y559" s="20" t="n">
        <v>74873.96000000001</v>
      </c>
      <c r="Z559" s="21" t="n">
        <v>0.0871</v>
      </c>
      <c r="AA559" s="5" t="n"/>
      <c r="AB559" s="5">
        <f>IF(V559="","",IF(V559&lt;12,"Months","Weeks"))</f>
        <v/>
      </c>
      <c r="AC559" s="5">
        <f>IF(AB559="","",IF(AB559="Months","Daily","Weekly"))</f>
        <v/>
      </c>
      <c r="AD559" s="17">
        <f>IF(V559="","",IF(AC559="Daily",V559*Controls!$B$13,V559))</f>
        <v/>
      </c>
      <c r="AE559" s="17">
        <f>IF(V559="","",IF(AC559="Daily",V559*Controls!$B$13,V559*Controls!$B$12))</f>
        <v/>
      </c>
      <c r="AF559" s="17">
        <f>IF(OR(E559="",F559=""),"",F559-E559)</f>
        <v/>
      </c>
      <c r="AG559" s="17">
        <f>IF(OR(E559="",F559=""),"",NETWORKDAYS(E559,F559,Ref!$F$4:$F$47))</f>
        <v/>
      </c>
      <c r="AH559" s="39">
        <f>IF(IFERROR(VLOOKUP(D559,Controls!$A$25:$D$35,2,FALSE()),"No")="Yes",1,0)</f>
        <v/>
      </c>
      <c r="AI559" s="39">
        <f>IF(IFERROR(VLOOKUP(D559,Controls!$A$25:$D$35,3,FALSE()),"No")="Yes",1,0)</f>
        <v/>
      </c>
      <c r="AJ559" s="39">
        <f>IF(IFERROR(VLOOKUP(D559,Controls!$A$25:$D$35,4,FALSE()),"No")="Yes",1,0)</f>
        <v/>
      </c>
      <c r="AK559" s="96">
        <f>IF(AND($E559&gt;=Controls!$B$5,$E559&lt;=Controls!$B$6,OR(Controls!$E$9&lt;&gt;"Y",$BE559=1)),1,0)</f>
        <v/>
      </c>
      <c r="AL559" s="39">
        <f>1</f>
        <v/>
      </c>
      <c r="AM559" s="20">
        <f>S559-P559</f>
        <v/>
      </c>
      <c r="AN559" s="20">
        <f>IF(AH559=1,MAX(0,P559-S559),0)</f>
        <v/>
      </c>
      <c r="AO559" s="21">
        <f>IFERROR(S559/P559,"")</f>
        <v/>
      </c>
      <c r="AP559" s="22">
        <f>IF(Y559="","",P559/Y559)</f>
        <v/>
      </c>
      <c r="AQ559" s="39">
        <f>IF(Y559="",0,1)</f>
        <v/>
      </c>
      <c r="AR559" s="39">
        <f>IF(S559&lt;=0,1,0)</f>
        <v/>
      </c>
      <c r="AS559" s="17">
        <f>IF(AH559=1,AG559,"")</f>
        <v/>
      </c>
      <c r="AT559" s="17">
        <f>IF(AND(AH559=0,AJ559=1),AG559,"")</f>
        <v/>
      </c>
      <c r="AU559" s="5">
        <f>IF(P559&lt;10000,"Under $10K",IF(P559&lt;20000,"$10-20K",IF(P559&lt;30000,"$20-30K",IF(P559&lt;50000,"$30-50K",IF(P559&lt;100000,"$50-100K","$100K+")))))</f>
        <v/>
      </c>
      <c r="AV559" s="5">
        <f>IF(O559&lt;=1.35,"1.35 and under",IF(O559&lt;=1.42,"1.36-1.42",IF(O559&lt;=1.45,"1.43-1.45",IF(O559&lt;1.49,"1.46-1.48",IF(O559&lt;=1.49,"1.49","Above 1.49")))))</f>
        <v/>
      </c>
      <c r="AW559" s="5">
        <f>IF(AE559="","",IF(AE559&lt;60,"Under 60",IF(AE559&lt;90,"60-89",IF(AE559&lt;120,"90-119",IF(AE559&lt;150,"120-149","150+")))))</f>
        <v/>
      </c>
      <c r="AX559" s="5">
        <f>IF(AP559="","No revenue data",IF(AP559&lt;0.15,"Under 0.15x",IF(AP559&lt;0.3,"0.15-0.30x",IF(AP559&lt;0.5,"0.30-0.50x",IF(AP559&lt;1,"0.50-1.00x","1.00x+")))))</f>
        <v/>
      </c>
      <c r="AY559" s="5">
        <f>IF(J559="","No SIC",IFERROR(VLOOKUP(J559,Ref!$A$4:$C$67,2,FALSE()),"Unclassified"))</f>
        <v/>
      </c>
      <c r="AZ559" s="5">
        <f>IF(E559="","",TEXT(E559,"YYYY")&amp;"-Q"&amp;ROUNDUP(MONTH(E559)/3,0))</f>
        <v/>
      </c>
      <c r="BA559" s="5">
        <f>IF(E559="","",TEXT(E559,"YYYY-MM"))</f>
        <v/>
      </c>
      <c r="BB559" s="5">
        <f>IF(E559="","",TEXT(E559,"YYYY"))</f>
        <v/>
      </c>
      <c r="BC559" s="92">
        <f>IF($E559="","",NETWORKDAYS($E559,Controls!$B$9,Ref!$F$4:$F$47))</f>
        <v/>
      </c>
      <c r="BD559" s="92">
        <f>IF(OR($AH559=1,$AJ559=1),1,0)</f>
        <v/>
      </c>
      <c r="BE559" s="95">
        <f>IF(OR($BD559=1,AND($AE559&lt;&gt;"",$BC559&gt;=Controls!$B$10*$AE559)),1,0)</f>
        <v/>
      </c>
    </row>
    <row r="560" ht="15.75" customHeight="1" s="79">
      <c r="A560" s="5" t="inlineStr">
        <is>
          <t>5674177082</t>
        </is>
      </c>
      <c r="B560" s="5" t="inlineStr">
        <is>
          <t>RAUL B. RODRIGUEZ LAW PC</t>
        </is>
      </c>
      <c r="C560" s="5" t="inlineStr">
        <is>
          <t>RAUL B. RODRIGUEZ LAW PC.</t>
        </is>
      </c>
      <c r="D560" s="5" t="inlineStr">
        <is>
          <t>Closed</t>
        </is>
      </c>
      <c r="E560" s="16" t="n">
        <v>46045</v>
      </c>
      <c r="F560" s="16" t="n">
        <v>46171</v>
      </c>
      <c r="G560" s="17" t="n">
        <v>3</v>
      </c>
      <c r="H560" s="5" t="inlineStr">
        <is>
          <t>8111</t>
        </is>
      </c>
      <c r="I560" s="5" t="inlineStr">
        <is>
          <t>Offices of Lawyers</t>
        </is>
      </c>
      <c r="J560" s="5" t="inlineStr">
        <is>
          <t>81</t>
        </is>
      </c>
      <c r="K560" s="5" t="n">
        <v>8111</v>
      </c>
      <c r="L560" s="5" t="inlineStr">
        <is>
          <t>TX</t>
        </is>
      </c>
      <c r="M560" s="5" t="inlineStr">
        <is>
          <t>Lightning SBA Loans</t>
        </is>
      </c>
      <c r="N560" s="5" t="inlineStr">
        <is>
          <t>New Deal</t>
        </is>
      </c>
      <c r="O560" s="19" t="n">
        <v>1.49</v>
      </c>
      <c r="P560" s="20" t="n">
        <v>150000</v>
      </c>
      <c r="Q560" s="20" t="n">
        <v>21000</v>
      </c>
      <c r="R560" s="20" t="n">
        <v>223500</v>
      </c>
      <c r="S560" s="20" t="n">
        <v>223500</v>
      </c>
      <c r="T560" s="20" t="n">
        <v>0</v>
      </c>
      <c r="U560" s="21" t="n">
        <v>1</v>
      </c>
      <c r="V560" s="22" t="n">
        <v>35</v>
      </c>
      <c r="W560" s="17" t="n">
        <v>82</v>
      </c>
      <c r="X560" s="17" t="n">
        <v>0</v>
      </c>
      <c r="Y560" s="20" t="n">
        <v>919255.72</v>
      </c>
      <c r="Z560" s="21" t="n">
        <v>0.0278</v>
      </c>
      <c r="AA560" s="16" t="n">
        <v>43818</v>
      </c>
      <c r="AB560" s="5">
        <f>IF(V560="","",IF(V560&lt;12,"Months","Weeks"))</f>
        <v/>
      </c>
      <c r="AC560" s="5">
        <f>IF(AB560="","",IF(AB560="Months","Daily","Weekly"))</f>
        <v/>
      </c>
      <c r="AD560" s="17">
        <f>IF(V560="","",IF(AC560="Daily",V560*Controls!$B$13,V560))</f>
        <v/>
      </c>
      <c r="AE560" s="17">
        <f>IF(V560="","",IF(AC560="Daily",V560*Controls!$B$13,V560*Controls!$B$12))</f>
        <v/>
      </c>
      <c r="AF560" s="17">
        <f>IF(OR(E560="",F560=""),"",F560-E560)</f>
        <v/>
      </c>
      <c r="AG560" s="17">
        <f>IF(OR(E560="",F560=""),"",NETWORKDAYS(E560,F560,Ref!$F$4:$F$47))</f>
        <v/>
      </c>
      <c r="AH560" s="39">
        <f>IF(IFERROR(VLOOKUP(D560,Controls!$A$25:$D$35,2,FALSE()),"No")="Yes",1,0)</f>
        <v/>
      </c>
      <c r="AI560" s="39">
        <f>IF(IFERROR(VLOOKUP(D560,Controls!$A$25:$D$35,3,FALSE()),"No")="Yes",1,0)</f>
        <v/>
      </c>
      <c r="AJ560" s="39">
        <f>IF(IFERROR(VLOOKUP(D560,Controls!$A$25:$D$35,4,FALSE()),"No")="Yes",1,0)</f>
        <v/>
      </c>
      <c r="AK560" s="96">
        <f>IF(AND($E560&gt;=Controls!$B$5,$E560&lt;=Controls!$B$6,OR(Controls!$E$9&lt;&gt;"Y",$BE560=1)),1,0)</f>
        <v/>
      </c>
      <c r="AL560" s="39">
        <f>1</f>
        <v/>
      </c>
      <c r="AM560" s="20">
        <f>S560-P560</f>
        <v/>
      </c>
      <c r="AN560" s="20">
        <f>IF(AH560=1,MAX(0,P560-S560),0)</f>
        <v/>
      </c>
      <c r="AO560" s="21">
        <f>IFERROR(S560/P560,"")</f>
        <v/>
      </c>
      <c r="AP560" s="22">
        <f>IF(Y560="","",P560/Y560)</f>
        <v/>
      </c>
      <c r="AQ560" s="39">
        <f>IF(Y560="",0,1)</f>
        <v/>
      </c>
      <c r="AR560" s="39">
        <f>IF(S560&lt;=0,1,0)</f>
        <v/>
      </c>
      <c r="AS560" s="17">
        <f>IF(AH560=1,AG560,"")</f>
        <v/>
      </c>
      <c r="AT560" s="17">
        <f>IF(AND(AH560=0,AJ560=1),AG560,"")</f>
        <v/>
      </c>
      <c r="AU560" s="5">
        <f>IF(P560&lt;10000,"Under $10K",IF(P560&lt;20000,"$10-20K",IF(P560&lt;30000,"$20-30K",IF(P560&lt;50000,"$30-50K",IF(P560&lt;100000,"$50-100K","$100K+")))))</f>
        <v/>
      </c>
      <c r="AV560" s="5">
        <f>IF(O560&lt;=1.35,"1.35 and under",IF(O560&lt;=1.42,"1.36-1.42",IF(O560&lt;=1.45,"1.43-1.45",IF(O560&lt;1.49,"1.46-1.48",IF(O560&lt;=1.49,"1.49","Above 1.49")))))</f>
        <v/>
      </c>
      <c r="AW560" s="5">
        <f>IF(AE560="","",IF(AE560&lt;60,"Under 60",IF(AE560&lt;90,"60-89",IF(AE560&lt;120,"90-119",IF(AE560&lt;150,"120-149","150+")))))</f>
        <v/>
      </c>
      <c r="AX560" s="5">
        <f>IF(AP560="","No revenue data",IF(AP560&lt;0.15,"Under 0.15x",IF(AP560&lt;0.3,"0.15-0.30x",IF(AP560&lt;0.5,"0.30-0.50x",IF(AP560&lt;1,"0.50-1.00x","1.00x+")))))</f>
        <v/>
      </c>
      <c r="AY560" s="5">
        <f>IF(J560="","No SIC",IFERROR(VLOOKUP(J560,Ref!$A$4:$C$67,2,FALSE()),"Unclassified"))</f>
        <v/>
      </c>
      <c r="AZ560" s="5">
        <f>IF(E560="","",TEXT(E560,"YYYY")&amp;"-Q"&amp;ROUNDUP(MONTH(E560)/3,0))</f>
        <v/>
      </c>
      <c r="BA560" s="5">
        <f>IF(E560="","",TEXT(E560,"YYYY-MM"))</f>
        <v/>
      </c>
      <c r="BB560" s="5">
        <f>IF(E560="","",TEXT(E560,"YYYY"))</f>
        <v/>
      </c>
      <c r="BC560" s="92">
        <f>IF($E560="","",NETWORKDAYS($E560,Controls!$B$9,Ref!$F$4:$F$47))</f>
        <v/>
      </c>
      <c r="BD560" s="92">
        <f>IF(OR($AH560=1,$AJ560=1),1,0)</f>
        <v/>
      </c>
      <c r="BE560" s="95">
        <f>IF(OR($BD560=1,AND($AE560&lt;&gt;"",$BC560&gt;=Controls!$B$10*$AE560)),1,0)</f>
        <v/>
      </c>
    </row>
    <row r="561" ht="15.75" customHeight="1" s="79">
      <c r="A561" s="5" t="inlineStr">
        <is>
          <t>5674177100</t>
        </is>
      </c>
      <c r="B561" s="5" t="inlineStr">
        <is>
          <t>Sand Trap Bar &amp; Grill</t>
        </is>
      </c>
      <c r="C561" s="5" t="inlineStr">
        <is>
          <t>C &amp; a Restaurant Group Llc</t>
        </is>
      </c>
      <c r="D561" s="5" t="inlineStr">
        <is>
          <t>Legal</t>
        </is>
      </c>
      <c r="E561" s="16" t="n">
        <v>46045</v>
      </c>
      <c r="F561" s="16" t="n">
        <v>46139</v>
      </c>
      <c r="G561" s="17" t="n">
        <v>4</v>
      </c>
      <c r="H561" s="5" t="inlineStr">
        <is>
          <t>5812</t>
        </is>
      </c>
      <c r="I561" s="5" t="inlineStr">
        <is>
          <t>Snack and Nonalcoholic Beverage Bars</t>
        </is>
      </c>
      <c r="J561" s="5" t="inlineStr">
        <is>
          <t>58</t>
        </is>
      </c>
      <c r="K561" s="5" t="n">
        <v>5812</v>
      </c>
      <c r="L561" s="5" t="inlineStr">
        <is>
          <t>WI</t>
        </is>
      </c>
      <c r="M561" s="5" t="inlineStr">
        <is>
          <t>Ballicci</t>
        </is>
      </c>
      <c r="N561" s="5" t="inlineStr">
        <is>
          <t>New Deal</t>
        </is>
      </c>
      <c r="O561" s="19" t="n">
        <v>1.49</v>
      </c>
      <c r="P561" s="20" t="n">
        <v>15000</v>
      </c>
      <c r="Q561" s="20" t="n">
        <v>2100</v>
      </c>
      <c r="R561" s="20" t="n">
        <v>22350</v>
      </c>
      <c r="S561" s="20" t="n">
        <v>8102.89</v>
      </c>
      <c r="T561" s="20" t="n">
        <v>14247.11</v>
      </c>
      <c r="U561" s="21" t="n">
        <v>0.362545413870246</v>
      </c>
      <c r="V561" s="22" t="n">
        <v>2.623</v>
      </c>
      <c r="W561" s="17" t="n">
        <v>159</v>
      </c>
      <c r="X561" s="17" t="n">
        <v>17</v>
      </c>
      <c r="Y561" s="20" t="n">
        <v>21046.18</v>
      </c>
      <c r="Z561" s="21" t="n">
        <v>0.2788</v>
      </c>
      <c r="AA561" s="16" t="n">
        <v>45658</v>
      </c>
      <c r="AB561" s="5">
        <f>IF(V561="","",IF(V561&lt;12,"Months","Weeks"))</f>
        <v/>
      </c>
      <c r="AC561" s="5">
        <f>IF(AB561="","",IF(AB561="Months","Daily","Weekly"))</f>
        <v/>
      </c>
      <c r="AD561" s="17">
        <f>IF(V561="","",IF(AC561="Daily",V561*Controls!$B$13,V561))</f>
        <v/>
      </c>
      <c r="AE561" s="17">
        <f>IF(V561="","",IF(AC561="Daily",V561*Controls!$B$13,V561*Controls!$B$12))</f>
        <v/>
      </c>
      <c r="AF561" s="17">
        <f>IF(OR(E561="",F561=""),"",F561-E561)</f>
        <v/>
      </c>
      <c r="AG561" s="17">
        <f>IF(OR(E561="",F561=""),"",NETWORKDAYS(E561,F561,Ref!$F$4:$F$47))</f>
        <v/>
      </c>
      <c r="AH561" s="39">
        <f>IF(IFERROR(VLOOKUP(D561,Controls!$A$25:$D$35,2,FALSE()),"No")="Yes",1,0)</f>
        <v/>
      </c>
      <c r="AI561" s="39">
        <f>IF(IFERROR(VLOOKUP(D561,Controls!$A$25:$D$35,3,FALSE()),"No")="Yes",1,0)</f>
        <v/>
      </c>
      <c r="AJ561" s="39">
        <f>IF(IFERROR(VLOOKUP(D561,Controls!$A$25:$D$35,4,FALSE()),"No")="Yes",1,0)</f>
        <v/>
      </c>
      <c r="AK561" s="96">
        <f>IF(AND($E561&gt;=Controls!$B$5,$E561&lt;=Controls!$B$6,OR(Controls!$E$9&lt;&gt;"Y",$BE561=1)),1,0)</f>
        <v/>
      </c>
      <c r="AL561" s="39">
        <f>1</f>
        <v/>
      </c>
      <c r="AM561" s="20">
        <f>S561-P561</f>
        <v/>
      </c>
      <c r="AN561" s="20">
        <f>IF(AH561=1,MAX(0,P561-S561),0)</f>
        <v/>
      </c>
      <c r="AO561" s="21">
        <f>IFERROR(S561/P561,"")</f>
        <v/>
      </c>
      <c r="AP561" s="22">
        <f>IF(Y561="","",P561/Y561)</f>
        <v/>
      </c>
      <c r="AQ561" s="39">
        <f>IF(Y561="",0,1)</f>
        <v/>
      </c>
      <c r="AR561" s="39">
        <f>IF(S561&lt;=0,1,0)</f>
        <v/>
      </c>
      <c r="AS561" s="17">
        <f>IF(AH561=1,AG561,"")</f>
        <v/>
      </c>
      <c r="AT561" s="17">
        <f>IF(AND(AH561=0,AJ561=1),AG561,"")</f>
        <v/>
      </c>
      <c r="AU561" s="5">
        <f>IF(P561&lt;10000,"Under $10K",IF(P561&lt;20000,"$10-20K",IF(P561&lt;30000,"$20-30K",IF(P561&lt;50000,"$30-50K",IF(P561&lt;100000,"$50-100K","$100K+")))))</f>
        <v/>
      </c>
      <c r="AV561" s="5">
        <f>IF(O561&lt;=1.35,"1.35 and under",IF(O561&lt;=1.42,"1.36-1.42",IF(O561&lt;=1.45,"1.43-1.45",IF(O561&lt;1.49,"1.46-1.48",IF(O561&lt;=1.49,"1.49","Above 1.49")))))</f>
        <v/>
      </c>
      <c r="AW561" s="5">
        <f>IF(AE561="","",IF(AE561&lt;60,"Under 60",IF(AE561&lt;90,"60-89",IF(AE561&lt;120,"90-119",IF(AE561&lt;150,"120-149","150+")))))</f>
        <v/>
      </c>
      <c r="AX561" s="5">
        <f>IF(AP561="","No revenue data",IF(AP561&lt;0.15,"Under 0.15x",IF(AP561&lt;0.3,"0.15-0.30x",IF(AP561&lt;0.5,"0.30-0.50x",IF(AP561&lt;1,"0.50-1.00x","1.00x+")))))</f>
        <v/>
      </c>
      <c r="AY561" s="5">
        <f>IF(J561="","No SIC",IFERROR(VLOOKUP(J561,Ref!$A$4:$C$67,2,FALSE()),"Unclassified"))</f>
        <v/>
      </c>
      <c r="AZ561" s="5">
        <f>IF(E561="","",TEXT(E561,"YYYY")&amp;"-Q"&amp;ROUNDUP(MONTH(E561)/3,0))</f>
        <v/>
      </c>
      <c r="BA561" s="5">
        <f>IF(E561="","",TEXT(E561,"YYYY-MM"))</f>
        <v/>
      </c>
      <c r="BB561" s="5">
        <f>IF(E561="","",TEXT(E561,"YYYY"))</f>
        <v/>
      </c>
      <c r="BC561" s="92">
        <f>IF($E561="","",NETWORKDAYS($E561,Controls!$B$9,Ref!$F$4:$F$47))</f>
        <v/>
      </c>
      <c r="BD561" s="92">
        <f>IF(OR($AH561=1,$AJ561=1),1,0)</f>
        <v/>
      </c>
      <c r="BE561" s="95">
        <f>IF(OR($BD561=1,AND($AE561&lt;&gt;"",$BC561&gt;=Controls!$B$10*$AE561)),1,0)</f>
        <v/>
      </c>
    </row>
    <row r="562" ht="15.75" customHeight="1" s="79">
      <c r="A562" s="5" t="inlineStr">
        <is>
          <t>5674177103</t>
        </is>
      </c>
      <c r="B562" s="5" t="inlineStr">
        <is>
          <t>JN JA AUTOS</t>
        </is>
      </c>
      <c r="C562" s="5" t="inlineStr">
        <is>
          <t>JN JA Autos, LLC</t>
        </is>
      </c>
      <c r="D562" s="5" t="inlineStr">
        <is>
          <t>Legal</t>
        </is>
      </c>
      <c r="E562" s="16" t="n">
        <v>46045</v>
      </c>
      <c r="F562" s="16" t="n">
        <v>46063</v>
      </c>
      <c r="G562" s="17" t="n">
        <v>4</v>
      </c>
      <c r="H562" s="5" t="inlineStr">
        <is>
          <t>5511</t>
        </is>
      </c>
      <c r="I562" s="5" t="inlineStr">
        <is>
          <t>New Car Dealers</t>
        </is>
      </c>
      <c r="J562" s="5" t="inlineStr">
        <is>
          <t>55</t>
        </is>
      </c>
      <c r="K562" s="5" t="n">
        <v>5511</v>
      </c>
      <c r="L562" s="5" t="inlineStr">
        <is>
          <t>NM</t>
        </is>
      </c>
      <c r="M562" s="5" t="inlineStr">
        <is>
          <t>Ballicci</t>
        </is>
      </c>
      <c r="N562" s="5" t="inlineStr">
        <is>
          <t>New Deal</t>
        </is>
      </c>
      <c r="O562" s="19" t="n">
        <v>1.49</v>
      </c>
      <c r="P562" s="20" t="n">
        <v>40000</v>
      </c>
      <c r="Q562" s="20" t="n">
        <v>0</v>
      </c>
      <c r="R562" s="20" t="n">
        <v>59600</v>
      </c>
      <c r="S562" s="20" t="n">
        <v>4127.67</v>
      </c>
      <c r="T562" s="20" t="n">
        <v>55472.33</v>
      </c>
      <c r="U562" s="21" t="n">
        <v>0.0692562080536913</v>
      </c>
      <c r="V562" s="22" t="n">
        <v>4.262</v>
      </c>
      <c r="W562" s="17" t="n">
        <v>196</v>
      </c>
      <c r="X562" s="17" t="n">
        <v>4</v>
      </c>
      <c r="Y562" s="20" t="n">
        <v>136957.4</v>
      </c>
      <c r="Z562" s="21" t="n">
        <v>0.0885</v>
      </c>
      <c r="AA562" s="16" t="n">
        <v>44276</v>
      </c>
      <c r="AB562" s="5">
        <f>IF(V562="","",IF(V562&lt;12,"Months","Weeks"))</f>
        <v/>
      </c>
      <c r="AC562" s="5">
        <f>IF(AB562="","",IF(AB562="Months","Daily","Weekly"))</f>
        <v/>
      </c>
      <c r="AD562" s="17">
        <f>IF(V562="","",IF(AC562="Daily",V562*Controls!$B$13,V562))</f>
        <v/>
      </c>
      <c r="AE562" s="17">
        <f>IF(V562="","",IF(AC562="Daily",V562*Controls!$B$13,V562*Controls!$B$12))</f>
        <v/>
      </c>
      <c r="AF562" s="17">
        <f>IF(OR(E562="",F562=""),"",F562-E562)</f>
        <v/>
      </c>
      <c r="AG562" s="17">
        <f>IF(OR(E562="",F562=""),"",NETWORKDAYS(E562,F562,Ref!$F$4:$F$47))</f>
        <v/>
      </c>
      <c r="AH562" s="39">
        <f>IF(IFERROR(VLOOKUP(D562,Controls!$A$25:$D$35,2,FALSE()),"No")="Yes",1,0)</f>
        <v/>
      </c>
      <c r="AI562" s="39">
        <f>IF(IFERROR(VLOOKUP(D562,Controls!$A$25:$D$35,3,FALSE()),"No")="Yes",1,0)</f>
        <v/>
      </c>
      <c r="AJ562" s="39">
        <f>IF(IFERROR(VLOOKUP(D562,Controls!$A$25:$D$35,4,FALSE()),"No")="Yes",1,0)</f>
        <v/>
      </c>
      <c r="AK562" s="96">
        <f>IF(AND($E562&gt;=Controls!$B$5,$E562&lt;=Controls!$B$6,OR(Controls!$E$9&lt;&gt;"Y",$BE562=1)),1,0)</f>
        <v/>
      </c>
      <c r="AL562" s="39">
        <f>1</f>
        <v/>
      </c>
      <c r="AM562" s="20">
        <f>S562-P562</f>
        <v/>
      </c>
      <c r="AN562" s="20">
        <f>IF(AH562=1,MAX(0,P562-S562),0)</f>
        <v/>
      </c>
      <c r="AO562" s="21">
        <f>IFERROR(S562/P562,"")</f>
        <v/>
      </c>
      <c r="AP562" s="22">
        <f>IF(Y562="","",P562/Y562)</f>
        <v/>
      </c>
      <c r="AQ562" s="39">
        <f>IF(Y562="",0,1)</f>
        <v/>
      </c>
      <c r="AR562" s="39">
        <f>IF(S562&lt;=0,1,0)</f>
        <v/>
      </c>
      <c r="AS562" s="17">
        <f>IF(AH562=1,AG562,"")</f>
        <v/>
      </c>
      <c r="AT562" s="17">
        <f>IF(AND(AH562=0,AJ562=1),AG562,"")</f>
        <v/>
      </c>
      <c r="AU562" s="5">
        <f>IF(P562&lt;10000,"Under $10K",IF(P562&lt;20000,"$10-20K",IF(P562&lt;30000,"$20-30K",IF(P562&lt;50000,"$30-50K",IF(P562&lt;100000,"$50-100K","$100K+")))))</f>
        <v/>
      </c>
      <c r="AV562" s="5">
        <f>IF(O562&lt;=1.35,"1.35 and under",IF(O562&lt;=1.42,"1.36-1.42",IF(O562&lt;=1.45,"1.43-1.45",IF(O562&lt;1.49,"1.46-1.48",IF(O562&lt;=1.49,"1.49","Above 1.49")))))</f>
        <v/>
      </c>
      <c r="AW562" s="5">
        <f>IF(AE562="","",IF(AE562&lt;60,"Under 60",IF(AE562&lt;90,"60-89",IF(AE562&lt;120,"90-119",IF(AE562&lt;150,"120-149","150+")))))</f>
        <v/>
      </c>
      <c r="AX562" s="5">
        <f>IF(AP562="","No revenue data",IF(AP562&lt;0.15,"Under 0.15x",IF(AP562&lt;0.3,"0.15-0.30x",IF(AP562&lt;0.5,"0.30-0.50x",IF(AP562&lt;1,"0.50-1.00x","1.00x+")))))</f>
        <v/>
      </c>
      <c r="AY562" s="5">
        <f>IF(J562="","No SIC",IFERROR(VLOOKUP(J562,Ref!$A$4:$C$67,2,FALSE()),"Unclassified"))</f>
        <v/>
      </c>
      <c r="AZ562" s="5">
        <f>IF(E562="","",TEXT(E562,"YYYY")&amp;"-Q"&amp;ROUNDUP(MONTH(E562)/3,0))</f>
        <v/>
      </c>
      <c r="BA562" s="5">
        <f>IF(E562="","",TEXT(E562,"YYYY-MM"))</f>
        <v/>
      </c>
      <c r="BB562" s="5">
        <f>IF(E562="","",TEXT(E562,"YYYY"))</f>
        <v/>
      </c>
      <c r="BC562" s="92">
        <f>IF($E562="","",NETWORKDAYS($E562,Controls!$B$9,Ref!$F$4:$F$47))</f>
        <v/>
      </c>
      <c r="BD562" s="92">
        <f>IF(OR($AH562=1,$AJ562=1),1,0)</f>
        <v/>
      </c>
      <c r="BE562" s="95">
        <f>IF(OR($BD562=1,AND($AE562&lt;&gt;"",$BC562&gt;=Controls!$B$10*$AE562)),1,0)</f>
        <v/>
      </c>
    </row>
    <row r="563" ht="15.75" customHeight="1" s="79">
      <c r="A563" s="5" t="inlineStr">
        <is>
          <t>5674177114</t>
        </is>
      </c>
      <c r="B563" s="5" t="inlineStr">
        <is>
          <t>MH CONSTRUCTION</t>
        </is>
      </c>
      <c r="C563" s="5" t="inlineStr">
        <is>
          <t>MH Construction Inc.</t>
        </is>
      </c>
      <c r="D563" s="5" t="inlineStr">
        <is>
          <t>Open</t>
        </is>
      </c>
      <c r="E563" s="16" t="n">
        <v>46045</v>
      </c>
      <c r="F563" s="16" t="n">
        <v>46247</v>
      </c>
      <c r="G563" s="17" t="n">
        <v>2</v>
      </c>
      <c r="H563" s="5" t="inlineStr">
        <is>
          <t>1521</t>
        </is>
      </c>
      <c r="I563" s="5" t="inlineStr">
        <is>
          <t>Residential Remodelers</t>
        </is>
      </c>
      <c r="J563" s="5" t="inlineStr">
        <is>
          <t>15</t>
        </is>
      </c>
      <c r="K563" s="5" t="n">
        <v>1520</v>
      </c>
      <c r="L563" s="5" t="inlineStr">
        <is>
          <t>PA</t>
        </is>
      </c>
      <c r="M563" s="5" t="inlineStr">
        <is>
          <t>PMF</t>
        </is>
      </c>
      <c r="N563" s="5" t="inlineStr">
        <is>
          <t>New Deal</t>
        </is>
      </c>
      <c r="O563" s="19" t="n">
        <v>1.45</v>
      </c>
      <c r="P563" s="20" t="n">
        <v>50000</v>
      </c>
      <c r="Q563" s="20" t="n">
        <v>6000</v>
      </c>
      <c r="R563" s="20" t="n">
        <v>72500</v>
      </c>
      <c r="S563" s="20" t="n">
        <v>34449.63</v>
      </c>
      <c r="T563" s="20" t="n">
        <v>38050.37</v>
      </c>
      <c r="U563" s="21" t="n">
        <v>0.475167310344828</v>
      </c>
      <c r="V563" s="22" t="n">
        <v>38</v>
      </c>
      <c r="W563" s="17" t="n">
        <v>6</v>
      </c>
      <c r="X563" s="17" t="n">
        <v>0</v>
      </c>
      <c r="Y563" s="20" t="n">
        <v>134030.67</v>
      </c>
      <c r="Z563" s="21" t="n">
        <v>0.0569</v>
      </c>
      <c r="AA563" s="16" t="n">
        <v>43164</v>
      </c>
      <c r="AB563" s="5">
        <f>IF(V563="","",IF(V563&lt;12,"Months","Weeks"))</f>
        <v/>
      </c>
      <c r="AC563" s="5">
        <f>IF(AB563="","",IF(AB563="Months","Daily","Weekly"))</f>
        <v/>
      </c>
      <c r="AD563" s="17">
        <f>IF(V563="","",IF(AC563="Daily",V563*Controls!$B$13,V563))</f>
        <v/>
      </c>
      <c r="AE563" s="17">
        <f>IF(V563="","",IF(AC563="Daily",V563*Controls!$B$13,V563*Controls!$B$12))</f>
        <v/>
      </c>
      <c r="AF563" s="17">
        <f>IF(OR(E563="",F563=""),"",F563-E563)</f>
        <v/>
      </c>
      <c r="AG563" s="17">
        <f>IF(OR(E563="",F563=""),"",NETWORKDAYS(E563,F563,Ref!$F$4:$F$47))</f>
        <v/>
      </c>
      <c r="AH563" s="39">
        <f>IF(IFERROR(VLOOKUP(D563,Controls!$A$25:$D$35,2,FALSE()),"No")="Yes",1,0)</f>
        <v/>
      </c>
      <c r="AI563" s="39">
        <f>IF(IFERROR(VLOOKUP(D563,Controls!$A$25:$D$35,3,FALSE()),"No")="Yes",1,0)</f>
        <v/>
      </c>
      <c r="AJ563" s="39">
        <f>IF(IFERROR(VLOOKUP(D563,Controls!$A$25:$D$35,4,FALSE()),"No")="Yes",1,0)</f>
        <v/>
      </c>
      <c r="AK563" s="96">
        <f>IF(AND($E563&gt;=Controls!$B$5,$E563&lt;=Controls!$B$6,OR(Controls!$E$9&lt;&gt;"Y",$BE563=1)),1,0)</f>
        <v/>
      </c>
      <c r="AL563" s="39">
        <f>1</f>
        <v/>
      </c>
      <c r="AM563" s="20">
        <f>S563-P563</f>
        <v/>
      </c>
      <c r="AN563" s="20">
        <f>IF(AH563=1,MAX(0,P563-S563),0)</f>
        <v/>
      </c>
      <c r="AO563" s="21">
        <f>IFERROR(S563/P563,"")</f>
        <v/>
      </c>
      <c r="AP563" s="22">
        <f>IF(Y563="","",P563/Y563)</f>
        <v/>
      </c>
      <c r="AQ563" s="39">
        <f>IF(Y563="",0,1)</f>
        <v/>
      </c>
      <c r="AR563" s="39">
        <f>IF(S563&lt;=0,1,0)</f>
        <v/>
      </c>
      <c r="AS563" s="17">
        <f>IF(AH563=1,AG563,"")</f>
        <v/>
      </c>
      <c r="AT563" s="17">
        <f>IF(AND(AH563=0,AJ563=1),AG563,"")</f>
        <v/>
      </c>
      <c r="AU563" s="5">
        <f>IF(P563&lt;10000,"Under $10K",IF(P563&lt;20000,"$10-20K",IF(P563&lt;30000,"$20-30K",IF(P563&lt;50000,"$30-50K",IF(P563&lt;100000,"$50-100K","$100K+")))))</f>
        <v/>
      </c>
      <c r="AV563" s="5">
        <f>IF(O563&lt;=1.35,"1.35 and under",IF(O563&lt;=1.42,"1.36-1.42",IF(O563&lt;=1.45,"1.43-1.45",IF(O563&lt;1.49,"1.46-1.48",IF(O563&lt;=1.49,"1.49","Above 1.49")))))</f>
        <v/>
      </c>
      <c r="AW563" s="5">
        <f>IF(AE563="","",IF(AE563&lt;60,"Under 60",IF(AE563&lt;90,"60-89",IF(AE563&lt;120,"90-119",IF(AE563&lt;150,"120-149","150+")))))</f>
        <v/>
      </c>
      <c r="AX563" s="5">
        <f>IF(AP563="","No revenue data",IF(AP563&lt;0.15,"Under 0.15x",IF(AP563&lt;0.3,"0.15-0.30x",IF(AP563&lt;0.5,"0.30-0.50x",IF(AP563&lt;1,"0.50-1.00x","1.00x+")))))</f>
        <v/>
      </c>
      <c r="AY563" s="5">
        <f>IF(J563="","No SIC",IFERROR(VLOOKUP(J563,Ref!$A$4:$C$67,2,FALSE()),"Unclassified"))</f>
        <v/>
      </c>
      <c r="AZ563" s="5">
        <f>IF(E563="","",TEXT(E563,"YYYY")&amp;"-Q"&amp;ROUNDUP(MONTH(E563)/3,0))</f>
        <v/>
      </c>
      <c r="BA563" s="5">
        <f>IF(E563="","",TEXT(E563,"YYYY-MM"))</f>
        <v/>
      </c>
      <c r="BB563" s="5">
        <f>IF(E563="","",TEXT(E563,"YYYY"))</f>
        <v/>
      </c>
      <c r="BC563" s="92">
        <f>IF($E563="","",NETWORKDAYS($E563,Controls!$B$9,Ref!$F$4:$F$47))</f>
        <v/>
      </c>
      <c r="BD563" s="92">
        <f>IF(OR($AH563=1,$AJ563=1),1,0)</f>
        <v/>
      </c>
      <c r="BE563" s="95">
        <f>IF(OR($BD563=1,AND($AE563&lt;&gt;"",$BC563&gt;=Controls!$B$10*$AE563)),1,0)</f>
        <v/>
      </c>
    </row>
    <row r="564" ht="15.75" customHeight="1" s="79">
      <c r="A564" s="5" t="inlineStr">
        <is>
          <t>5674177115</t>
        </is>
      </c>
      <c r="B564" s="5" t="inlineStr">
        <is>
          <t>BOWL OF FUN LANES LLC</t>
        </is>
      </c>
      <c r="C564" s="5" t="inlineStr">
        <is>
          <t>BOWL OF FUN LANES LLC</t>
        </is>
      </c>
      <c r="D564" s="5" t="inlineStr">
        <is>
          <t>Closed</t>
        </is>
      </c>
      <c r="E564" s="16" t="n">
        <v>46045</v>
      </c>
      <c r="F564" s="16" t="n">
        <v>46184</v>
      </c>
      <c r="G564" s="17" t="n">
        <v>3</v>
      </c>
      <c r="H564" s="5" t="inlineStr">
        <is>
          <t>7933</t>
        </is>
      </c>
      <c r="I564" s="5" t="inlineStr">
        <is>
          <t>Bowling Centers</t>
        </is>
      </c>
      <c r="J564" s="5" t="inlineStr">
        <is>
          <t>79</t>
        </is>
      </c>
      <c r="K564" s="5" t="n">
        <v>7933</v>
      </c>
      <c r="L564" s="5" t="inlineStr">
        <is>
          <t>FL</t>
        </is>
      </c>
      <c r="M564" s="5" t="inlineStr">
        <is>
          <t>United Secured Capital 8</t>
        </is>
      </c>
      <c r="N564" s="5" t="inlineStr">
        <is>
          <t>New Deal</t>
        </is>
      </c>
      <c r="O564" s="19" t="n">
        <v>1.49</v>
      </c>
      <c r="P564" s="20" t="n">
        <v>20000</v>
      </c>
      <c r="Q564" s="20" t="n">
        <v>2800</v>
      </c>
      <c r="R564" s="20" t="n">
        <v>29800</v>
      </c>
      <c r="S564" s="20" t="n">
        <v>29800</v>
      </c>
      <c r="T564" s="20" t="n">
        <v>0</v>
      </c>
      <c r="U564" s="21" t="n">
        <v>1</v>
      </c>
      <c r="V564" s="22" t="n">
        <v>3.279</v>
      </c>
      <c r="W564" s="17" t="n">
        <v>69</v>
      </c>
      <c r="X564" s="17" t="n">
        <v>0</v>
      </c>
      <c r="Y564" s="20" t="n">
        <v>76345.67</v>
      </c>
      <c r="Z564" s="21" t="n">
        <v>0.082</v>
      </c>
      <c r="AA564" s="5" t="n"/>
      <c r="AB564" s="5">
        <f>IF(V564="","",IF(V564&lt;12,"Months","Weeks"))</f>
        <v/>
      </c>
      <c r="AC564" s="5">
        <f>IF(AB564="","",IF(AB564="Months","Daily","Weekly"))</f>
        <v/>
      </c>
      <c r="AD564" s="17">
        <f>IF(V564="","",IF(AC564="Daily",V564*Controls!$B$13,V564))</f>
        <v/>
      </c>
      <c r="AE564" s="17">
        <f>IF(V564="","",IF(AC564="Daily",V564*Controls!$B$13,V564*Controls!$B$12))</f>
        <v/>
      </c>
      <c r="AF564" s="17">
        <f>IF(OR(E564="",F564=""),"",F564-E564)</f>
        <v/>
      </c>
      <c r="AG564" s="17">
        <f>IF(OR(E564="",F564=""),"",NETWORKDAYS(E564,F564,Ref!$F$4:$F$47))</f>
        <v/>
      </c>
      <c r="AH564" s="39">
        <f>IF(IFERROR(VLOOKUP(D564,Controls!$A$25:$D$35,2,FALSE()),"No")="Yes",1,0)</f>
        <v/>
      </c>
      <c r="AI564" s="39">
        <f>IF(IFERROR(VLOOKUP(D564,Controls!$A$25:$D$35,3,FALSE()),"No")="Yes",1,0)</f>
        <v/>
      </c>
      <c r="AJ564" s="39">
        <f>IF(IFERROR(VLOOKUP(D564,Controls!$A$25:$D$35,4,FALSE()),"No")="Yes",1,0)</f>
        <v/>
      </c>
      <c r="AK564" s="96">
        <f>IF(AND($E564&gt;=Controls!$B$5,$E564&lt;=Controls!$B$6,OR(Controls!$E$9&lt;&gt;"Y",$BE564=1)),1,0)</f>
        <v/>
      </c>
      <c r="AL564" s="39">
        <f>1</f>
        <v/>
      </c>
      <c r="AM564" s="20">
        <f>S564-P564</f>
        <v/>
      </c>
      <c r="AN564" s="20">
        <f>IF(AH564=1,MAX(0,P564-S564),0)</f>
        <v/>
      </c>
      <c r="AO564" s="21">
        <f>IFERROR(S564/P564,"")</f>
        <v/>
      </c>
      <c r="AP564" s="22">
        <f>IF(Y564="","",P564/Y564)</f>
        <v/>
      </c>
      <c r="AQ564" s="39">
        <f>IF(Y564="",0,1)</f>
        <v/>
      </c>
      <c r="AR564" s="39">
        <f>IF(S564&lt;=0,1,0)</f>
        <v/>
      </c>
      <c r="AS564" s="17">
        <f>IF(AH564=1,AG564,"")</f>
        <v/>
      </c>
      <c r="AT564" s="17">
        <f>IF(AND(AH564=0,AJ564=1),AG564,"")</f>
        <v/>
      </c>
      <c r="AU564" s="5">
        <f>IF(P564&lt;10000,"Under $10K",IF(P564&lt;20000,"$10-20K",IF(P564&lt;30000,"$20-30K",IF(P564&lt;50000,"$30-50K",IF(P564&lt;100000,"$50-100K","$100K+")))))</f>
        <v/>
      </c>
      <c r="AV564" s="5">
        <f>IF(O564&lt;=1.35,"1.35 and under",IF(O564&lt;=1.42,"1.36-1.42",IF(O564&lt;=1.45,"1.43-1.45",IF(O564&lt;1.49,"1.46-1.48",IF(O564&lt;=1.49,"1.49","Above 1.49")))))</f>
        <v/>
      </c>
      <c r="AW564" s="5">
        <f>IF(AE564="","",IF(AE564&lt;60,"Under 60",IF(AE564&lt;90,"60-89",IF(AE564&lt;120,"90-119",IF(AE564&lt;150,"120-149","150+")))))</f>
        <v/>
      </c>
      <c r="AX564" s="5">
        <f>IF(AP564="","No revenue data",IF(AP564&lt;0.15,"Under 0.15x",IF(AP564&lt;0.3,"0.15-0.30x",IF(AP564&lt;0.5,"0.30-0.50x",IF(AP564&lt;1,"0.50-1.00x","1.00x+")))))</f>
        <v/>
      </c>
      <c r="AY564" s="5">
        <f>IF(J564="","No SIC",IFERROR(VLOOKUP(J564,Ref!$A$4:$C$67,2,FALSE()),"Unclassified"))</f>
        <v/>
      </c>
      <c r="AZ564" s="5">
        <f>IF(E564="","",TEXT(E564,"YYYY")&amp;"-Q"&amp;ROUNDUP(MONTH(E564)/3,0))</f>
        <v/>
      </c>
      <c r="BA564" s="5">
        <f>IF(E564="","",TEXT(E564,"YYYY-MM"))</f>
        <v/>
      </c>
      <c r="BB564" s="5">
        <f>IF(E564="","",TEXT(E564,"YYYY"))</f>
        <v/>
      </c>
      <c r="BC564" s="92">
        <f>IF($E564="","",NETWORKDAYS($E564,Controls!$B$9,Ref!$F$4:$F$47))</f>
        <v/>
      </c>
      <c r="BD564" s="92">
        <f>IF(OR($AH564=1,$AJ564=1),1,0)</f>
        <v/>
      </c>
      <c r="BE564" s="95">
        <f>IF(OR($BD564=1,AND($AE564&lt;&gt;"",$BC564&gt;=Controls!$B$10*$AE564)),1,0)</f>
        <v/>
      </c>
    </row>
    <row r="565" ht="15.75" customHeight="1" s="79">
      <c r="A565" s="5" t="inlineStr">
        <is>
          <t>5674177117</t>
        </is>
      </c>
      <c r="B565" s="5" t="inlineStr">
        <is>
          <t>TEAMWORK TOWN INC</t>
        </is>
      </c>
      <c r="C565" s="5" t="inlineStr">
        <is>
          <t>TEAMWORK TOWN INC</t>
        </is>
      </c>
      <c r="D565" s="5" t="inlineStr">
        <is>
          <t>Closed</t>
        </is>
      </c>
      <c r="E565" s="16" t="n">
        <v>46045</v>
      </c>
      <c r="F565" s="16" t="n">
        <v>46224</v>
      </c>
      <c r="G565" s="17" t="n">
        <v>2</v>
      </c>
      <c r="H565" s="5" t="inlineStr">
        <is>
          <t>1521</t>
        </is>
      </c>
      <c r="I565" s="5" t="inlineStr">
        <is>
          <t>Residential Remodelers</t>
        </is>
      </c>
      <c r="J565" s="5" t="inlineStr">
        <is>
          <t>15</t>
        </is>
      </c>
      <c r="K565" s="5" t="n">
        <v>1520</v>
      </c>
      <c r="L565" s="5" t="inlineStr">
        <is>
          <t>TX</t>
        </is>
      </c>
      <c r="M565" s="5" t="inlineStr">
        <is>
          <t>Westwood</t>
        </is>
      </c>
      <c r="N565" s="5" t="inlineStr">
        <is>
          <t>New Deal</t>
        </is>
      </c>
      <c r="O565" s="19" t="n">
        <v>1.4</v>
      </c>
      <c r="P565" s="20" t="n">
        <v>30000</v>
      </c>
      <c r="Q565" s="20" t="n">
        <v>2850</v>
      </c>
      <c r="R565" s="20" t="n">
        <v>42000</v>
      </c>
      <c r="S565" s="20" t="n">
        <v>42000</v>
      </c>
      <c r="T565" s="20" t="n">
        <v>0</v>
      </c>
      <c r="U565" s="21" t="n">
        <v>1</v>
      </c>
      <c r="V565" s="22" t="n">
        <v>20</v>
      </c>
      <c r="W565" s="17" t="n">
        <v>29</v>
      </c>
      <c r="X565" s="17" t="n">
        <v>5</v>
      </c>
      <c r="Y565" s="20" t="n">
        <v>159888.75</v>
      </c>
      <c r="Z565" s="21" t="n">
        <v>0.0525</v>
      </c>
      <c r="AA565" s="16" t="n">
        <v>44094</v>
      </c>
      <c r="AB565" s="5">
        <f>IF(V565="","",IF(V565&lt;12,"Months","Weeks"))</f>
        <v/>
      </c>
      <c r="AC565" s="5">
        <f>IF(AB565="","",IF(AB565="Months","Daily","Weekly"))</f>
        <v/>
      </c>
      <c r="AD565" s="17">
        <f>IF(V565="","",IF(AC565="Daily",V565*Controls!$B$13,V565))</f>
        <v/>
      </c>
      <c r="AE565" s="17">
        <f>IF(V565="","",IF(AC565="Daily",V565*Controls!$B$13,V565*Controls!$B$12))</f>
        <v/>
      </c>
      <c r="AF565" s="17">
        <f>IF(OR(E565="",F565=""),"",F565-E565)</f>
        <v/>
      </c>
      <c r="AG565" s="17">
        <f>IF(OR(E565="",F565=""),"",NETWORKDAYS(E565,F565,Ref!$F$4:$F$47))</f>
        <v/>
      </c>
      <c r="AH565" s="39">
        <f>IF(IFERROR(VLOOKUP(D565,Controls!$A$25:$D$35,2,FALSE()),"No")="Yes",1,0)</f>
        <v/>
      </c>
      <c r="AI565" s="39">
        <f>IF(IFERROR(VLOOKUP(D565,Controls!$A$25:$D$35,3,FALSE()),"No")="Yes",1,0)</f>
        <v/>
      </c>
      <c r="AJ565" s="39">
        <f>IF(IFERROR(VLOOKUP(D565,Controls!$A$25:$D$35,4,FALSE()),"No")="Yes",1,0)</f>
        <v/>
      </c>
      <c r="AK565" s="96">
        <f>IF(AND($E565&gt;=Controls!$B$5,$E565&lt;=Controls!$B$6,OR(Controls!$E$9&lt;&gt;"Y",$BE565=1)),1,0)</f>
        <v/>
      </c>
      <c r="AL565" s="39">
        <f>1</f>
        <v/>
      </c>
      <c r="AM565" s="20">
        <f>S565-P565</f>
        <v/>
      </c>
      <c r="AN565" s="20">
        <f>IF(AH565=1,MAX(0,P565-S565),0)</f>
        <v/>
      </c>
      <c r="AO565" s="21">
        <f>IFERROR(S565/P565,"")</f>
        <v/>
      </c>
      <c r="AP565" s="22">
        <f>IF(Y565="","",P565/Y565)</f>
        <v/>
      </c>
      <c r="AQ565" s="39">
        <f>IF(Y565="",0,1)</f>
        <v/>
      </c>
      <c r="AR565" s="39">
        <f>IF(S565&lt;=0,1,0)</f>
        <v/>
      </c>
      <c r="AS565" s="17">
        <f>IF(AH565=1,AG565,"")</f>
        <v/>
      </c>
      <c r="AT565" s="17">
        <f>IF(AND(AH565=0,AJ565=1),AG565,"")</f>
        <v/>
      </c>
      <c r="AU565" s="5">
        <f>IF(P565&lt;10000,"Under $10K",IF(P565&lt;20000,"$10-20K",IF(P565&lt;30000,"$20-30K",IF(P565&lt;50000,"$30-50K",IF(P565&lt;100000,"$50-100K","$100K+")))))</f>
        <v/>
      </c>
      <c r="AV565" s="5">
        <f>IF(O565&lt;=1.35,"1.35 and under",IF(O565&lt;=1.42,"1.36-1.42",IF(O565&lt;=1.45,"1.43-1.45",IF(O565&lt;1.49,"1.46-1.48",IF(O565&lt;=1.49,"1.49","Above 1.49")))))</f>
        <v/>
      </c>
      <c r="AW565" s="5">
        <f>IF(AE565="","",IF(AE565&lt;60,"Under 60",IF(AE565&lt;90,"60-89",IF(AE565&lt;120,"90-119",IF(AE565&lt;150,"120-149","150+")))))</f>
        <v/>
      </c>
      <c r="AX565" s="5">
        <f>IF(AP565="","No revenue data",IF(AP565&lt;0.15,"Under 0.15x",IF(AP565&lt;0.3,"0.15-0.30x",IF(AP565&lt;0.5,"0.30-0.50x",IF(AP565&lt;1,"0.50-1.00x","1.00x+")))))</f>
        <v/>
      </c>
      <c r="AY565" s="5">
        <f>IF(J565="","No SIC",IFERROR(VLOOKUP(J565,Ref!$A$4:$C$67,2,FALSE()),"Unclassified"))</f>
        <v/>
      </c>
      <c r="AZ565" s="5">
        <f>IF(E565="","",TEXT(E565,"YYYY")&amp;"-Q"&amp;ROUNDUP(MONTH(E565)/3,0))</f>
        <v/>
      </c>
      <c r="BA565" s="5">
        <f>IF(E565="","",TEXT(E565,"YYYY-MM"))</f>
        <v/>
      </c>
      <c r="BB565" s="5">
        <f>IF(E565="","",TEXT(E565,"YYYY"))</f>
        <v/>
      </c>
      <c r="BC565" s="92">
        <f>IF($E565="","",NETWORKDAYS($E565,Controls!$B$9,Ref!$F$4:$F$47))</f>
        <v/>
      </c>
      <c r="BD565" s="92">
        <f>IF(OR($AH565=1,$AJ565=1),1,0)</f>
        <v/>
      </c>
      <c r="BE565" s="95">
        <f>IF(OR($BD565=1,AND($AE565&lt;&gt;"",$BC565&gt;=Controls!$B$10*$AE565)),1,0)</f>
        <v/>
      </c>
    </row>
    <row r="566" ht="15.75" customHeight="1" s="79">
      <c r="A566" s="5" t="inlineStr">
        <is>
          <t>5674177118</t>
        </is>
      </c>
      <c r="B566" s="5" t="inlineStr">
        <is>
          <t>SKEENS RESTORATION &amp; CONSTRUCTION LLC</t>
        </is>
      </c>
      <c r="C566" s="5" t="inlineStr">
        <is>
          <t>SKEENS RESTORATION &amp; CONSTRUCTION LLC</t>
        </is>
      </c>
      <c r="D566" s="5" t="inlineStr">
        <is>
          <t>Closed</t>
        </is>
      </c>
      <c r="E566" s="16" t="n">
        <v>46045</v>
      </c>
      <c r="F566" s="16" t="n">
        <v>46156</v>
      </c>
      <c r="G566" s="17" t="n">
        <v>2</v>
      </c>
      <c r="H566" s="5" t="inlineStr">
        <is>
          <t>1521</t>
        </is>
      </c>
      <c r="I566" s="5" t="inlineStr">
        <is>
          <t>Residential Remodelers</t>
        </is>
      </c>
      <c r="J566" s="5" t="inlineStr">
        <is>
          <t>15</t>
        </is>
      </c>
      <c r="K566" s="5" t="n">
        <v>1520</v>
      </c>
      <c r="L566" s="5" t="inlineStr">
        <is>
          <t>TN</t>
        </is>
      </c>
      <c r="M566" s="5" t="inlineStr">
        <is>
          <t>United Secured Capital 8</t>
        </is>
      </c>
      <c r="N566" s="5" t="inlineStr">
        <is>
          <t>New Deal</t>
        </is>
      </c>
      <c r="O566" s="19" t="n">
        <v>1.49</v>
      </c>
      <c r="P566" s="20" t="n">
        <v>10000</v>
      </c>
      <c r="Q566" s="20" t="n">
        <v>1400</v>
      </c>
      <c r="R566" s="20" t="n">
        <v>14900</v>
      </c>
      <c r="S566" s="20" t="n">
        <v>14900</v>
      </c>
      <c r="T566" s="20" t="n">
        <v>0</v>
      </c>
      <c r="U566" s="21" t="n">
        <v>1</v>
      </c>
      <c r="V566" s="22" t="n">
        <v>24</v>
      </c>
      <c r="W566" s="17" t="n">
        <v>97</v>
      </c>
      <c r="X566" s="17" t="n">
        <v>1</v>
      </c>
      <c r="Y566" s="20" t="n">
        <v>117415.63</v>
      </c>
      <c r="Z566" s="21" t="n">
        <v>0.0211</v>
      </c>
      <c r="AA566" s="5" t="n"/>
      <c r="AB566" s="5">
        <f>IF(V566="","",IF(V566&lt;12,"Months","Weeks"))</f>
        <v/>
      </c>
      <c r="AC566" s="5">
        <f>IF(AB566="","",IF(AB566="Months","Daily","Weekly"))</f>
        <v/>
      </c>
      <c r="AD566" s="17">
        <f>IF(V566="","",IF(AC566="Daily",V566*Controls!$B$13,V566))</f>
        <v/>
      </c>
      <c r="AE566" s="17">
        <f>IF(V566="","",IF(AC566="Daily",V566*Controls!$B$13,V566*Controls!$B$12))</f>
        <v/>
      </c>
      <c r="AF566" s="17">
        <f>IF(OR(E566="",F566=""),"",F566-E566)</f>
        <v/>
      </c>
      <c r="AG566" s="17">
        <f>IF(OR(E566="",F566=""),"",NETWORKDAYS(E566,F566,Ref!$F$4:$F$47))</f>
        <v/>
      </c>
      <c r="AH566" s="39">
        <f>IF(IFERROR(VLOOKUP(D566,Controls!$A$25:$D$35,2,FALSE()),"No")="Yes",1,0)</f>
        <v/>
      </c>
      <c r="AI566" s="39">
        <f>IF(IFERROR(VLOOKUP(D566,Controls!$A$25:$D$35,3,FALSE()),"No")="Yes",1,0)</f>
        <v/>
      </c>
      <c r="AJ566" s="39">
        <f>IF(IFERROR(VLOOKUP(D566,Controls!$A$25:$D$35,4,FALSE()),"No")="Yes",1,0)</f>
        <v/>
      </c>
      <c r="AK566" s="96">
        <f>IF(AND($E566&gt;=Controls!$B$5,$E566&lt;=Controls!$B$6,OR(Controls!$E$9&lt;&gt;"Y",$BE566=1)),1,0)</f>
        <v/>
      </c>
      <c r="AL566" s="39">
        <f>1</f>
        <v/>
      </c>
      <c r="AM566" s="20">
        <f>S566-P566</f>
        <v/>
      </c>
      <c r="AN566" s="20">
        <f>IF(AH566=1,MAX(0,P566-S566),0)</f>
        <v/>
      </c>
      <c r="AO566" s="21">
        <f>IFERROR(S566/P566,"")</f>
        <v/>
      </c>
      <c r="AP566" s="22">
        <f>IF(Y566="","",P566/Y566)</f>
        <v/>
      </c>
      <c r="AQ566" s="39">
        <f>IF(Y566="",0,1)</f>
        <v/>
      </c>
      <c r="AR566" s="39">
        <f>IF(S566&lt;=0,1,0)</f>
        <v/>
      </c>
      <c r="AS566" s="17">
        <f>IF(AH566=1,AG566,"")</f>
        <v/>
      </c>
      <c r="AT566" s="17">
        <f>IF(AND(AH566=0,AJ566=1),AG566,"")</f>
        <v/>
      </c>
      <c r="AU566" s="5">
        <f>IF(P566&lt;10000,"Under $10K",IF(P566&lt;20000,"$10-20K",IF(P566&lt;30000,"$20-30K",IF(P566&lt;50000,"$30-50K",IF(P566&lt;100000,"$50-100K","$100K+")))))</f>
        <v/>
      </c>
      <c r="AV566" s="5">
        <f>IF(O566&lt;=1.35,"1.35 and under",IF(O566&lt;=1.42,"1.36-1.42",IF(O566&lt;=1.45,"1.43-1.45",IF(O566&lt;1.49,"1.46-1.48",IF(O566&lt;=1.49,"1.49","Above 1.49")))))</f>
        <v/>
      </c>
      <c r="AW566" s="5">
        <f>IF(AE566="","",IF(AE566&lt;60,"Under 60",IF(AE566&lt;90,"60-89",IF(AE566&lt;120,"90-119",IF(AE566&lt;150,"120-149","150+")))))</f>
        <v/>
      </c>
      <c r="AX566" s="5">
        <f>IF(AP566="","No revenue data",IF(AP566&lt;0.15,"Under 0.15x",IF(AP566&lt;0.3,"0.15-0.30x",IF(AP566&lt;0.5,"0.30-0.50x",IF(AP566&lt;1,"0.50-1.00x","1.00x+")))))</f>
        <v/>
      </c>
      <c r="AY566" s="5">
        <f>IF(J566="","No SIC",IFERROR(VLOOKUP(J566,Ref!$A$4:$C$67,2,FALSE()),"Unclassified"))</f>
        <v/>
      </c>
      <c r="AZ566" s="5">
        <f>IF(E566="","",TEXT(E566,"YYYY")&amp;"-Q"&amp;ROUNDUP(MONTH(E566)/3,0))</f>
        <v/>
      </c>
      <c r="BA566" s="5">
        <f>IF(E566="","",TEXT(E566,"YYYY-MM"))</f>
        <v/>
      </c>
      <c r="BB566" s="5">
        <f>IF(E566="","",TEXT(E566,"YYYY"))</f>
        <v/>
      </c>
      <c r="BC566" s="92">
        <f>IF($E566="","",NETWORKDAYS($E566,Controls!$B$9,Ref!$F$4:$F$47))</f>
        <v/>
      </c>
      <c r="BD566" s="92">
        <f>IF(OR($AH566=1,$AJ566=1),1,0)</f>
        <v/>
      </c>
      <c r="BE566" s="95">
        <f>IF(OR($BD566=1,AND($AE566&lt;&gt;"",$BC566&gt;=Controls!$B$10*$AE566)),1,0)</f>
        <v/>
      </c>
    </row>
    <row r="567" ht="15.75" customHeight="1" s="79">
      <c r="A567" s="5" t="inlineStr">
        <is>
          <t>5674177144</t>
        </is>
      </c>
      <c r="B567" s="5" t="inlineStr">
        <is>
          <t>Terry Mann Floors</t>
        </is>
      </c>
      <c r="C567" s="5" t="inlineStr">
        <is>
          <t>Terry Mann LLC</t>
        </is>
      </c>
      <c r="D567" s="5" t="inlineStr">
        <is>
          <t>Closed</t>
        </is>
      </c>
      <c r="E567" s="16" t="n">
        <v>46048</v>
      </c>
      <c r="F567" s="16" t="n">
        <v>46170</v>
      </c>
      <c r="G567" s="17" t="n">
        <v>1</v>
      </c>
      <c r="H567" s="5" t="inlineStr">
        <is>
          <t>1521</t>
        </is>
      </c>
      <c r="I567" s="5" t="inlineStr">
        <is>
          <t>New Single-Family Housing Construction (Except For-Sale Builders)</t>
        </is>
      </c>
      <c r="J567" s="5" t="inlineStr">
        <is>
          <t>15</t>
        </is>
      </c>
      <c r="K567" s="5" t="n">
        <v>1520</v>
      </c>
      <c r="L567" s="5" t="inlineStr">
        <is>
          <t>TX</t>
        </is>
      </c>
      <c r="M567" s="5" t="inlineStr">
        <is>
          <t>Merchant ReFi</t>
        </is>
      </c>
      <c r="N567" s="5" t="inlineStr">
        <is>
          <t>Renewal</t>
        </is>
      </c>
      <c r="O567" s="19" t="n">
        <v>1.49</v>
      </c>
      <c r="P567" s="20" t="n">
        <v>25000</v>
      </c>
      <c r="Q567" s="20" t="n">
        <v>3500</v>
      </c>
      <c r="R567" s="20" t="n">
        <v>37250</v>
      </c>
      <c r="S567" s="20" t="n">
        <v>37250</v>
      </c>
      <c r="T567" s="20" t="n">
        <v>0</v>
      </c>
      <c r="U567" s="21" t="n">
        <v>1</v>
      </c>
      <c r="V567" s="22" t="n">
        <v>22</v>
      </c>
      <c r="W567" s="17" t="n">
        <v>83</v>
      </c>
      <c r="X567" s="17" t="n">
        <v>0</v>
      </c>
      <c r="Y567" s="20" t="n">
        <v>117856.17</v>
      </c>
      <c r="Z567" s="21" t="n">
        <v>0.0683</v>
      </c>
      <c r="AA567" s="16" t="n">
        <v>43329</v>
      </c>
      <c r="AB567" s="5">
        <f>IF(V567="","",IF(V567&lt;12,"Months","Weeks"))</f>
        <v/>
      </c>
      <c r="AC567" s="5">
        <f>IF(AB567="","",IF(AB567="Months","Daily","Weekly"))</f>
        <v/>
      </c>
      <c r="AD567" s="17">
        <f>IF(V567="","",IF(AC567="Daily",V567*Controls!$B$13,V567))</f>
        <v/>
      </c>
      <c r="AE567" s="17">
        <f>IF(V567="","",IF(AC567="Daily",V567*Controls!$B$13,V567*Controls!$B$12))</f>
        <v/>
      </c>
      <c r="AF567" s="17">
        <f>IF(OR(E567="",F567=""),"",F567-E567)</f>
        <v/>
      </c>
      <c r="AG567" s="17">
        <f>IF(OR(E567="",F567=""),"",NETWORKDAYS(E567,F567,Ref!$F$4:$F$47))</f>
        <v/>
      </c>
      <c r="AH567" s="39">
        <f>IF(IFERROR(VLOOKUP(D567,Controls!$A$25:$D$35,2,FALSE()),"No")="Yes",1,0)</f>
        <v/>
      </c>
      <c r="AI567" s="39">
        <f>IF(IFERROR(VLOOKUP(D567,Controls!$A$25:$D$35,3,FALSE()),"No")="Yes",1,0)</f>
        <v/>
      </c>
      <c r="AJ567" s="39">
        <f>IF(IFERROR(VLOOKUP(D567,Controls!$A$25:$D$35,4,FALSE()),"No")="Yes",1,0)</f>
        <v/>
      </c>
      <c r="AK567" s="96">
        <f>IF(AND($E567&gt;=Controls!$B$5,$E567&lt;=Controls!$B$6,OR(Controls!$E$9&lt;&gt;"Y",$BE567=1)),1,0)</f>
        <v/>
      </c>
      <c r="AL567" s="39">
        <f>1</f>
        <v/>
      </c>
      <c r="AM567" s="20">
        <f>S567-P567</f>
        <v/>
      </c>
      <c r="AN567" s="20">
        <f>IF(AH567=1,MAX(0,P567-S567),0)</f>
        <v/>
      </c>
      <c r="AO567" s="21">
        <f>IFERROR(S567/P567,"")</f>
        <v/>
      </c>
      <c r="AP567" s="22">
        <f>IF(Y567="","",P567/Y567)</f>
        <v/>
      </c>
      <c r="AQ567" s="39">
        <f>IF(Y567="",0,1)</f>
        <v/>
      </c>
      <c r="AR567" s="39">
        <f>IF(S567&lt;=0,1,0)</f>
        <v/>
      </c>
      <c r="AS567" s="17">
        <f>IF(AH567=1,AG567,"")</f>
        <v/>
      </c>
      <c r="AT567" s="17">
        <f>IF(AND(AH567=0,AJ567=1),AG567,"")</f>
        <v/>
      </c>
      <c r="AU567" s="5">
        <f>IF(P567&lt;10000,"Under $10K",IF(P567&lt;20000,"$10-20K",IF(P567&lt;30000,"$20-30K",IF(P567&lt;50000,"$30-50K",IF(P567&lt;100000,"$50-100K","$100K+")))))</f>
        <v/>
      </c>
      <c r="AV567" s="5">
        <f>IF(O567&lt;=1.35,"1.35 and under",IF(O567&lt;=1.42,"1.36-1.42",IF(O567&lt;=1.45,"1.43-1.45",IF(O567&lt;1.49,"1.46-1.48",IF(O567&lt;=1.49,"1.49","Above 1.49")))))</f>
        <v/>
      </c>
      <c r="AW567" s="5">
        <f>IF(AE567="","",IF(AE567&lt;60,"Under 60",IF(AE567&lt;90,"60-89",IF(AE567&lt;120,"90-119",IF(AE567&lt;150,"120-149","150+")))))</f>
        <v/>
      </c>
      <c r="AX567" s="5">
        <f>IF(AP567="","No revenue data",IF(AP567&lt;0.15,"Under 0.15x",IF(AP567&lt;0.3,"0.15-0.30x",IF(AP567&lt;0.5,"0.30-0.50x",IF(AP567&lt;1,"0.50-1.00x","1.00x+")))))</f>
        <v/>
      </c>
      <c r="AY567" s="5">
        <f>IF(J567="","No SIC",IFERROR(VLOOKUP(J567,Ref!$A$4:$C$67,2,FALSE()),"Unclassified"))</f>
        <v/>
      </c>
      <c r="AZ567" s="5">
        <f>IF(E567="","",TEXT(E567,"YYYY")&amp;"-Q"&amp;ROUNDUP(MONTH(E567)/3,0))</f>
        <v/>
      </c>
      <c r="BA567" s="5">
        <f>IF(E567="","",TEXT(E567,"YYYY-MM"))</f>
        <v/>
      </c>
      <c r="BB567" s="5">
        <f>IF(E567="","",TEXT(E567,"YYYY"))</f>
        <v/>
      </c>
      <c r="BC567" s="92">
        <f>IF($E567="","",NETWORKDAYS($E567,Controls!$B$9,Ref!$F$4:$F$47))</f>
        <v/>
      </c>
      <c r="BD567" s="92">
        <f>IF(OR($AH567=1,$AJ567=1),1,0)</f>
        <v/>
      </c>
      <c r="BE567" s="95">
        <f>IF(OR($BD567=1,AND($AE567&lt;&gt;"",$BC567&gt;=Controls!$B$10*$AE567)),1,0)</f>
        <v/>
      </c>
    </row>
    <row r="568" ht="15.75" customHeight="1" s="79">
      <c r="A568" s="5" t="inlineStr">
        <is>
          <t>5674177170</t>
        </is>
      </c>
      <c r="B568" s="5" t="inlineStr">
        <is>
          <t>TASHAV'S CARIBBEAN &amp; SOUL FOOD CUISINE</t>
        </is>
      </c>
      <c r="C568" s="5" t="inlineStr">
        <is>
          <t>TASHA'S CARIBBEAN &amp; SOUL FOOD</t>
        </is>
      </c>
      <c r="D568" s="5" t="inlineStr">
        <is>
          <t>Closed</t>
        </is>
      </c>
      <c r="E568" s="16" t="n">
        <v>46048</v>
      </c>
      <c r="F568" s="16" t="n">
        <v>46162</v>
      </c>
      <c r="G568" s="17" t="n">
        <v>2</v>
      </c>
      <c r="H568" s="5" t="inlineStr">
        <is>
          <t>5812</t>
        </is>
      </c>
      <c r="I568" s="5" t="inlineStr">
        <is>
          <t>Snack and Nonalcoholic Beverage Bars</t>
        </is>
      </c>
      <c r="J568" s="5" t="inlineStr">
        <is>
          <t>58</t>
        </is>
      </c>
      <c r="K568" s="5" t="n">
        <v>5812</v>
      </c>
      <c r="L568" s="5" t="inlineStr">
        <is>
          <t>NJ</t>
        </is>
      </c>
      <c r="M568" s="5" t="inlineStr">
        <is>
          <t>Ballicci</t>
        </is>
      </c>
      <c r="N568" s="5" t="inlineStr">
        <is>
          <t>New Deal</t>
        </is>
      </c>
      <c r="O568" s="19" t="n">
        <v>1.49</v>
      </c>
      <c r="P568" s="20" t="n">
        <v>12000</v>
      </c>
      <c r="Q568" s="20" t="n">
        <v>1680</v>
      </c>
      <c r="R568" s="20" t="n">
        <v>17880</v>
      </c>
      <c r="S568" s="20" t="n">
        <v>17880</v>
      </c>
      <c r="T568" s="20" t="n">
        <v>0</v>
      </c>
      <c r="U568" s="21" t="n">
        <v>1</v>
      </c>
      <c r="V568" s="22" t="n">
        <v>20</v>
      </c>
      <c r="W568" s="17" t="n">
        <v>91</v>
      </c>
      <c r="X568" s="17" t="n">
        <v>0</v>
      </c>
      <c r="Y568" s="20" t="n">
        <v>39147.9</v>
      </c>
      <c r="Z568" s="21" t="n">
        <v>0.09130000000000001</v>
      </c>
      <c r="AA568" s="16" t="n">
        <v>43466</v>
      </c>
      <c r="AB568" s="5">
        <f>IF(V568="","",IF(V568&lt;12,"Months","Weeks"))</f>
        <v/>
      </c>
      <c r="AC568" s="5">
        <f>IF(AB568="","",IF(AB568="Months","Daily","Weekly"))</f>
        <v/>
      </c>
      <c r="AD568" s="17">
        <f>IF(V568="","",IF(AC568="Daily",V568*Controls!$B$13,V568))</f>
        <v/>
      </c>
      <c r="AE568" s="17">
        <f>IF(V568="","",IF(AC568="Daily",V568*Controls!$B$13,V568*Controls!$B$12))</f>
        <v/>
      </c>
      <c r="AF568" s="17">
        <f>IF(OR(E568="",F568=""),"",F568-E568)</f>
        <v/>
      </c>
      <c r="AG568" s="17">
        <f>IF(OR(E568="",F568=""),"",NETWORKDAYS(E568,F568,Ref!$F$4:$F$47))</f>
        <v/>
      </c>
      <c r="AH568" s="39">
        <f>IF(IFERROR(VLOOKUP(D568,Controls!$A$25:$D$35,2,FALSE()),"No")="Yes",1,0)</f>
        <v/>
      </c>
      <c r="AI568" s="39">
        <f>IF(IFERROR(VLOOKUP(D568,Controls!$A$25:$D$35,3,FALSE()),"No")="Yes",1,0)</f>
        <v/>
      </c>
      <c r="AJ568" s="39">
        <f>IF(IFERROR(VLOOKUP(D568,Controls!$A$25:$D$35,4,FALSE()),"No")="Yes",1,0)</f>
        <v/>
      </c>
      <c r="AK568" s="96">
        <f>IF(AND($E568&gt;=Controls!$B$5,$E568&lt;=Controls!$B$6,OR(Controls!$E$9&lt;&gt;"Y",$BE568=1)),1,0)</f>
        <v/>
      </c>
      <c r="AL568" s="39">
        <f>1</f>
        <v/>
      </c>
      <c r="AM568" s="20">
        <f>S568-P568</f>
        <v/>
      </c>
      <c r="AN568" s="20">
        <f>IF(AH568=1,MAX(0,P568-S568),0)</f>
        <v/>
      </c>
      <c r="AO568" s="21">
        <f>IFERROR(S568/P568,"")</f>
        <v/>
      </c>
      <c r="AP568" s="22">
        <f>IF(Y568="","",P568/Y568)</f>
        <v/>
      </c>
      <c r="AQ568" s="39">
        <f>IF(Y568="",0,1)</f>
        <v/>
      </c>
      <c r="AR568" s="39">
        <f>IF(S568&lt;=0,1,0)</f>
        <v/>
      </c>
      <c r="AS568" s="17">
        <f>IF(AH568=1,AG568,"")</f>
        <v/>
      </c>
      <c r="AT568" s="17">
        <f>IF(AND(AH568=0,AJ568=1),AG568,"")</f>
        <v/>
      </c>
      <c r="AU568" s="5">
        <f>IF(P568&lt;10000,"Under $10K",IF(P568&lt;20000,"$10-20K",IF(P568&lt;30000,"$20-30K",IF(P568&lt;50000,"$30-50K",IF(P568&lt;100000,"$50-100K","$100K+")))))</f>
        <v/>
      </c>
      <c r="AV568" s="5">
        <f>IF(O568&lt;=1.35,"1.35 and under",IF(O568&lt;=1.42,"1.36-1.42",IF(O568&lt;=1.45,"1.43-1.45",IF(O568&lt;1.49,"1.46-1.48",IF(O568&lt;=1.49,"1.49","Above 1.49")))))</f>
        <v/>
      </c>
      <c r="AW568" s="5">
        <f>IF(AE568="","",IF(AE568&lt;60,"Under 60",IF(AE568&lt;90,"60-89",IF(AE568&lt;120,"90-119",IF(AE568&lt;150,"120-149","150+")))))</f>
        <v/>
      </c>
      <c r="AX568" s="5">
        <f>IF(AP568="","No revenue data",IF(AP568&lt;0.15,"Under 0.15x",IF(AP568&lt;0.3,"0.15-0.30x",IF(AP568&lt;0.5,"0.30-0.50x",IF(AP568&lt;1,"0.50-1.00x","1.00x+")))))</f>
        <v/>
      </c>
      <c r="AY568" s="5">
        <f>IF(J568="","No SIC",IFERROR(VLOOKUP(J568,Ref!$A$4:$C$67,2,FALSE()),"Unclassified"))</f>
        <v/>
      </c>
      <c r="AZ568" s="5">
        <f>IF(E568="","",TEXT(E568,"YYYY")&amp;"-Q"&amp;ROUNDUP(MONTH(E568)/3,0))</f>
        <v/>
      </c>
      <c r="BA568" s="5">
        <f>IF(E568="","",TEXT(E568,"YYYY-MM"))</f>
        <v/>
      </c>
      <c r="BB568" s="5">
        <f>IF(E568="","",TEXT(E568,"YYYY"))</f>
        <v/>
      </c>
      <c r="BC568" s="92">
        <f>IF($E568="","",NETWORKDAYS($E568,Controls!$B$9,Ref!$F$4:$F$47))</f>
        <v/>
      </c>
      <c r="BD568" s="92">
        <f>IF(OR($AH568=1,$AJ568=1),1,0)</f>
        <v/>
      </c>
      <c r="BE568" s="95">
        <f>IF(OR($BD568=1,AND($AE568&lt;&gt;"",$BC568&gt;=Controls!$B$10*$AE568)),1,0)</f>
        <v/>
      </c>
    </row>
    <row r="569" ht="15.75" customHeight="1" s="79">
      <c r="A569" s="5" t="inlineStr">
        <is>
          <t>5674177183</t>
        </is>
      </c>
      <c r="B569" s="5" t="inlineStr">
        <is>
          <t>JWS OUTPOST 421 LLC</t>
        </is>
      </c>
      <c r="C569" s="5" t="inlineStr">
        <is>
          <t>JWS OUTPOST 421 LLC</t>
        </is>
      </c>
      <c r="D569" s="5" t="inlineStr">
        <is>
          <t>Legal</t>
        </is>
      </c>
      <c r="E569" s="16" t="n">
        <v>46048</v>
      </c>
      <c r="F569" s="16" t="n">
        <v>46150</v>
      </c>
      <c r="G569" s="17" t="n">
        <v>1</v>
      </c>
      <c r="H569" s="5" t="inlineStr">
        <is>
          <t>5399</t>
        </is>
      </c>
      <c r="I569" s="5" t="inlineStr">
        <is>
          <t>All Other General Merchandise Stores</t>
        </is>
      </c>
      <c r="J569" s="5" t="inlineStr">
        <is>
          <t>53</t>
        </is>
      </c>
      <c r="K569" s="5" t="n">
        <v>5399</v>
      </c>
      <c r="L569" s="5" t="inlineStr">
        <is>
          <t>IN</t>
        </is>
      </c>
      <c r="M569" s="5" t="inlineStr">
        <is>
          <t>United Secured Capital 8</t>
        </is>
      </c>
      <c r="N569" s="5" t="inlineStr">
        <is>
          <t>New Deal</t>
        </is>
      </c>
      <c r="O569" s="19" t="n">
        <v>1.49</v>
      </c>
      <c r="P569" s="20" t="n">
        <v>21000</v>
      </c>
      <c r="Q569" s="20" t="n">
        <v>0</v>
      </c>
      <c r="R569" s="20" t="n">
        <v>31290</v>
      </c>
      <c r="S569" s="20" t="n">
        <v>3489.82</v>
      </c>
      <c r="T569" s="20" t="n">
        <v>27800.18</v>
      </c>
      <c r="U569" s="21" t="n">
        <v>0.111531479705976</v>
      </c>
      <c r="V569" s="22" t="n">
        <v>24</v>
      </c>
      <c r="W569" s="17" t="n">
        <v>141</v>
      </c>
      <c r="X569" s="17" t="n">
        <v>13</v>
      </c>
      <c r="Y569" s="20" t="n">
        <v>93274.12</v>
      </c>
      <c r="Z569" s="21" t="n">
        <v>0.0559</v>
      </c>
      <c r="AA569" s="5" t="n"/>
      <c r="AB569" s="5">
        <f>IF(V569="","",IF(V569&lt;12,"Months","Weeks"))</f>
        <v/>
      </c>
      <c r="AC569" s="5">
        <f>IF(AB569="","",IF(AB569="Months","Daily","Weekly"))</f>
        <v/>
      </c>
      <c r="AD569" s="17">
        <f>IF(V569="","",IF(AC569="Daily",V569*Controls!$B$13,V569))</f>
        <v/>
      </c>
      <c r="AE569" s="17">
        <f>IF(V569="","",IF(AC569="Daily",V569*Controls!$B$13,V569*Controls!$B$12))</f>
        <v/>
      </c>
      <c r="AF569" s="17">
        <f>IF(OR(E569="",F569=""),"",F569-E569)</f>
        <v/>
      </c>
      <c r="AG569" s="17">
        <f>IF(OR(E569="",F569=""),"",NETWORKDAYS(E569,F569,Ref!$F$4:$F$47))</f>
        <v/>
      </c>
      <c r="AH569" s="39">
        <f>IF(IFERROR(VLOOKUP(D569,Controls!$A$25:$D$35,2,FALSE()),"No")="Yes",1,0)</f>
        <v/>
      </c>
      <c r="AI569" s="39">
        <f>IF(IFERROR(VLOOKUP(D569,Controls!$A$25:$D$35,3,FALSE()),"No")="Yes",1,0)</f>
        <v/>
      </c>
      <c r="AJ569" s="39">
        <f>IF(IFERROR(VLOOKUP(D569,Controls!$A$25:$D$35,4,FALSE()),"No")="Yes",1,0)</f>
        <v/>
      </c>
      <c r="AK569" s="96">
        <f>IF(AND($E569&gt;=Controls!$B$5,$E569&lt;=Controls!$B$6,OR(Controls!$E$9&lt;&gt;"Y",$BE569=1)),1,0)</f>
        <v/>
      </c>
      <c r="AL569" s="39">
        <f>1</f>
        <v/>
      </c>
      <c r="AM569" s="20">
        <f>S569-P569</f>
        <v/>
      </c>
      <c r="AN569" s="20">
        <f>IF(AH569=1,MAX(0,P569-S569),0)</f>
        <v/>
      </c>
      <c r="AO569" s="21">
        <f>IFERROR(S569/P569,"")</f>
        <v/>
      </c>
      <c r="AP569" s="22">
        <f>IF(Y569="","",P569/Y569)</f>
        <v/>
      </c>
      <c r="AQ569" s="39">
        <f>IF(Y569="",0,1)</f>
        <v/>
      </c>
      <c r="AR569" s="39">
        <f>IF(S569&lt;=0,1,0)</f>
        <v/>
      </c>
      <c r="AS569" s="17">
        <f>IF(AH569=1,AG569,"")</f>
        <v/>
      </c>
      <c r="AT569" s="17">
        <f>IF(AND(AH569=0,AJ569=1),AG569,"")</f>
        <v/>
      </c>
      <c r="AU569" s="5">
        <f>IF(P569&lt;10000,"Under $10K",IF(P569&lt;20000,"$10-20K",IF(P569&lt;30000,"$20-30K",IF(P569&lt;50000,"$30-50K",IF(P569&lt;100000,"$50-100K","$100K+")))))</f>
        <v/>
      </c>
      <c r="AV569" s="5">
        <f>IF(O569&lt;=1.35,"1.35 and under",IF(O569&lt;=1.42,"1.36-1.42",IF(O569&lt;=1.45,"1.43-1.45",IF(O569&lt;1.49,"1.46-1.48",IF(O569&lt;=1.49,"1.49","Above 1.49")))))</f>
        <v/>
      </c>
      <c r="AW569" s="5">
        <f>IF(AE569="","",IF(AE569&lt;60,"Under 60",IF(AE569&lt;90,"60-89",IF(AE569&lt;120,"90-119",IF(AE569&lt;150,"120-149","150+")))))</f>
        <v/>
      </c>
      <c r="AX569" s="5">
        <f>IF(AP569="","No revenue data",IF(AP569&lt;0.15,"Under 0.15x",IF(AP569&lt;0.3,"0.15-0.30x",IF(AP569&lt;0.5,"0.30-0.50x",IF(AP569&lt;1,"0.50-1.00x","1.00x+")))))</f>
        <v/>
      </c>
      <c r="AY569" s="5">
        <f>IF(J569="","No SIC",IFERROR(VLOOKUP(J569,Ref!$A$4:$C$67,2,FALSE()),"Unclassified"))</f>
        <v/>
      </c>
      <c r="AZ569" s="5">
        <f>IF(E569="","",TEXT(E569,"YYYY")&amp;"-Q"&amp;ROUNDUP(MONTH(E569)/3,0))</f>
        <v/>
      </c>
      <c r="BA569" s="5">
        <f>IF(E569="","",TEXT(E569,"YYYY-MM"))</f>
        <v/>
      </c>
      <c r="BB569" s="5">
        <f>IF(E569="","",TEXT(E569,"YYYY"))</f>
        <v/>
      </c>
      <c r="BC569" s="92">
        <f>IF($E569="","",NETWORKDAYS($E569,Controls!$B$9,Ref!$F$4:$F$47))</f>
        <v/>
      </c>
      <c r="BD569" s="92">
        <f>IF(OR($AH569=1,$AJ569=1),1,0)</f>
        <v/>
      </c>
      <c r="BE569" s="95">
        <f>IF(OR($BD569=1,AND($AE569&lt;&gt;"",$BC569&gt;=Controls!$B$10*$AE569)),1,0)</f>
        <v/>
      </c>
    </row>
    <row r="570" ht="15.75" customHeight="1" s="79">
      <c r="A570" s="5" t="inlineStr">
        <is>
          <t>5674177232</t>
        </is>
      </c>
      <c r="B570" s="5" t="inlineStr">
        <is>
          <t>Good Living Expositions Inc</t>
        </is>
      </c>
      <c r="C570" s="5" t="inlineStr">
        <is>
          <t>Good Living Expositions Inc</t>
        </is>
      </c>
      <c r="D570" s="5" t="inlineStr">
        <is>
          <t>In House Collection</t>
        </is>
      </c>
      <c r="E570" s="16" t="n">
        <v>46049</v>
      </c>
      <c r="F570" s="16" t="n">
        <v>46135</v>
      </c>
      <c r="G570" s="17" t="n">
        <v>3</v>
      </c>
      <c r="H570" s="5" t="inlineStr">
        <is>
          <t>5999</t>
        </is>
      </c>
      <c r="I570" s="5" t="inlineStr">
        <is>
          <t>All Other Misc. Store Retailers (Except Tobacco Stores)</t>
        </is>
      </c>
      <c r="J570" s="5" t="inlineStr">
        <is>
          <t>59</t>
        </is>
      </c>
      <c r="K570" s="5" t="n">
        <v>5999</v>
      </c>
      <c r="L570" s="5" t="inlineStr">
        <is>
          <t>FL</t>
        </is>
      </c>
      <c r="M570" s="5" t="inlineStr">
        <is>
          <t>Ballicci</t>
        </is>
      </c>
      <c r="N570" s="5" t="inlineStr">
        <is>
          <t>New Deal</t>
        </is>
      </c>
      <c r="O570" s="19" t="n">
        <v>1.49</v>
      </c>
      <c r="P570" s="20" t="n">
        <v>40000</v>
      </c>
      <c r="Q570" s="20" t="n">
        <v>5600</v>
      </c>
      <c r="R570" s="20" t="n">
        <v>59600</v>
      </c>
      <c r="S570" s="20" t="n">
        <v>21775.7</v>
      </c>
      <c r="T570" s="20" t="n">
        <v>37824.3</v>
      </c>
      <c r="U570" s="21" t="n">
        <v>0.365364093959732</v>
      </c>
      <c r="V570" s="22" t="n">
        <v>28</v>
      </c>
      <c r="W570" s="17" t="n">
        <v>118</v>
      </c>
      <c r="X570" s="17" t="n">
        <v>1</v>
      </c>
      <c r="Y570" s="20" t="n">
        <v>56572.13</v>
      </c>
      <c r="Z570" s="21" t="n">
        <v>0.1505</v>
      </c>
      <c r="AA570" s="5" t="n"/>
      <c r="AB570" s="5">
        <f>IF(V570="","",IF(V570&lt;12,"Months","Weeks"))</f>
        <v/>
      </c>
      <c r="AC570" s="5">
        <f>IF(AB570="","",IF(AB570="Months","Daily","Weekly"))</f>
        <v/>
      </c>
      <c r="AD570" s="17">
        <f>IF(V570="","",IF(AC570="Daily",V570*Controls!$B$13,V570))</f>
        <v/>
      </c>
      <c r="AE570" s="17">
        <f>IF(V570="","",IF(AC570="Daily",V570*Controls!$B$13,V570*Controls!$B$12))</f>
        <v/>
      </c>
      <c r="AF570" s="17">
        <f>IF(OR(E570="",F570=""),"",F570-E570)</f>
        <v/>
      </c>
      <c r="AG570" s="17">
        <f>IF(OR(E570="",F570=""),"",NETWORKDAYS(E570,F570,Ref!$F$4:$F$47))</f>
        <v/>
      </c>
      <c r="AH570" s="39">
        <f>IF(IFERROR(VLOOKUP(D570,Controls!$A$25:$D$35,2,FALSE()),"No")="Yes",1,0)</f>
        <v/>
      </c>
      <c r="AI570" s="39">
        <f>IF(IFERROR(VLOOKUP(D570,Controls!$A$25:$D$35,3,FALSE()),"No")="Yes",1,0)</f>
        <v/>
      </c>
      <c r="AJ570" s="39">
        <f>IF(IFERROR(VLOOKUP(D570,Controls!$A$25:$D$35,4,FALSE()),"No")="Yes",1,0)</f>
        <v/>
      </c>
      <c r="AK570" s="96">
        <f>IF(AND($E570&gt;=Controls!$B$5,$E570&lt;=Controls!$B$6,OR(Controls!$E$9&lt;&gt;"Y",$BE570=1)),1,0)</f>
        <v/>
      </c>
      <c r="AL570" s="39">
        <f>1</f>
        <v/>
      </c>
      <c r="AM570" s="20">
        <f>S570-P570</f>
        <v/>
      </c>
      <c r="AN570" s="20">
        <f>IF(AH570=1,MAX(0,P570-S570),0)</f>
        <v/>
      </c>
      <c r="AO570" s="21">
        <f>IFERROR(S570/P570,"")</f>
        <v/>
      </c>
      <c r="AP570" s="22">
        <f>IF(Y570="","",P570/Y570)</f>
        <v/>
      </c>
      <c r="AQ570" s="39">
        <f>IF(Y570="",0,1)</f>
        <v/>
      </c>
      <c r="AR570" s="39">
        <f>IF(S570&lt;=0,1,0)</f>
        <v/>
      </c>
      <c r="AS570" s="17">
        <f>IF(AH570=1,AG570,"")</f>
        <v/>
      </c>
      <c r="AT570" s="17">
        <f>IF(AND(AH570=0,AJ570=1),AG570,"")</f>
        <v/>
      </c>
      <c r="AU570" s="5">
        <f>IF(P570&lt;10000,"Under $10K",IF(P570&lt;20000,"$10-20K",IF(P570&lt;30000,"$20-30K",IF(P570&lt;50000,"$30-50K",IF(P570&lt;100000,"$50-100K","$100K+")))))</f>
        <v/>
      </c>
      <c r="AV570" s="5">
        <f>IF(O570&lt;=1.35,"1.35 and under",IF(O570&lt;=1.42,"1.36-1.42",IF(O570&lt;=1.45,"1.43-1.45",IF(O570&lt;1.49,"1.46-1.48",IF(O570&lt;=1.49,"1.49","Above 1.49")))))</f>
        <v/>
      </c>
      <c r="AW570" s="5">
        <f>IF(AE570="","",IF(AE570&lt;60,"Under 60",IF(AE570&lt;90,"60-89",IF(AE570&lt;120,"90-119",IF(AE570&lt;150,"120-149","150+")))))</f>
        <v/>
      </c>
      <c r="AX570" s="5">
        <f>IF(AP570="","No revenue data",IF(AP570&lt;0.15,"Under 0.15x",IF(AP570&lt;0.3,"0.15-0.30x",IF(AP570&lt;0.5,"0.30-0.50x",IF(AP570&lt;1,"0.50-1.00x","1.00x+")))))</f>
        <v/>
      </c>
      <c r="AY570" s="5">
        <f>IF(J570="","No SIC",IFERROR(VLOOKUP(J570,Ref!$A$4:$C$67,2,FALSE()),"Unclassified"))</f>
        <v/>
      </c>
      <c r="AZ570" s="5">
        <f>IF(E570="","",TEXT(E570,"YYYY")&amp;"-Q"&amp;ROUNDUP(MONTH(E570)/3,0))</f>
        <v/>
      </c>
      <c r="BA570" s="5">
        <f>IF(E570="","",TEXT(E570,"YYYY-MM"))</f>
        <v/>
      </c>
      <c r="BB570" s="5">
        <f>IF(E570="","",TEXT(E570,"YYYY"))</f>
        <v/>
      </c>
      <c r="BC570" s="92">
        <f>IF($E570="","",NETWORKDAYS($E570,Controls!$B$9,Ref!$F$4:$F$47))</f>
        <v/>
      </c>
      <c r="BD570" s="92">
        <f>IF(OR($AH570=1,$AJ570=1),1,0)</f>
        <v/>
      </c>
      <c r="BE570" s="95">
        <f>IF(OR($BD570=1,AND($AE570&lt;&gt;"",$BC570&gt;=Controls!$B$10*$AE570)),1,0)</f>
        <v/>
      </c>
    </row>
    <row r="571" ht="15.75" customHeight="1" s="79">
      <c r="A571" s="5" t="inlineStr">
        <is>
          <t>5674177238</t>
        </is>
      </c>
      <c r="B571" s="5" t="inlineStr">
        <is>
          <t>MEHFIL INDIAN BISTRO LLC</t>
        </is>
      </c>
      <c r="C571" s="5" t="inlineStr">
        <is>
          <t>MEHFIL INDIAN BISTRO LLC</t>
        </is>
      </c>
      <c r="D571" s="5" t="inlineStr">
        <is>
          <t>Legal</t>
        </is>
      </c>
      <c r="E571" s="16" t="n">
        <v>46049</v>
      </c>
      <c r="F571" s="16" t="n">
        <v>46085</v>
      </c>
      <c r="G571" s="17" t="n">
        <v>3</v>
      </c>
      <c r="H571" s="5" t="inlineStr">
        <is>
          <t>5812</t>
        </is>
      </c>
      <c r="I571" s="5" t="inlineStr">
        <is>
          <t>Snack and Nonalcoholic Beverage Bars</t>
        </is>
      </c>
      <c r="J571" s="5" t="inlineStr">
        <is>
          <t>58</t>
        </is>
      </c>
      <c r="K571" s="5" t="n">
        <v>5812</v>
      </c>
      <c r="L571" s="5" t="inlineStr">
        <is>
          <t>CA</t>
        </is>
      </c>
      <c r="M571" s="5" t="inlineStr">
        <is>
          <t>United Secured Capital 8</t>
        </is>
      </c>
      <c r="N571" s="5" t="inlineStr">
        <is>
          <t>New Deal</t>
        </is>
      </c>
      <c r="O571" s="19" t="n">
        <v>1.49</v>
      </c>
      <c r="P571" s="20" t="n">
        <v>20000</v>
      </c>
      <c r="Q571" s="20" t="n">
        <v>2800</v>
      </c>
      <c r="R571" s="20" t="n">
        <v>29800</v>
      </c>
      <c r="S571" s="20" t="n">
        <v>5626.49</v>
      </c>
      <c r="T571" s="20" t="n">
        <v>24173.51</v>
      </c>
      <c r="U571" s="21" t="n">
        <v>0.188808389261745</v>
      </c>
      <c r="V571" s="22" t="n">
        <v>2.951</v>
      </c>
      <c r="W571" s="17" t="n">
        <v>181</v>
      </c>
      <c r="X571" s="17" t="n">
        <v>8</v>
      </c>
      <c r="Y571" s="20" t="n">
        <v>125457.59</v>
      </c>
      <c r="Z571" s="21" t="n">
        <v>0.0554</v>
      </c>
      <c r="AA571" s="5" t="n"/>
      <c r="AB571" s="5">
        <f>IF(V571="","",IF(V571&lt;12,"Months","Weeks"))</f>
        <v/>
      </c>
      <c r="AC571" s="5">
        <f>IF(AB571="","",IF(AB571="Months","Daily","Weekly"))</f>
        <v/>
      </c>
      <c r="AD571" s="17">
        <f>IF(V571="","",IF(AC571="Daily",V571*Controls!$B$13,V571))</f>
        <v/>
      </c>
      <c r="AE571" s="17">
        <f>IF(V571="","",IF(AC571="Daily",V571*Controls!$B$13,V571*Controls!$B$12))</f>
        <v/>
      </c>
      <c r="AF571" s="17">
        <f>IF(OR(E571="",F571=""),"",F571-E571)</f>
        <v/>
      </c>
      <c r="AG571" s="17">
        <f>IF(OR(E571="",F571=""),"",NETWORKDAYS(E571,F571,Ref!$F$4:$F$47))</f>
        <v/>
      </c>
      <c r="AH571" s="39">
        <f>IF(IFERROR(VLOOKUP(D571,Controls!$A$25:$D$35,2,FALSE()),"No")="Yes",1,0)</f>
        <v/>
      </c>
      <c r="AI571" s="39">
        <f>IF(IFERROR(VLOOKUP(D571,Controls!$A$25:$D$35,3,FALSE()),"No")="Yes",1,0)</f>
        <v/>
      </c>
      <c r="AJ571" s="39">
        <f>IF(IFERROR(VLOOKUP(D571,Controls!$A$25:$D$35,4,FALSE()),"No")="Yes",1,0)</f>
        <v/>
      </c>
      <c r="AK571" s="96">
        <f>IF(AND($E571&gt;=Controls!$B$5,$E571&lt;=Controls!$B$6,OR(Controls!$E$9&lt;&gt;"Y",$BE571=1)),1,0)</f>
        <v/>
      </c>
      <c r="AL571" s="39">
        <f>1</f>
        <v/>
      </c>
      <c r="AM571" s="20">
        <f>S571-P571</f>
        <v/>
      </c>
      <c r="AN571" s="20">
        <f>IF(AH571=1,MAX(0,P571-S571),0)</f>
        <v/>
      </c>
      <c r="AO571" s="21">
        <f>IFERROR(S571/P571,"")</f>
        <v/>
      </c>
      <c r="AP571" s="22">
        <f>IF(Y571="","",P571/Y571)</f>
        <v/>
      </c>
      <c r="AQ571" s="39">
        <f>IF(Y571="",0,1)</f>
        <v/>
      </c>
      <c r="AR571" s="39">
        <f>IF(S571&lt;=0,1,0)</f>
        <v/>
      </c>
      <c r="AS571" s="17">
        <f>IF(AH571=1,AG571,"")</f>
        <v/>
      </c>
      <c r="AT571" s="17">
        <f>IF(AND(AH571=0,AJ571=1),AG571,"")</f>
        <v/>
      </c>
      <c r="AU571" s="5">
        <f>IF(P571&lt;10000,"Under $10K",IF(P571&lt;20000,"$10-20K",IF(P571&lt;30000,"$20-30K",IF(P571&lt;50000,"$30-50K",IF(P571&lt;100000,"$50-100K","$100K+")))))</f>
        <v/>
      </c>
      <c r="AV571" s="5">
        <f>IF(O571&lt;=1.35,"1.35 and under",IF(O571&lt;=1.42,"1.36-1.42",IF(O571&lt;=1.45,"1.43-1.45",IF(O571&lt;1.49,"1.46-1.48",IF(O571&lt;=1.49,"1.49","Above 1.49")))))</f>
        <v/>
      </c>
      <c r="AW571" s="5">
        <f>IF(AE571="","",IF(AE571&lt;60,"Under 60",IF(AE571&lt;90,"60-89",IF(AE571&lt;120,"90-119",IF(AE571&lt;150,"120-149","150+")))))</f>
        <v/>
      </c>
      <c r="AX571" s="5">
        <f>IF(AP571="","No revenue data",IF(AP571&lt;0.15,"Under 0.15x",IF(AP571&lt;0.3,"0.15-0.30x",IF(AP571&lt;0.5,"0.30-0.50x",IF(AP571&lt;1,"0.50-1.00x","1.00x+")))))</f>
        <v/>
      </c>
      <c r="AY571" s="5">
        <f>IF(J571="","No SIC",IFERROR(VLOOKUP(J571,Ref!$A$4:$C$67,2,FALSE()),"Unclassified"))</f>
        <v/>
      </c>
      <c r="AZ571" s="5">
        <f>IF(E571="","",TEXT(E571,"YYYY")&amp;"-Q"&amp;ROUNDUP(MONTH(E571)/3,0))</f>
        <v/>
      </c>
      <c r="BA571" s="5">
        <f>IF(E571="","",TEXT(E571,"YYYY-MM"))</f>
        <v/>
      </c>
      <c r="BB571" s="5">
        <f>IF(E571="","",TEXT(E571,"YYYY"))</f>
        <v/>
      </c>
      <c r="BC571" s="92">
        <f>IF($E571="","",NETWORKDAYS($E571,Controls!$B$9,Ref!$F$4:$F$47))</f>
        <v/>
      </c>
      <c r="BD571" s="92">
        <f>IF(OR($AH571=1,$AJ571=1),1,0)</f>
        <v/>
      </c>
      <c r="BE571" s="95">
        <f>IF(OR($BD571=1,AND($AE571&lt;&gt;"",$BC571&gt;=Controls!$B$10*$AE571)),1,0)</f>
        <v/>
      </c>
    </row>
    <row r="572" ht="15.75" customHeight="1" s="79">
      <c r="A572" s="5" t="inlineStr">
        <is>
          <t>5674177241</t>
        </is>
      </c>
      <c r="B572" s="5" t="inlineStr">
        <is>
          <t>LIL EXPLORERS</t>
        </is>
      </c>
      <c r="C572" s="5" t="inlineStr">
        <is>
          <t>LIL EXPLORERS OF BOERNE LLC</t>
        </is>
      </c>
      <c r="D572" s="5" t="inlineStr">
        <is>
          <t>Legal</t>
        </is>
      </c>
      <c r="E572" s="16" t="n">
        <v>46049</v>
      </c>
      <c r="F572" s="16" t="n">
        <v>46069</v>
      </c>
      <c r="G572" s="17" t="n">
        <v>3</v>
      </c>
      <c r="H572" s="5" t="inlineStr">
        <is>
          <t>8351</t>
        </is>
      </c>
      <c r="I572" s="5" t="inlineStr">
        <is>
          <t>Child Day Care Services</t>
        </is>
      </c>
      <c r="J572" s="5" t="inlineStr">
        <is>
          <t>83</t>
        </is>
      </c>
      <c r="K572" s="5" t="n">
        <v>8351</v>
      </c>
      <c r="L572" s="5" t="inlineStr">
        <is>
          <t>TX</t>
        </is>
      </c>
      <c r="M572" s="5" t="inlineStr">
        <is>
          <t>Top Floor Advance</t>
        </is>
      </c>
      <c r="N572" s="5" t="inlineStr">
        <is>
          <t>New Deal</t>
        </is>
      </c>
      <c r="O572" s="19" t="n">
        <v>1.49</v>
      </c>
      <c r="P572" s="20" t="n">
        <v>30000</v>
      </c>
      <c r="Q572" s="20" t="n">
        <v>4200</v>
      </c>
      <c r="R572" s="20" t="n">
        <v>44700</v>
      </c>
      <c r="S572" s="20" t="n">
        <v>4970.44</v>
      </c>
      <c r="T572" s="20" t="n">
        <v>39729.56</v>
      </c>
      <c r="U572" s="21" t="n">
        <v>0.111195525727069</v>
      </c>
      <c r="V572" s="22" t="n">
        <v>18</v>
      </c>
      <c r="W572" s="17" t="n">
        <v>191</v>
      </c>
      <c r="X572" s="17" t="n">
        <v>1</v>
      </c>
      <c r="Y572" s="20" t="n">
        <v>186158.49</v>
      </c>
      <c r="Z572" s="21" t="n">
        <v>0.0534</v>
      </c>
      <c r="AA572" s="16" t="n">
        <v>26065</v>
      </c>
      <c r="AB572" s="5">
        <f>IF(V572="","",IF(V572&lt;12,"Months","Weeks"))</f>
        <v/>
      </c>
      <c r="AC572" s="5">
        <f>IF(AB572="","",IF(AB572="Months","Daily","Weekly"))</f>
        <v/>
      </c>
      <c r="AD572" s="17">
        <f>IF(V572="","",IF(AC572="Daily",V572*Controls!$B$13,V572))</f>
        <v/>
      </c>
      <c r="AE572" s="17">
        <f>IF(V572="","",IF(AC572="Daily",V572*Controls!$B$13,V572*Controls!$B$12))</f>
        <v/>
      </c>
      <c r="AF572" s="17">
        <f>IF(OR(E572="",F572=""),"",F572-E572)</f>
        <v/>
      </c>
      <c r="AG572" s="17">
        <f>IF(OR(E572="",F572=""),"",NETWORKDAYS(E572,F572,Ref!$F$4:$F$47))</f>
        <v/>
      </c>
      <c r="AH572" s="39">
        <f>IF(IFERROR(VLOOKUP(D572,Controls!$A$25:$D$35,2,FALSE()),"No")="Yes",1,0)</f>
        <v/>
      </c>
      <c r="AI572" s="39">
        <f>IF(IFERROR(VLOOKUP(D572,Controls!$A$25:$D$35,3,FALSE()),"No")="Yes",1,0)</f>
        <v/>
      </c>
      <c r="AJ572" s="39">
        <f>IF(IFERROR(VLOOKUP(D572,Controls!$A$25:$D$35,4,FALSE()),"No")="Yes",1,0)</f>
        <v/>
      </c>
      <c r="AK572" s="96">
        <f>IF(AND($E572&gt;=Controls!$B$5,$E572&lt;=Controls!$B$6,OR(Controls!$E$9&lt;&gt;"Y",$BE572=1)),1,0)</f>
        <v/>
      </c>
      <c r="AL572" s="39">
        <f>1</f>
        <v/>
      </c>
      <c r="AM572" s="20">
        <f>S572-P572</f>
        <v/>
      </c>
      <c r="AN572" s="20">
        <f>IF(AH572=1,MAX(0,P572-S572),0)</f>
        <v/>
      </c>
      <c r="AO572" s="21">
        <f>IFERROR(S572/P572,"")</f>
        <v/>
      </c>
      <c r="AP572" s="22">
        <f>IF(Y572="","",P572/Y572)</f>
        <v/>
      </c>
      <c r="AQ572" s="39">
        <f>IF(Y572="",0,1)</f>
        <v/>
      </c>
      <c r="AR572" s="39">
        <f>IF(S572&lt;=0,1,0)</f>
        <v/>
      </c>
      <c r="AS572" s="17">
        <f>IF(AH572=1,AG572,"")</f>
        <v/>
      </c>
      <c r="AT572" s="17">
        <f>IF(AND(AH572=0,AJ572=1),AG572,"")</f>
        <v/>
      </c>
      <c r="AU572" s="5">
        <f>IF(P572&lt;10000,"Under $10K",IF(P572&lt;20000,"$10-20K",IF(P572&lt;30000,"$20-30K",IF(P572&lt;50000,"$30-50K",IF(P572&lt;100000,"$50-100K","$100K+")))))</f>
        <v/>
      </c>
      <c r="AV572" s="5">
        <f>IF(O572&lt;=1.35,"1.35 and under",IF(O572&lt;=1.42,"1.36-1.42",IF(O572&lt;=1.45,"1.43-1.45",IF(O572&lt;1.49,"1.46-1.48",IF(O572&lt;=1.49,"1.49","Above 1.49")))))</f>
        <v/>
      </c>
      <c r="AW572" s="5">
        <f>IF(AE572="","",IF(AE572&lt;60,"Under 60",IF(AE572&lt;90,"60-89",IF(AE572&lt;120,"90-119",IF(AE572&lt;150,"120-149","150+")))))</f>
        <v/>
      </c>
      <c r="AX572" s="5">
        <f>IF(AP572="","No revenue data",IF(AP572&lt;0.15,"Under 0.15x",IF(AP572&lt;0.3,"0.15-0.30x",IF(AP572&lt;0.5,"0.30-0.50x",IF(AP572&lt;1,"0.50-1.00x","1.00x+")))))</f>
        <v/>
      </c>
      <c r="AY572" s="5">
        <f>IF(J572="","No SIC",IFERROR(VLOOKUP(J572,Ref!$A$4:$C$67,2,FALSE()),"Unclassified"))</f>
        <v/>
      </c>
      <c r="AZ572" s="5">
        <f>IF(E572="","",TEXT(E572,"YYYY")&amp;"-Q"&amp;ROUNDUP(MONTH(E572)/3,0))</f>
        <v/>
      </c>
      <c r="BA572" s="5">
        <f>IF(E572="","",TEXT(E572,"YYYY-MM"))</f>
        <v/>
      </c>
      <c r="BB572" s="5">
        <f>IF(E572="","",TEXT(E572,"YYYY"))</f>
        <v/>
      </c>
      <c r="BC572" s="92">
        <f>IF($E572="","",NETWORKDAYS($E572,Controls!$B$9,Ref!$F$4:$F$47))</f>
        <v/>
      </c>
      <c r="BD572" s="92">
        <f>IF(OR($AH572=1,$AJ572=1),1,0)</f>
        <v/>
      </c>
      <c r="BE572" s="95">
        <f>IF(OR($BD572=1,AND($AE572&lt;&gt;"",$BC572&gt;=Controls!$B$10*$AE572)),1,0)</f>
        <v/>
      </c>
    </row>
    <row r="573" ht="15.75" customHeight="1" s="79">
      <c r="A573" s="5" t="inlineStr">
        <is>
          <t>5674177264</t>
        </is>
      </c>
      <c r="B573" s="5" t="inlineStr">
        <is>
          <t>TANG DYNASTY LLC</t>
        </is>
      </c>
      <c r="C573" s="5" t="inlineStr">
        <is>
          <t>TANG &amp; LLANTINO ENTERPRISES LLC</t>
        </is>
      </c>
      <c r="D573" s="5" t="inlineStr">
        <is>
          <t>Open</t>
        </is>
      </c>
      <c r="E573" s="16" t="n">
        <v>46049</v>
      </c>
      <c r="F573" s="16" t="n">
        <v>46247</v>
      </c>
      <c r="G573" s="17" t="n">
        <v>3</v>
      </c>
      <c r="H573" s="5" t="inlineStr">
        <is>
          <t>5812</t>
        </is>
      </c>
      <c r="I573" s="5" t="inlineStr">
        <is>
          <t>Snack and Nonalcoholic Beverage Bars</t>
        </is>
      </c>
      <c r="J573" s="5" t="inlineStr">
        <is>
          <t>58</t>
        </is>
      </c>
      <c r="K573" s="5" t="n">
        <v>5812</v>
      </c>
      <c r="L573" s="5" t="inlineStr">
        <is>
          <t>TX</t>
        </is>
      </c>
      <c r="M573" s="5" t="inlineStr">
        <is>
          <t>Top Floor Advance</t>
        </is>
      </c>
      <c r="N573" s="5" t="inlineStr">
        <is>
          <t>New Deal</t>
        </is>
      </c>
      <c r="O573" s="19" t="n">
        <v>1.4</v>
      </c>
      <c r="P573" s="20" t="n">
        <v>25000</v>
      </c>
      <c r="Q573" s="20" t="n">
        <v>2375</v>
      </c>
      <c r="R573" s="20" t="n">
        <v>35000</v>
      </c>
      <c r="S573" s="20" t="n">
        <v>12258.75</v>
      </c>
      <c r="T573" s="20" t="n">
        <v>22741.25</v>
      </c>
      <c r="U573" s="21" t="n">
        <v>0.35025</v>
      </c>
      <c r="V573" s="22" t="n">
        <v>20</v>
      </c>
      <c r="W573" s="17" t="n">
        <v>146</v>
      </c>
      <c r="X573" s="17" t="n">
        <v>23</v>
      </c>
      <c r="Y573" s="20" t="n">
        <v>60000</v>
      </c>
      <c r="Z573" s="21" t="n">
        <v>0.0467</v>
      </c>
      <c r="AA573" s="16" t="n">
        <v>43897</v>
      </c>
      <c r="AB573" s="5">
        <f>IF(V573="","",IF(V573&lt;12,"Months","Weeks"))</f>
        <v/>
      </c>
      <c r="AC573" s="5">
        <f>IF(AB573="","",IF(AB573="Months","Daily","Weekly"))</f>
        <v/>
      </c>
      <c r="AD573" s="17">
        <f>IF(V573="","",IF(AC573="Daily",V573*Controls!$B$13,V573))</f>
        <v/>
      </c>
      <c r="AE573" s="17">
        <f>IF(V573="","",IF(AC573="Daily",V573*Controls!$B$13,V573*Controls!$B$12))</f>
        <v/>
      </c>
      <c r="AF573" s="17">
        <f>IF(OR(E573="",F573=""),"",F573-E573)</f>
        <v/>
      </c>
      <c r="AG573" s="17">
        <f>IF(OR(E573="",F573=""),"",NETWORKDAYS(E573,F573,Ref!$F$4:$F$47))</f>
        <v/>
      </c>
      <c r="AH573" s="39">
        <f>IF(IFERROR(VLOOKUP(D573,Controls!$A$25:$D$35,2,FALSE()),"No")="Yes",1,0)</f>
        <v/>
      </c>
      <c r="AI573" s="39">
        <f>IF(IFERROR(VLOOKUP(D573,Controls!$A$25:$D$35,3,FALSE()),"No")="Yes",1,0)</f>
        <v/>
      </c>
      <c r="AJ573" s="39">
        <f>IF(IFERROR(VLOOKUP(D573,Controls!$A$25:$D$35,4,FALSE()),"No")="Yes",1,0)</f>
        <v/>
      </c>
      <c r="AK573" s="96">
        <f>IF(AND($E573&gt;=Controls!$B$5,$E573&lt;=Controls!$B$6,OR(Controls!$E$9&lt;&gt;"Y",$BE573=1)),1,0)</f>
        <v/>
      </c>
      <c r="AL573" s="39">
        <f>1</f>
        <v/>
      </c>
      <c r="AM573" s="20">
        <f>S573-P573</f>
        <v/>
      </c>
      <c r="AN573" s="20">
        <f>IF(AH573=1,MAX(0,P573-S573),0)</f>
        <v/>
      </c>
      <c r="AO573" s="21">
        <f>IFERROR(S573/P573,"")</f>
        <v/>
      </c>
      <c r="AP573" s="22">
        <f>IF(Y573="","",P573/Y573)</f>
        <v/>
      </c>
      <c r="AQ573" s="39">
        <f>IF(Y573="",0,1)</f>
        <v/>
      </c>
      <c r="AR573" s="39">
        <f>IF(S573&lt;=0,1,0)</f>
        <v/>
      </c>
      <c r="AS573" s="17">
        <f>IF(AH573=1,AG573,"")</f>
        <v/>
      </c>
      <c r="AT573" s="17">
        <f>IF(AND(AH573=0,AJ573=1),AG573,"")</f>
        <v/>
      </c>
      <c r="AU573" s="5">
        <f>IF(P573&lt;10000,"Under $10K",IF(P573&lt;20000,"$10-20K",IF(P573&lt;30000,"$20-30K",IF(P573&lt;50000,"$30-50K",IF(P573&lt;100000,"$50-100K","$100K+")))))</f>
        <v/>
      </c>
      <c r="AV573" s="5">
        <f>IF(O573&lt;=1.35,"1.35 and under",IF(O573&lt;=1.42,"1.36-1.42",IF(O573&lt;=1.45,"1.43-1.45",IF(O573&lt;1.49,"1.46-1.48",IF(O573&lt;=1.49,"1.49","Above 1.49")))))</f>
        <v/>
      </c>
      <c r="AW573" s="5">
        <f>IF(AE573="","",IF(AE573&lt;60,"Under 60",IF(AE573&lt;90,"60-89",IF(AE573&lt;120,"90-119",IF(AE573&lt;150,"120-149","150+")))))</f>
        <v/>
      </c>
      <c r="AX573" s="5">
        <f>IF(AP573="","No revenue data",IF(AP573&lt;0.15,"Under 0.15x",IF(AP573&lt;0.3,"0.15-0.30x",IF(AP573&lt;0.5,"0.30-0.50x",IF(AP573&lt;1,"0.50-1.00x","1.00x+")))))</f>
        <v/>
      </c>
      <c r="AY573" s="5">
        <f>IF(J573="","No SIC",IFERROR(VLOOKUP(J573,Ref!$A$4:$C$67,2,FALSE()),"Unclassified"))</f>
        <v/>
      </c>
      <c r="AZ573" s="5">
        <f>IF(E573="","",TEXT(E573,"YYYY")&amp;"-Q"&amp;ROUNDUP(MONTH(E573)/3,0))</f>
        <v/>
      </c>
      <c r="BA573" s="5">
        <f>IF(E573="","",TEXT(E573,"YYYY-MM"))</f>
        <v/>
      </c>
      <c r="BB573" s="5">
        <f>IF(E573="","",TEXT(E573,"YYYY"))</f>
        <v/>
      </c>
      <c r="BC573" s="92">
        <f>IF($E573="","",NETWORKDAYS($E573,Controls!$B$9,Ref!$F$4:$F$47))</f>
        <v/>
      </c>
      <c r="BD573" s="92">
        <f>IF(OR($AH573=1,$AJ573=1),1,0)</f>
        <v/>
      </c>
      <c r="BE573" s="95">
        <f>IF(OR($BD573=1,AND($AE573&lt;&gt;"",$BC573&gt;=Controls!$B$10*$AE573)),1,0)</f>
        <v/>
      </c>
    </row>
    <row r="574" ht="15.75" customHeight="1" s="79">
      <c r="A574" s="5" t="inlineStr">
        <is>
          <t>5674177267</t>
        </is>
      </c>
      <c r="B574" s="5" t="inlineStr">
        <is>
          <t>JUICE FIX</t>
        </is>
      </c>
      <c r="C574" s="5" t="inlineStr">
        <is>
          <t>JUICE FIX LLC</t>
        </is>
      </c>
      <c r="D574" s="5" t="inlineStr">
        <is>
          <t>Open</t>
        </is>
      </c>
      <c r="E574" s="16" t="n">
        <v>46049</v>
      </c>
      <c r="F574" s="16" t="n">
        <v>46248</v>
      </c>
      <c r="G574" s="17" t="n">
        <v>3</v>
      </c>
      <c r="H574" s="5" t="inlineStr">
        <is>
          <t>5812</t>
        </is>
      </c>
      <c r="I574" s="5" t="inlineStr">
        <is>
          <t>Snack and Nonalcoholic Beverage Bars</t>
        </is>
      </c>
      <c r="J574" s="5" t="inlineStr">
        <is>
          <t>58</t>
        </is>
      </c>
      <c r="K574" s="5" t="n">
        <v>5812</v>
      </c>
      <c r="L574" s="5" t="inlineStr">
        <is>
          <t>CA</t>
        </is>
      </c>
      <c r="M574" s="5" t="inlineStr">
        <is>
          <t>TRUSTFI</t>
        </is>
      </c>
      <c r="N574" s="5" t="inlineStr">
        <is>
          <t>New Deal</t>
        </is>
      </c>
      <c r="O574" s="19" t="n">
        <v>1.45</v>
      </c>
      <c r="P574" s="20" t="n">
        <v>25000</v>
      </c>
      <c r="Q574" s="20" t="n">
        <v>3000</v>
      </c>
      <c r="R574" s="20" t="n">
        <v>36250</v>
      </c>
      <c r="S574" s="20" t="n">
        <v>19632.47</v>
      </c>
      <c r="T574" s="20" t="n">
        <v>16617.53</v>
      </c>
      <c r="U574" s="21" t="n">
        <v>0.541585379310345</v>
      </c>
      <c r="V574" s="22" t="n">
        <v>24</v>
      </c>
      <c r="W574" s="17" t="n">
        <v>110</v>
      </c>
      <c r="X574" s="17" t="n">
        <v>15</v>
      </c>
      <c r="Y574" s="20" t="n">
        <v>39925.65</v>
      </c>
      <c r="Z574" s="21" t="n">
        <v>0.1513</v>
      </c>
      <c r="AA574" s="16" t="n">
        <v>42690</v>
      </c>
      <c r="AB574" s="5">
        <f>IF(V574="","",IF(V574&lt;12,"Months","Weeks"))</f>
        <v/>
      </c>
      <c r="AC574" s="5">
        <f>IF(AB574="","",IF(AB574="Months","Daily","Weekly"))</f>
        <v/>
      </c>
      <c r="AD574" s="17">
        <f>IF(V574="","",IF(AC574="Daily",V574*Controls!$B$13,V574))</f>
        <v/>
      </c>
      <c r="AE574" s="17">
        <f>IF(V574="","",IF(AC574="Daily",V574*Controls!$B$13,V574*Controls!$B$12))</f>
        <v/>
      </c>
      <c r="AF574" s="17">
        <f>IF(OR(E574="",F574=""),"",F574-E574)</f>
        <v/>
      </c>
      <c r="AG574" s="17">
        <f>IF(OR(E574="",F574=""),"",NETWORKDAYS(E574,F574,Ref!$F$4:$F$47))</f>
        <v/>
      </c>
      <c r="AH574" s="39">
        <f>IF(IFERROR(VLOOKUP(D574,Controls!$A$25:$D$35,2,FALSE()),"No")="Yes",1,0)</f>
        <v/>
      </c>
      <c r="AI574" s="39">
        <f>IF(IFERROR(VLOOKUP(D574,Controls!$A$25:$D$35,3,FALSE()),"No")="Yes",1,0)</f>
        <v/>
      </c>
      <c r="AJ574" s="39">
        <f>IF(IFERROR(VLOOKUP(D574,Controls!$A$25:$D$35,4,FALSE()),"No")="Yes",1,0)</f>
        <v/>
      </c>
      <c r="AK574" s="96">
        <f>IF(AND($E574&gt;=Controls!$B$5,$E574&lt;=Controls!$B$6,OR(Controls!$E$9&lt;&gt;"Y",$BE574=1)),1,0)</f>
        <v/>
      </c>
      <c r="AL574" s="39">
        <f>1</f>
        <v/>
      </c>
      <c r="AM574" s="20">
        <f>S574-P574</f>
        <v/>
      </c>
      <c r="AN574" s="20">
        <f>IF(AH574=1,MAX(0,P574-S574),0)</f>
        <v/>
      </c>
      <c r="AO574" s="21">
        <f>IFERROR(S574/P574,"")</f>
        <v/>
      </c>
      <c r="AP574" s="22">
        <f>IF(Y574="","",P574/Y574)</f>
        <v/>
      </c>
      <c r="AQ574" s="39">
        <f>IF(Y574="",0,1)</f>
        <v/>
      </c>
      <c r="AR574" s="39">
        <f>IF(S574&lt;=0,1,0)</f>
        <v/>
      </c>
      <c r="AS574" s="17">
        <f>IF(AH574=1,AG574,"")</f>
        <v/>
      </c>
      <c r="AT574" s="17">
        <f>IF(AND(AH574=0,AJ574=1),AG574,"")</f>
        <v/>
      </c>
      <c r="AU574" s="5">
        <f>IF(P574&lt;10000,"Under $10K",IF(P574&lt;20000,"$10-20K",IF(P574&lt;30000,"$20-30K",IF(P574&lt;50000,"$30-50K",IF(P574&lt;100000,"$50-100K","$100K+")))))</f>
        <v/>
      </c>
      <c r="AV574" s="5">
        <f>IF(O574&lt;=1.35,"1.35 and under",IF(O574&lt;=1.42,"1.36-1.42",IF(O574&lt;=1.45,"1.43-1.45",IF(O574&lt;1.49,"1.46-1.48",IF(O574&lt;=1.49,"1.49","Above 1.49")))))</f>
        <v/>
      </c>
      <c r="AW574" s="5">
        <f>IF(AE574="","",IF(AE574&lt;60,"Under 60",IF(AE574&lt;90,"60-89",IF(AE574&lt;120,"90-119",IF(AE574&lt;150,"120-149","150+")))))</f>
        <v/>
      </c>
      <c r="AX574" s="5">
        <f>IF(AP574="","No revenue data",IF(AP574&lt;0.15,"Under 0.15x",IF(AP574&lt;0.3,"0.15-0.30x",IF(AP574&lt;0.5,"0.30-0.50x",IF(AP574&lt;1,"0.50-1.00x","1.00x+")))))</f>
        <v/>
      </c>
      <c r="AY574" s="5">
        <f>IF(J574="","No SIC",IFERROR(VLOOKUP(J574,Ref!$A$4:$C$67,2,FALSE()),"Unclassified"))</f>
        <v/>
      </c>
      <c r="AZ574" s="5">
        <f>IF(E574="","",TEXT(E574,"YYYY")&amp;"-Q"&amp;ROUNDUP(MONTH(E574)/3,0))</f>
        <v/>
      </c>
      <c r="BA574" s="5">
        <f>IF(E574="","",TEXT(E574,"YYYY-MM"))</f>
        <v/>
      </c>
      <c r="BB574" s="5">
        <f>IF(E574="","",TEXT(E574,"YYYY"))</f>
        <v/>
      </c>
      <c r="BC574" s="92">
        <f>IF($E574="","",NETWORKDAYS($E574,Controls!$B$9,Ref!$F$4:$F$47))</f>
        <v/>
      </c>
      <c r="BD574" s="92">
        <f>IF(OR($AH574=1,$AJ574=1),1,0)</f>
        <v/>
      </c>
      <c r="BE574" s="95">
        <f>IF(OR($BD574=1,AND($AE574&lt;&gt;"",$BC574&gt;=Controls!$B$10*$AE574)),1,0)</f>
        <v/>
      </c>
    </row>
    <row r="575" ht="15.75" customHeight="1" s="79">
      <c r="A575" s="5" t="inlineStr">
        <is>
          <t>5674177318</t>
        </is>
      </c>
      <c r="B575" s="5" t="inlineStr">
        <is>
          <t>SS Property Rental Management LLC</t>
        </is>
      </c>
      <c r="C575" s="5" t="inlineStr">
        <is>
          <t>SS Property Rental Management LLC</t>
        </is>
      </c>
      <c r="D575" s="5" t="inlineStr">
        <is>
          <t>Open</t>
        </is>
      </c>
      <c r="E575" s="16" t="n">
        <v>46050</v>
      </c>
      <c r="F575" s="16" t="n">
        <v>46253</v>
      </c>
      <c r="G575" s="17" t="n">
        <v>3</v>
      </c>
      <c r="H575" s="5" t="inlineStr">
        <is>
          <t>6531</t>
        </is>
      </c>
      <c r="I575" s="5" t="inlineStr">
        <is>
          <t>Other Activities Related to Real Estate</t>
        </is>
      </c>
      <c r="J575" s="5" t="inlineStr">
        <is>
          <t>65</t>
        </is>
      </c>
      <c r="K575" s="5" t="n">
        <v>6513</v>
      </c>
      <c r="L575" s="5" t="inlineStr">
        <is>
          <t>TN</t>
        </is>
      </c>
      <c r="M575" s="5" t="inlineStr">
        <is>
          <t>Pathway Catalyst</t>
        </is>
      </c>
      <c r="N575" s="5" t="inlineStr">
        <is>
          <t>New Deal</t>
        </is>
      </c>
      <c r="O575" s="19" t="n">
        <v>1.49</v>
      </c>
      <c r="P575" s="20" t="n">
        <v>30000</v>
      </c>
      <c r="Q575" s="20" t="n">
        <v>4200</v>
      </c>
      <c r="R575" s="20" t="n">
        <v>44700</v>
      </c>
      <c r="S575" s="20" t="n">
        <v>28163.52</v>
      </c>
      <c r="T575" s="20" t="n">
        <v>16536.48</v>
      </c>
      <c r="U575" s="21" t="n">
        <v>0.630056375838926</v>
      </c>
      <c r="V575" s="22" t="n">
        <v>3.279</v>
      </c>
      <c r="W575" s="17" t="n">
        <v>0</v>
      </c>
      <c r="X575" s="17" t="n">
        <v>25</v>
      </c>
      <c r="Y575" s="20" t="n">
        <v>123524.26</v>
      </c>
      <c r="Z575" s="21" t="n">
        <v>0.076</v>
      </c>
      <c r="AA575" s="16" t="n">
        <v>45236</v>
      </c>
      <c r="AB575" s="5">
        <f>IF(V575="","",IF(V575&lt;12,"Months","Weeks"))</f>
        <v/>
      </c>
      <c r="AC575" s="5">
        <f>IF(AB575="","",IF(AB575="Months","Daily","Weekly"))</f>
        <v/>
      </c>
      <c r="AD575" s="17">
        <f>IF(V575="","",IF(AC575="Daily",V575*Controls!$B$13,V575))</f>
        <v/>
      </c>
      <c r="AE575" s="17">
        <f>IF(V575="","",IF(AC575="Daily",V575*Controls!$B$13,V575*Controls!$B$12))</f>
        <v/>
      </c>
      <c r="AF575" s="17">
        <f>IF(OR(E575="",F575=""),"",F575-E575)</f>
        <v/>
      </c>
      <c r="AG575" s="17">
        <f>IF(OR(E575="",F575=""),"",NETWORKDAYS(E575,F575,Ref!$F$4:$F$47))</f>
        <v/>
      </c>
      <c r="AH575" s="39">
        <f>IF(IFERROR(VLOOKUP(D575,Controls!$A$25:$D$35,2,FALSE()),"No")="Yes",1,0)</f>
        <v/>
      </c>
      <c r="AI575" s="39">
        <f>IF(IFERROR(VLOOKUP(D575,Controls!$A$25:$D$35,3,FALSE()),"No")="Yes",1,0)</f>
        <v/>
      </c>
      <c r="AJ575" s="39">
        <f>IF(IFERROR(VLOOKUP(D575,Controls!$A$25:$D$35,4,FALSE()),"No")="Yes",1,0)</f>
        <v/>
      </c>
      <c r="AK575" s="96">
        <f>IF(AND($E575&gt;=Controls!$B$5,$E575&lt;=Controls!$B$6,OR(Controls!$E$9&lt;&gt;"Y",$BE575=1)),1,0)</f>
        <v/>
      </c>
      <c r="AL575" s="39">
        <f>1</f>
        <v/>
      </c>
      <c r="AM575" s="20">
        <f>S575-P575</f>
        <v/>
      </c>
      <c r="AN575" s="20">
        <f>IF(AH575=1,MAX(0,P575-S575),0)</f>
        <v/>
      </c>
      <c r="AO575" s="21">
        <f>IFERROR(S575/P575,"")</f>
        <v/>
      </c>
      <c r="AP575" s="22">
        <f>IF(Y575="","",P575/Y575)</f>
        <v/>
      </c>
      <c r="AQ575" s="39">
        <f>IF(Y575="",0,1)</f>
        <v/>
      </c>
      <c r="AR575" s="39">
        <f>IF(S575&lt;=0,1,0)</f>
        <v/>
      </c>
      <c r="AS575" s="17">
        <f>IF(AH575=1,AG575,"")</f>
        <v/>
      </c>
      <c r="AT575" s="17">
        <f>IF(AND(AH575=0,AJ575=1),AG575,"")</f>
        <v/>
      </c>
      <c r="AU575" s="5">
        <f>IF(P575&lt;10000,"Under $10K",IF(P575&lt;20000,"$10-20K",IF(P575&lt;30000,"$20-30K",IF(P575&lt;50000,"$30-50K",IF(P575&lt;100000,"$50-100K","$100K+")))))</f>
        <v/>
      </c>
      <c r="AV575" s="5">
        <f>IF(O575&lt;=1.35,"1.35 and under",IF(O575&lt;=1.42,"1.36-1.42",IF(O575&lt;=1.45,"1.43-1.45",IF(O575&lt;1.49,"1.46-1.48",IF(O575&lt;=1.49,"1.49","Above 1.49")))))</f>
        <v/>
      </c>
      <c r="AW575" s="5">
        <f>IF(AE575="","",IF(AE575&lt;60,"Under 60",IF(AE575&lt;90,"60-89",IF(AE575&lt;120,"90-119",IF(AE575&lt;150,"120-149","150+")))))</f>
        <v/>
      </c>
      <c r="AX575" s="5">
        <f>IF(AP575="","No revenue data",IF(AP575&lt;0.15,"Under 0.15x",IF(AP575&lt;0.3,"0.15-0.30x",IF(AP575&lt;0.5,"0.30-0.50x",IF(AP575&lt;1,"0.50-1.00x","1.00x+")))))</f>
        <v/>
      </c>
      <c r="AY575" s="5">
        <f>IF(J575="","No SIC",IFERROR(VLOOKUP(J575,Ref!$A$4:$C$67,2,FALSE()),"Unclassified"))</f>
        <v/>
      </c>
      <c r="AZ575" s="5">
        <f>IF(E575="","",TEXT(E575,"YYYY")&amp;"-Q"&amp;ROUNDUP(MONTH(E575)/3,0))</f>
        <v/>
      </c>
      <c r="BA575" s="5">
        <f>IF(E575="","",TEXT(E575,"YYYY-MM"))</f>
        <v/>
      </c>
      <c r="BB575" s="5">
        <f>IF(E575="","",TEXT(E575,"YYYY"))</f>
        <v/>
      </c>
      <c r="BC575" s="92">
        <f>IF($E575="","",NETWORKDAYS($E575,Controls!$B$9,Ref!$F$4:$F$47))</f>
        <v/>
      </c>
      <c r="BD575" s="92">
        <f>IF(OR($AH575=1,$AJ575=1),1,0)</f>
        <v/>
      </c>
      <c r="BE575" s="95">
        <f>IF(OR($BD575=1,AND($AE575&lt;&gt;"",$BC575&gt;=Controls!$B$10*$AE575)),1,0)</f>
        <v/>
      </c>
    </row>
    <row r="576" ht="15.75" customHeight="1" s="79">
      <c r="A576" s="5" t="inlineStr">
        <is>
          <t>5674177342</t>
        </is>
      </c>
      <c r="B576" s="5" t="inlineStr">
        <is>
          <t>BCD ACADEMY</t>
        </is>
      </c>
      <c r="C576" s="5" t="inlineStr">
        <is>
          <t>B.C.D ACADEMY LLC</t>
        </is>
      </c>
      <c r="D576" s="5" t="inlineStr">
        <is>
          <t>Lowered Payments</t>
        </is>
      </c>
      <c r="E576" s="16" t="n">
        <v>46050</v>
      </c>
      <c r="F576" s="16" t="n">
        <v>46253</v>
      </c>
      <c r="G576" s="17" t="n">
        <v>2</v>
      </c>
      <c r="H576" s="5" t="inlineStr">
        <is>
          <t>8741</t>
        </is>
      </c>
      <c r="I576" s="5" t="inlineStr">
        <is>
          <t>Office Administrative Services</t>
        </is>
      </c>
      <c r="J576" s="5" t="inlineStr">
        <is>
          <t>87</t>
        </is>
      </c>
      <c r="K576" s="5" t="n">
        <v>8299</v>
      </c>
      <c r="L576" s="5" t="inlineStr">
        <is>
          <t>CA</t>
        </is>
      </c>
      <c r="M576" s="5" t="inlineStr">
        <is>
          <t>Fundwell</t>
        </is>
      </c>
      <c r="N576" s="5" t="inlineStr">
        <is>
          <t>Renewal</t>
        </is>
      </c>
      <c r="O576" s="19" t="n">
        <v>1.4</v>
      </c>
      <c r="P576" s="20" t="n">
        <v>30000</v>
      </c>
      <c r="Q576" s="20" t="n">
        <v>4200</v>
      </c>
      <c r="R576" s="20" t="n">
        <v>42000</v>
      </c>
      <c r="S576" s="20" t="n">
        <v>35154.29</v>
      </c>
      <c r="T576" s="20" t="n">
        <v>6845.71</v>
      </c>
      <c r="U576" s="21" t="n">
        <v>0.837006904761905</v>
      </c>
      <c r="V576" s="22" t="n">
        <v>28</v>
      </c>
      <c r="W576" s="17" t="n">
        <v>0</v>
      </c>
      <c r="X576" s="17" t="n">
        <v>0</v>
      </c>
      <c r="Y576" s="20" t="n">
        <v>59991.65</v>
      </c>
      <c r="Z576" s="21" t="n">
        <v>0.1606</v>
      </c>
      <c r="AA576" s="16" t="n">
        <v>45170</v>
      </c>
      <c r="AB576" s="5">
        <f>IF(V576="","",IF(V576&lt;12,"Months","Weeks"))</f>
        <v/>
      </c>
      <c r="AC576" s="5">
        <f>IF(AB576="","",IF(AB576="Months","Daily","Weekly"))</f>
        <v/>
      </c>
      <c r="AD576" s="17">
        <f>IF(V576="","",IF(AC576="Daily",V576*Controls!$B$13,V576))</f>
        <v/>
      </c>
      <c r="AE576" s="17">
        <f>IF(V576="","",IF(AC576="Daily",V576*Controls!$B$13,V576*Controls!$B$12))</f>
        <v/>
      </c>
      <c r="AF576" s="17">
        <f>IF(OR(E576="",F576=""),"",F576-E576)</f>
        <v/>
      </c>
      <c r="AG576" s="17">
        <f>IF(OR(E576="",F576=""),"",NETWORKDAYS(E576,F576,Ref!$F$4:$F$47))</f>
        <v/>
      </c>
      <c r="AH576" s="39">
        <f>IF(IFERROR(VLOOKUP(D576,Controls!$A$25:$D$35,2,FALSE()),"No")="Yes",1,0)</f>
        <v/>
      </c>
      <c r="AI576" s="39">
        <f>IF(IFERROR(VLOOKUP(D576,Controls!$A$25:$D$35,3,FALSE()),"No")="Yes",1,0)</f>
        <v/>
      </c>
      <c r="AJ576" s="39">
        <f>IF(IFERROR(VLOOKUP(D576,Controls!$A$25:$D$35,4,FALSE()),"No")="Yes",1,0)</f>
        <v/>
      </c>
      <c r="AK576" s="96">
        <f>IF(AND($E576&gt;=Controls!$B$5,$E576&lt;=Controls!$B$6,OR(Controls!$E$9&lt;&gt;"Y",$BE576=1)),1,0)</f>
        <v/>
      </c>
      <c r="AL576" s="39">
        <f>1</f>
        <v/>
      </c>
      <c r="AM576" s="20">
        <f>S576-P576</f>
        <v/>
      </c>
      <c r="AN576" s="20">
        <f>IF(AH576=1,MAX(0,P576-S576),0)</f>
        <v/>
      </c>
      <c r="AO576" s="21">
        <f>IFERROR(S576/P576,"")</f>
        <v/>
      </c>
      <c r="AP576" s="22">
        <f>IF(Y576="","",P576/Y576)</f>
        <v/>
      </c>
      <c r="AQ576" s="39">
        <f>IF(Y576="",0,1)</f>
        <v/>
      </c>
      <c r="AR576" s="39">
        <f>IF(S576&lt;=0,1,0)</f>
        <v/>
      </c>
      <c r="AS576" s="17">
        <f>IF(AH576=1,AG576,"")</f>
        <v/>
      </c>
      <c r="AT576" s="17">
        <f>IF(AND(AH576=0,AJ576=1),AG576,"")</f>
        <v/>
      </c>
      <c r="AU576" s="5">
        <f>IF(P576&lt;10000,"Under $10K",IF(P576&lt;20000,"$10-20K",IF(P576&lt;30000,"$20-30K",IF(P576&lt;50000,"$30-50K",IF(P576&lt;100000,"$50-100K","$100K+")))))</f>
        <v/>
      </c>
      <c r="AV576" s="5">
        <f>IF(O576&lt;=1.35,"1.35 and under",IF(O576&lt;=1.42,"1.36-1.42",IF(O576&lt;=1.45,"1.43-1.45",IF(O576&lt;1.49,"1.46-1.48",IF(O576&lt;=1.49,"1.49","Above 1.49")))))</f>
        <v/>
      </c>
      <c r="AW576" s="5">
        <f>IF(AE576="","",IF(AE576&lt;60,"Under 60",IF(AE576&lt;90,"60-89",IF(AE576&lt;120,"90-119",IF(AE576&lt;150,"120-149","150+")))))</f>
        <v/>
      </c>
      <c r="AX576" s="5">
        <f>IF(AP576="","No revenue data",IF(AP576&lt;0.15,"Under 0.15x",IF(AP576&lt;0.3,"0.15-0.30x",IF(AP576&lt;0.5,"0.30-0.50x",IF(AP576&lt;1,"0.50-1.00x","1.00x+")))))</f>
        <v/>
      </c>
      <c r="AY576" s="5">
        <f>IF(J576="","No SIC",IFERROR(VLOOKUP(J576,Ref!$A$4:$C$67,2,FALSE()),"Unclassified"))</f>
        <v/>
      </c>
      <c r="AZ576" s="5">
        <f>IF(E576="","",TEXT(E576,"YYYY")&amp;"-Q"&amp;ROUNDUP(MONTH(E576)/3,0))</f>
        <v/>
      </c>
      <c r="BA576" s="5">
        <f>IF(E576="","",TEXT(E576,"YYYY-MM"))</f>
        <v/>
      </c>
      <c r="BB576" s="5">
        <f>IF(E576="","",TEXT(E576,"YYYY"))</f>
        <v/>
      </c>
      <c r="BC576" s="92">
        <f>IF($E576="","",NETWORKDAYS($E576,Controls!$B$9,Ref!$F$4:$F$47))</f>
        <v/>
      </c>
      <c r="BD576" s="92">
        <f>IF(OR($AH576=1,$AJ576=1),1,0)</f>
        <v/>
      </c>
      <c r="BE576" s="95">
        <f>IF(OR($BD576=1,AND($AE576&lt;&gt;"",$BC576&gt;=Controls!$B$10*$AE576)),1,0)</f>
        <v/>
      </c>
    </row>
    <row r="577" ht="15.75" customHeight="1" s="79">
      <c r="A577" s="5" t="inlineStr">
        <is>
          <t>5674177343</t>
        </is>
      </c>
      <c r="B577" s="5" t="inlineStr">
        <is>
          <t>Homebase</t>
        </is>
      </c>
      <c r="C577" s="5" t="inlineStr">
        <is>
          <t>HOMEBASE DC LLC</t>
        </is>
      </c>
      <c r="D577" s="5" t="inlineStr">
        <is>
          <t>Written-Off</t>
        </is>
      </c>
      <c r="E577" s="16" t="n">
        <v>46050</v>
      </c>
      <c r="F577" s="16" t="n">
        <v>46125</v>
      </c>
      <c r="G577" s="17" t="n">
        <v>3</v>
      </c>
      <c r="H577" s="5" t="inlineStr">
        <is>
          <t>8699</t>
        </is>
      </c>
      <c r="I577" s="5" t="inlineStr">
        <is>
          <t>Other Similar Organizations (Except Business, Professional, Labor, and Political Organizations)</t>
        </is>
      </c>
      <c r="J577" s="5" t="inlineStr">
        <is>
          <t>86</t>
        </is>
      </c>
      <c r="K577" s="5" t="n">
        <v>8699</v>
      </c>
      <c r="L577" s="5" t="inlineStr">
        <is>
          <t>DC</t>
        </is>
      </c>
      <c r="M577" s="5" t="inlineStr">
        <is>
          <t>ROYAL FUNDING GROUP</t>
        </is>
      </c>
      <c r="N577" s="5" t="inlineStr">
        <is>
          <t>New Deal</t>
        </is>
      </c>
      <c r="O577" s="19" t="n">
        <v>1.4</v>
      </c>
      <c r="P577" s="20" t="n">
        <v>30000</v>
      </c>
      <c r="Q577" s="20" t="n">
        <v>0</v>
      </c>
      <c r="R577" s="20" t="n">
        <v>42000</v>
      </c>
      <c r="S577" s="20" t="n">
        <v>988.62</v>
      </c>
      <c r="T577" s="20" t="n">
        <v>41011.38</v>
      </c>
      <c r="U577" s="21" t="n">
        <v>0.0235385714285714</v>
      </c>
      <c r="V577" s="22" t="n">
        <v>2.787</v>
      </c>
      <c r="W577" s="17" t="n">
        <v>198</v>
      </c>
      <c r="X577" s="17" t="n">
        <v>46</v>
      </c>
      <c r="Y577" s="20" t="n">
        <v>174168.83</v>
      </c>
      <c r="Z577" s="21" t="n">
        <v>0.0596</v>
      </c>
      <c r="AA577" s="16" t="n">
        <v>44348</v>
      </c>
      <c r="AB577" s="5">
        <f>IF(V577="","",IF(V577&lt;12,"Months","Weeks"))</f>
        <v/>
      </c>
      <c r="AC577" s="5">
        <f>IF(AB577="","",IF(AB577="Months","Daily","Weekly"))</f>
        <v/>
      </c>
      <c r="AD577" s="17">
        <f>IF(V577="","",IF(AC577="Daily",V577*Controls!$B$13,V577))</f>
        <v/>
      </c>
      <c r="AE577" s="17">
        <f>IF(V577="","",IF(AC577="Daily",V577*Controls!$B$13,V577*Controls!$B$12))</f>
        <v/>
      </c>
      <c r="AF577" s="17">
        <f>IF(OR(E577="",F577=""),"",F577-E577)</f>
        <v/>
      </c>
      <c r="AG577" s="17">
        <f>IF(OR(E577="",F577=""),"",NETWORKDAYS(E577,F577,Ref!$F$4:$F$47))</f>
        <v/>
      </c>
      <c r="AH577" s="39">
        <f>IF(IFERROR(VLOOKUP(D577,Controls!$A$25:$D$35,2,FALSE()),"No")="Yes",1,0)</f>
        <v/>
      </c>
      <c r="AI577" s="39">
        <f>IF(IFERROR(VLOOKUP(D577,Controls!$A$25:$D$35,3,FALSE()),"No")="Yes",1,0)</f>
        <v/>
      </c>
      <c r="AJ577" s="39">
        <f>IF(IFERROR(VLOOKUP(D577,Controls!$A$25:$D$35,4,FALSE()),"No")="Yes",1,0)</f>
        <v/>
      </c>
      <c r="AK577" s="96">
        <f>IF(AND($E577&gt;=Controls!$B$5,$E577&lt;=Controls!$B$6,OR(Controls!$E$9&lt;&gt;"Y",$BE577=1)),1,0)</f>
        <v/>
      </c>
      <c r="AL577" s="39">
        <f>1</f>
        <v/>
      </c>
      <c r="AM577" s="20">
        <f>S577-P577</f>
        <v/>
      </c>
      <c r="AN577" s="20">
        <f>IF(AH577=1,MAX(0,P577-S577),0)</f>
        <v/>
      </c>
      <c r="AO577" s="21">
        <f>IFERROR(S577/P577,"")</f>
        <v/>
      </c>
      <c r="AP577" s="22">
        <f>IF(Y577="","",P577/Y577)</f>
        <v/>
      </c>
      <c r="AQ577" s="39">
        <f>IF(Y577="",0,1)</f>
        <v/>
      </c>
      <c r="AR577" s="39">
        <f>IF(S577&lt;=0,1,0)</f>
        <v/>
      </c>
      <c r="AS577" s="17">
        <f>IF(AH577=1,AG577,"")</f>
        <v/>
      </c>
      <c r="AT577" s="17">
        <f>IF(AND(AH577=0,AJ577=1),AG577,"")</f>
        <v/>
      </c>
      <c r="AU577" s="5">
        <f>IF(P577&lt;10000,"Under $10K",IF(P577&lt;20000,"$10-20K",IF(P577&lt;30000,"$20-30K",IF(P577&lt;50000,"$30-50K",IF(P577&lt;100000,"$50-100K","$100K+")))))</f>
        <v/>
      </c>
      <c r="AV577" s="5">
        <f>IF(O577&lt;=1.35,"1.35 and under",IF(O577&lt;=1.42,"1.36-1.42",IF(O577&lt;=1.45,"1.43-1.45",IF(O577&lt;1.49,"1.46-1.48",IF(O577&lt;=1.49,"1.49","Above 1.49")))))</f>
        <v/>
      </c>
      <c r="AW577" s="5">
        <f>IF(AE577="","",IF(AE577&lt;60,"Under 60",IF(AE577&lt;90,"60-89",IF(AE577&lt;120,"90-119",IF(AE577&lt;150,"120-149","150+")))))</f>
        <v/>
      </c>
      <c r="AX577" s="5">
        <f>IF(AP577="","No revenue data",IF(AP577&lt;0.15,"Under 0.15x",IF(AP577&lt;0.3,"0.15-0.30x",IF(AP577&lt;0.5,"0.30-0.50x",IF(AP577&lt;1,"0.50-1.00x","1.00x+")))))</f>
        <v/>
      </c>
      <c r="AY577" s="5">
        <f>IF(J577="","No SIC",IFERROR(VLOOKUP(J577,Ref!$A$4:$C$67,2,FALSE()),"Unclassified"))</f>
        <v/>
      </c>
      <c r="AZ577" s="5">
        <f>IF(E577="","",TEXT(E577,"YYYY")&amp;"-Q"&amp;ROUNDUP(MONTH(E577)/3,0))</f>
        <v/>
      </c>
      <c r="BA577" s="5">
        <f>IF(E577="","",TEXT(E577,"YYYY-MM"))</f>
        <v/>
      </c>
      <c r="BB577" s="5">
        <f>IF(E577="","",TEXT(E577,"YYYY"))</f>
        <v/>
      </c>
      <c r="BC577" s="92">
        <f>IF($E577="","",NETWORKDAYS($E577,Controls!$B$9,Ref!$F$4:$F$47))</f>
        <v/>
      </c>
      <c r="BD577" s="92">
        <f>IF(OR($AH577=1,$AJ577=1),1,0)</f>
        <v/>
      </c>
      <c r="BE577" s="95">
        <f>IF(OR($BD577=1,AND($AE577&lt;&gt;"",$BC577&gt;=Controls!$B$10*$AE577)),1,0)</f>
        <v/>
      </c>
    </row>
    <row r="578" ht="15.75" customHeight="1" s="79">
      <c r="A578" s="5" t="inlineStr">
        <is>
          <t>5674177367</t>
        </is>
      </c>
      <c r="B578" s="5" t="inlineStr">
        <is>
          <t>HOUSTON CONSULTING GROUP LLC</t>
        </is>
      </c>
      <c r="C578" s="5" t="inlineStr">
        <is>
          <t>HOUSTON CONSULTING GROUP LLC</t>
        </is>
      </c>
      <c r="D578" s="5" t="inlineStr">
        <is>
          <t>Lowered Payments</t>
        </is>
      </c>
      <c r="E578" s="16" t="n">
        <v>46050</v>
      </c>
      <c r="F578" s="16" t="n">
        <v>46248</v>
      </c>
      <c r="G578" s="17" t="n">
        <v>3</v>
      </c>
      <c r="H578" s="5" t="inlineStr">
        <is>
          <t>8748</t>
        </is>
      </c>
      <c r="I578" s="5" t="inlineStr">
        <is>
          <t>Other Management Consulting Services</t>
        </is>
      </c>
      <c r="J578" s="5" t="inlineStr">
        <is>
          <t>87</t>
        </is>
      </c>
      <c r="K578" s="5" t="n">
        <v>7399</v>
      </c>
      <c r="L578" s="5" t="inlineStr">
        <is>
          <t>GA</t>
        </is>
      </c>
      <c r="M578" s="5" t="inlineStr">
        <is>
          <t>United Secured Capital 8</t>
        </is>
      </c>
      <c r="N578" s="5" t="inlineStr">
        <is>
          <t>New Deal</t>
        </is>
      </c>
      <c r="O578" s="19" t="n">
        <v>1.37</v>
      </c>
      <c r="P578" s="20" t="n">
        <v>30000</v>
      </c>
      <c r="Q578" s="20" t="n">
        <v>2400</v>
      </c>
      <c r="R578" s="20" t="n">
        <v>41100</v>
      </c>
      <c r="S578" s="20" t="n">
        <v>19181.07</v>
      </c>
      <c r="T578" s="20" t="n">
        <v>21918.93</v>
      </c>
      <c r="U578" s="21" t="n">
        <v>0.466692700729927</v>
      </c>
      <c r="V578" s="22" t="n">
        <v>26</v>
      </c>
      <c r="W578" s="17" t="n">
        <v>5</v>
      </c>
      <c r="X578" s="17" t="n">
        <v>5</v>
      </c>
      <c r="Y578" s="20" t="n">
        <v>120245.69</v>
      </c>
      <c r="Z578" s="21" t="n">
        <v>0.0526</v>
      </c>
      <c r="AA578" s="5" t="n"/>
      <c r="AB578" s="5">
        <f>IF(V578="","",IF(V578&lt;12,"Months","Weeks"))</f>
        <v/>
      </c>
      <c r="AC578" s="5">
        <f>IF(AB578="","",IF(AB578="Months","Daily","Weekly"))</f>
        <v/>
      </c>
      <c r="AD578" s="17">
        <f>IF(V578="","",IF(AC578="Daily",V578*Controls!$B$13,V578))</f>
        <v/>
      </c>
      <c r="AE578" s="17">
        <f>IF(V578="","",IF(AC578="Daily",V578*Controls!$B$13,V578*Controls!$B$12))</f>
        <v/>
      </c>
      <c r="AF578" s="17">
        <f>IF(OR(E578="",F578=""),"",F578-E578)</f>
        <v/>
      </c>
      <c r="AG578" s="17">
        <f>IF(OR(E578="",F578=""),"",NETWORKDAYS(E578,F578,Ref!$F$4:$F$47))</f>
        <v/>
      </c>
      <c r="AH578" s="39">
        <f>IF(IFERROR(VLOOKUP(D578,Controls!$A$25:$D$35,2,FALSE()),"No")="Yes",1,0)</f>
        <v/>
      </c>
      <c r="AI578" s="39">
        <f>IF(IFERROR(VLOOKUP(D578,Controls!$A$25:$D$35,3,FALSE()),"No")="Yes",1,0)</f>
        <v/>
      </c>
      <c r="AJ578" s="39">
        <f>IF(IFERROR(VLOOKUP(D578,Controls!$A$25:$D$35,4,FALSE()),"No")="Yes",1,0)</f>
        <v/>
      </c>
      <c r="AK578" s="96">
        <f>IF(AND($E578&gt;=Controls!$B$5,$E578&lt;=Controls!$B$6,OR(Controls!$E$9&lt;&gt;"Y",$BE578=1)),1,0)</f>
        <v/>
      </c>
      <c r="AL578" s="39">
        <f>1</f>
        <v/>
      </c>
      <c r="AM578" s="20">
        <f>S578-P578</f>
        <v/>
      </c>
      <c r="AN578" s="20">
        <f>IF(AH578=1,MAX(0,P578-S578),0)</f>
        <v/>
      </c>
      <c r="AO578" s="21">
        <f>IFERROR(S578/P578,"")</f>
        <v/>
      </c>
      <c r="AP578" s="22">
        <f>IF(Y578="","",P578/Y578)</f>
        <v/>
      </c>
      <c r="AQ578" s="39">
        <f>IF(Y578="",0,1)</f>
        <v/>
      </c>
      <c r="AR578" s="39">
        <f>IF(S578&lt;=0,1,0)</f>
        <v/>
      </c>
      <c r="AS578" s="17">
        <f>IF(AH578=1,AG578,"")</f>
        <v/>
      </c>
      <c r="AT578" s="17">
        <f>IF(AND(AH578=0,AJ578=1),AG578,"")</f>
        <v/>
      </c>
      <c r="AU578" s="5">
        <f>IF(P578&lt;10000,"Under $10K",IF(P578&lt;20000,"$10-20K",IF(P578&lt;30000,"$20-30K",IF(P578&lt;50000,"$30-50K",IF(P578&lt;100000,"$50-100K","$100K+")))))</f>
        <v/>
      </c>
      <c r="AV578" s="5">
        <f>IF(O578&lt;=1.35,"1.35 and under",IF(O578&lt;=1.42,"1.36-1.42",IF(O578&lt;=1.45,"1.43-1.45",IF(O578&lt;1.49,"1.46-1.48",IF(O578&lt;=1.49,"1.49","Above 1.49")))))</f>
        <v/>
      </c>
      <c r="AW578" s="5">
        <f>IF(AE578="","",IF(AE578&lt;60,"Under 60",IF(AE578&lt;90,"60-89",IF(AE578&lt;120,"90-119",IF(AE578&lt;150,"120-149","150+")))))</f>
        <v/>
      </c>
      <c r="AX578" s="5">
        <f>IF(AP578="","No revenue data",IF(AP578&lt;0.15,"Under 0.15x",IF(AP578&lt;0.3,"0.15-0.30x",IF(AP578&lt;0.5,"0.30-0.50x",IF(AP578&lt;1,"0.50-1.00x","1.00x+")))))</f>
        <v/>
      </c>
      <c r="AY578" s="5">
        <f>IF(J578="","No SIC",IFERROR(VLOOKUP(J578,Ref!$A$4:$C$67,2,FALSE()),"Unclassified"))</f>
        <v/>
      </c>
      <c r="AZ578" s="5">
        <f>IF(E578="","",TEXT(E578,"YYYY")&amp;"-Q"&amp;ROUNDUP(MONTH(E578)/3,0))</f>
        <v/>
      </c>
      <c r="BA578" s="5">
        <f>IF(E578="","",TEXT(E578,"YYYY-MM"))</f>
        <v/>
      </c>
      <c r="BB578" s="5">
        <f>IF(E578="","",TEXT(E578,"YYYY"))</f>
        <v/>
      </c>
      <c r="BC578" s="92">
        <f>IF($E578="","",NETWORKDAYS($E578,Controls!$B$9,Ref!$F$4:$F$47))</f>
        <v/>
      </c>
      <c r="BD578" s="92">
        <f>IF(OR($AH578=1,$AJ578=1),1,0)</f>
        <v/>
      </c>
      <c r="BE578" s="95">
        <f>IF(OR($BD578=1,AND($AE578&lt;&gt;"",$BC578&gt;=Controls!$B$10*$AE578)),1,0)</f>
        <v/>
      </c>
    </row>
    <row r="579" ht="15.75" customHeight="1" s="79">
      <c r="A579" s="5" t="inlineStr">
        <is>
          <t>5674177406</t>
        </is>
      </c>
      <c r="B579" s="5" t="inlineStr">
        <is>
          <t>24 HOURS TOWING AND ROADSIDE LLC</t>
        </is>
      </c>
      <c r="C579" s="5" t="inlineStr">
        <is>
          <t>24 HOURS TOWING AND ROADSIDE LLC</t>
        </is>
      </c>
      <c r="D579" s="5" t="inlineStr">
        <is>
          <t>Open</t>
        </is>
      </c>
      <c r="E579" s="16" t="n">
        <v>46051</v>
      </c>
      <c r="F579" s="16" t="n">
        <v>46253</v>
      </c>
      <c r="G579" s="17" t="n">
        <v>2</v>
      </c>
      <c r="H579" s="5" t="inlineStr">
        <is>
          <t>4499</t>
        </is>
      </c>
      <c r="I579" s="5" t="inlineStr">
        <is>
          <t>Other Support Activities for Water Transportation</t>
        </is>
      </c>
      <c r="J579" s="5" t="inlineStr">
        <is>
          <t>44</t>
        </is>
      </c>
      <c r="K579" s="5" t="n">
        <v>4468</v>
      </c>
      <c r="L579" s="5" t="inlineStr">
        <is>
          <t>GA</t>
        </is>
      </c>
      <c r="M579" s="5" t="inlineStr">
        <is>
          <t>Westwood</t>
        </is>
      </c>
      <c r="N579" s="5" t="inlineStr">
        <is>
          <t>New Deal</t>
        </is>
      </c>
      <c r="O579" s="19" t="n">
        <v>1.49</v>
      </c>
      <c r="P579" s="20" t="n">
        <v>15000</v>
      </c>
      <c r="Q579" s="20" t="n">
        <v>2100</v>
      </c>
      <c r="R579" s="20" t="n">
        <v>22350</v>
      </c>
      <c r="S579" s="20" t="n">
        <v>8678.700000000001</v>
      </c>
      <c r="T579" s="20" t="n">
        <v>13671.3</v>
      </c>
      <c r="U579" s="21" t="n">
        <v>0.388308724832215</v>
      </c>
      <c r="V579" s="22" t="n">
        <v>22</v>
      </c>
      <c r="W579" s="17" t="n">
        <v>0</v>
      </c>
      <c r="X579" s="17" t="n">
        <v>56</v>
      </c>
      <c r="Y579" s="20" t="n">
        <v>78435.88</v>
      </c>
      <c r="Z579" s="21" t="n">
        <v>0.0518</v>
      </c>
      <c r="AA579" s="16" t="n">
        <v>45616</v>
      </c>
      <c r="AB579" s="5">
        <f>IF(V579="","",IF(V579&lt;12,"Months","Weeks"))</f>
        <v/>
      </c>
      <c r="AC579" s="5">
        <f>IF(AB579="","",IF(AB579="Months","Daily","Weekly"))</f>
        <v/>
      </c>
      <c r="AD579" s="17">
        <f>IF(V579="","",IF(AC579="Daily",V579*Controls!$B$13,V579))</f>
        <v/>
      </c>
      <c r="AE579" s="17">
        <f>IF(V579="","",IF(AC579="Daily",V579*Controls!$B$13,V579*Controls!$B$12))</f>
        <v/>
      </c>
      <c r="AF579" s="17">
        <f>IF(OR(E579="",F579=""),"",F579-E579)</f>
        <v/>
      </c>
      <c r="AG579" s="17">
        <f>IF(OR(E579="",F579=""),"",NETWORKDAYS(E579,F579,Ref!$F$4:$F$47))</f>
        <v/>
      </c>
      <c r="AH579" s="39">
        <f>IF(IFERROR(VLOOKUP(D579,Controls!$A$25:$D$35,2,FALSE()),"No")="Yes",1,0)</f>
        <v/>
      </c>
      <c r="AI579" s="39">
        <f>IF(IFERROR(VLOOKUP(D579,Controls!$A$25:$D$35,3,FALSE()),"No")="Yes",1,0)</f>
        <v/>
      </c>
      <c r="AJ579" s="39">
        <f>IF(IFERROR(VLOOKUP(D579,Controls!$A$25:$D$35,4,FALSE()),"No")="Yes",1,0)</f>
        <v/>
      </c>
      <c r="AK579" s="96">
        <f>IF(AND($E579&gt;=Controls!$B$5,$E579&lt;=Controls!$B$6,OR(Controls!$E$9&lt;&gt;"Y",$BE579=1)),1,0)</f>
        <v/>
      </c>
      <c r="AL579" s="39">
        <f>1</f>
        <v/>
      </c>
      <c r="AM579" s="20">
        <f>S579-P579</f>
        <v/>
      </c>
      <c r="AN579" s="20">
        <f>IF(AH579=1,MAX(0,P579-S579),0)</f>
        <v/>
      </c>
      <c r="AO579" s="21">
        <f>IFERROR(S579/P579,"")</f>
        <v/>
      </c>
      <c r="AP579" s="22">
        <f>IF(Y579="","",P579/Y579)</f>
        <v/>
      </c>
      <c r="AQ579" s="39">
        <f>IF(Y579="",0,1)</f>
        <v/>
      </c>
      <c r="AR579" s="39">
        <f>IF(S579&lt;=0,1,0)</f>
        <v/>
      </c>
      <c r="AS579" s="17">
        <f>IF(AH579=1,AG579,"")</f>
        <v/>
      </c>
      <c r="AT579" s="17">
        <f>IF(AND(AH579=0,AJ579=1),AG579,"")</f>
        <v/>
      </c>
      <c r="AU579" s="5">
        <f>IF(P579&lt;10000,"Under $10K",IF(P579&lt;20000,"$10-20K",IF(P579&lt;30000,"$20-30K",IF(P579&lt;50000,"$30-50K",IF(P579&lt;100000,"$50-100K","$100K+")))))</f>
        <v/>
      </c>
      <c r="AV579" s="5">
        <f>IF(O579&lt;=1.35,"1.35 and under",IF(O579&lt;=1.42,"1.36-1.42",IF(O579&lt;=1.45,"1.43-1.45",IF(O579&lt;1.49,"1.46-1.48",IF(O579&lt;=1.49,"1.49","Above 1.49")))))</f>
        <v/>
      </c>
      <c r="AW579" s="5">
        <f>IF(AE579="","",IF(AE579&lt;60,"Under 60",IF(AE579&lt;90,"60-89",IF(AE579&lt;120,"90-119",IF(AE579&lt;150,"120-149","150+")))))</f>
        <v/>
      </c>
      <c r="AX579" s="5">
        <f>IF(AP579="","No revenue data",IF(AP579&lt;0.15,"Under 0.15x",IF(AP579&lt;0.3,"0.15-0.30x",IF(AP579&lt;0.5,"0.30-0.50x",IF(AP579&lt;1,"0.50-1.00x","1.00x+")))))</f>
        <v/>
      </c>
      <c r="AY579" s="5">
        <f>IF(J579="","No SIC",IFERROR(VLOOKUP(J579,Ref!$A$4:$C$67,2,FALSE()),"Unclassified"))</f>
        <v/>
      </c>
      <c r="AZ579" s="5">
        <f>IF(E579="","",TEXT(E579,"YYYY")&amp;"-Q"&amp;ROUNDUP(MONTH(E579)/3,0))</f>
        <v/>
      </c>
      <c r="BA579" s="5">
        <f>IF(E579="","",TEXT(E579,"YYYY-MM"))</f>
        <v/>
      </c>
      <c r="BB579" s="5">
        <f>IF(E579="","",TEXT(E579,"YYYY"))</f>
        <v/>
      </c>
      <c r="BC579" s="92">
        <f>IF($E579="","",NETWORKDAYS($E579,Controls!$B$9,Ref!$F$4:$F$47))</f>
        <v/>
      </c>
      <c r="BD579" s="92">
        <f>IF(OR($AH579=1,$AJ579=1),1,0)</f>
        <v/>
      </c>
      <c r="BE579" s="95">
        <f>IF(OR($BD579=1,AND($AE579&lt;&gt;"",$BC579&gt;=Controls!$B$10*$AE579)),1,0)</f>
        <v/>
      </c>
    </row>
    <row r="580" ht="15.75" customHeight="1" s="79">
      <c r="A580" s="5" t="inlineStr">
        <is>
          <t>5674177418</t>
        </is>
      </c>
      <c r="B580" s="5" t="inlineStr">
        <is>
          <t>COMFORT ZONE EVOLUTION</t>
        </is>
      </c>
      <c r="C580" s="5" t="inlineStr">
        <is>
          <t>COMFORT ZONE EVOLUTION INC</t>
        </is>
      </c>
      <c r="D580" s="5" t="inlineStr">
        <is>
          <t>Open</t>
        </is>
      </c>
      <c r="E580" s="16" t="n">
        <v>46051</v>
      </c>
      <c r="F580" s="16" t="n">
        <v>46248</v>
      </c>
      <c r="G580" s="17" t="n">
        <v>1</v>
      </c>
      <c r="H580" s="5" t="inlineStr">
        <is>
          <t>5712</t>
        </is>
      </c>
      <c r="I580" s="5" t="inlineStr">
        <is>
          <t>Furniture Stores</t>
        </is>
      </c>
      <c r="J580" s="5" t="inlineStr">
        <is>
          <t>57</t>
        </is>
      </c>
      <c r="K580" s="5" t="n">
        <v>5712</v>
      </c>
      <c r="L580" s="5" t="inlineStr">
        <is>
          <t>FL</t>
        </is>
      </c>
      <c r="M580" s="5" t="inlineStr">
        <is>
          <t>Fidelity Funding</t>
        </is>
      </c>
      <c r="N580" s="5" t="inlineStr">
        <is>
          <t>New Deal</t>
        </is>
      </c>
      <c r="O580" s="19" t="n">
        <v>1.44</v>
      </c>
      <c r="P580" s="20" t="n">
        <v>15000</v>
      </c>
      <c r="Q580" s="20" t="n">
        <v>1725</v>
      </c>
      <c r="R580" s="20" t="n">
        <v>21600</v>
      </c>
      <c r="S580" s="20" t="n">
        <v>13751.64</v>
      </c>
      <c r="T580" s="20" t="n">
        <v>7848.36</v>
      </c>
      <c r="U580" s="21" t="n">
        <v>0.63665</v>
      </c>
      <c r="V580" s="22" t="n">
        <v>44</v>
      </c>
      <c r="W580" s="17" t="n">
        <v>5</v>
      </c>
      <c r="X580" s="17" t="n">
        <v>0</v>
      </c>
      <c r="Y580" s="20" t="n">
        <v>31482.51</v>
      </c>
      <c r="Z580" s="21" t="n">
        <v>0.0624</v>
      </c>
      <c r="AA580" s="16" t="n">
        <v>37773</v>
      </c>
      <c r="AB580" s="5">
        <f>IF(V580="","",IF(V580&lt;12,"Months","Weeks"))</f>
        <v/>
      </c>
      <c r="AC580" s="5">
        <f>IF(AB580="","",IF(AB580="Months","Daily","Weekly"))</f>
        <v/>
      </c>
      <c r="AD580" s="17">
        <f>IF(V580="","",IF(AC580="Daily",V580*Controls!$B$13,V580))</f>
        <v/>
      </c>
      <c r="AE580" s="17">
        <f>IF(V580="","",IF(AC580="Daily",V580*Controls!$B$13,V580*Controls!$B$12))</f>
        <v/>
      </c>
      <c r="AF580" s="17">
        <f>IF(OR(E580="",F580=""),"",F580-E580)</f>
        <v/>
      </c>
      <c r="AG580" s="17">
        <f>IF(OR(E580="",F580=""),"",NETWORKDAYS(E580,F580,Ref!$F$4:$F$47))</f>
        <v/>
      </c>
      <c r="AH580" s="39">
        <f>IF(IFERROR(VLOOKUP(D580,Controls!$A$25:$D$35,2,FALSE()),"No")="Yes",1,0)</f>
        <v/>
      </c>
      <c r="AI580" s="39">
        <f>IF(IFERROR(VLOOKUP(D580,Controls!$A$25:$D$35,3,FALSE()),"No")="Yes",1,0)</f>
        <v/>
      </c>
      <c r="AJ580" s="39">
        <f>IF(IFERROR(VLOOKUP(D580,Controls!$A$25:$D$35,4,FALSE()),"No")="Yes",1,0)</f>
        <v/>
      </c>
      <c r="AK580" s="96">
        <f>IF(AND($E580&gt;=Controls!$B$5,$E580&lt;=Controls!$B$6,OR(Controls!$E$9&lt;&gt;"Y",$BE580=1)),1,0)</f>
        <v/>
      </c>
      <c r="AL580" s="39">
        <f>1</f>
        <v/>
      </c>
      <c r="AM580" s="20">
        <f>S580-P580</f>
        <v/>
      </c>
      <c r="AN580" s="20">
        <f>IF(AH580=1,MAX(0,P580-S580),0)</f>
        <v/>
      </c>
      <c r="AO580" s="21">
        <f>IFERROR(S580/P580,"")</f>
        <v/>
      </c>
      <c r="AP580" s="22">
        <f>IF(Y580="","",P580/Y580)</f>
        <v/>
      </c>
      <c r="AQ580" s="39">
        <f>IF(Y580="",0,1)</f>
        <v/>
      </c>
      <c r="AR580" s="39">
        <f>IF(S580&lt;=0,1,0)</f>
        <v/>
      </c>
      <c r="AS580" s="17">
        <f>IF(AH580=1,AG580,"")</f>
        <v/>
      </c>
      <c r="AT580" s="17">
        <f>IF(AND(AH580=0,AJ580=1),AG580,"")</f>
        <v/>
      </c>
      <c r="AU580" s="5">
        <f>IF(P580&lt;10000,"Under $10K",IF(P580&lt;20000,"$10-20K",IF(P580&lt;30000,"$20-30K",IF(P580&lt;50000,"$30-50K",IF(P580&lt;100000,"$50-100K","$100K+")))))</f>
        <v/>
      </c>
      <c r="AV580" s="5">
        <f>IF(O580&lt;=1.35,"1.35 and under",IF(O580&lt;=1.42,"1.36-1.42",IF(O580&lt;=1.45,"1.43-1.45",IF(O580&lt;1.49,"1.46-1.48",IF(O580&lt;=1.49,"1.49","Above 1.49")))))</f>
        <v/>
      </c>
      <c r="AW580" s="5">
        <f>IF(AE580="","",IF(AE580&lt;60,"Under 60",IF(AE580&lt;90,"60-89",IF(AE580&lt;120,"90-119",IF(AE580&lt;150,"120-149","150+")))))</f>
        <v/>
      </c>
      <c r="AX580" s="5">
        <f>IF(AP580="","No revenue data",IF(AP580&lt;0.15,"Under 0.15x",IF(AP580&lt;0.3,"0.15-0.30x",IF(AP580&lt;0.5,"0.30-0.50x",IF(AP580&lt;1,"0.50-1.00x","1.00x+")))))</f>
        <v/>
      </c>
      <c r="AY580" s="5">
        <f>IF(J580="","No SIC",IFERROR(VLOOKUP(J580,Ref!$A$4:$C$67,2,FALSE()),"Unclassified"))</f>
        <v/>
      </c>
      <c r="AZ580" s="5">
        <f>IF(E580="","",TEXT(E580,"YYYY")&amp;"-Q"&amp;ROUNDUP(MONTH(E580)/3,0))</f>
        <v/>
      </c>
      <c r="BA580" s="5">
        <f>IF(E580="","",TEXT(E580,"YYYY-MM"))</f>
        <v/>
      </c>
      <c r="BB580" s="5">
        <f>IF(E580="","",TEXT(E580,"YYYY"))</f>
        <v/>
      </c>
      <c r="BC580" s="92">
        <f>IF($E580="","",NETWORKDAYS($E580,Controls!$B$9,Ref!$F$4:$F$47))</f>
        <v/>
      </c>
      <c r="BD580" s="92">
        <f>IF(OR($AH580=1,$AJ580=1),1,0)</f>
        <v/>
      </c>
      <c r="BE580" s="95">
        <f>IF(OR($BD580=1,AND($AE580&lt;&gt;"",$BC580&gt;=Controls!$B$10*$AE580)),1,0)</f>
        <v/>
      </c>
    </row>
    <row r="581" ht="15.75" customHeight="1" s="79">
      <c r="A581" s="5" t="inlineStr">
        <is>
          <t>5674177420</t>
        </is>
      </c>
      <c r="B581" s="5" t="inlineStr">
        <is>
          <t>CASTROS CARGO EXPRESS LLC</t>
        </is>
      </c>
      <c r="C581" s="5" t="inlineStr">
        <is>
          <t>CASTROS CARGO EXPRESS LLC</t>
        </is>
      </c>
      <c r="D581" s="5" t="inlineStr">
        <is>
          <t>Legal</t>
        </is>
      </c>
      <c r="E581" s="16" t="n">
        <v>46051</v>
      </c>
      <c r="F581" s="16" t="n">
        <v>46121</v>
      </c>
      <c r="G581" s="17" t="n">
        <v>3</v>
      </c>
      <c r="H581" s="5" t="inlineStr">
        <is>
          <t>4212</t>
        </is>
      </c>
      <c r="I581" s="5" t="inlineStr">
        <is>
          <t>Specialized Freight (Except Used Goods) Trucking, Local</t>
        </is>
      </c>
      <c r="J581" s="5" t="inlineStr">
        <is>
          <t>42</t>
        </is>
      </c>
      <c r="K581" s="5" t="n">
        <v>4214</v>
      </c>
      <c r="L581" s="5" t="inlineStr">
        <is>
          <t>NJ</t>
        </is>
      </c>
      <c r="M581" s="5" t="inlineStr">
        <is>
          <t>United Secured Capital 8</t>
        </is>
      </c>
      <c r="N581" s="5" t="inlineStr">
        <is>
          <t>Renewal</t>
        </is>
      </c>
      <c r="O581" s="19" t="n">
        <v>1.49</v>
      </c>
      <c r="P581" s="20" t="n">
        <v>16000</v>
      </c>
      <c r="Q581" s="20" t="n">
        <v>2240</v>
      </c>
      <c r="R581" s="20" t="n">
        <v>23840</v>
      </c>
      <c r="S581" s="20" t="n">
        <v>9281.16</v>
      </c>
      <c r="T581" s="20" t="n">
        <v>14558.84</v>
      </c>
      <c r="U581" s="21" t="n">
        <v>0.389310402684564</v>
      </c>
      <c r="V581" s="22" t="n">
        <v>3.934</v>
      </c>
      <c r="W581" s="17" t="n">
        <v>138</v>
      </c>
      <c r="X581" s="17" t="n">
        <v>4</v>
      </c>
      <c r="Y581" s="20" t="n">
        <v>8926.51</v>
      </c>
      <c r="Z581" s="21" t="n">
        <v>0.4674</v>
      </c>
      <c r="AA581" s="5" t="n"/>
      <c r="AB581" s="5">
        <f>IF(V581="","",IF(V581&lt;12,"Months","Weeks"))</f>
        <v/>
      </c>
      <c r="AC581" s="5">
        <f>IF(AB581="","",IF(AB581="Months","Daily","Weekly"))</f>
        <v/>
      </c>
      <c r="AD581" s="17">
        <f>IF(V581="","",IF(AC581="Daily",V581*Controls!$B$13,V581))</f>
        <v/>
      </c>
      <c r="AE581" s="17">
        <f>IF(V581="","",IF(AC581="Daily",V581*Controls!$B$13,V581*Controls!$B$12))</f>
        <v/>
      </c>
      <c r="AF581" s="17">
        <f>IF(OR(E581="",F581=""),"",F581-E581)</f>
        <v/>
      </c>
      <c r="AG581" s="17">
        <f>IF(OR(E581="",F581=""),"",NETWORKDAYS(E581,F581,Ref!$F$4:$F$47))</f>
        <v/>
      </c>
      <c r="AH581" s="39">
        <f>IF(IFERROR(VLOOKUP(D581,Controls!$A$25:$D$35,2,FALSE()),"No")="Yes",1,0)</f>
        <v/>
      </c>
      <c r="AI581" s="39">
        <f>IF(IFERROR(VLOOKUP(D581,Controls!$A$25:$D$35,3,FALSE()),"No")="Yes",1,0)</f>
        <v/>
      </c>
      <c r="AJ581" s="39">
        <f>IF(IFERROR(VLOOKUP(D581,Controls!$A$25:$D$35,4,FALSE()),"No")="Yes",1,0)</f>
        <v/>
      </c>
      <c r="AK581" s="96">
        <f>IF(AND($E581&gt;=Controls!$B$5,$E581&lt;=Controls!$B$6,OR(Controls!$E$9&lt;&gt;"Y",$BE581=1)),1,0)</f>
        <v/>
      </c>
      <c r="AL581" s="39">
        <f>1</f>
        <v/>
      </c>
      <c r="AM581" s="20">
        <f>S581-P581</f>
        <v/>
      </c>
      <c r="AN581" s="20">
        <f>IF(AH581=1,MAX(0,P581-S581),0)</f>
        <v/>
      </c>
      <c r="AO581" s="21">
        <f>IFERROR(S581/P581,"")</f>
        <v/>
      </c>
      <c r="AP581" s="22">
        <f>IF(Y581="","",P581/Y581)</f>
        <v/>
      </c>
      <c r="AQ581" s="39">
        <f>IF(Y581="",0,1)</f>
        <v/>
      </c>
      <c r="AR581" s="39">
        <f>IF(S581&lt;=0,1,0)</f>
        <v/>
      </c>
      <c r="AS581" s="17">
        <f>IF(AH581=1,AG581,"")</f>
        <v/>
      </c>
      <c r="AT581" s="17">
        <f>IF(AND(AH581=0,AJ581=1),AG581,"")</f>
        <v/>
      </c>
      <c r="AU581" s="5">
        <f>IF(P581&lt;10000,"Under $10K",IF(P581&lt;20000,"$10-20K",IF(P581&lt;30000,"$20-30K",IF(P581&lt;50000,"$30-50K",IF(P581&lt;100000,"$50-100K","$100K+")))))</f>
        <v/>
      </c>
      <c r="AV581" s="5">
        <f>IF(O581&lt;=1.35,"1.35 and under",IF(O581&lt;=1.42,"1.36-1.42",IF(O581&lt;=1.45,"1.43-1.45",IF(O581&lt;1.49,"1.46-1.48",IF(O581&lt;=1.49,"1.49","Above 1.49")))))</f>
        <v/>
      </c>
      <c r="AW581" s="5">
        <f>IF(AE581="","",IF(AE581&lt;60,"Under 60",IF(AE581&lt;90,"60-89",IF(AE581&lt;120,"90-119",IF(AE581&lt;150,"120-149","150+")))))</f>
        <v/>
      </c>
      <c r="AX581" s="5">
        <f>IF(AP581="","No revenue data",IF(AP581&lt;0.15,"Under 0.15x",IF(AP581&lt;0.3,"0.15-0.30x",IF(AP581&lt;0.5,"0.30-0.50x",IF(AP581&lt;1,"0.50-1.00x","1.00x+")))))</f>
        <v/>
      </c>
      <c r="AY581" s="5">
        <f>IF(J581="","No SIC",IFERROR(VLOOKUP(J581,Ref!$A$4:$C$67,2,FALSE()),"Unclassified"))</f>
        <v/>
      </c>
      <c r="AZ581" s="5">
        <f>IF(E581="","",TEXT(E581,"YYYY")&amp;"-Q"&amp;ROUNDUP(MONTH(E581)/3,0))</f>
        <v/>
      </c>
      <c r="BA581" s="5">
        <f>IF(E581="","",TEXT(E581,"YYYY-MM"))</f>
        <v/>
      </c>
      <c r="BB581" s="5">
        <f>IF(E581="","",TEXT(E581,"YYYY"))</f>
        <v/>
      </c>
      <c r="BC581" s="92">
        <f>IF($E581="","",NETWORKDAYS($E581,Controls!$B$9,Ref!$F$4:$F$47))</f>
        <v/>
      </c>
      <c r="BD581" s="92">
        <f>IF(OR($AH581=1,$AJ581=1),1,0)</f>
        <v/>
      </c>
      <c r="BE581" s="95">
        <f>IF(OR($BD581=1,AND($AE581&lt;&gt;"",$BC581&gt;=Controls!$B$10*$AE581)),1,0)</f>
        <v/>
      </c>
    </row>
    <row r="582" ht="15.75" customHeight="1" s="79">
      <c r="A582" s="5" t="inlineStr">
        <is>
          <t>5674177428</t>
        </is>
      </c>
      <c r="B582" s="5" t="inlineStr">
        <is>
          <t>THE HOUSE OF JIREH MINISTRIES</t>
        </is>
      </c>
      <c r="C582" s="5" t="inlineStr">
        <is>
          <t>THE HOUSE OF JIREH MINISTRIES, INC.</t>
        </is>
      </c>
      <c r="D582" s="5" t="inlineStr">
        <is>
          <t>Legal</t>
        </is>
      </c>
      <c r="E582" s="16" t="n">
        <v>46051</v>
      </c>
      <c r="F582" s="16" t="n">
        <v>46237</v>
      </c>
      <c r="G582" s="17" t="n">
        <v>3</v>
      </c>
      <c r="H582" s="5" t="inlineStr">
        <is>
          <t>8661</t>
        </is>
      </c>
      <c r="I582" s="5" t="inlineStr">
        <is>
          <t>Religious Organizations</t>
        </is>
      </c>
      <c r="J582" s="5" t="inlineStr">
        <is>
          <t>86</t>
        </is>
      </c>
      <c r="K582" s="5" t="n">
        <v>8661</v>
      </c>
      <c r="L582" s="5" t="inlineStr">
        <is>
          <t>NH</t>
        </is>
      </c>
      <c r="M582" s="5" t="inlineStr">
        <is>
          <t>United Secured Capital 8</t>
        </is>
      </c>
      <c r="N582" s="5" t="inlineStr">
        <is>
          <t>Renewal</t>
        </is>
      </c>
      <c r="O582" s="19" t="n">
        <v>1.49</v>
      </c>
      <c r="P582" s="20" t="n">
        <v>24000</v>
      </c>
      <c r="Q582" s="20" t="n">
        <v>3360</v>
      </c>
      <c r="R582" s="20" t="n">
        <v>35760</v>
      </c>
      <c r="S582" s="20" t="n">
        <v>17908.63</v>
      </c>
      <c r="T582" s="20" t="n">
        <v>17851.37</v>
      </c>
      <c r="U582" s="21" t="n">
        <v>0.5008006152125281</v>
      </c>
      <c r="V582" s="22" t="n">
        <v>3.934</v>
      </c>
      <c r="W582" s="17" t="n">
        <v>16</v>
      </c>
      <c r="X582" s="17" t="n">
        <v>12</v>
      </c>
      <c r="Y582" s="20" t="n">
        <v>57074.76</v>
      </c>
      <c r="Z582" s="21" t="n">
        <v>0.1096</v>
      </c>
      <c r="AA582" s="5" t="n"/>
      <c r="AB582" s="5">
        <f>IF(V582="","",IF(V582&lt;12,"Months","Weeks"))</f>
        <v/>
      </c>
      <c r="AC582" s="5">
        <f>IF(AB582="","",IF(AB582="Months","Daily","Weekly"))</f>
        <v/>
      </c>
      <c r="AD582" s="17">
        <f>IF(V582="","",IF(AC582="Daily",V582*Controls!$B$13,V582))</f>
        <v/>
      </c>
      <c r="AE582" s="17">
        <f>IF(V582="","",IF(AC582="Daily",V582*Controls!$B$13,V582*Controls!$B$12))</f>
        <v/>
      </c>
      <c r="AF582" s="17">
        <f>IF(OR(E582="",F582=""),"",F582-E582)</f>
        <v/>
      </c>
      <c r="AG582" s="17">
        <f>IF(OR(E582="",F582=""),"",NETWORKDAYS(E582,F582,Ref!$F$4:$F$47))</f>
        <v/>
      </c>
      <c r="AH582" s="39">
        <f>IF(IFERROR(VLOOKUP(D582,Controls!$A$25:$D$35,2,FALSE()),"No")="Yes",1,0)</f>
        <v/>
      </c>
      <c r="AI582" s="39">
        <f>IF(IFERROR(VLOOKUP(D582,Controls!$A$25:$D$35,3,FALSE()),"No")="Yes",1,0)</f>
        <v/>
      </c>
      <c r="AJ582" s="39">
        <f>IF(IFERROR(VLOOKUP(D582,Controls!$A$25:$D$35,4,FALSE()),"No")="Yes",1,0)</f>
        <v/>
      </c>
      <c r="AK582" s="96">
        <f>IF(AND($E582&gt;=Controls!$B$5,$E582&lt;=Controls!$B$6,OR(Controls!$E$9&lt;&gt;"Y",$BE582=1)),1,0)</f>
        <v/>
      </c>
      <c r="AL582" s="39">
        <f>1</f>
        <v/>
      </c>
      <c r="AM582" s="20">
        <f>S582-P582</f>
        <v/>
      </c>
      <c r="AN582" s="20">
        <f>IF(AH582=1,MAX(0,P582-S582),0)</f>
        <v/>
      </c>
      <c r="AO582" s="21">
        <f>IFERROR(S582/P582,"")</f>
        <v/>
      </c>
      <c r="AP582" s="22">
        <f>IF(Y582="","",P582/Y582)</f>
        <v/>
      </c>
      <c r="AQ582" s="39">
        <f>IF(Y582="",0,1)</f>
        <v/>
      </c>
      <c r="AR582" s="39">
        <f>IF(S582&lt;=0,1,0)</f>
        <v/>
      </c>
      <c r="AS582" s="17">
        <f>IF(AH582=1,AG582,"")</f>
        <v/>
      </c>
      <c r="AT582" s="17">
        <f>IF(AND(AH582=0,AJ582=1),AG582,"")</f>
        <v/>
      </c>
      <c r="AU582" s="5">
        <f>IF(P582&lt;10000,"Under $10K",IF(P582&lt;20000,"$10-20K",IF(P582&lt;30000,"$20-30K",IF(P582&lt;50000,"$30-50K",IF(P582&lt;100000,"$50-100K","$100K+")))))</f>
        <v/>
      </c>
      <c r="AV582" s="5">
        <f>IF(O582&lt;=1.35,"1.35 and under",IF(O582&lt;=1.42,"1.36-1.42",IF(O582&lt;=1.45,"1.43-1.45",IF(O582&lt;1.49,"1.46-1.48",IF(O582&lt;=1.49,"1.49","Above 1.49")))))</f>
        <v/>
      </c>
      <c r="AW582" s="5">
        <f>IF(AE582="","",IF(AE582&lt;60,"Under 60",IF(AE582&lt;90,"60-89",IF(AE582&lt;120,"90-119",IF(AE582&lt;150,"120-149","150+")))))</f>
        <v/>
      </c>
      <c r="AX582" s="5">
        <f>IF(AP582="","No revenue data",IF(AP582&lt;0.15,"Under 0.15x",IF(AP582&lt;0.3,"0.15-0.30x",IF(AP582&lt;0.5,"0.30-0.50x",IF(AP582&lt;1,"0.50-1.00x","1.00x+")))))</f>
        <v/>
      </c>
      <c r="AY582" s="5">
        <f>IF(J582="","No SIC",IFERROR(VLOOKUP(J582,Ref!$A$4:$C$67,2,FALSE()),"Unclassified"))</f>
        <v/>
      </c>
      <c r="AZ582" s="5">
        <f>IF(E582="","",TEXT(E582,"YYYY")&amp;"-Q"&amp;ROUNDUP(MONTH(E582)/3,0))</f>
        <v/>
      </c>
      <c r="BA582" s="5">
        <f>IF(E582="","",TEXT(E582,"YYYY-MM"))</f>
        <v/>
      </c>
      <c r="BB582" s="5">
        <f>IF(E582="","",TEXT(E582,"YYYY"))</f>
        <v/>
      </c>
      <c r="BC582" s="92">
        <f>IF($E582="","",NETWORKDAYS($E582,Controls!$B$9,Ref!$F$4:$F$47))</f>
        <v/>
      </c>
      <c r="BD582" s="92">
        <f>IF(OR($AH582=1,$AJ582=1),1,0)</f>
        <v/>
      </c>
      <c r="BE582" s="95">
        <f>IF(OR($BD582=1,AND($AE582&lt;&gt;"",$BC582&gt;=Controls!$B$10*$AE582)),1,0)</f>
        <v/>
      </c>
    </row>
    <row r="583" ht="15.75" customHeight="1" s="79">
      <c r="A583" s="5" t="inlineStr">
        <is>
          <t>5674177451</t>
        </is>
      </c>
      <c r="B583" s="5" t="inlineStr">
        <is>
          <t>JF3 HOLDINGS LLC</t>
        </is>
      </c>
      <c r="C583" s="5" t="inlineStr">
        <is>
          <t>JF3 HOLDINGS LLC</t>
        </is>
      </c>
      <c r="D583" s="5" t="inlineStr">
        <is>
          <t>Legal</t>
        </is>
      </c>
      <c r="E583" s="16" t="n">
        <v>46051</v>
      </c>
      <c r="F583" s="16" t="n">
        <v>46126</v>
      </c>
      <c r="G583" s="17" t="n">
        <v>3</v>
      </c>
      <c r="H583" s="5" t="inlineStr">
        <is>
          <t>5399</t>
        </is>
      </c>
      <c r="I583" s="5" t="inlineStr">
        <is>
          <t>All Other General Merchandise Stores</t>
        </is>
      </c>
      <c r="J583" s="5" t="inlineStr">
        <is>
          <t>53</t>
        </is>
      </c>
      <c r="K583" s="5" t="n">
        <v>5399</v>
      </c>
      <c r="L583" s="5" t="inlineStr">
        <is>
          <t>OH</t>
        </is>
      </c>
      <c r="M583" s="5" t="inlineStr">
        <is>
          <t>United Secured Capital 8</t>
        </is>
      </c>
      <c r="N583" s="5" t="inlineStr">
        <is>
          <t>New Deal</t>
        </is>
      </c>
      <c r="O583" s="19" t="n">
        <v>1.49</v>
      </c>
      <c r="P583" s="20" t="n">
        <v>8000</v>
      </c>
      <c r="Q583" s="20" t="n">
        <v>0</v>
      </c>
      <c r="R583" s="20" t="n">
        <v>11920</v>
      </c>
      <c r="S583" s="20" t="n">
        <v>2583.1</v>
      </c>
      <c r="T583" s="20" t="n">
        <v>9336.9</v>
      </c>
      <c r="U583" s="21" t="n">
        <v>0.216703020134228</v>
      </c>
      <c r="V583" s="22" t="n">
        <v>1.967</v>
      </c>
      <c r="W583" s="17" t="n">
        <v>182</v>
      </c>
      <c r="X583" s="17" t="n">
        <v>37</v>
      </c>
      <c r="Y583" s="20" t="n">
        <v>26851.08</v>
      </c>
      <c r="Z583" s="21" t="n">
        <v>0.1554</v>
      </c>
      <c r="AA583" s="5" t="n"/>
      <c r="AB583" s="5">
        <f>IF(V583="","",IF(V583&lt;12,"Months","Weeks"))</f>
        <v/>
      </c>
      <c r="AC583" s="5">
        <f>IF(AB583="","",IF(AB583="Months","Daily","Weekly"))</f>
        <v/>
      </c>
      <c r="AD583" s="17">
        <f>IF(V583="","",IF(AC583="Daily",V583*Controls!$B$13,V583))</f>
        <v/>
      </c>
      <c r="AE583" s="17">
        <f>IF(V583="","",IF(AC583="Daily",V583*Controls!$B$13,V583*Controls!$B$12))</f>
        <v/>
      </c>
      <c r="AF583" s="17">
        <f>IF(OR(E583="",F583=""),"",F583-E583)</f>
        <v/>
      </c>
      <c r="AG583" s="17">
        <f>IF(OR(E583="",F583=""),"",NETWORKDAYS(E583,F583,Ref!$F$4:$F$47))</f>
        <v/>
      </c>
      <c r="AH583" s="39">
        <f>IF(IFERROR(VLOOKUP(D583,Controls!$A$25:$D$35,2,FALSE()),"No")="Yes",1,0)</f>
        <v/>
      </c>
      <c r="AI583" s="39">
        <f>IF(IFERROR(VLOOKUP(D583,Controls!$A$25:$D$35,3,FALSE()),"No")="Yes",1,0)</f>
        <v/>
      </c>
      <c r="AJ583" s="39">
        <f>IF(IFERROR(VLOOKUP(D583,Controls!$A$25:$D$35,4,FALSE()),"No")="Yes",1,0)</f>
        <v/>
      </c>
      <c r="AK583" s="96">
        <f>IF(AND($E583&gt;=Controls!$B$5,$E583&lt;=Controls!$B$6,OR(Controls!$E$9&lt;&gt;"Y",$BE583=1)),1,0)</f>
        <v/>
      </c>
      <c r="AL583" s="39">
        <f>1</f>
        <v/>
      </c>
      <c r="AM583" s="20">
        <f>S583-P583</f>
        <v/>
      </c>
      <c r="AN583" s="20">
        <f>IF(AH583=1,MAX(0,P583-S583),0)</f>
        <v/>
      </c>
      <c r="AO583" s="21">
        <f>IFERROR(S583/P583,"")</f>
        <v/>
      </c>
      <c r="AP583" s="22">
        <f>IF(Y583="","",P583/Y583)</f>
        <v/>
      </c>
      <c r="AQ583" s="39">
        <f>IF(Y583="",0,1)</f>
        <v/>
      </c>
      <c r="AR583" s="39">
        <f>IF(S583&lt;=0,1,0)</f>
        <v/>
      </c>
      <c r="AS583" s="17">
        <f>IF(AH583=1,AG583,"")</f>
        <v/>
      </c>
      <c r="AT583" s="17">
        <f>IF(AND(AH583=0,AJ583=1),AG583,"")</f>
        <v/>
      </c>
      <c r="AU583" s="5">
        <f>IF(P583&lt;10000,"Under $10K",IF(P583&lt;20000,"$10-20K",IF(P583&lt;30000,"$20-30K",IF(P583&lt;50000,"$30-50K",IF(P583&lt;100000,"$50-100K","$100K+")))))</f>
        <v/>
      </c>
      <c r="AV583" s="5">
        <f>IF(O583&lt;=1.35,"1.35 and under",IF(O583&lt;=1.42,"1.36-1.42",IF(O583&lt;=1.45,"1.43-1.45",IF(O583&lt;1.49,"1.46-1.48",IF(O583&lt;=1.49,"1.49","Above 1.49")))))</f>
        <v/>
      </c>
      <c r="AW583" s="5">
        <f>IF(AE583="","",IF(AE583&lt;60,"Under 60",IF(AE583&lt;90,"60-89",IF(AE583&lt;120,"90-119",IF(AE583&lt;150,"120-149","150+")))))</f>
        <v/>
      </c>
      <c r="AX583" s="5">
        <f>IF(AP583="","No revenue data",IF(AP583&lt;0.15,"Under 0.15x",IF(AP583&lt;0.3,"0.15-0.30x",IF(AP583&lt;0.5,"0.30-0.50x",IF(AP583&lt;1,"0.50-1.00x","1.00x+")))))</f>
        <v/>
      </c>
      <c r="AY583" s="5">
        <f>IF(J583="","No SIC",IFERROR(VLOOKUP(J583,Ref!$A$4:$C$67,2,FALSE()),"Unclassified"))</f>
        <v/>
      </c>
      <c r="AZ583" s="5">
        <f>IF(E583="","",TEXT(E583,"YYYY")&amp;"-Q"&amp;ROUNDUP(MONTH(E583)/3,0))</f>
        <v/>
      </c>
      <c r="BA583" s="5">
        <f>IF(E583="","",TEXT(E583,"YYYY-MM"))</f>
        <v/>
      </c>
      <c r="BB583" s="5">
        <f>IF(E583="","",TEXT(E583,"YYYY"))</f>
        <v/>
      </c>
      <c r="BC583" s="92">
        <f>IF($E583="","",NETWORKDAYS($E583,Controls!$B$9,Ref!$F$4:$F$47))</f>
        <v/>
      </c>
      <c r="BD583" s="92">
        <f>IF(OR($AH583=1,$AJ583=1),1,0)</f>
        <v/>
      </c>
      <c r="BE583" s="95">
        <f>IF(OR($BD583=1,AND($AE583&lt;&gt;"",$BC583&gt;=Controls!$B$10*$AE583)),1,0)</f>
        <v/>
      </c>
    </row>
    <row r="584" ht="15.75" customHeight="1" s="79">
      <c r="A584" s="5" t="inlineStr">
        <is>
          <t>5674177455</t>
        </is>
      </c>
      <c r="B584" s="5" t="inlineStr">
        <is>
          <t>Little Magic Bar</t>
        </is>
      </c>
      <c r="C584" s="5" t="inlineStr">
        <is>
          <t>VOODOO MAGIC LLC</t>
        </is>
      </c>
      <c r="D584" s="5" t="inlineStr">
        <is>
          <t>Open</t>
        </is>
      </c>
      <c r="E584" s="16" t="n">
        <v>46051</v>
      </c>
      <c r="F584" s="16" t="n">
        <v>46248</v>
      </c>
      <c r="G584" s="17" t="n">
        <v>3</v>
      </c>
      <c r="H584" s="5" t="inlineStr">
        <is>
          <t>5812</t>
        </is>
      </c>
      <c r="I584" s="5" t="inlineStr">
        <is>
          <t>Snack and Nonalcoholic Beverage Bars</t>
        </is>
      </c>
      <c r="J584" s="5" t="inlineStr">
        <is>
          <t>58</t>
        </is>
      </c>
      <c r="K584" s="5" t="n">
        <v>5812</v>
      </c>
      <c r="L584" s="5" t="inlineStr">
        <is>
          <t>TN</t>
        </is>
      </c>
      <c r="M584" s="5" t="inlineStr">
        <is>
          <t>Fundible</t>
        </is>
      </c>
      <c r="N584" s="5" t="inlineStr">
        <is>
          <t>Renewal</t>
        </is>
      </c>
      <c r="O584" s="19" t="n">
        <v>1.49</v>
      </c>
      <c r="P584" s="20" t="n">
        <v>50000</v>
      </c>
      <c r="Q584" s="20" t="n">
        <v>7000</v>
      </c>
      <c r="R584" s="20" t="n">
        <v>74500</v>
      </c>
      <c r="S584" s="20" t="n">
        <v>63268.42</v>
      </c>
      <c r="T584" s="20" t="n">
        <v>11231.58</v>
      </c>
      <c r="U584" s="21" t="n">
        <v>0.849240536912752</v>
      </c>
      <c r="V584" s="22" t="n">
        <v>32</v>
      </c>
      <c r="W584" s="17" t="n">
        <v>5</v>
      </c>
      <c r="X584" s="17" t="n">
        <v>1</v>
      </c>
      <c r="Y584" s="20" t="n">
        <v>131755.44</v>
      </c>
      <c r="Z584" s="21" t="n">
        <v>0.0707</v>
      </c>
      <c r="AA584" s="16" t="n">
        <v>45320</v>
      </c>
      <c r="AB584" s="5">
        <f>IF(V584="","",IF(V584&lt;12,"Months","Weeks"))</f>
        <v/>
      </c>
      <c r="AC584" s="5">
        <f>IF(AB584="","",IF(AB584="Months","Daily","Weekly"))</f>
        <v/>
      </c>
      <c r="AD584" s="17">
        <f>IF(V584="","",IF(AC584="Daily",V584*Controls!$B$13,V584))</f>
        <v/>
      </c>
      <c r="AE584" s="17">
        <f>IF(V584="","",IF(AC584="Daily",V584*Controls!$B$13,V584*Controls!$B$12))</f>
        <v/>
      </c>
      <c r="AF584" s="17">
        <f>IF(OR(E584="",F584=""),"",F584-E584)</f>
        <v/>
      </c>
      <c r="AG584" s="17">
        <f>IF(OR(E584="",F584=""),"",NETWORKDAYS(E584,F584,Ref!$F$4:$F$47))</f>
        <v/>
      </c>
      <c r="AH584" s="39">
        <f>IF(IFERROR(VLOOKUP(D584,Controls!$A$25:$D$35,2,FALSE()),"No")="Yes",1,0)</f>
        <v/>
      </c>
      <c r="AI584" s="39">
        <f>IF(IFERROR(VLOOKUP(D584,Controls!$A$25:$D$35,3,FALSE()),"No")="Yes",1,0)</f>
        <v/>
      </c>
      <c r="AJ584" s="39">
        <f>IF(IFERROR(VLOOKUP(D584,Controls!$A$25:$D$35,4,FALSE()),"No")="Yes",1,0)</f>
        <v/>
      </c>
      <c r="AK584" s="96">
        <f>IF(AND($E584&gt;=Controls!$B$5,$E584&lt;=Controls!$B$6,OR(Controls!$E$9&lt;&gt;"Y",$BE584=1)),1,0)</f>
        <v/>
      </c>
      <c r="AL584" s="39">
        <f>1</f>
        <v/>
      </c>
      <c r="AM584" s="20">
        <f>S584-P584</f>
        <v/>
      </c>
      <c r="AN584" s="20">
        <f>IF(AH584=1,MAX(0,P584-S584),0)</f>
        <v/>
      </c>
      <c r="AO584" s="21">
        <f>IFERROR(S584/P584,"")</f>
        <v/>
      </c>
      <c r="AP584" s="22">
        <f>IF(Y584="","",P584/Y584)</f>
        <v/>
      </c>
      <c r="AQ584" s="39">
        <f>IF(Y584="",0,1)</f>
        <v/>
      </c>
      <c r="AR584" s="39">
        <f>IF(S584&lt;=0,1,0)</f>
        <v/>
      </c>
      <c r="AS584" s="17">
        <f>IF(AH584=1,AG584,"")</f>
        <v/>
      </c>
      <c r="AT584" s="17">
        <f>IF(AND(AH584=0,AJ584=1),AG584,"")</f>
        <v/>
      </c>
      <c r="AU584" s="5">
        <f>IF(P584&lt;10000,"Under $10K",IF(P584&lt;20000,"$10-20K",IF(P584&lt;30000,"$20-30K",IF(P584&lt;50000,"$30-50K",IF(P584&lt;100000,"$50-100K","$100K+")))))</f>
        <v/>
      </c>
      <c r="AV584" s="5">
        <f>IF(O584&lt;=1.35,"1.35 and under",IF(O584&lt;=1.42,"1.36-1.42",IF(O584&lt;=1.45,"1.43-1.45",IF(O584&lt;1.49,"1.46-1.48",IF(O584&lt;=1.49,"1.49","Above 1.49")))))</f>
        <v/>
      </c>
      <c r="AW584" s="5">
        <f>IF(AE584="","",IF(AE584&lt;60,"Under 60",IF(AE584&lt;90,"60-89",IF(AE584&lt;120,"90-119",IF(AE584&lt;150,"120-149","150+")))))</f>
        <v/>
      </c>
      <c r="AX584" s="5">
        <f>IF(AP584="","No revenue data",IF(AP584&lt;0.15,"Under 0.15x",IF(AP584&lt;0.3,"0.15-0.30x",IF(AP584&lt;0.5,"0.30-0.50x",IF(AP584&lt;1,"0.50-1.00x","1.00x+")))))</f>
        <v/>
      </c>
      <c r="AY584" s="5">
        <f>IF(J584="","No SIC",IFERROR(VLOOKUP(J584,Ref!$A$4:$C$67,2,FALSE()),"Unclassified"))</f>
        <v/>
      </c>
      <c r="AZ584" s="5">
        <f>IF(E584="","",TEXT(E584,"YYYY")&amp;"-Q"&amp;ROUNDUP(MONTH(E584)/3,0))</f>
        <v/>
      </c>
      <c r="BA584" s="5">
        <f>IF(E584="","",TEXT(E584,"YYYY-MM"))</f>
        <v/>
      </c>
      <c r="BB584" s="5">
        <f>IF(E584="","",TEXT(E584,"YYYY"))</f>
        <v/>
      </c>
      <c r="BC584" s="92">
        <f>IF($E584="","",NETWORKDAYS($E584,Controls!$B$9,Ref!$F$4:$F$47))</f>
        <v/>
      </c>
      <c r="BD584" s="92">
        <f>IF(OR($AH584=1,$AJ584=1),1,0)</f>
        <v/>
      </c>
      <c r="BE584" s="95">
        <f>IF(OR($BD584=1,AND($AE584&lt;&gt;"",$BC584&gt;=Controls!$B$10*$AE584)),1,0)</f>
        <v/>
      </c>
    </row>
    <row r="585" ht="15.75" customHeight="1" s="79">
      <c r="A585" s="5" t="inlineStr">
        <is>
          <t>5674177471</t>
        </is>
      </c>
      <c r="B585" s="5" t="inlineStr">
        <is>
          <t>JIU HONG CANYIN YULE, INC</t>
        </is>
      </c>
      <c r="C585" s="5" t="inlineStr">
        <is>
          <t>JIU HONG CANYIN YULE, INC</t>
        </is>
      </c>
      <c r="D585" s="5" t="inlineStr">
        <is>
          <t>Closed</t>
        </is>
      </c>
      <c r="E585" s="16" t="n">
        <v>46051</v>
      </c>
      <c r="F585" s="16" t="n">
        <v>46141</v>
      </c>
      <c r="G585" s="17" t="n">
        <v>3</v>
      </c>
      <c r="H585" s="5" t="inlineStr">
        <is>
          <t>5812</t>
        </is>
      </c>
      <c r="I585" s="5" t="inlineStr">
        <is>
          <t>Snack and Nonalcoholic Beverage Bars</t>
        </is>
      </c>
      <c r="J585" s="5" t="inlineStr">
        <is>
          <t>58</t>
        </is>
      </c>
      <c r="K585" s="5" t="n">
        <v>5812</v>
      </c>
      <c r="L585" s="5" t="inlineStr">
        <is>
          <t>CO</t>
        </is>
      </c>
      <c r="M585" s="5" t="inlineStr">
        <is>
          <t>United Secured Capital 8</t>
        </is>
      </c>
      <c r="N585" s="5" t="inlineStr">
        <is>
          <t>Renewal</t>
        </is>
      </c>
      <c r="O585" s="19" t="n">
        <v>1.49</v>
      </c>
      <c r="P585" s="20" t="n">
        <v>36000</v>
      </c>
      <c r="Q585" s="20" t="n">
        <v>5040</v>
      </c>
      <c r="R585" s="20" t="n">
        <v>53640</v>
      </c>
      <c r="S585" s="20" t="n">
        <v>53640</v>
      </c>
      <c r="T585" s="20" t="n">
        <v>0</v>
      </c>
      <c r="U585" s="21" t="n">
        <v>1</v>
      </c>
      <c r="V585" s="22" t="n">
        <v>4.59</v>
      </c>
      <c r="W585" s="17" t="n">
        <v>112</v>
      </c>
      <c r="X585" s="17" t="n">
        <v>0</v>
      </c>
      <c r="Y585" s="20" t="n">
        <v>42013.9</v>
      </c>
      <c r="Z585" s="21" t="n">
        <v>0.1915</v>
      </c>
      <c r="AA585" s="5" t="n"/>
      <c r="AB585" s="5">
        <f>IF(V585="","",IF(V585&lt;12,"Months","Weeks"))</f>
        <v/>
      </c>
      <c r="AC585" s="5">
        <f>IF(AB585="","",IF(AB585="Months","Daily","Weekly"))</f>
        <v/>
      </c>
      <c r="AD585" s="17">
        <f>IF(V585="","",IF(AC585="Daily",V585*Controls!$B$13,V585))</f>
        <v/>
      </c>
      <c r="AE585" s="17">
        <f>IF(V585="","",IF(AC585="Daily",V585*Controls!$B$13,V585*Controls!$B$12))</f>
        <v/>
      </c>
      <c r="AF585" s="17">
        <f>IF(OR(E585="",F585=""),"",F585-E585)</f>
        <v/>
      </c>
      <c r="AG585" s="17">
        <f>IF(OR(E585="",F585=""),"",NETWORKDAYS(E585,F585,Ref!$F$4:$F$47))</f>
        <v/>
      </c>
      <c r="AH585" s="39">
        <f>IF(IFERROR(VLOOKUP(D585,Controls!$A$25:$D$35,2,FALSE()),"No")="Yes",1,0)</f>
        <v/>
      </c>
      <c r="AI585" s="39">
        <f>IF(IFERROR(VLOOKUP(D585,Controls!$A$25:$D$35,3,FALSE()),"No")="Yes",1,0)</f>
        <v/>
      </c>
      <c r="AJ585" s="39">
        <f>IF(IFERROR(VLOOKUP(D585,Controls!$A$25:$D$35,4,FALSE()),"No")="Yes",1,0)</f>
        <v/>
      </c>
      <c r="AK585" s="96">
        <f>IF(AND($E585&gt;=Controls!$B$5,$E585&lt;=Controls!$B$6,OR(Controls!$E$9&lt;&gt;"Y",$BE585=1)),1,0)</f>
        <v/>
      </c>
      <c r="AL585" s="39">
        <f>1</f>
        <v/>
      </c>
      <c r="AM585" s="20">
        <f>S585-P585</f>
        <v/>
      </c>
      <c r="AN585" s="20">
        <f>IF(AH585=1,MAX(0,P585-S585),0)</f>
        <v/>
      </c>
      <c r="AO585" s="21">
        <f>IFERROR(S585/P585,"")</f>
        <v/>
      </c>
      <c r="AP585" s="22">
        <f>IF(Y585="","",P585/Y585)</f>
        <v/>
      </c>
      <c r="AQ585" s="39">
        <f>IF(Y585="",0,1)</f>
        <v/>
      </c>
      <c r="AR585" s="39">
        <f>IF(S585&lt;=0,1,0)</f>
        <v/>
      </c>
      <c r="AS585" s="17">
        <f>IF(AH585=1,AG585,"")</f>
        <v/>
      </c>
      <c r="AT585" s="17">
        <f>IF(AND(AH585=0,AJ585=1),AG585,"")</f>
        <v/>
      </c>
      <c r="AU585" s="5">
        <f>IF(P585&lt;10000,"Under $10K",IF(P585&lt;20000,"$10-20K",IF(P585&lt;30000,"$20-30K",IF(P585&lt;50000,"$30-50K",IF(P585&lt;100000,"$50-100K","$100K+")))))</f>
        <v/>
      </c>
      <c r="AV585" s="5">
        <f>IF(O585&lt;=1.35,"1.35 and under",IF(O585&lt;=1.42,"1.36-1.42",IF(O585&lt;=1.45,"1.43-1.45",IF(O585&lt;1.49,"1.46-1.48",IF(O585&lt;=1.49,"1.49","Above 1.49")))))</f>
        <v/>
      </c>
      <c r="AW585" s="5">
        <f>IF(AE585="","",IF(AE585&lt;60,"Under 60",IF(AE585&lt;90,"60-89",IF(AE585&lt;120,"90-119",IF(AE585&lt;150,"120-149","150+")))))</f>
        <v/>
      </c>
      <c r="AX585" s="5">
        <f>IF(AP585="","No revenue data",IF(AP585&lt;0.15,"Under 0.15x",IF(AP585&lt;0.3,"0.15-0.30x",IF(AP585&lt;0.5,"0.30-0.50x",IF(AP585&lt;1,"0.50-1.00x","1.00x+")))))</f>
        <v/>
      </c>
      <c r="AY585" s="5">
        <f>IF(J585="","No SIC",IFERROR(VLOOKUP(J585,Ref!$A$4:$C$67,2,FALSE()),"Unclassified"))</f>
        <v/>
      </c>
      <c r="AZ585" s="5">
        <f>IF(E585="","",TEXT(E585,"YYYY")&amp;"-Q"&amp;ROUNDUP(MONTH(E585)/3,0))</f>
        <v/>
      </c>
      <c r="BA585" s="5">
        <f>IF(E585="","",TEXT(E585,"YYYY-MM"))</f>
        <v/>
      </c>
      <c r="BB585" s="5">
        <f>IF(E585="","",TEXT(E585,"YYYY"))</f>
        <v/>
      </c>
      <c r="BC585" s="92">
        <f>IF($E585="","",NETWORKDAYS($E585,Controls!$B$9,Ref!$F$4:$F$47))</f>
        <v/>
      </c>
      <c r="BD585" s="92">
        <f>IF(OR($AH585=1,$AJ585=1),1,0)</f>
        <v/>
      </c>
      <c r="BE585" s="95">
        <f>IF(OR($BD585=1,AND($AE585&lt;&gt;"",$BC585&gt;=Controls!$B$10*$AE585)),1,0)</f>
        <v/>
      </c>
    </row>
    <row r="586" ht="15.75" customHeight="1" s="79">
      <c r="A586" s="5" t="inlineStr">
        <is>
          <t>5674177483</t>
        </is>
      </c>
      <c r="B586" s="5" t="inlineStr">
        <is>
          <t>VALOR TOURS LTD</t>
        </is>
      </c>
      <c r="C586" s="5" t="inlineStr">
        <is>
          <t>VALOR TOURS LTD</t>
        </is>
      </c>
      <c r="D586" s="5" t="inlineStr">
        <is>
          <t>In House Collection</t>
        </is>
      </c>
      <c r="E586" s="16" t="n">
        <v>46051</v>
      </c>
      <c r="F586" s="16" t="n">
        <v>46170</v>
      </c>
      <c r="G586" s="17" t="n">
        <v>3</v>
      </c>
      <c r="H586" s="5" t="inlineStr">
        <is>
          <t>4725</t>
        </is>
      </c>
      <c r="I586" s="5" t="inlineStr">
        <is>
          <t>Tour Operators</t>
        </is>
      </c>
      <c r="J586" s="5" t="inlineStr">
        <is>
          <t>47</t>
        </is>
      </c>
      <c r="K586" s="5" t="n">
        <v>4722</v>
      </c>
      <c r="L586" s="5" t="inlineStr">
        <is>
          <t>CA</t>
        </is>
      </c>
      <c r="M586" s="5" t="inlineStr">
        <is>
          <t>Westwood</t>
        </is>
      </c>
      <c r="N586" s="5" t="inlineStr">
        <is>
          <t>Renewal</t>
        </is>
      </c>
      <c r="O586" s="19" t="n">
        <v>1.49</v>
      </c>
      <c r="P586" s="20" t="n">
        <v>24000</v>
      </c>
      <c r="Q586" s="20" t="n">
        <v>3360</v>
      </c>
      <c r="R586" s="20" t="n">
        <v>35760</v>
      </c>
      <c r="S586" s="20" t="n">
        <v>23943.92</v>
      </c>
      <c r="T586" s="20" t="n">
        <v>11816.08</v>
      </c>
      <c r="U586" s="21" t="n">
        <v>0.6695727069351231</v>
      </c>
      <c r="V586" s="22" t="n">
        <v>3.77</v>
      </c>
      <c r="W586" s="17" t="n">
        <v>90</v>
      </c>
      <c r="X586" s="17" t="n">
        <v>5</v>
      </c>
      <c r="Y586" s="20" t="n">
        <v>48699.19</v>
      </c>
      <c r="Z586" s="21" t="n">
        <v>0.13</v>
      </c>
      <c r="AA586" s="16" t="n">
        <v>42917</v>
      </c>
      <c r="AB586" s="5">
        <f>IF(V586="","",IF(V586&lt;12,"Months","Weeks"))</f>
        <v/>
      </c>
      <c r="AC586" s="5">
        <f>IF(AB586="","",IF(AB586="Months","Daily","Weekly"))</f>
        <v/>
      </c>
      <c r="AD586" s="17">
        <f>IF(V586="","",IF(AC586="Daily",V586*Controls!$B$13,V586))</f>
        <v/>
      </c>
      <c r="AE586" s="17">
        <f>IF(V586="","",IF(AC586="Daily",V586*Controls!$B$13,V586*Controls!$B$12))</f>
        <v/>
      </c>
      <c r="AF586" s="17">
        <f>IF(OR(E586="",F586=""),"",F586-E586)</f>
        <v/>
      </c>
      <c r="AG586" s="17">
        <f>IF(OR(E586="",F586=""),"",NETWORKDAYS(E586,F586,Ref!$F$4:$F$47))</f>
        <v/>
      </c>
      <c r="AH586" s="39">
        <f>IF(IFERROR(VLOOKUP(D586,Controls!$A$25:$D$35,2,FALSE()),"No")="Yes",1,0)</f>
        <v/>
      </c>
      <c r="AI586" s="39">
        <f>IF(IFERROR(VLOOKUP(D586,Controls!$A$25:$D$35,3,FALSE()),"No")="Yes",1,0)</f>
        <v/>
      </c>
      <c r="AJ586" s="39">
        <f>IF(IFERROR(VLOOKUP(D586,Controls!$A$25:$D$35,4,FALSE()),"No")="Yes",1,0)</f>
        <v/>
      </c>
      <c r="AK586" s="96">
        <f>IF(AND($E586&gt;=Controls!$B$5,$E586&lt;=Controls!$B$6,OR(Controls!$E$9&lt;&gt;"Y",$BE586=1)),1,0)</f>
        <v/>
      </c>
      <c r="AL586" s="39">
        <f>1</f>
        <v/>
      </c>
      <c r="AM586" s="20">
        <f>S586-P586</f>
        <v/>
      </c>
      <c r="AN586" s="20">
        <f>IF(AH586=1,MAX(0,P586-S586),0)</f>
        <v/>
      </c>
      <c r="AO586" s="21">
        <f>IFERROR(S586/P586,"")</f>
        <v/>
      </c>
      <c r="AP586" s="22">
        <f>IF(Y586="","",P586/Y586)</f>
        <v/>
      </c>
      <c r="AQ586" s="39">
        <f>IF(Y586="",0,1)</f>
        <v/>
      </c>
      <c r="AR586" s="39">
        <f>IF(S586&lt;=0,1,0)</f>
        <v/>
      </c>
      <c r="AS586" s="17">
        <f>IF(AH586=1,AG586,"")</f>
        <v/>
      </c>
      <c r="AT586" s="17">
        <f>IF(AND(AH586=0,AJ586=1),AG586,"")</f>
        <v/>
      </c>
      <c r="AU586" s="5">
        <f>IF(P586&lt;10000,"Under $10K",IF(P586&lt;20000,"$10-20K",IF(P586&lt;30000,"$20-30K",IF(P586&lt;50000,"$30-50K",IF(P586&lt;100000,"$50-100K","$100K+")))))</f>
        <v/>
      </c>
      <c r="AV586" s="5">
        <f>IF(O586&lt;=1.35,"1.35 and under",IF(O586&lt;=1.42,"1.36-1.42",IF(O586&lt;=1.45,"1.43-1.45",IF(O586&lt;1.49,"1.46-1.48",IF(O586&lt;=1.49,"1.49","Above 1.49")))))</f>
        <v/>
      </c>
      <c r="AW586" s="5">
        <f>IF(AE586="","",IF(AE586&lt;60,"Under 60",IF(AE586&lt;90,"60-89",IF(AE586&lt;120,"90-119",IF(AE586&lt;150,"120-149","150+")))))</f>
        <v/>
      </c>
      <c r="AX586" s="5">
        <f>IF(AP586="","No revenue data",IF(AP586&lt;0.15,"Under 0.15x",IF(AP586&lt;0.3,"0.15-0.30x",IF(AP586&lt;0.5,"0.30-0.50x",IF(AP586&lt;1,"0.50-1.00x","1.00x+")))))</f>
        <v/>
      </c>
      <c r="AY586" s="5">
        <f>IF(J586="","No SIC",IFERROR(VLOOKUP(J586,Ref!$A$4:$C$67,2,FALSE()),"Unclassified"))</f>
        <v/>
      </c>
      <c r="AZ586" s="5">
        <f>IF(E586="","",TEXT(E586,"YYYY")&amp;"-Q"&amp;ROUNDUP(MONTH(E586)/3,0))</f>
        <v/>
      </c>
      <c r="BA586" s="5">
        <f>IF(E586="","",TEXT(E586,"YYYY-MM"))</f>
        <v/>
      </c>
      <c r="BB586" s="5">
        <f>IF(E586="","",TEXT(E586,"YYYY"))</f>
        <v/>
      </c>
      <c r="BC586" s="92">
        <f>IF($E586="","",NETWORKDAYS($E586,Controls!$B$9,Ref!$F$4:$F$47))</f>
        <v/>
      </c>
      <c r="BD586" s="92">
        <f>IF(OR($AH586=1,$AJ586=1),1,0)</f>
        <v/>
      </c>
      <c r="BE586" s="95">
        <f>IF(OR($BD586=1,AND($AE586&lt;&gt;"",$BC586&gt;=Controls!$B$10*$AE586)),1,0)</f>
        <v/>
      </c>
    </row>
    <row r="587" ht="15.75" customHeight="1" s="79">
      <c r="A587" s="5" t="inlineStr">
        <is>
          <t>5674177552</t>
        </is>
      </c>
      <c r="B587" s="5" t="inlineStr">
        <is>
          <t>Fjord Builders and Design Partners LLC</t>
        </is>
      </c>
      <c r="C587" s="5" t="inlineStr">
        <is>
          <t>Fjord Builders and Design Partners LLC</t>
        </is>
      </c>
      <c r="D587" s="5" t="inlineStr">
        <is>
          <t>Legal</t>
        </is>
      </c>
      <c r="E587" s="16" t="n">
        <v>46052</v>
      </c>
      <c r="F587" s="16" t="n">
        <v>46094</v>
      </c>
      <c r="G587" s="17" t="n">
        <v>1</v>
      </c>
      <c r="H587" s="5" t="inlineStr">
        <is>
          <t>1521</t>
        </is>
      </c>
      <c r="I587" s="5" t="inlineStr">
        <is>
          <t>New Single-Family Housing Construction (Except For-Sale Builders)</t>
        </is>
      </c>
      <c r="J587" s="5" t="inlineStr">
        <is>
          <t>15</t>
        </is>
      </c>
      <c r="K587" s="5" t="n">
        <v>1520</v>
      </c>
      <c r="L587" s="5" t="inlineStr">
        <is>
          <t>TX</t>
        </is>
      </c>
      <c r="M587" s="5" t="inlineStr">
        <is>
          <t>cavala funding</t>
        </is>
      </c>
      <c r="N587" s="5" t="inlineStr">
        <is>
          <t>New Deal</t>
        </is>
      </c>
      <c r="O587" s="19" t="n">
        <v>1.49</v>
      </c>
      <c r="P587" s="20" t="n">
        <v>30000</v>
      </c>
      <c r="Q587" s="20" t="n">
        <v>4200</v>
      </c>
      <c r="R587" s="20" t="n">
        <v>44700</v>
      </c>
      <c r="S587" s="20" t="n">
        <v>3723</v>
      </c>
      <c r="T587" s="20" t="n">
        <v>40977</v>
      </c>
      <c r="U587" s="21" t="n">
        <v>0.08328859060402689</v>
      </c>
      <c r="V587" s="22" t="n">
        <v>24</v>
      </c>
      <c r="W587" s="17" t="n">
        <v>166</v>
      </c>
      <c r="X587" s="17" t="n">
        <v>3</v>
      </c>
      <c r="Y587" s="20" t="n">
        <v>110638.91</v>
      </c>
      <c r="Z587" s="21" t="n">
        <v>0.0673</v>
      </c>
      <c r="AA587" s="16" t="n">
        <v>43120</v>
      </c>
      <c r="AB587" s="5">
        <f>IF(V587="","",IF(V587&lt;12,"Months","Weeks"))</f>
        <v/>
      </c>
      <c r="AC587" s="5">
        <f>IF(AB587="","",IF(AB587="Months","Daily","Weekly"))</f>
        <v/>
      </c>
      <c r="AD587" s="17">
        <f>IF(V587="","",IF(AC587="Daily",V587*Controls!$B$13,V587))</f>
        <v/>
      </c>
      <c r="AE587" s="17">
        <f>IF(V587="","",IF(AC587="Daily",V587*Controls!$B$13,V587*Controls!$B$12))</f>
        <v/>
      </c>
      <c r="AF587" s="17">
        <f>IF(OR(E587="",F587=""),"",F587-E587)</f>
        <v/>
      </c>
      <c r="AG587" s="17">
        <f>IF(OR(E587="",F587=""),"",NETWORKDAYS(E587,F587,Ref!$F$4:$F$47))</f>
        <v/>
      </c>
      <c r="AH587" s="39">
        <f>IF(IFERROR(VLOOKUP(D587,Controls!$A$25:$D$35,2,FALSE()),"No")="Yes",1,0)</f>
        <v/>
      </c>
      <c r="AI587" s="39">
        <f>IF(IFERROR(VLOOKUP(D587,Controls!$A$25:$D$35,3,FALSE()),"No")="Yes",1,0)</f>
        <v/>
      </c>
      <c r="AJ587" s="39">
        <f>IF(IFERROR(VLOOKUP(D587,Controls!$A$25:$D$35,4,FALSE()),"No")="Yes",1,0)</f>
        <v/>
      </c>
      <c r="AK587" s="96">
        <f>IF(AND($E587&gt;=Controls!$B$5,$E587&lt;=Controls!$B$6,OR(Controls!$E$9&lt;&gt;"Y",$BE587=1)),1,0)</f>
        <v/>
      </c>
      <c r="AL587" s="39">
        <f>1</f>
        <v/>
      </c>
      <c r="AM587" s="20">
        <f>S587-P587</f>
        <v/>
      </c>
      <c r="AN587" s="20">
        <f>IF(AH587=1,MAX(0,P587-S587),0)</f>
        <v/>
      </c>
      <c r="AO587" s="21">
        <f>IFERROR(S587/P587,"")</f>
        <v/>
      </c>
      <c r="AP587" s="22">
        <f>IF(Y587="","",P587/Y587)</f>
        <v/>
      </c>
      <c r="AQ587" s="39">
        <f>IF(Y587="",0,1)</f>
        <v/>
      </c>
      <c r="AR587" s="39">
        <f>IF(S587&lt;=0,1,0)</f>
        <v/>
      </c>
      <c r="AS587" s="17">
        <f>IF(AH587=1,AG587,"")</f>
        <v/>
      </c>
      <c r="AT587" s="17">
        <f>IF(AND(AH587=0,AJ587=1),AG587,"")</f>
        <v/>
      </c>
      <c r="AU587" s="5">
        <f>IF(P587&lt;10000,"Under $10K",IF(P587&lt;20000,"$10-20K",IF(P587&lt;30000,"$20-30K",IF(P587&lt;50000,"$30-50K",IF(P587&lt;100000,"$50-100K","$100K+")))))</f>
        <v/>
      </c>
      <c r="AV587" s="5">
        <f>IF(O587&lt;=1.35,"1.35 and under",IF(O587&lt;=1.42,"1.36-1.42",IF(O587&lt;=1.45,"1.43-1.45",IF(O587&lt;1.49,"1.46-1.48",IF(O587&lt;=1.49,"1.49","Above 1.49")))))</f>
        <v/>
      </c>
      <c r="AW587" s="5">
        <f>IF(AE587="","",IF(AE587&lt;60,"Under 60",IF(AE587&lt;90,"60-89",IF(AE587&lt;120,"90-119",IF(AE587&lt;150,"120-149","150+")))))</f>
        <v/>
      </c>
      <c r="AX587" s="5">
        <f>IF(AP587="","No revenue data",IF(AP587&lt;0.15,"Under 0.15x",IF(AP587&lt;0.3,"0.15-0.30x",IF(AP587&lt;0.5,"0.30-0.50x",IF(AP587&lt;1,"0.50-1.00x","1.00x+")))))</f>
        <v/>
      </c>
      <c r="AY587" s="5">
        <f>IF(J587="","No SIC",IFERROR(VLOOKUP(J587,Ref!$A$4:$C$67,2,FALSE()),"Unclassified"))</f>
        <v/>
      </c>
      <c r="AZ587" s="5">
        <f>IF(E587="","",TEXT(E587,"YYYY")&amp;"-Q"&amp;ROUNDUP(MONTH(E587)/3,0))</f>
        <v/>
      </c>
      <c r="BA587" s="5">
        <f>IF(E587="","",TEXT(E587,"YYYY-MM"))</f>
        <v/>
      </c>
      <c r="BB587" s="5">
        <f>IF(E587="","",TEXT(E587,"YYYY"))</f>
        <v/>
      </c>
      <c r="BC587" s="92">
        <f>IF($E587="","",NETWORKDAYS($E587,Controls!$B$9,Ref!$F$4:$F$47))</f>
        <v/>
      </c>
      <c r="BD587" s="92">
        <f>IF(OR($AH587=1,$AJ587=1),1,0)</f>
        <v/>
      </c>
      <c r="BE587" s="95">
        <f>IF(OR($BD587=1,AND($AE587&lt;&gt;"",$BC587&gt;=Controls!$B$10*$AE587)),1,0)</f>
        <v/>
      </c>
    </row>
    <row r="588" ht="15.75" customHeight="1" s="79">
      <c r="A588" s="5" t="inlineStr">
        <is>
          <t>5674177628</t>
        </is>
      </c>
      <c r="B588" s="5" t="inlineStr">
        <is>
          <t>Bland Funeral Home, LLC</t>
        </is>
      </c>
      <c r="C588" s="5" t="inlineStr">
        <is>
          <t>Bland Funeral Home, LLC</t>
        </is>
      </c>
      <c r="D588" s="5" t="inlineStr">
        <is>
          <t>Closed</t>
        </is>
      </c>
      <c r="E588" s="16" t="n">
        <v>46055</v>
      </c>
      <c r="F588" s="16" t="n">
        <v>46136</v>
      </c>
      <c r="G588" s="17" t="n">
        <v>3</v>
      </c>
      <c r="H588" s="5" t="inlineStr">
        <is>
          <t>7261</t>
        </is>
      </c>
      <c r="I588" s="5" t="inlineStr">
        <is>
          <t>Funeral Homes and Funeral Services</t>
        </is>
      </c>
      <c r="J588" s="5" t="inlineStr">
        <is>
          <t>72</t>
        </is>
      </c>
      <c r="K588" s="5" t="n">
        <v>7261</v>
      </c>
      <c r="L588" s="5" t="inlineStr">
        <is>
          <t>VA</t>
        </is>
      </c>
      <c r="M588" s="5" t="inlineStr">
        <is>
          <t>Ballicci</t>
        </is>
      </c>
      <c r="N588" s="5" t="inlineStr">
        <is>
          <t>New Deal</t>
        </is>
      </c>
      <c r="O588" s="19" t="n">
        <v>1.49</v>
      </c>
      <c r="P588" s="20" t="n">
        <v>30000</v>
      </c>
      <c r="Q588" s="20" t="n">
        <v>4200</v>
      </c>
      <c r="R588" s="20" t="n">
        <v>44700</v>
      </c>
      <c r="S588" s="20" t="n">
        <v>44700</v>
      </c>
      <c r="T588" s="20" t="n">
        <v>0</v>
      </c>
      <c r="U588" s="21" t="n">
        <v>1</v>
      </c>
      <c r="V588" s="22" t="n">
        <v>2.951</v>
      </c>
      <c r="W588" s="17" t="n">
        <v>117</v>
      </c>
      <c r="X588" s="17" t="n">
        <v>7</v>
      </c>
      <c r="Y588" s="20" t="n">
        <v>57502.52</v>
      </c>
      <c r="Z588" s="21" t="n">
        <v>0.1814</v>
      </c>
      <c r="AA588" s="5" t="n"/>
      <c r="AB588" s="5">
        <f>IF(V588="","",IF(V588&lt;12,"Months","Weeks"))</f>
        <v/>
      </c>
      <c r="AC588" s="5">
        <f>IF(AB588="","",IF(AB588="Months","Daily","Weekly"))</f>
        <v/>
      </c>
      <c r="AD588" s="17">
        <f>IF(V588="","",IF(AC588="Daily",V588*Controls!$B$13,V588))</f>
        <v/>
      </c>
      <c r="AE588" s="17">
        <f>IF(V588="","",IF(AC588="Daily",V588*Controls!$B$13,V588*Controls!$B$12))</f>
        <v/>
      </c>
      <c r="AF588" s="17">
        <f>IF(OR(E588="",F588=""),"",F588-E588)</f>
        <v/>
      </c>
      <c r="AG588" s="17">
        <f>IF(OR(E588="",F588=""),"",NETWORKDAYS(E588,F588,Ref!$F$4:$F$47))</f>
        <v/>
      </c>
      <c r="AH588" s="39">
        <f>IF(IFERROR(VLOOKUP(D588,Controls!$A$25:$D$35,2,FALSE()),"No")="Yes",1,0)</f>
        <v/>
      </c>
      <c r="AI588" s="39">
        <f>IF(IFERROR(VLOOKUP(D588,Controls!$A$25:$D$35,3,FALSE()),"No")="Yes",1,0)</f>
        <v/>
      </c>
      <c r="AJ588" s="39">
        <f>IF(IFERROR(VLOOKUP(D588,Controls!$A$25:$D$35,4,FALSE()),"No")="Yes",1,0)</f>
        <v/>
      </c>
      <c r="AK588" s="96">
        <f>IF(AND($E588&gt;=Controls!$B$5,$E588&lt;=Controls!$B$6,OR(Controls!$E$9&lt;&gt;"Y",$BE588=1)),1,0)</f>
        <v/>
      </c>
      <c r="AL588" s="39">
        <f>1</f>
        <v/>
      </c>
      <c r="AM588" s="20">
        <f>S588-P588</f>
        <v/>
      </c>
      <c r="AN588" s="20">
        <f>IF(AH588=1,MAX(0,P588-S588),0)</f>
        <v/>
      </c>
      <c r="AO588" s="21">
        <f>IFERROR(S588/P588,"")</f>
        <v/>
      </c>
      <c r="AP588" s="22">
        <f>IF(Y588="","",P588/Y588)</f>
        <v/>
      </c>
      <c r="AQ588" s="39">
        <f>IF(Y588="",0,1)</f>
        <v/>
      </c>
      <c r="AR588" s="39">
        <f>IF(S588&lt;=0,1,0)</f>
        <v/>
      </c>
      <c r="AS588" s="17">
        <f>IF(AH588=1,AG588,"")</f>
        <v/>
      </c>
      <c r="AT588" s="17">
        <f>IF(AND(AH588=0,AJ588=1),AG588,"")</f>
        <v/>
      </c>
      <c r="AU588" s="5">
        <f>IF(P588&lt;10000,"Under $10K",IF(P588&lt;20000,"$10-20K",IF(P588&lt;30000,"$20-30K",IF(P588&lt;50000,"$30-50K",IF(P588&lt;100000,"$50-100K","$100K+")))))</f>
        <v/>
      </c>
      <c r="AV588" s="5">
        <f>IF(O588&lt;=1.35,"1.35 and under",IF(O588&lt;=1.42,"1.36-1.42",IF(O588&lt;=1.45,"1.43-1.45",IF(O588&lt;1.49,"1.46-1.48",IF(O588&lt;=1.49,"1.49","Above 1.49")))))</f>
        <v/>
      </c>
      <c r="AW588" s="5">
        <f>IF(AE588="","",IF(AE588&lt;60,"Under 60",IF(AE588&lt;90,"60-89",IF(AE588&lt;120,"90-119",IF(AE588&lt;150,"120-149","150+")))))</f>
        <v/>
      </c>
      <c r="AX588" s="5">
        <f>IF(AP588="","No revenue data",IF(AP588&lt;0.15,"Under 0.15x",IF(AP588&lt;0.3,"0.15-0.30x",IF(AP588&lt;0.5,"0.30-0.50x",IF(AP588&lt;1,"0.50-1.00x","1.00x+")))))</f>
        <v/>
      </c>
      <c r="AY588" s="5">
        <f>IF(J588="","No SIC",IFERROR(VLOOKUP(J588,Ref!$A$4:$C$67,2,FALSE()),"Unclassified"))</f>
        <v/>
      </c>
      <c r="AZ588" s="5">
        <f>IF(E588="","",TEXT(E588,"YYYY")&amp;"-Q"&amp;ROUNDUP(MONTH(E588)/3,0))</f>
        <v/>
      </c>
      <c r="BA588" s="5">
        <f>IF(E588="","",TEXT(E588,"YYYY-MM"))</f>
        <v/>
      </c>
      <c r="BB588" s="5">
        <f>IF(E588="","",TEXT(E588,"YYYY"))</f>
        <v/>
      </c>
      <c r="BC588" s="92">
        <f>IF($E588="","",NETWORKDAYS($E588,Controls!$B$9,Ref!$F$4:$F$47))</f>
        <v/>
      </c>
      <c r="BD588" s="92">
        <f>IF(OR($AH588=1,$AJ588=1),1,0)</f>
        <v/>
      </c>
      <c r="BE588" s="95">
        <f>IF(OR($BD588=1,AND($AE588&lt;&gt;"",$BC588&gt;=Controls!$B$10*$AE588)),1,0)</f>
        <v/>
      </c>
    </row>
    <row r="589" ht="15.75" customHeight="1" s="79">
      <c r="A589" s="5" t="inlineStr">
        <is>
          <t>5674177634</t>
        </is>
      </c>
      <c r="B589" s="5" t="inlineStr">
        <is>
          <t>PAUGUS BAY LANDSCAPE LLC</t>
        </is>
      </c>
      <c r="C589" s="5" t="inlineStr">
        <is>
          <t>PAUGUS BAY LANDSCAPE LLC</t>
        </is>
      </c>
      <c r="D589" s="5" t="inlineStr">
        <is>
          <t>Legal</t>
        </is>
      </c>
      <c r="E589" s="16" t="n">
        <v>46055</v>
      </c>
      <c r="F589" s="16" t="n">
        <v>46234</v>
      </c>
      <c r="G589" s="17" t="n">
        <v>3</v>
      </c>
      <c r="H589" s="5" t="inlineStr">
        <is>
          <t>0781</t>
        </is>
      </c>
      <c r="I589" s="5" t="inlineStr">
        <is>
          <t>Landscape Architectural Services</t>
        </is>
      </c>
      <c r="J589" s="5" t="inlineStr">
        <is>
          <t>07</t>
        </is>
      </c>
      <c r="K589" s="5" t="n">
        <v>1799</v>
      </c>
      <c r="L589" s="5" t="inlineStr">
        <is>
          <t>NH</t>
        </is>
      </c>
      <c r="M589" s="5" t="inlineStr">
        <is>
          <t>United Secured Capital 8</t>
        </is>
      </c>
      <c r="N589" s="5" t="inlineStr">
        <is>
          <t>Renewal</t>
        </is>
      </c>
      <c r="O589" s="19" t="n">
        <v>1.49</v>
      </c>
      <c r="P589" s="20" t="n">
        <v>15000</v>
      </c>
      <c r="Q589" s="20" t="n">
        <v>2100</v>
      </c>
      <c r="R589" s="20" t="n">
        <v>22350</v>
      </c>
      <c r="S589" s="20" t="n">
        <v>3083.53</v>
      </c>
      <c r="T589" s="20" t="n">
        <v>19266.47</v>
      </c>
      <c r="U589" s="21" t="n">
        <v>0.137965548098434</v>
      </c>
      <c r="V589" s="22" t="n">
        <v>3.934</v>
      </c>
      <c r="W589" s="17" t="n">
        <v>19</v>
      </c>
      <c r="X589" s="17" t="n">
        <v>33</v>
      </c>
      <c r="Y589" s="20" t="n">
        <v>25000</v>
      </c>
      <c r="Z589" s="21" t="n">
        <v>0.2114</v>
      </c>
      <c r="AA589" s="16" t="n">
        <v>45292</v>
      </c>
      <c r="AB589" s="5">
        <f>IF(V589="","",IF(V589&lt;12,"Months","Weeks"))</f>
        <v/>
      </c>
      <c r="AC589" s="5">
        <f>IF(AB589="","",IF(AB589="Months","Daily","Weekly"))</f>
        <v/>
      </c>
      <c r="AD589" s="17">
        <f>IF(V589="","",IF(AC589="Daily",V589*Controls!$B$13,V589))</f>
        <v/>
      </c>
      <c r="AE589" s="17">
        <f>IF(V589="","",IF(AC589="Daily",V589*Controls!$B$13,V589*Controls!$B$12))</f>
        <v/>
      </c>
      <c r="AF589" s="17">
        <f>IF(OR(E589="",F589=""),"",F589-E589)</f>
        <v/>
      </c>
      <c r="AG589" s="17">
        <f>IF(OR(E589="",F589=""),"",NETWORKDAYS(E589,F589,Ref!$F$4:$F$47))</f>
        <v/>
      </c>
      <c r="AH589" s="39">
        <f>IF(IFERROR(VLOOKUP(D589,Controls!$A$25:$D$35,2,FALSE()),"No")="Yes",1,0)</f>
        <v/>
      </c>
      <c r="AI589" s="39">
        <f>IF(IFERROR(VLOOKUP(D589,Controls!$A$25:$D$35,3,FALSE()),"No")="Yes",1,0)</f>
        <v/>
      </c>
      <c r="AJ589" s="39">
        <f>IF(IFERROR(VLOOKUP(D589,Controls!$A$25:$D$35,4,FALSE()),"No")="Yes",1,0)</f>
        <v/>
      </c>
      <c r="AK589" s="96">
        <f>IF(AND($E589&gt;=Controls!$B$5,$E589&lt;=Controls!$B$6,OR(Controls!$E$9&lt;&gt;"Y",$BE589=1)),1,0)</f>
        <v/>
      </c>
      <c r="AL589" s="39">
        <f>1</f>
        <v/>
      </c>
      <c r="AM589" s="20">
        <f>S589-P589</f>
        <v/>
      </c>
      <c r="AN589" s="20">
        <f>IF(AH589=1,MAX(0,P589-S589),0)</f>
        <v/>
      </c>
      <c r="AO589" s="21">
        <f>IFERROR(S589/P589,"")</f>
        <v/>
      </c>
      <c r="AP589" s="22">
        <f>IF(Y589="","",P589/Y589)</f>
        <v/>
      </c>
      <c r="AQ589" s="39">
        <f>IF(Y589="",0,1)</f>
        <v/>
      </c>
      <c r="AR589" s="39">
        <f>IF(S589&lt;=0,1,0)</f>
        <v/>
      </c>
      <c r="AS589" s="17">
        <f>IF(AH589=1,AG589,"")</f>
        <v/>
      </c>
      <c r="AT589" s="17">
        <f>IF(AND(AH589=0,AJ589=1),AG589,"")</f>
        <v/>
      </c>
      <c r="AU589" s="5">
        <f>IF(P589&lt;10000,"Under $10K",IF(P589&lt;20000,"$10-20K",IF(P589&lt;30000,"$20-30K",IF(P589&lt;50000,"$30-50K",IF(P589&lt;100000,"$50-100K","$100K+")))))</f>
        <v/>
      </c>
      <c r="AV589" s="5">
        <f>IF(O589&lt;=1.35,"1.35 and under",IF(O589&lt;=1.42,"1.36-1.42",IF(O589&lt;=1.45,"1.43-1.45",IF(O589&lt;1.49,"1.46-1.48",IF(O589&lt;=1.49,"1.49","Above 1.49")))))</f>
        <v/>
      </c>
      <c r="AW589" s="5">
        <f>IF(AE589="","",IF(AE589&lt;60,"Under 60",IF(AE589&lt;90,"60-89",IF(AE589&lt;120,"90-119",IF(AE589&lt;150,"120-149","150+")))))</f>
        <v/>
      </c>
      <c r="AX589" s="5">
        <f>IF(AP589="","No revenue data",IF(AP589&lt;0.15,"Under 0.15x",IF(AP589&lt;0.3,"0.15-0.30x",IF(AP589&lt;0.5,"0.30-0.50x",IF(AP589&lt;1,"0.50-1.00x","1.00x+")))))</f>
        <v/>
      </c>
      <c r="AY589" s="5">
        <f>IF(J589="","No SIC",IFERROR(VLOOKUP(J589,Ref!$A$4:$C$67,2,FALSE()),"Unclassified"))</f>
        <v/>
      </c>
      <c r="AZ589" s="5">
        <f>IF(E589="","",TEXT(E589,"YYYY")&amp;"-Q"&amp;ROUNDUP(MONTH(E589)/3,0))</f>
        <v/>
      </c>
      <c r="BA589" s="5">
        <f>IF(E589="","",TEXT(E589,"YYYY-MM"))</f>
        <v/>
      </c>
      <c r="BB589" s="5">
        <f>IF(E589="","",TEXT(E589,"YYYY"))</f>
        <v/>
      </c>
      <c r="BC589" s="92">
        <f>IF($E589="","",NETWORKDAYS($E589,Controls!$B$9,Ref!$F$4:$F$47))</f>
        <v/>
      </c>
      <c r="BD589" s="92">
        <f>IF(OR($AH589=1,$AJ589=1),1,0)</f>
        <v/>
      </c>
      <c r="BE589" s="95">
        <f>IF(OR($BD589=1,AND($AE589&lt;&gt;"",$BC589&gt;=Controls!$B$10*$AE589)),1,0)</f>
        <v/>
      </c>
    </row>
    <row r="590" ht="15.75" customHeight="1" s="79">
      <c r="A590" s="5" t="inlineStr">
        <is>
          <t>5674177660</t>
        </is>
      </c>
      <c r="B590" s="5" t="inlineStr">
        <is>
          <t>SURF &amp; TURF STEAKHOUSE</t>
        </is>
      </c>
      <c r="C590" s="5" t="inlineStr">
        <is>
          <t>SURF &amp; TURF STEAKHOUSE LLC</t>
        </is>
      </c>
      <c r="D590" s="5" t="inlineStr">
        <is>
          <t>Open</t>
        </is>
      </c>
      <c r="E590" s="16" t="n">
        <v>46055</v>
      </c>
      <c r="F590" s="16" t="n">
        <v>46253</v>
      </c>
      <c r="G590" s="17" t="n">
        <v>3</v>
      </c>
      <c r="H590" s="5" t="inlineStr">
        <is>
          <t>5812</t>
        </is>
      </c>
      <c r="I590" s="5" t="inlineStr">
        <is>
          <t>Snack and Nonalcoholic Beverage Bars</t>
        </is>
      </c>
      <c r="J590" s="5" t="inlineStr">
        <is>
          <t>58</t>
        </is>
      </c>
      <c r="K590" s="5" t="n">
        <v>5812</v>
      </c>
      <c r="L590" s="5" t="inlineStr">
        <is>
          <t>DE</t>
        </is>
      </c>
      <c r="M590" s="5" t="inlineStr">
        <is>
          <t>TRUSTFI</t>
        </is>
      </c>
      <c r="N590" s="5" t="inlineStr">
        <is>
          <t>New Deal</t>
        </is>
      </c>
      <c r="O590" s="19" t="n">
        <v>1.36</v>
      </c>
      <c r="P590" s="20" t="n">
        <v>200000</v>
      </c>
      <c r="Q590" s="20" t="n">
        <v>15000</v>
      </c>
      <c r="R590" s="20" t="n">
        <v>272000</v>
      </c>
      <c r="S590" s="20" t="n">
        <v>166900</v>
      </c>
      <c r="T590" s="20" t="n">
        <v>105100</v>
      </c>
      <c r="U590" s="21" t="n">
        <v>0.613602941176471</v>
      </c>
      <c r="V590" s="22" t="n">
        <v>5.246</v>
      </c>
      <c r="W590" s="17" t="n">
        <v>0</v>
      </c>
      <c r="X590" s="17" t="n">
        <v>7</v>
      </c>
      <c r="Y590" s="20" t="n">
        <v>478091.76</v>
      </c>
      <c r="Z590" s="21" t="n">
        <v>0.0583</v>
      </c>
      <c r="AA590" s="16" t="n">
        <v>44329</v>
      </c>
      <c r="AB590" s="5">
        <f>IF(V590="","",IF(V590&lt;12,"Months","Weeks"))</f>
        <v/>
      </c>
      <c r="AC590" s="5">
        <f>IF(AB590="","",IF(AB590="Months","Daily","Weekly"))</f>
        <v/>
      </c>
      <c r="AD590" s="17">
        <f>IF(V590="","",IF(AC590="Daily",V590*Controls!$B$13,V590))</f>
        <v/>
      </c>
      <c r="AE590" s="17">
        <f>IF(V590="","",IF(AC590="Daily",V590*Controls!$B$13,V590*Controls!$B$12))</f>
        <v/>
      </c>
      <c r="AF590" s="17">
        <f>IF(OR(E590="",F590=""),"",F590-E590)</f>
        <v/>
      </c>
      <c r="AG590" s="17">
        <f>IF(OR(E590="",F590=""),"",NETWORKDAYS(E590,F590,Ref!$F$4:$F$47))</f>
        <v/>
      </c>
      <c r="AH590" s="39">
        <f>IF(IFERROR(VLOOKUP(D590,Controls!$A$25:$D$35,2,FALSE()),"No")="Yes",1,0)</f>
        <v/>
      </c>
      <c r="AI590" s="39">
        <f>IF(IFERROR(VLOOKUP(D590,Controls!$A$25:$D$35,3,FALSE()),"No")="Yes",1,0)</f>
        <v/>
      </c>
      <c r="AJ590" s="39">
        <f>IF(IFERROR(VLOOKUP(D590,Controls!$A$25:$D$35,4,FALSE()),"No")="Yes",1,0)</f>
        <v/>
      </c>
      <c r="AK590" s="96">
        <f>IF(AND($E590&gt;=Controls!$B$5,$E590&lt;=Controls!$B$6,OR(Controls!$E$9&lt;&gt;"Y",$BE590=1)),1,0)</f>
        <v/>
      </c>
      <c r="AL590" s="39">
        <f>1</f>
        <v/>
      </c>
      <c r="AM590" s="20">
        <f>S590-P590</f>
        <v/>
      </c>
      <c r="AN590" s="20">
        <f>IF(AH590=1,MAX(0,P590-S590),0)</f>
        <v/>
      </c>
      <c r="AO590" s="21">
        <f>IFERROR(S590/P590,"")</f>
        <v/>
      </c>
      <c r="AP590" s="22">
        <f>IF(Y590="","",P590/Y590)</f>
        <v/>
      </c>
      <c r="AQ590" s="39">
        <f>IF(Y590="",0,1)</f>
        <v/>
      </c>
      <c r="AR590" s="39">
        <f>IF(S590&lt;=0,1,0)</f>
        <v/>
      </c>
      <c r="AS590" s="17">
        <f>IF(AH590=1,AG590,"")</f>
        <v/>
      </c>
      <c r="AT590" s="17">
        <f>IF(AND(AH590=0,AJ590=1),AG590,"")</f>
        <v/>
      </c>
      <c r="AU590" s="5">
        <f>IF(P590&lt;10000,"Under $10K",IF(P590&lt;20000,"$10-20K",IF(P590&lt;30000,"$20-30K",IF(P590&lt;50000,"$30-50K",IF(P590&lt;100000,"$50-100K","$100K+")))))</f>
        <v/>
      </c>
      <c r="AV590" s="5">
        <f>IF(O590&lt;=1.35,"1.35 and under",IF(O590&lt;=1.42,"1.36-1.42",IF(O590&lt;=1.45,"1.43-1.45",IF(O590&lt;1.49,"1.46-1.48",IF(O590&lt;=1.49,"1.49","Above 1.49")))))</f>
        <v/>
      </c>
      <c r="AW590" s="5">
        <f>IF(AE590="","",IF(AE590&lt;60,"Under 60",IF(AE590&lt;90,"60-89",IF(AE590&lt;120,"90-119",IF(AE590&lt;150,"120-149","150+")))))</f>
        <v/>
      </c>
      <c r="AX590" s="5">
        <f>IF(AP590="","No revenue data",IF(AP590&lt;0.15,"Under 0.15x",IF(AP590&lt;0.3,"0.15-0.30x",IF(AP590&lt;0.5,"0.30-0.50x",IF(AP590&lt;1,"0.50-1.00x","1.00x+")))))</f>
        <v/>
      </c>
      <c r="AY590" s="5">
        <f>IF(J590="","No SIC",IFERROR(VLOOKUP(J590,Ref!$A$4:$C$67,2,FALSE()),"Unclassified"))</f>
        <v/>
      </c>
      <c r="AZ590" s="5">
        <f>IF(E590="","",TEXT(E590,"YYYY")&amp;"-Q"&amp;ROUNDUP(MONTH(E590)/3,0))</f>
        <v/>
      </c>
      <c r="BA590" s="5">
        <f>IF(E590="","",TEXT(E590,"YYYY-MM"))</f>
        <v/>
      </c>
      <c r="BB590" s="5">
        <f>IF(E590="","",TEXT(E590,"YYYY"))</f>
        <v/>
      </c>
      <c r="BC590" s="92">
        <f>IF($E590="","",NETWORKDAYS($E590,Controls!$B$9,Ref!$F$4:$F$47))</f>
        <v/>
      </c>
      <c r="BD590" s="92">
        <f>IF(OR($AH590=1,$AJ590=1),1,0)</f>
        <v/>
      </c>
      <c r="BE590" s="95">
        <f>IF(OR($BD590=1,AND($AE590&lt;&gt;"",$BC590&gt;=Controls!$B$10*$AE590)),1,0)</f>
        <v/>
      </c>
    </row>
    <row r="591" ht="15.75" customHeight="1" s="79">
      <c r="A591" s="5" t="inlineStr">
        <is>
          <t>5674177701</t>
        </is>
      </c>
      <c r="B591" s="5" t="inlineStr">
        <is>
          <t>The Dent Mann</t>
        </is>
      </c>
      <c r="C591" s="5" t="inlineStr">
        <is>
          <t>The Dent Mann</t>
        </is>
      </c>
      <c r="D591" s="5" t="inlineStr">
        <is>
          <t>Closed/NSF</t>
        </is>
      </c>
      <c r="E591" s="16" t="n">
        <v>46056</v>
      </c>
      <c r="F591" s="16" t="n">
        <v>46216</v>
      </c>
      <c r="G591" s="17" t="n">
        <v>2</v>
      </c>
      <c r="H591" s="5" t="inlineStr">
        <is>
          <t>7538</t>
        </is>
      </c>
      <c r="I591" s="5" t="inlineStr">
        <is>
          <t>General Automotive Repair</t>
        </is>
      </c>
      <c r="J591" s="5" t="inlineStr">
        <is>
          <t>75</t>
        </is>
      </c>
      <c r="K591" s="5" t="n">
        <v>7538</v>
      </c>
      <c r="L591" s="5" t="inlineStr">
        <is>
          <t>OK</t>
        </is>
      </c>
      <c r="M591" s="5" t="inlineStr">
        <is>
          <t>AVON ADVANCE</t>
        </is>
      </c>
      <c r="N591" s="5" t="inlineStr">
        <is>
          <t>New Deal</t>
        </is>
      </c>
      <c r="O591" s="19" t="n">
        <v>1.49</v>
      </c>
      <c r="P591" s="20" t="n">
        <v>25000</v>
      </c>
      <c r="Q591" s="20" t="n">
        <v>3500</v>
      </c>
      <c r="R591" s="20" t="n">
        <v>37250</v>
      </c>
      <c r="S591" s="20" t="n">
        <v>37250</v>
      </c>
      <c r="T591" s="20" t="n">
        <v>0</v>
      </c>
      <c r="U591" s="21" t="n">
        <v>1</v>
      </c>
      <c r="V591" s="22" t="n">
        <v>3.279</v>
      </c>
      <c r="W591" s="17" t="n">
        <v>37</v>
      </c>
      <c r="X591" s="17" t="n">
        <v>13</v>
      </c>
      <c r="Y591" s="20" t="n">
        <v>32903.61</v>
      </c>
      <c r="Z591" s="21" t="n">
        <v>0.2377</v>
      </c>
      <c r="AA591" s="5" t="n"/>
      <c r="AB591" s="5">
        <f>IF(V591="","",IF(V591&lt;12,"Months","Weeks"))</f>
        <v/>
      </c>
      <c r="AC591" s="5">
        <f>IF(AB591="","",IF(AB591="Months","Daily","Weekly"))</f>
        <v/>
      </c>
      <c r="AD591" s="17">
        <f>IF(V591="","",IF(AC591="Daily",V591*Controls!$B$13,V591))</f>
        <v/>
      </c>
      <c r="AE591" s="17">
        <f>IF(V591="","",IF(AC591="Daily",V591*Controls!$B$13,V591*Controls!$B$12))</f>
        <v/>
      </c>
      <c r="AF591" s="17">
        <f>IF(OR(E591="",F591=""),"",F591-E591)</f>
        <v/>
      </c>
      <c r="AG591" s="17">
        <f>IF(OR(E591="",F591=""),"",NETWORKDAYS(E591,F591,Ref!$F$4:$F$47))</f>
        <v/>
      </c>
      <c r="AH591" s="39">
        <f>IF(IFERROR(VLOOKUP(D591,Controls!$A$25:$D$35,2,FALSE()),"No")="Yes",1,0)</f>
        <v/>
      </c>
      <c r="AI591" s="39">
        <f>IF(IFERROR(VLOOKUP(D591,Controls!$A$25:$D$35,3,FALSE()),"No")="Yes",1,0)</f>
        <v/>
      </c>
      <c r="AJ591" s="39">
        <f>IF(IFERROR(VLOOKUP(D591,Controls!$A$25:$D$35,4,FALSE()),"No")="Yes",1,0)</f>
        <v/>
      </c>
      <c r="AK591" s="96">
        <f>IF(AND($E591&gt;=Controls!$B$5,$E591&lt;=Controls!$B$6,OR(Controls!$E$9&lt;&gt;"Y",$BE591=1)),1,0)</f>
        <v/>
      </c>
      <c r="AL591" s="39">
        <f>1</f>
        <v/>
      </c>
      <c r="AM591" s="20">
        <f>S591-P591</f>
        <v/>
      </c>
      <c r="AN591" s="20">
        <f>IF(AH591=1,MAX(0,P591-S591),0)</f>
        <v/>
      </c>
      <c r="AO591" s="21">
        <f>IFERROR(S591/P591,"")</f>
        <v/>
      </c>
      <c r="AP591" s="22">
        <f>IF(Y591="","",P591/Y591)</f>
        <v/>
      </c>
      <c r="AQ591" s="39">
        <f>IF(Y591="",0,1)</f>
        <v/>
      </c>
      <c r="AR591" s="39">
        <f>IF(S591&lt;=0,1,0)</f>
        <v/>
      </c>
      <c r="AS591" s="17">
        <f>IF(AH591=1,AG591,"")</f>
        <v/>
      </c>
      <c r="AT591" s="17">
        <f>IF(AND(AH591=0,AJ591=1),AG591,"")</f>
        <v/>
      </c>
      <c r="AU591" s="5">
        <f>IF(P591&lt;10000,"Under $10K",IF(P591&lt;20000,"$10-20K",IF(P591&lt;30000,"$20-30K",IF(P591&lt;50000,"$30-50K",IF(P591&lt;100000,"$50-100K","$100K+")))))</f>
        <v/>
      </c>
      <c r="AV591" s="5">
        <f>IF(O591&lt;=1.35,"1.35 and under",IF(O591&lt;=1.42,"1.36-1.42",IF(O591&lt;=1.45,"1.43-1.45",IF(O591&lt;1.49,"1.46-1.48",IF(O591&lt;=1.49,"1.49","Above 1.49")))))</f>
        <v/>
      </c>
      <c r="AW591" s="5">
        <f>IF(AE591="","",IF(AE591&lt;60,"Under 60",IF(AE591&lt;90,"60-89",IF(AE591&lt;120,"90-119",IF(AE591&lt;150,"120-149","150+")))))</f>
        <v/>
      </c>
      <c r="AX591" s="5">
        <f>IF(AP591="","No revenue data",IF(AP591&lt;0.15,"Under 0.15x",IF(AP591&lt;0.3,"0.15-0.30x",IF(AP591&lt;0.5,"0.30-0.50x",IF(AP591&lt;1,"0.50-1.00x","1.00x+")))))</f>
        <v/>
      </c>
      <c r="AY591" s="5">
        <f>IF(J591="","No SIC",IFERROR(VLOOKUP(J591,Ref!$A$4:$C$67,2,FALSE()),"Unclassified"))</f>
        <v/>
      </c>
      <c r="AZ591" s="5">
        <f>IF(E591="","",TEXT(E591,"YYYY")&amp;"-Q"&amp;ROUNDUP(MONTH(E591)/3,0))</f>
        <v/>
      </c>
      <c r="BA591" s="5">
        <f>IF(E591="","",TEXT(E591,"YYYY-MM"))</f>
        <v/>
      </c>
      <c r="BB591" s="5">
        <f>IF(E591="","",TEXT(E591,"YYYY"))</f>
        <v/>
      </c>
      <c r="BC591" s="92">
        <f>IF($E591="","",NETWORKDAYS($E591,Controls!$B$9,Ref!$F$4:$F$47))</f>
        <v/>
      </c>
      <c r="BD591" s="92">
        <f>IF(OR($AH591=1,$AJ591=1),1,0)</f>
        <v/>
      </c>
      <c r="BE591" s="95">
        <f>IF(OR($BD591=1,AND($AE591&lt;&gt;"",$BC591&gt;=Controls!$B$10*$AE591)),1,0)</f>
        <v/>
      </c>
    </row>
    <row r="592" ht="15.75" customHeight="1" s="79">
      <c r="A592" s="5" t="inlineStr">
        <is>
          <t>5674177709</t>
        </is>
      </c>
      <c r="B592" s="5" t="inlineStr">
        <is>
          <t>JB ACCOUNTING &amp; TAX GROUP AAC</t>
        </is>
      </c>
      <c r="C592" s="5" t="inlineStr">
        <is>
          <t>JB ACCOUNTING &amp; TAX GROUP AAC</t>
        </is>
      </c>
      <c r="D592" s="5" t="inlineStr">
        <is>
          <t>Open</t>
        </is>
      </c>
      <c r="E592" s="16" t="n">
        <v>46056</v>
      </c>
      <c r="F592" s="16" t="n">
        <v>46253</v>
      </c>
      <c r="G592" s="17" t="n">
        <v>2</v>
      </c>
      <c r="H592" s="5" t="inlineStr">
        <is>
          <t>7291</t>
        </is>
      </c>
      <c r="I592" s="5" t="inlineStr">
        <is>
          <t>Tax Preparation Services</t>
        </is>
      </c>
      <c r="J592" s="5" t="inlineStr">
        <is>
          <t>72</t>
        </is>
      </c>
      <c r="K592" s="5" t="n">
        <v>7276</v>
      </c>
      <c r="L592" s="5" t="inlineStr">
        <is>
          <t>TN</t>
        </is>
      </c>
      <c r="M592" s="5" t="inlineStr">
        <is>
          <t>penco holdings</t>
        </is>
      </c>
      <c r="N592" s="5" t="inlineStr">
        <is>
          <t>New Deal</t>
        </is>
      </c>
      <c r="O592" s="19" t="n">
        <v>1.45</v>
      </c>
      <c r="P592" s="20" t="n">
        <v>25000</v>
      </c>
      <c r="Q592" s="20" t="n">
        <v>3000</v>
      </c>
      <c r="R592" s="20" t="n">
        <v>36250</v>
      </c>
      <c r="S592" s="20" t="n">
        <v>32612.76</v>
      </c>
      <c r="T592" s="20" t="n">
        <v>3637.24</v>
      </c>
      <c r="U592" s="21" t="n">
        <v>0.899662344827586</v>
      </c>
      <c r="V592" s="22" t="n">
        <v>3.934</v>
      </c>
      <c r="W592" s="17" t="n">
        <v>0</v>
      </c>
      <c r="X592" s="17" t="n">
        <v>23</v>
      </c>
      <c r="Y592" s="20" t="n">
        <v>64774.47</v>
      </c>
      <c r="Z592" s="21" t="n">
        <v>0.0979</v>
      </c>
      <c r="AA592" s="16" t="n">
        <v>45643</v>
      </c>
      <c r="AB592" s="5">
        <f>IF(V592="","",IF(V592&lt;12,"Months","Weeks"))</f>
        <v/>
      </c>
      <c r="AC592" s="5">
        <f>IF(AB592="","",IF(AB592="Months","Daily","Weekly"))</f>
        <v/>
      </c>
      <c r="AD592" s="17">
        <f>IF(V592="","",IF(AC592="Daily",V592*Controls!$B$13,V592))</f>
        <v/>
      </c>
      <c r="AE592" s="17">
        <f>IF(V592="","",IF(AC592="Daily",V592*Controls!$B$13,V592*Controls!$B$12))</f>
        <v/>
      </c>
      <c r="AF592" s="17">
        <f>IF(OR(E592="",F592=""),"",F592-E592)</f>
        <v/>
      </c>
      <c r="AG592" s="17">
        <f>IF(OR(E592="",F592=""),"",NETWORKDAYS(E592,F592,Ref!$F$4:$F$47))</f>
        <v/>
      </c>
      <c r="AH592" s="39">
        <f>IF(IFERROR(VLOOKUP(D592,Controls!$A$25:$D$35,2,FALSE()),"No")="Yes",1,0)</f>
        <v/>
      </c>
      <c r="AI592" s="39">
        <f>IF(IFERROR(VLOOKUP(D592,Controls!$A$25:$D$35,3,FALSE()),"No")="Yes",1,0)</f>
        <v/>
      </c>
      <c r="AJ592" s="39">
        <f>IF(IFERROR(VLOOKUP(D592,Controls!$A$25:$D$35,4,FALSE()),"No")="Yes",1,0)</f>
        <v/>
      </c>
      <c r="AK592" s="96">
        <f>IF(AND($E592&gt;=Controls!$B$5,$E592&lt;=Controls!$B$6,OR(Controls!$E$9&lt;&gt;"Y",$BE592=1)),1,0)</f>
        <v/>
      </c>
      <c r="AL592" s="39">
        <f>1</f>
        <v/>
      </c>
      <c r="AM592" s="20">
        <f>S592-P592</f>
        <v/>
      </c>
      <c r="AN592" s="20">
        <f>IF(AH592=1,MAX(0,P592-S592),0)</f>
        <v/>
      </c>
      <c r="AO592" s="21">
        <f>IFERROR(S592/P592,"")</f>
        <v/>
      </c>
      <c r="AP592" s="22">
        <f>IF(Y592="","",P592/Y592)</f>
        <v/>
      </c>
      <c r="AQ592" s="39">
        <f>IF(Y592="",0,1)</f>
        <v/>
      </c>
      <c r="AR592" s="39">
        <f>IF(S592&lt;=0,1,0)</f>
        <v/>
      </c>
      <c r="AS592" s="17">
        <f>IF(AH592=1,AG592,"")</f>
        <v/>
      </c>
      <c r="AT592" s="17">
        <f>IF(AND(AH592=0,AJ592=1),AG592,"")</f>
        <v/>
      </c>
      <c r="AU592" s="5">
        <f>IF(P592&lt;10000,"Under $10K",IF(P592&lt;20000,"$10-20K",IF(P592&lt;30000,"$20-30K",IF(P592&lt;50000,"$30-50K",IF(P592&lt;100000,"$50-100K","$100K+")))))</f>
        <v/>
      </c>
      <c r="AV592" s="5">
        <f>IF(O592&lt;=1.35,"1.35 and under",IF(O592&lt;=1.42,"1.36-1.42",IF(O592&lt;=1.45,"1.43-1.45",IF(O592&lt;1.49,"1.46-1.48",IF(O592&lt;=1.49,"1.49","Above 1.49")))))</f>
        <v/>
      </c>
      <c r="AW592" s="5">
        <f>IF(AE592="","",IF(AE592&lt;60,"Under 60",IF(AE592&lt;90,"60-89",IF(AE592&lt;120,"90-119",IF(AE592&lt;150,"120-149","150+")))))</f>
        <v/>
      </c>
      <c r="AX592" s="5">
        <f>IF(AP592="","No revenue data",IF(AP592&lt;0.15,"Under 0.15x",IF(AP592&lt;0.3,"0.15-0.30x",IF(AP592&lt;0.5,"0.30-0.50x",IF(AP592&lt;1,"0.50-1.00x","1.00x+")))))</f>
        <v/>
      </c>
      <c r="AY592" s="5">
        <f>IF(J592="","No SIC",IFERROR(VLOOKUP(J592,Ref!$A$4:$C$67,2,FALSE()),"Unclassified"))</f>
        <v/>
      </c>
      <c r="AZ592" s="5">
        <f>IF(E592="","",TEXT(E592,"YYYY")&amp;"-Q"&amp;ROUNDUP(MONTH(E592)/3,0))</f>
        <v/>
      </c>
      <c r="BA592" s="5">
        <f>IF(E592="","",TEXT(E592,"YYYY-MM"))</f>
        <v/>
      </c>
      <c r="BB592" s="5">
        <f>IF(E592="","",TEXT(E592,"YYYY"))</f>
        <v/>
      </c>
      <c r="BC592" s="92">
        <f>IF($E592="","",NETWORKDAYS($E592,Controls!$B$9,Ref!$F$4:$F$47))</f>
        <v/>
      </c>
      <c r="BD592" s="92">
        <f>IF(OR($AH592=1,$AJ592=1),1,0)</f>
        <v/>
      </c>
      <c r="BE592" s="95">
        <f>IF(OR($BD592=1,AND($AE592&lt;&gt;"",$BC592&gt;=Controls!$B$10*$AE592)),1,0)</f>
        <v/>
      </c>
    </row>
    <row r="593" ht="15.75" customHeight="1" s="79">
      <c r="A593" s="5" t="inlineStr">
        <is>
          <t>5674177736</t>
        </is>
      </c>
      <c r="B593" s="5" t="inlineStr">
        <is>
          <t>jaar global LLC</t>
        </is>
      </c>
      <c r="C593" s="5" t="inlineStr">
        <is>
          <t>jaar global LLC</t>
        </is>
      </c>
      <c r="D593" s="5" t="inlineStr">
        <is>
          <t>Legal</t>
        </is>
      </c>
      <c r="E593" s="16" t="n">
        <v>46056</v>
      </c>
      <c r="F593" s="16" t="n">
        <v>46090</v>
      </c>
      <c r="G593" s="17" t="n">
        <v>3</v>
      </c>
      <c r="H593" s="5" t="inlineStr">
        <is>
          <t>1521</t>
        </is>
      </c>
      <c r="I593" s="5" t="inlineStr">
        <is>
          <t>Residential Remodelers</t>
        </is>
      </c>
      <c r="J593" s="5" t="inlineStr">
        <is>
          <t>15</t>
        </is>
      </c>
      <c r="K593" s="5" t="n">
        <v>1520</v>
      </c>
      <c r="L593" s="5" t="inlineStr">
        <is>
          <t>TX</t>
        </is>
      </c>
      <c r="M593" s="5" t="inlineStr">
        <is>
          <t>Upwise capital</t>
        </is>
      </c>
      <c r="N593" s="5" t="inlineStr">
        <is>
          <t>New Deal</t>
        </is>
      </c>
      <c r="O593" s="19" t="n">
        <v>1.35</v>
      </c>
      <c r="P593" s="20" t="n">
        <v>40000</v>
      </c>
      <c r="Q593" s="20" t="n">
        <v>2800</v>
      </c>
      <c r="R593" s="20" t="n">
        <v>54000</v>
      </c>
      <c r="S593" s="20" t="n">
        <v>5794.14</v>
      </c>
      <c r="T593" s="20" t="n">
        <v>48205.86</v>
      </c>
      <c r="U593" s="21" t="n">
        <v>0.107298888888889</v>
      </c>
      <c r="V593" s="22" t="n">
        <v>28</v>
      </c>
      <c r="W593" s="17" t="n">
        <v>170</v>
      </c>
      <c r="X593" s="17" t="n">
        <v>1</v>
      </c>
      <c r="Y593" s="20" t="n">
        <v>228565.17</v>
      </c>
      <c r="Z593" s="21" t="n">
        <v>0.0338</v>
      </c>
      <c r="AA593" s="16" t="n">
        <v>45614</v>
      </c>
      <c r="AB593" s="5">
        <f>IF(V593="","",IF(V593&lt;12,"Months","Weeks"))</f>
        <v/>
      </c>
      <c r="AC593" s="5">
        <f>IF(AB593="","",IF(AB593="Months","Daily","Weekly"))</f>
        <v/>
      </c>
      <c r="AD593" s="17">
        <f>IF(V593="","",IF(AC593="Daily",V593*Controls!$B$13,V593))</f>
        <v/>
      </c>
      <c r="AE593" s="17">
        <f>IF(V593="","",IF(AC593="Daily",V593*Controls!$B$13,V593*Controls!$B$12))</f>
        <v/>
      </c>
      <c r="AF593" s="17">
        <f>IF(OR(E593="",F593=""),"",F593-E593)</f>
        <v/>
      </c>
      <c r="AG593" s="17">
        <f>IF(OR(E593="",F593=""),"",NETWORKDAYS(E593,F593,Ref!$F$4:$F$47))</f>
        <v/>
      </c>
      <c r="AH593" s="39">
        <f>IF(IFERROR(VLOOKUP(D593,Controls!$A$25:$D$35,2,FALSE()),"No")="Yes",1,0)</f>
        <v/>
      </c>
      <c r="AI593" s="39">
        <f>IF(IFERROR(VLOOKUP(D593,Controls!$A$25:$D$35,3,FALSE()),"No")="Yes",1,0)</f>
        <v/>
      </c>
      <c r="AJ593" s="39">
        <f>IF(IFERROR(VLOOKUP(D593,Controls!$A$25:$D$35,4,FALSE()),"No")="Yes",1,0)</f>
        <v/>
      </c>
      <c r="AK593" s="96">
        <f>IF(AND($E593&gt;=Controls!$B$5,$E593&lt;=Controls!$B$6,OR(Controls!$E$9&lt;&gt;"Y",$BE593=1)),1,0)</f>
        <v/>
      </c>
      <c r="AL593" s="39">
        <f>1</f>
        <v/>
      </c>
      <c r="AM593" s="20">
        <f>S593-P593</f>
        <v/>
      </c>
      <c r="AN593" s="20">
        <f>IF(AH593=1,MAX(0,P593-S593),0)</f>
        <v/>
      </c>
      <c r="AO593" s="21">
        <f>IFERROR(S593/P593,"")</f>
        <v/>
      </c>
      <c r="AP593" s="22">
        <f>IF(Y593="","",P593/Y593)</f>
        <v/>
      </c>
      <c r="AQ593" s="39">
        <f>IF(Y593="",0,1)</f>
        <v/>
      </c>
      <c r="AR593" s="39">
        <f>IF(S593&lt;=0,1,0)</f>
        <v/>
      </c>
      <c r="AS593" s="17">
        <f>IF(AH593=1,AG593,"")</f>
        <v/>
      </c>
      <c r="AT593" s="17">
        <f>IF(AND(AH593=0,AJ593=1),AG593,"")</f>
        <v/>
      </c>
      <c r="AU593" s="5">
        <f>IF(P593&lt;10000,"Under $10K",IF(P593&lt;20000,"$10-20K",IF(P593&lt;30000,"$20-30K",IF(P593&lt;50000,"$30-50K",IF(P593&lt;100000,"$50-100K","$100K+")))))</f>
        <v/>
      </c>
      <c r="AV593" s="5">
        <f>IF(O593&lt;=1.35,"1.35 and under",IF(O593&lt;=1.42,"1.36-1.42",IF(O593&lt;=1.45,"1.43-1.45",IF(O593&lt;1.49,"1.46-1.48",IF(O593&lt;=1.49,"1.49","Above 1.49")))))</f>
        <v/>
      </c>
      <c r="AW593" s="5">
        <f>IF(AE593="","",IF(AE593&lt;60,"Under 60",IF(AE593&lt;90,"60-89",IF(AE593&lt;120,"90-119",IF(AE593&lt;150,"120-149","150+")))))</f>
        <v/>
      </c>
      <c r="AX593" s="5">
        <f>IF(AP593="","No revenue data",IF(AP593&lt;0.15,"Under 0.15x",IF(AP593&lt;0.3,"0.15-0.30x",IF(AP593&lt;0.5,"0.30-0.50x",IF(AP593&lt;1,"0.50-1.00x","1.00x+")))))</f>
        <v/>
      </c>
      <c r="AY593" s="5">
        <f>IF(J593="","No SIC",IFERROR(VLOOKUP(J593,Ref!$A$4:$C$67,2,FALSE()),"Unclassified"))</f>
        <v/>
      </c>
      <c r="AZ593" s="5">
        <f>IF(E593="","",TEXT(E593,"YYYY")&amp;"-Q"&amp;ROUNDUP(MONTH(E593)/3,0))</f>
        <v/>
      </c>
      <c r="BA593" s="5">
        <f>IF(E593="","",TEXT(E593,"YYYY-MM"))</f>
        <v/>
      </c>
      <c r="BB593" s="5">
        <f>IF(E593="","",TEXT(E593,"YYYY"))</f>
        <v/>
      </c>
      <c r="BC593" s="92">
        <f>IF($E593="","",NETWORKDAYS($E593,Controls!$B$9,Ref!$F$4:$F$47))</f>
        <v/>
      </c>
      <c r="BD593" s="92">
        <f>IF(OR($AH593=1,$AJ593=1),1,0)</f>
        <v/>
      </c>
      <c r="BE593" s="95">
        <f>IF(OR($BD593=1,AND($AE593&lt;&gt;"",$BC593&gt;=Controls!$B$10*$AE593)),1,0)</f>
        <v/>
      </c>
    </row>
    <row r="594" ht="15.75" customHeight="1" s="79">
      <c r="A594" s="5" t="inlineStr">
        <is>
          <t>5674177740</t>
        </is>
      </c>
      <c r="B594" s="5" t="inlineStr">
        <is>
          <t>GONMAX SERVICES, INC</t>
        </is>
      </c>
      <c r="C594" s="5" t="inlineStr">
        <is>
          <t>GONMAX SERVICES, INC</t>
        </is>
      </c>
      <c r="D594" s="5" t="inlineStr">
        <is>
          <t>Open</t>
        </is>
      </c>
      <c r="E594" s="16" t="n">
        <v>46056</v>
      </c>
      <c r="F594" s="16" t="n">
        <v>46253</v>
      </c>
      <c r="G594" s="17" t="n">
        <v>3</v>
      </c>
      <c r="H594" s="5" t="inlineStr">
        <is>
          <t>4212</t>
        </is>
      </c>
      <c r="I594" s="5" t="inlineStr">
        <is>
          <t>Specialized Freight (Except Used Goods) Trucking, Local</t>
        </is>
      </c>
      <c r="J594" s="5" t="inlineStr">
        <is>
          <t>42</t>
        </is>
      </c>
      <c r="K594" s="5" t="n">
        <v>4214</v>
      </c>
      <c r="L594" s="5" t="inlineStr">
        <is>
          <t>FL</t>
        </is>
      </c>
      <c r="M594" s="5" t="inlineStr">
        <is>
          <t>United Secured Capital 8</t>
        </is>
      </c>
      <c r="N594" s="5" t="inlineStr">
        <is>
          <t>New Deal</t>
        </is>
      </c>
      <c r="O594" s="19" t="n">
        <v>1.49</v>
      </c>
      <c r="P594" s="20" t="n">
        <v>20000</v>
      </c>
      <c r="Q594" s="20" t="n">
        <v>2800</v>
      </c>
      <c r="R594" s="20" t="n">
        <v>29800</v>
      </c>
      <c r="S594" s="20" t="n">
        <v>26795.88</v>
      </c>
      <c r="T594" s="20" t="n">
        <v>3004.12</v>
      </c>
      <c r="U594" s="21" t="n">
        <v>0.899190604026846</v>
      </c>
      <c r="V594" s="22" t="n">
        <v>3.934</v>
      </c>
      <c r="W594" s="17" t="n">
        <v>0</v>
      </c>
      <c r="X594" s="17" t="n">
        <v>19</v>
      </c>
      <c r="Y594" s="20" t="n">
        <v>148441.71</v>
      </c>
      <c r="Z594" s="21" t="n">
        <v>0.0351</v>
      </c>
      <c r="AA594" s="16" t="n">
        <v>40299</v>
      </c>
      <c r="AB594" s="5">
        <f>IF(V594="","",IF(V594&lt;12,"Months","Weeks"))</f>
        <v/>
      </c>
      <c r="AC594" s="5">
        <f>IF(AB594="","",IF(AB594="Months","Daily","Weekly"))</f>
        <v/>
      </c>
      <c r="AD594" s="17">
        <f>IF(V594="","",IF(AC594="Daily",V594*Controls!$B$13,V594))</f>
        <v/>
      </c>
      <c r="AE594" s="17">
        <f>IF(V594="","",IF(AC594="Daily",V594*Controls!$B$13,V594*Controls!$B$12))</f>
        <v/>
      </c>
      <c r="AF594" s="17">
        <f>IF(OR(E594="",F594=""),"",F594-E594)</f>
        <v/>
      </c>
      <c r="AG594" s="17">
        <f>IF(OR(E594="",F594=""),"",NETWORKDAYS(E594,F594,Ref!$F$4:$F$47))</f>
        <v/>
      </c>
      <c r="AH594" s="39">
        <f>IF(IFERROR(VLOOKUP(D594,Controls!$A$25:$D$35,2,FALSE()),"No")="Yes",1,0)</f>
        <v/>
      </c>
      <c r="AI594" s="39">
        <f>IF(IFERROR(VLOOKUP(D594,Controls!$A$25:$D$35,3,FALSE()),"No")="Yes",1,0)</f>
        <v/>
      </c>
      <c r="AJ594" s="39">
        <f>IF(IFERROR(VLOOKUP(D594,Controls!$A$25:$D$35,4,FALSE()),"No")="Yes",1,0)</f>
        <v/>
      </c>
      <c r="AK594" s="96">
        <f>IF(AND($E594&gt;=Controls!$B$5,$E594&lt;=Controls!$B$6,OR(Controls!$E$9&lt;&gt;"Y",$BE594=1)),1,0)</f>
        <v/>
      </c>
      <c r="AL594" s="39">
        <f>1</f>
        <v/>
      </c>
      <c r="AM594" s="20">
        <f>S594-P594</f>
        <v/>
      </c>
      <c r="AN594" s="20">
        <f>IF(AH594=1,MAX(0,P594-S594),0)</f>
        <v/>
      </c>
      <c r="AO594" s="21">
        <f>IFERROR(S594/P594,"")</f>
        <v/>
      </c>
      <c r="AP594" s="22">
        <f>IF(Y594="","",P594/Y594)</f>
        <v/>
      </c>
      <c r="AQ594" s="39">
        <f>IF(Y594="",0,1)</f>
        <v/>
      </c>
      <c r="AR594" s="39">
        <f>IF(S594&lt;=0,1,0)</f>
        <v/>
      </c>
      <c r="AS594" s="17">
        <f>IF(AH594=1,AG594,"")</f>
        <v/>
      </c>
      <c r="AT594" s="17">
        <f>IF(AND(AH594=0,AJ594=1),AG594,"")</f>
        <v/>
      </c>
      <c r="AU594" s="5">
        <f>IF(P594&lt;10000,"Under $10K",IF(P594&lt;20000,"$10-20K",IF(P594&lt;30000,"$20-30K",IF(P594&lt;50000,"$30-50K",IF(P594&lt;100000,"$50-100K","$100K+")))))</f>
        <v/>
      </c>
      <c r="AV594" s="5">
        <f>IF(O594&lt;=1.35,"1.35 and under",IF(O594&lt;=1.42,"1.36-1.42",IF(O594&lt;=1.45,"1.43-1.45",IF(O594&lt;1.49,"1.46-1.48",IF(O594&lt;=1.49,"1.49","Above 1.49")))))</f>
        <v/>
      </c>
      <c r="AW594" s="5">
        <f>IF(AE594="","",IF(AE594&lt;60,"Under 60",IF(AE594&lt;90,"60-89",IF(AE594&lt;120,"90-119",IF(AE594&lt;150,"120-149","150+")))))</f>
        <v/>
      </c>
      <c r="AX594" s="5">
        <f>IF(AP594="","No revenue data",IF(AP594&lt;0.15,"Under 0.15x",IF(AP594&lt;0.3,"0.15-0.30x",IF(AP594&lt;0.5,"0.30-0.50x",IF(AP594&lt;1,"0.50-1.00x","1.00x+")))))</f>
        <v/>
      </c>
      <c r="AY594" s="5">
        <f>IF(J594="","No SIC",IFERROR(VLOOKUP(J594,Ref!$A$4:$C$67,2,FALSE()),"Unclassified"))</f>
        <v/>
      </c>
      <c r="AZ594" s="5">
        <f>IF(E594="","",TEXT(E594,"YYYY")&amp;"-Q"&amp;ROUNDUP(MONTH(E594)/3,0))</f>
        <v/>
      </c>
      <c r="BA594" s="5">
        <f>IF(E594="","",TEXT(E594,"YYYY-MM"))</f>
        <v/>
      </c>
      <c r="BB594" s="5">
        <f>IF(E594="","",TEXT(E594,"YYYY"))</f>
        <v/>
      </c>
      <c r="BC594" s="92">
        <f>IF($E594="","",NETWORKDAYS($E594,Controls!$B$9,Ref!$F$4:$F$47))</f>
        <v/>
      </c>
      <c r="BD594" s="92">
        <f>IF(OR($AH594=1,$AJ594=1),1,0)</f>
        <v/>
      </c>
      <c r="BE594" s="95">
        <f>IF(OR($BD594=1,AND($AE594&lt;&gt;"",$BC594&gt;=Controls!$B$10*$AE594)),1,0)</f>
        <v/>
      </c>
    </row>
    <row r="595" ht="15.75" customHeight="1" s="79">
      <c r="A595" s="5" t="inlineStr">
        <is>
          <t>5674177761</t>
        </is>
      </c>
      <c r="B595" s="5" t="inlineStr">
        <is>
          <t>SV FRANCHISE, LLC</t>
        </is>
      </c>
      <c r="C595" s="5" t="inlineStr">
        <is>
          <t>SV FRANCHISE, LLC</t>
        </is>
      </c>
      <c r="D595" s="5" t="inlineStr">
        <is>
          <t>Open</t>
        </is>
      </c>
      <c r="E595" s="16" t="n">
        <v>46056</v>
      </c>
      <c r="F595" s="16" t="n">
        <v>46246</v>
      </c>
      <c r="G595" s="17" t="n">
        <v>3</v>
      </c>
      <c r="H595" s="5" t="inlineStr">
        <is>
          <t>5812</t>
        </is>
      </c>
      <c r="I595" s="5" t="inlineStr">
        <is>
          <t>Food Service Contractors</t>
        </is>
      </c>
      <c r="J595" s="5" t="inlineStr">
        <is>
          <t>58</t>
        </is>
      </c>
      <c r="K595" s="5" t="n">
        <v>5812</v>
      </c>
      <c r="L595" s="5" t="inlineStr">
        <is>
          <t>GA</t>
        </is>
      </c>
      <c r="M595" s="5" t="inlineStr">
        <is>
          <t>DIRECT CAPITAL SOURCE, INC.</t>
        </is>
      </c>
      <c r="N595" s="5" t="inlineStr">
        <is>
          <t>New Deal</t>
        </is>
      </c>
      <c r="O595" s="19" t="n">
        <v>1.49</v>
      </c>
      <c r="P595" s="20" t="n">
        <v>15000</v>
      </c>
      <c r="Q595" s="20" t="n">
        <v>2100</v>
      </c>
      <c r="R595" s="20" t="n">
        <v>22350</v>
      </c>
      <c r="S595" s="20" t="n">
        <v>22350</v>
      </c>
      <c r="T595" s="20" t="n">
        <v>0</v>
      </c>
      <c r="U595" s="21" t="n">
        <v>1</v>
      </c>
      <c r="V595" s="22" t="n">
        <v>2.623</v>
      </c>
      <c r="W595" s="17" t="n">
        <v>7</v>
      </c>
      <c r="X595" s="17" t="n">
        <v>52</v>
      </c>
      <c r="Y595" s="20" t="n">
        <v>243566.06</v>
      </c>
      <c r="Z595" s="21" t="n">
        <v>0.0241</v>
      </c>
      <c r="AA595" s="16" t="n">
        <v>45552</v>
      </c>
      <c r="AB595" s="5">
        <f>IF(V595="","",IF(V595&lt;12,"Months","Weeks"))</f>
        <v/>
      </c>
      <c r="AC595" s="5">
        <f>IF(AB595="","",IF(AB595="Months","Daily","Weekly"))</f>
        <v/>
      </c>
      <c r="AD595" s="17">
        <f>IF(V595="","",IF(AC595="Daily",V595*Controls!$B$13,V595))</f>
        <v/>
      </c>
      <c r="AE595" s="17">
        <f>IF(V595="","",IF(AC595="Daily",V595*Controls!$B$13,V595*Controls!$B$12))</f>
        <v/>
      </c>
      <c r="AF595" s="17">
        <f>IF(OR(E595="",F595=""),"",F595-E595)</f>
        <v/>
      </c>
      <c r="AG595" s="17">
        <f>IF(OR(E595="",F595=""),"",NETWORKDAYS(E595,F595,Ref!$F$4:$F$47))</f>
        <v/>
      </c>
      <c r="AH595" s="39">
        <f>IF(IFERROR(VLOOKUP(D595,Controls!$A$25:$D$35,2,FALSE()),"No")="Yes",1,0)</f>
        <v/>
      </c>
      <c r="AI595" s="39">
        <f>IF(IFERROR(VLOOKUP(D595,Controls!$A$25:$D$35,3,FALSE()),"No")="Yes",1,0)</f>
        <v/>
      </c>
      <c r="AJ595" s="39">
        <f>IF(IFERROR(VLOOKUP(D595,Controls!$A$25:$D$35,4,FALSE()),"No")="Yes",1,0)</f>
        <v/>
      </c>
      <c r="AK595" s="96">
        <f>IF(AND($E595&gt;=Controls!$B$5,$E595&lt;=Controls!$B$6,OR(Controls!$E$9&lt;&gt;"Y",$BE595=1)),1,0)</f>
        <v/>
      </c>
      <c r="AL595" s="39">
        <f>1</f>
        <v/>
      </c>
      <c r="AM595" s="20">
        <f>S595-P595</f>
        <v/>
      </c>
      <c r="AN595" s="20">
        <f>IF(AH595=1,MAX(0,P595-S595),0)</f>
        <v/>
      </c>
      <c r="AO595" s="21">
        <f>IFERROR(S595/P595,"")</f>
        <v/>
      </c>
      <c r="AP595" s="22">
        <f>IF(Y595="","",P595/Y595)</f>
        <v/>
      </c>
      <c r="AQ595" s="39">
        <f>IF(Y595="",0,1)</f>
        <v/>
      </c>
      <c r="AR595" s="39">
        <f>IF(S595&lt;=0,1,0)</f>
        <v/>
      </c>
      <c r="AS595" s="17">
        <f>IF(AH595=1,AG595,"")</f>
        <v/>
      </c>
      <c r="AT595" s="17">
        <f>IF(AND(AH595=0,AJ595=1),AG595,"")</f>
        <v/>
      </c>
      <c r="AU595" s="5">
        <f>IF(P595&lt;10000,"Under $10K",IF(P595&lt;20000,"$10-20K",IF(P595&lt;30000,"$20-30K",IF(P595&lt;50000,"$30-50K",IF(P595&lt;100000,"$50-100K","$100K+")))))</f>
        <v/>
      </c>
      <c r="AV595" s="5">
        <f>IF(O595&lt;=1.35,"1.35 and under",IF(O595&lt;=1.42,"1.36-1.42",IF(O595&lt;=1.45,"1.43-1.45",IF(O595&lt;1.49,"1.46-1.48",IF(O595&lt;=1.49,"1.49","Above 1.49")))))</f>
        <v/>
      </c>
      <c r="AW595" s="5">
        <f>IF(AE595="","",IF(AE595&lt;60,"Under 60",IF(AE595&lt;90,"60-89",IF(AE595&lt;120,"90-119",IF(AE595&lt;150,"120-149","150+")))))</f>
        <v/>
      </c>
      <c r="AX595" s="5">
        <f>IF(AP595="","No revenue data",IF(AP595&lt;0.15,"Under 0.15x",IF(AP595&lt;0.3,"0.15-0.30x",IF(AP595&lt;0.5,"0.30-0.50x",IF(AP595&lt;1,"0.50-1.00x","1.00x+")))))</f>
        <v/>
      </c>
      <c r="AY595" s="5">
        <f>IF(J595="","No SIC",IFERROR(VLOOKUP(J595,Ref!$A$4:$C$67,2,FALSE()),"Unclassified"))</f>
        <v/>
      </c>
      <c r="AZ595" s="5">
        <f>IF(E595="","",TEXT(E595,"YYYY")&amp;"-Q"&amp;ROUNDUP(MONTH(E595)/3,0))</f>
        <v/>
      </c>
      <c r="BA595" s="5">
        <f>IF(E595="","",TEXT(E595,"YYYY-MM"))</f>
        <v/>
      </c>
      <c r="BB595" s="5">
        <f>IF(E595="","",TEXT(E595,"YYYY"))</f>
        <v/>
      </c>
      <c r="BC595" s="92">
        <f>IF($E595="","",NETWORKDAYS($E595,Controls!$B$9,Ref!$F$4:$F$47))</f>
        <v/>
      </c>
      <c r="BD595" s="92">
        <f>IF(OR($AH595=1,$AJ595=1),1,0)</f>
        <v/>
      </c>
      <c r="BE595" s="95">
        <f>IF(OR($BD595=1,AND($AE595&lt;&gt;"",$BC595&gt;=Controls!$B$10*$AE595)),1,0)</f>
        <v/>
      </c>
    </row>
    <row r="596" ht="15.75" customHeight="1" s="79">
      <c r="A596" s="5" t="inlineStr">
        <is>
          <t>5674177801</t>
        </is>
      </c>
      <c r="B596" s="5" t="inlineStr">
        <is>
          <t>sunshine rentals and tors</t>
        </is>
      </c>
      <c r="C596" s="5" t="inlineStr">
        <is>
          <t>SUNSHINE RENTALS &amp; TOURS CORP</t>
        </is>
      </c>
      <c r="D596" s="5" t="inlineStr">
        <is>
          <t>Legal</t>
        </is>
      </c>
      <c r="E596" s="16" t="n">
        <v>46057</v>
      </c>
      <c r="F596" s="16" t="n">
        <v>46122</v>
      </c>
      <c r="G596" s="17" t="n">
        <v>3</v>
      </c>
      <c r="H596" s="5" t="inlineStr">
        <is>
          <t>4725</t>
        </is>
      </c>
      <c r="I596" s="5" t="inlineStr">
        <is>
          <t>Tour Operators</t>
        </is>
      </c>
      <c r="J596" s="5" t="inlineStr">
        <is>
          <t>47</t>
        </is>
      </c>
      <c r="K596" s="5" t="n">
        <v>4722</v>
      </c>
      <c r="L596" s="5" t="inlineStr">
        <is>
          <t>FL</t>
        </is>
      </c>
      <c r="M596" s="5" t="inlineStr">
        <is>
          <t>Ballicci</t>
        </is>
      </c>
      <c r="N596" s="5" t="inlineStr">
        <is>
          <t>New Deal</t>
        </is>
      </c>
      <c r="O596" s="19" t="n">
        <v>1.49</v>
      </c>
      <c r="P596" s="20" t="n">
        <v>15000</v>
      </c>
      <c r="Q596" s="20" t="n">
        <v>0</v>
      </c>
      <c r="R596" s="20" t="n">
        <v>22350</v>
      </c>
      <c r="S596" s="20" t="n">
        <v>868.98</v>
      </c>
      <c r="T596" s="20" t="n">
        <v>21481.02</v>
      </c>
      <c r="U596" s="21" t="n">
        <v>0.0388805369127517</v>
      </c>
      <c r="V596" s="22" t="n">
        <v>2.951</v>
      </c>
      <c r="W596" s="17" t="n">
        <v>140</v>
      </c>
      <c r="X596" s="17" t="n">
        <v>39</v>
      </c>
      <c r="Y596" s="20" t="n">
        <v>57804.69</v>
      </c>
      <c r="Z596" s="21" t="n">
        <v>0.0902</v>
      </c>
      <c r="AA596" s="16" t="n">
        <v>41275</v>
      </c>
      <c r="AB596" s="5">
        <f>IF(V596="","",IF(V596&lt;12,"Months","Weeks"))</f>
        <v/>
      </c>
      <c r="AC596" s="5">
        <f>IF(AB596="","",IF(AB596="Months","Daily","Weekly"))</f>
        <v/>
      </c>
      <c r="AD596" s="17">
        <f>IF(V596="","",IF(AC596="Daily",V596*Controls!$B$13,V596))</f>
        <v/>
      </c>
      <c r="AE596" s="17">
        <f>IF(V596="","",IF(AC596="Daily",V596*Controls!$B$13,V596*Controls!$B$12))</f>
        <v/>
      </c>
      <c r="AF596" s="17">
        <f>IF(OR(E596="",F596=""),"",F596-E596)</f>
        <v/>
      </c>
      <c r="AG596" s="17">
        <f>IF(OR(E596="",F596=""),"",NETWORKDAYS(E596,F596,Ref!$F$4:$F$47))</f>
        <v/>
      </c>
      <c r="AH596" s="39">
        <f>IF(IFERROR(VLOOKUP(D596,Controls!$A$25:$D$35,2,FALSE()),"No")="Yes",1,0)</f>
        <v/>
      </c>
      <c r="AI596" s="39">
        <f>IF(IFERROR(VLOOKUP(D596,Controls!$A$25:$D$35,3,FALSE()),"No")="Yes",1,0)</f>
        <v/>
      </c>
      <c r="AJ596" s="39">
        <f>IF(IFERROR(VLOOKUP(D596,Controls!$A$25:$D$35,4,FALSE()),"No")="Yes",1,0)</f>
        <v/>
      </c>
      <c r="AK596" s="96">
        <f>IF(AND($E596&gt;=Controls!$B$5,$E596&lt;=Controls!$B$6,OR(Controls!$E$9&lt;&gt;"Y",$BE596=1)),1,0)</f>
        <v/>
      </c>
      <c r="AL596" s="39">
        <f>1</f>
        <v/>
      </c>
      <c r="AM596" s="20">
        <f>S596-P596</f>
        <v/>
      </c>
      <c r="AN596" s="20">
        <f>IF(AH596=1,MAX(0,P596-S596),0)</f>
        <v/>
      </c>
      <c r="AO596" s="21">
        <f>IFERROR(S596/P596,"")</f>
        <v/>
      </c>
      <c r="AP596" s="22">
        <f>IF(Y596="","",P596/Y596)</f>
        <v/>
      </c>
      <c r="AQ596" s="39">
        <f>IF(Y596="",0,1)</f>
        <v/>
      </c>
      <c r="AR596" s="39">
        <f>IF(S596&lt;=0,1,0)</f>
        <v/>
      </c>
      <c r="AS596" s="17">
        <f>IF(AH596=1,AG596,"")</f>
        <v/>
      </c>
      <c r="AT596" s="17">
        <f>IF(AND(AH596=0,AJ596=1),AG596,"")</f>
        <v/>
      </c>
      <c r="AU596" s="5">
        <f>IF(P596&lt;10000,"Under $10K",IF(P596&lt;20000,"$10-20K",IF(P596&lt;30000,"$20-30K",IF(P596&lt;50000,"$30-50K",IF(P596&lt;100000,"$50-100K","$100K+")))))</f>
        <v/>
      </c>
      <c r="AV596" s="5">
        <f>IF(O596&lt;=1.35,"1.35 and under",IF(O596&lt;=1.42,"1.36-1.42",IF(O596&lt;=1.45,"1.43-1.45",IF(O596&lt;1.49,"1.46-1.48",IF(O596&lt;=1.49,"1.49","Above 1.49")))))</f>
        <v/>
      </c>
      <c r="AW596" s="5">
        <f>IF(AE596="","",IF(AE596&lt;60,"Under 60",IF(AE596&lt;90,"60-89",IF(AE596&lt;120,"90-119",IF(AE596&lt;150,"120-149","150+")))))</f>
        <v/>
      </c>
      <c r="AX596" s="5">
        <f>IF(AP596="","No revenue data",IF(AP596&lt;0.15,"Under 0.15x",IF(AP596&lt;0.3,"0.15-0.30x",IF(AP596&lt;0.5,"0.30-0.50x",IF(AP596&lt;1,"0.50-1.00x","1.00x+")))))</f>
        <v/>
      </c>
      <c r="AY596" s="5">
        <f>IF(J596="","No SIC",IFERROR(VLOOKUP(J596,Ref!$A$4:$C$67,2,FALSE()),"Unclassified"))</f>
        <v/>
      </c>
      <c r="AZ596" s="5">
        <f>IF(E596="","",TEXT(E596,"YYYY")&amp;"-Q"&amp;ROUNDUP(MONTH(E596)/3,0))</f>
        <v/>
      </c>
      <c r="BA596" s="5">
        <f>IF(E596="","",TEXT(E596,"YYYY-MM"))</f>
        <v/>
      </c>
      <c r="BB596" s="5">
        <f>IF(E596="","",TEXT(E596,"YYYY"))</f>
        <v/>
      </c>
      <c r="BC596" s="92">
        <f>IF($E596="","",NETWORKDAYS($E596,Controls!$B$9,Ref!$F$4:$F$47))</f>
        <v/>
      </c>
      <c r="BD596" s="92">
        <f>IF(OR($AH596=1,$AJ596=1),1,0)</f>
        <v/>
      </c>
      <c r="BE596" s="95">
        <f>IF(OR($BD596=1,AND($AE596&lt;&gt;"",$BC596&gt;=Controls!$B$10*$AE596)),1,0)</f>
        <v/>
      </c>
    </row>
    <row r="597" ht="15.75" customHeight="1" s="79">
      <c r="A597" s="5" t="inlineStr">
        <is>
          <t>5674177803</t>
        </is>
      </c>
      <c r="B597" s="5" t="inlineStr">
        <is>
          <t>B &amp; R TILES INC</t>
        </is>
      </c>
      <c r="C597" s="5" t="inlineStr">
        <is>
          <t>B &amp; R TILES INC</t>
        </is>
      </c>
      <c r="D597" s="5" t="inlineStr">
        <is>
          <t>Legal</t>
        </is>
      </c>
      <c r="E597" s="16" t="n">
        <v>46057</v>
      </c>
      <c r="F597" s="16" t="n">
        <v>46176</v>
      </c>
      <c r="G597" s="17" t="n">
        <v>3</v>
      </c>
      <c r="H597" s="5" t="inlineStr">
        <is>
          <t>1521</t>
        </is>
      </c>
      <c r="I597" s="5" t="inlineStr">
        <is>
          <t>New Single-Family Housing Construction (Except For-Sale Builders)</t>
        </is>
      </c>
      <c r="J597" s="5" t="inlineStr">
        <is>
          <t>15</t>
        </is>
      </c>
      <c r="K597" s="5" t="n">
        <v>5039</v>
      </c>
      <c r="L597" s="5" t="inlineStr">
        <is>
          <t>FL</t>
        </is>
      </c>
      <c r="M597" s="5" t="inlineStr">
        <is>
          <t>Ballicci</t>
        </is>
      </c>
      <c r="N597" s="5" t="inlineStr">
        <is>
          <t>New Deal</t>
        </is>
      </c>
      <c r="O597" s="19" t="n">
        <v>1.49</v>
      </c>
      <c r="P597" s="20" t="n">
        <v>33000</v>
      </c>
      <c r="Q597" s="20" t="n">
        <v>0</v>
      </c>
      <c r="R597" s="20" t="n">
        <v>49170</v>
      </c>
      <c r="S597" s="20" t="n">
        <v>5848.18</v>
      </c>
      <c r="T597" s="20" t="n">
        <v>43321.82</v>
      </c>
      <c r="U597" s="21" t="n">
        <v>0.118937970307098</v>
      </c>
      <c r="V597" s="22" t="n">
        <v>24</v>
      </c>
      <c r="W597" s="17" t="n">
        <v>98</v>
      </c>
      <c r="X597" s="17" t="n">
        <v>7</v>
      </c>
      <c r="Y597" s="20" t="n">
        <v>55343.53</v>
      </c>
      <c r="Z597" s="21" t="n">
        <v>0.1481</v>
      </c>
      <c r="AA597" s="16" t="n">
        <v>45004</v>
      </c>
      <c r="AB597" s="5">
        <f>IF(V597="","",IF(V597&lt;12,"Months","Weeks"))</f>
        <v/>
      </c>
      <c r="AC597" s="5">
        <f>IF(AB597="","",IF(AB597="Months","Daily","Weekly"))</f>
        <v/>
      </c>
      <c r="AD597" s="17">
        <f>IF(V597="","",IF(AC597="Daily",V597*Controls!$B$13,V597))</f>
        <v/>
      </c>
      <c r="AE597" s="17">
        <f>IF(V597="","",IF(AC597="Daily",V597*Controls!$B$13,V597*Controls!$B$12))</f>
        <v/>
      </c>
      <c r="AF597" s="17">
        <f>IF(OR(E597="",F597=""),"",F597-E597)</f>
        <v/>
      </c>
      <c r="AG597" s="17">
        <f>IF(OR(E597="",F597=""),"",NETWORKDAYS(E597,F597,Ref!$F$4:$F$47))</f>
        <v/>
      </c>
      <c r="AH597" s="39">
        <f>IF(IFERROR(VLOOKUP(D597,Controls!$A$25:$D$35,2,FALSE()),"No")="Yes",1,0)</f>
        <v/>
      </c>
      <c r="AI597" s="39">
        <f>IF(IFERROR(VLOOKUP(D597,Controls!$A$25:$D$35,3,FALSE()),"No")="Yes",1,0)</f>
        <v/>
      </c>
      <c r="AJ597" s="39">
        <f>IF(IFERROR(VLOOKUP(D597,Controls!$A$25:$D$35,4,FALSE()),"No")="Yes",1,0)</f>
        <v/>
      </c>
      <c r="AK597" s="96">
        <f>IF(AND($E597&gt;=Controls!$B$5,$E597&lt;=Controls!$B$6,OR(Controls!$E$9&lt;&gt;"Y",$BE597=1)),1,0)</f>
        <v/>
      </c>
      <c r="AL597" s="39">
        <f>1</f>
        <v/>
      </c>
      <c r="AM597" s="20">
        <f>S597-P597</f>
        <v/>
      </c>
      <c r="AN597" s="20">
        <f>IF(AH597=1,MAX(0,P597-S597),0)</f>
        <v/>
      </c>
      <c r="AO597" s="21">
        <f>IFERROR(S597/P597,"")</f>
        <v/>
      </c>
      <c r="AP597" s="22">
        <f>IF(Y597="","",P597/Y597)</f>
        <v/>
      </c>
      <c r="AQ597" s="39">
        <f>IF(Y597="",0,1)</f>
        <v/>
      </c>
      <c r="AR597" s="39">
        <f>IF(S597&lt;=0,1,0)</f>
        <v/>
      </c>
      <c r="AS597" s="17">
        <f>IF(AH597=1,AG597,"")</f>
        <v/>
      </c>
      <c r="AT597" s="17">
        <f>IF(AND(AH597=0,AJ597=1),AG597,"")</f>
        <v/>
      </c>
      <c r="AU597" s="5">
        <f>IF(P597&lt;10000,"Under $10K",IF(P597&lt;20000,"$10-20K",IF(P597&lt;30000,"$20-30K",IF(P597&lt;50000,"$30-50K",IF(P597&lt;100000,"$50-100K","$100K+")))))</f>
        <v/>
      </c>
      <c r="AV597" s="5">
        <f>IF(O597&lt;=1.35,"1.35 and under",IF(O597&lt;=1.42,"1.36-1.42",IF(O597&lt;=1.45,"1.43-1.45",IF(O597&lt;1.49,"1.46-1.48",IF(O597&lt;=1.49,"1.49","Above 1.49")))))</f>
        <v/>
      </c>
      <c r="AW597" s="5">
        <f>IF(AE597="","",IF(AE597&lt;60,"Under 60",IF(AE597&lt;90,"60-89",IF(AE597&lt;120,"90-119",IF(AE597&lt;150,"120-149","150+")))))</f>
        <v/>
      </c>
      <c r="AX597" s="5">
        <f>IF(AP597="","No revenue data",IF(AP597&lt;0.15,"Under 0.15x",IF(AP597&lt;0.3,"0.15-0.30x",IF(AP597&lt;0.5,"0.30-0.50x",IF(AP597&lt;1,"0.50-1.00x","1.00x+")))))</f>
        <v/>
      </c>
      <c r="AY597" s="5">
        <f>IF(J597="","No SIC",IFERROR(VLOOKUP(J597,Ref!$A$4:$C$67,2,FALSE()),"Unclassified"))</f>
        <v/>
      </c>
      <c r="AZ597" s="5">
        <f>IF(E597="","",TEXT(E597,"YYYY")&amp;"-Q"&amp;ROUNDUP(MONTH(E597)/3,0))</f>
        <v/>
      </c>
      <c r="BA597" s="5">
        <f>IF(E597="","",TEXT(E597,"YYYY-MM"))</f>
        <v/>
      </c>
      <c r="BB597" s="5">
        <f>IF(E597="","",TEXT(E597,"YYYY"))</f>
        <v/>
      </c>
      <c r="BC597" s="92">
        <f>IF($E597="","",NETWORKDAYS($E597,Controls!$B$9,Ref!$F$4:$F$47))</f>
        <v/>
      </c>
      <c r="BD597" s="92">
        <f>IF(OR($AH597=1,$AJ597=1),1,0)</f>
        <v/>
      </c>
      <c r="BE597" s="95">
        <f>IF(OR($BD597=1,AND($AE597&lt;&gt;"",$BC597&gt;=Controls!$B$10*$AE597)),1,0)</f>
        <v/>
      </c>
    </row>
    <row r="598" ht="15.75" customHeight="1" s="79">
      <c r="A598" s="5" t="inlineStr">
        <is>
          <t>5674177806</t>
        </is>
      </c>
      <c r="B598" s="5" t="inlineStr">
        <is>
          <t>Paul Davis Restoration</t>
        </is>
      </c>
      <c r="C598" s="5" t="inlineStr">
        <is>
          <t>DJSO Enterprises LLC</t>
        </is>
      </c>
      <c r="D598" s="5" t="inlineStr">
        <is>
          <t>Closed</t>
        </is>
      </c>
      <c r="E598" s="16" t="n">
        <v>46057</v>
      </c>
      <c r="F598" s="16" t="n">
        <v>46085</v>
      </c>
      <c r="G598" s="17" t="n">
        <v>3</v>
      </c>
      <c r="H598" s="5" t="inlineStr">
        <is>
          <t>1521</t>
        </is>
      </c>
      <c r="I598" s="5" t="inlineStr">
        <is>
          <t>Residential Remodelers</t>
        </is>
      </c>
      <c r="J598" s="5" t="inlineStr">
        <is>
          <t>15</t>
        </is>
      </c>
      <c r="K598" s="5" t="n">
        <v>5039</v>
      </c>
      <c r="L598" s="5" t="inlineStr">
        <is>
          <t>TX</t>
        </is>
      </c>
      <c r="M598" s="5" t="inlineStr">
        <is>
          <t>Viking Funding LLC</t>
        </is>
      </c>
      <c r="N598" s="5" t="inlineStr">
        <is>
          <t>New Deal</t>
        </is>
      </c>
      <c r="O598" s="19" t="n">
        <v>1.293912</v>
      </c>
      <c r="P598" s="20" t="n">
        <v>30000</v>
      </c>
      <c r="Q598" s="20" t="n">
        <v>3300</v>
      </c>
      <c r="R598" s="20" t="n">
        <v>38817.36</v>
      </c>
      <c r="S598" s="20" t="n">
        <v>38817.36</v>
      </c>
      <c r="T598" s="20" t="n">
        <v>0</v>
      </c>
      <c r="U598" s="21" t="n">
        <v>1</v>
      </c>
      <c r="V598" s="22" t="n">
        <v>28</v>
      </c>
      <c r="W598" s="17" t="n">
        <v>168</v>
      </c>
      <c r="X598" s="17" t="n">
        <v>0</v>
      </c>
      <c r="Y598" s="20" t="n">
        <v>87663.42999999999</v>
      </c>
      <c r="Z598" s="21" t="n">
        <v>0.0699</v>
      </c>
      <c r="AA598" s="16" t="n">
        <v>45089</v>
      </c>
      <c r="AB598" s="5">
        <f>IF(V598="","",IF(V598&lt;12,"Months","Weeks"))</f>
        <v/>
      </c>
      <c r="AC598" s="5">
        <f>IF(AB598="","",IF(AB598="Months","Daily","Weekly"))</f>
        <v/>
      </c>
      <c r="AD598" s="17">
        <f>IF(V598="","",IF(AC598="Daily",V598*Controls!$B$13,V598))</f>
        <v/>
      </c>
      <c r="AE598" s="17">
        <f>IF(V598="","",IF(AC598="Daily",V598*Controls!$B$13,V598*Controls!$B$12))</f>
        <v/>
      </c>
      <c r="AF598" s="17">
        <f>IF(OR(E598="",F598=""),"",F598-E598)</f>
        <v/>
      </c>
      <c r="AG598" s="17">
        <f>IF(OR(E598="",F598=""),"",NETWORKDAYS(E598,F598,Ref!$F$4:$F$47))</f>
        <v/>
      </c>
      <c r="AH598" s="39">
        <f>IF(IFERROR(VLOOKUP(D598,Controls!$A$25:$D$35,2,FALSE()),"No")="Yes",1,0)</f>
        <v/>
      </c>
      <c r="AI598" s="39">
        <f>IF(IFERROR(VLOOKUP(D598,Controls!$A$25:$D$35,3,FALSE()),"No")="Yes",1,0)</f>
        <v/>
      </c>
      <c r="AJ598" s="39">
        <f>IF(IFERROR(VLOOKUP(D598,Controls!$A$25:$D$35,4,FALSE()),"No")="Yes",1,0)</f>
        <v/>
      </c>
      <c r="AK598" s="96">
        <f>IF(AND($E598&gt;=Controls!$B$5,$E598&lt;=Controls!$B$6,OR(Controls!$E$9&lt;&gt;"Y",$BE598=1)),1,0)</f>
        <v/>
      </c>
      <c r="AL598" s="39">
        <f>1</f>
        <v/>
      </c>
      <c r="AM598" s="20">
        <f>S598-P598</f>
        <v/>
      </c>
      <c r="AN598" s="20">
        <f>IF(AH598=1,MAX(0,P598-S598),0)</f>
        <v/>
      </c>
      <c r="AO598" s="21">
        <f>IFERROR(S598/P598,"")</f>
        <v/>
      </c>
      <c r="AP598" s="22">
        <f>IF(Y598="","",P598/Y598)</f>
        <v/>
      </c>
      <c r="AQ598" s="39">
        <f>IF(Y598="",0,1)</f>
        <v/>
      </c>
      <c r="AR598" s="39">
        <f>IF(S598&lt;=0,1,0)</f>
        <v/>
      </c>
      <c r="AS598" s="17">
        <f>IF(AH598=1,AG598,"")</f>
        <v/>
      </c>
      <c r="AT598" s="17">
        <f>IF(AND(AH598=0,AJ598=1),AG598,"")</f>
        <v/>
      </c>
      <c r="AU598" s="5">
        <f>IF(P598&lt;10000,"Under $10K",IF(P598&lt;20000,"$10-20K",IF(P598&lt;30000,"$20-30K",IF(P598&lt;50000,"$30-50K",IF(P598&lt;100000,"$50-100K","$100K+")))))</f>
        <v/>
      </c>
      <c r="AV598" s="5">
        <f>IF(O598&lt;=1.35,"1.35 and under",IF(O598&lt;=1.42,"1.36-1.42",IF(O598&lt;=1.45,"1.43-1.45",IF(O598&lt;1.49,"1.46-1.48",IF(O598&lt;=1.49,"1.49","Above 1.49")))))</f>
        <v/>
      </c>
      <c r="AW598" s="5">
        <f>IF(AE598="","",IF(AE598&lt;60,"Under 60",IF(AE598&lt;90,"60-89",IF(AE598&lt;120,"90-119",IF(AE598&lt;150,"120-149","150+")))))</f>
        <v/>
      </c>
      <c r="AX598" s="5">
        <f>IF(AP598="","No revenue data",IF(AP598&lt;0.15,"Under 0.15x",IF(AP598&lt;0.3,"0.15-0.30x",IF(AP598&lt;0.5,"0.30-0.50x",IF(AP598&lt;1,"0.50-1.00x","1.00x+")))))</f>
        <v/>
      </c>
      <c r="AY598" s="5">
        <f>IF(J598="","No SIC",IFERROR(VLOOKUP(J598,Ref!$A$4:$C$67,2,FALSE()),"Unclassified"))</f>
        <v/>
      </c>
      <c r="AZ598" s="5">
        <f>IF(E598="","",TEXT(E598,"YYYY")&amp;"-Q"&amp;ROUNDUP(MONTH(E598)/3,0))</f>
        <v/>
      </c>
      <c r="BA598" s="5">
        <f>IF(E598="","",TEXT(E598,"YYYY-MM"))</f>
        <v/>
      </c>
      <c r="BB598" s="5">
        <f>IF(E598="","",TEXT(E598,"YYYY"))</f>
        <v/>
      </c>
      <c r="BC598" s="92">
        <f>IF($E598="","",NETWORKDAYS($E598,Controls!$B$9,Ref!$F$4:$F$47))</f>
        <v/>
      </c>
      <c r="BD598" s="92">
        <f>IF(OR($AH598=1,$AJ598=1),1,0)</f>
        <v/>
      </c>
      <c r="BE598" s="95">
        <f>IF(OR($BD598=1,AND($AE598&lt;&gt;"",$BC598&gt;=Controls!$B$10*$AE598)),1,0)</f>
        <v/>
      </c>
    </row>
    <row r="599" ht="15.75" customHeight="1" s="79">
      <c r="A599" s="5" t="inlineStr">
        <is>
          <t>5674177859</t>
        </is>
      </c>
      <c r="B599" s="5" t="inlineStr">
        <is>
          <t>PEPE LOGISTICS LLC</t>
        </is>
      </c>
      <c r="C599" s="5" t="inlineStr">
        <is>
          <t>PEPE LOGISTICS LLC</t>
        </is>
      </c>
      <c r="D599" s="5" t="inlineStr">
        <is>
          <t>Lowered Payments</t>
        </is>
      </c>
      <c r="E599" s="16" t="n">
        <v>46057</v>
      </c>
      <c r="F599" s="16" t="n">
        <v>46248</v>
      </c>
      <c r="G599" s="17" t="n">
        <v>3</v>
      </c>
      <c r="H599" s="5" t="inlineStr">
        <is>
          <t>4212</t>
        </is>
      </c>
      <c r="I599" s="5" t="inlineStr">
        <is>
          <t>Specialized Freight (Except Used Goods) Trucking, Local</t>
        </is>
      </c>
      <c r="J599" s="5" t="inlineStr">
        <is>
          <t>42</t>
        </is>
      </c>
      <c r="K599" s="5" t="n">
        <v>4214</v>
      </c>
      <c r="L599" s="5" t="inlineStr">
        <is>
          <t>TN</t>
        </is>
      </c>
      <c r="M599" s="5" t="inlineStr">
        <is>
          <t>Ballicci</t>
        </is>
      </c>
      <c r="N599" s="5" t="inlineStr">
        <is>
          <t>New Deal</t>
        </is>
      </c>
      <c r="O599" s="19" t="n">
        <v>1.49</v>
      </c>
      <c r="P599" s="20" t="n">
        <v>35000</v>
      </c>
      <c r="Q599" s="20" t="n">
        <v>4900</v>
      </c>
      <c r="R599" s="20" t="n">
        <v>52150</v>
      </c>
      <c r="S599" s="20" t="n">
        <v>9503.18</v>
      </c>
      <c r="T599" s="20" t="n">
        <v>42646.82</v>
      </c>
      <c r="U599" s="21" t="n">
        <v>0.182227804410355</v>
      </c>
      <c r="V599" s="22" t="n">
        <v>24</v>
      </c>
      <c r="W599" s="17" t="n">
        <v>5</v>
      </c>
      <c r="X599" s="17" t="n">
        <v>11</v>
      </c>
      <c r="Y599" s="20" t="n">
        <v>74919.96000000001</v>
      </c>
      <c r="Z599" s="21" t="n">
        <v>0.116</v>
      </c>
      <c r="AA599" s="16" t="n">
        <v>44638</v>
      </c>
      <c r="AB599" s="5">
        <f>IF(V599="","",IF(V599&lt;12,"Months","Weeks"))</f>
        <v/>
      </c>
      <c r="AC599" s="5">
        <f>IF(AB599="","",IF(AB599="Months","Daily","Weekly"))</f>
        <v/>
      </c>
      <c r="AD599" s="17">
        <f>IF(V599="","",IF(AC599="Daily",V599*Controls!$B$13,V599))</f>
        <v/>
      </c>
      <c r="AE599" s="17">
        <f>IF(V599="","",IF(AC599="Daily",V599*Controls!$B$13,V599*Controls!$B$12))</f>
        <v/>
      </c>
      <c r="AF599" s="17">
        <f>IF(OR(E599="",F599=""),"",F599-E599)</f>
        <v/>
      </c>
      <c r="AG599" s="17">
        <f>IF(OR(E599="",F599=""),"",NETWORKDAYS(E599,F599,Ref!$F$4:$F$47))</f>
        <v/>
      </c>
      <c r="AH599" s="39">
        <f>IF(IFERROR(VLOOKUP(D599,Controls!$A$25:$D$35,2,FALSE()),"No")="Yes",1,0)</f>
        <v/>
      </c>
      <c r="AI599" s="39">
        <f>IF(IFERROR(VLOOKUP(D599,Controls!$A$25:$D$35,3,FALSE()),"No")="Yes",1,0)</f>
        <v/>
      </c>
      <c r="AJ599" s="39">
        <f>IF(IFERROR(VLOOKUP(D599,Controls!$A$25:$D$35,4,FALSE()),"No")="Yes",1,0)</f>
        <v/>
      </c>
      <c r="AK599" s="96">
        <f>IF(AND($E599&gt;=Controls!$B$5,$E599&lt;=Controls!$B$6,OR(Controls!$E$9&lt;&gt;"Y",$BE599=1)),1,0)</f>
        <v/>
      </c>
      <c r="AL599" s="39">
        <f>1</f>
        <v/>
      </c>
      <c r="AM599" s="20">
        <f>S599-P599</f>
        <v/>
      </c>
      <c r="AN599" s="20">
        <f>IF(AH599=1,MAX(0,P599-S599),0)</f>
        <v/>
      </c>
      <c r="AO599" s="21">
        <f>IFERROR(S599/P599,"")</f>
        <v/>
      </c>
      <c r="AP599" s="22">
        <f>IF(Y599="","",P599/Y599)</f>
        <v/>
      </c>
      <c r="AQ599" s="39">
        <f>IF(Y599="",0,1)</f>
        <v/>
      </c>
      <c r="AR599" s="39">
        <f>IF(S599&lt;=0,1,0)</f>
        <v/>
      </c>
      <c r="AS599" s="17">
        <f>IF(AH599=1,AG599,"")</f>
        <v/>
      </c>
      <c r="AT599" s="17">
        <f>IF(AND(AH599=0,AJ599=1),AG599,"")</f>
        <v/>
      </c>
      <c r="AU599" s="5">
        <f>IF(P599&lt;10000,"Under $10K",IF(P599&lt;20000,"$10-20K",IF(P599&lt;30000,"$20-30K",IF(P599&lt;50000,"$30-50K",IF(P599&lt;100000,"$50-100K","$100K+")))))</f>
        <v/>
      </c>
      <c r="AV599" s="5">
        <f>IF(O599&lt;=1.35,"1.35 and under",IF(O599&lt;=1.42,"1.36-1.42",IF(O599&lt;=1.45,"1.43-1.45",IF(O599&lt;1.49,"1.46-1.48",IF(O599&lt;=1.49,"1.49","Above 1.49")))))</f>
        <v/>
      </c>
      <c r="AW599" s="5">
        <f>IF(AE599="","",IF(AE599&lt;60,"Under 60",IF(AE599&lt;90,"60-89",IF(AE599&lt;120,"90-119",IF(AE599&lt;150,"120-149","150+")))))</f>
        <v/>
      </c>
      <c r="AX599" s="5">
        <f>IF(AP599="","No revenue data",IF(AP599&lt;0.15,"Under 0.15x",IF(AP599&lt;0.3,"0.15-0.30x",IF(AP599&lt;0.5,"0.30-0.50x",IF(AP599&lt;1,"0.50-1.00x","1.00x+")))))</f>
        <v/>
      </c>
      <c r="AY599" s="5">
        <f>IF(J599="","No SIC",IFERROR(VLOOKUP(J599,Ref!$A$4:$C$67,2,FALSE()),"Unclassified"))</f>
        <v/>
      </c>
      <c r="AZ599" s="5">
        <f>IF(E599="","",TEXT(E599,"YYYY")&amp;"-Q"&amp;ROUNDUP(MONTH(E599)/3,0))</f>
        <v/>
      </c>
      <c r="BA599" s="5">
        <f>IF(E599="","",TEXT(E599,"YYYY-MM"))</f>
        <v/>
      </c>
      <c r="BB599" s="5">
        <f>IF(E599="","",TEXT(E599,"YYYY"))</f>
        <v/>
      </c>
      <c r="BC599" s="92">
        <f>IF($E599="","",NETWORKDAYS($E599,Controls!$B$9,Ref!$F$4:$F$47))</f>
        <v/>
      </c>
      <c r="BD599" s="92">
        <f>IF(OR($AH599=1,$AJ599=1),1,0)</f>
        <v/>
      </c>
      <c r="BE599" s="95">
        <f>IF(OR($BD599=1,AND($AE599&lt;&gt;"",$BC599&gt;=Controls!$B$10*$AE599)),1,0)</f>
        <v/>
      </c>
    </row>
    <row r="600" ht="15.75" customHeight="1" s="79">
      <c r="A600" s="5" t="inlineStr">
        <is>
          <t>5674177863</t>
        </is>
      </c>
      <c r="B600" s="5" t="inlineStr">
        <is>
          <t>JIMMY IN THE HOUSE SERVICES LLC</t>
        </is>
      </c>
      <c r="C600" s="5" t="inlineStr">
        <is>
          <t>JIMMY IN THE HOUSE SERVICES LLC</t>
        </is>
      </c>
      <c r="D600" s="5" t="inlineStr">
        <is>
          <t>Closed</t>
        </is>
      </c>
      <c r="E600" s="16" t="n">
        <v>46057</v>
      </c>
      <c r="F600" s="16" t="n">
        <v>46133</v>
      </c>
      <c r="G600" s="17" t="n">
        <v>3</v>
      </c>
      <c r="H600" s="5" t="inlineStr">
        <is>
          <t>7217</t>
        </is>
      </c>
      <c r="I600" s="5" t="inlineStr">
        <is>
          <t>Carpet and Upholstery Cleaning Services</t>
        </is>
      </c>
      <c r="J600" s="5" t="inlineStr">
        <is>
          <t>72</t>
        </is>
      </c>
      <c r="K600" s="5" t="n">
        <v>7217</v>
      </c>
      <c r="L600" s="5" t="inlineStr">
        <is>
          <t>KS</t>
        </is>
      </c>
      <c r="M600" s="5" t="inlineStr">
        <is>
          <t>level 3 funding</t>
        </is>
      </c>
      <c r="N600" s="5" t="inlineStr">
        <is>
          <t>New Deal</t>
        </is>
      </c>
      <c r="O600" s="19" t="n">
        <v>1.49</v>
      </c>
      <c r="P600" s="20" t="n">
        <v>5000</v>
      </c>
      <c r="Q600" s="20" t="n">
        <v>700</v>
      </c>
      <c r="R600" s="20" t="n">
        <v>7450</v>
      </c>
      <c r="S600" s="20" t="n">
        <v>7450</v>
      </c>
      <c r="T600" s="20" t="n">
        <v>0</v>
      </c>
      <c r="U600" s="21" t="n">
        <v>1</v>
      </c>
      <c r="V600" s="22" t="n">
        <v>2.623</v>
      </c>
      <c r="W600" s="17" t="n">
        <v>120</v>
      </c>
      <c r="X600" s="17" t="n">
        <v>4</v>
      </c>
      <c r="Y600" s="20" t="n">
        <v>42250.45</v>
      </c>
      <c r="Z600" s="21" t="n">
        <v>0.0463</v>
      </c>
      <c r="AA600" s="16" t="n">
        <v>44289</v>
      </c>
      <c r="AB600" s="5">
        <f>IF(V600="","",IF(V600&lt;12,"Months","Weeks"))</f>
        <v/>
      </c>
      <c r="AC600" s="5">
        <f>IF(AB600="","",IF(AB600="Months","Daily","Weekly"))</f>
        <v/>
      </c>
      <c r="AD600" s="17">
        <f>IF(V600="","",IF(AC600="Daily",V600*Controls!$B$13,V600))</f>
        <v/>
      </c>
      <c r="AE600" s="17">
        <f>IF(V600="","",IF(AC600="Daily",V600*Controls!$B$13,V600*Controls!$B$12))</f>
        <v/>
      </c>
      <c r="AF600" s="17">
        <f>IF(OR(E600="",F600=""),"",F600-E600)</f>
        <v/>
      </c>
      <c r="AG600" s="17">
        <f>IF(OR(E600="",F600=""),"",NETWORKDAYS(E600,F600,Ref!$F$4:$F$47))</f>
        <v/>
      </c>
      <c r="AH600" s="39">
        <f>IF(IFERROR(VLOOKUP(D600,Controls!$A$25:$D$35,2,FALSE()),"No")="Yes",1,0)</f>
        <v/>
      </c>
      <c r="AI600" s="39">
        <f>IF(IFERROR(VLOOKUP(D600,Controls!$A$25:$D$35,3,FALSE()),"No")="Yes",1,0)</f>
        <v/>
      </c>
      <c r="AJ600" s="39">
        <f>IF(IFERROR(VLOOKUP(D600,Controls!$A$25:$D$35,4,FALSE()),"No")="Yes",1,0)</f>
        <v/>
      </c>
      <c r="AK600" s="96">
        <f>IF(AND($E600&gt;=Controls!$B$5,$E600&lt;=Controls!$B$6,OR(Controls!$E$9&lt;&gt;"Y",$BE600=1)),1,0)</f>
        <v/>
      </c>
      <c r="AL600" s="39">
        <f>1</f>
        <v/>
      </c>
      <c r="AM600" s="20">
        <f>S600-P600</f>
        <v/>
      </c>
      <c r="AN600" s="20">
        <f>IF(AH600=1,MAX(0,P600-S600),0)</f>
        <v/>
      </c>
      <c r="AO600" s="21">
        <f>IFERROR(S600/P600,"")</f>
        <v/>
      </c>
      <c r="AP600" s="22">
        <f>IF(Y600="","",P600/Y600)</f>
        <v/>
      </c>
      <c r="AQ600" s="39">
        <f>IF(Y600="",0,1)</f>
        <v/>
      </c>
      <c r="AR600" s="39">
        <f>IF(S600&lt;=0,1,0)</f>
        <v/>
      </c>
      <c r="AS600" s="17">
        <f>IF(AH600=1,AG600,"")</f>
        <v/>
      </c>
      <c r="AT600" s="17">
        <f>IF(AND(AH600=0,AJ600=1),AG600,"")</f>
        <v/>
      </c>
      <c r="AU600" s="5">
        <f>IF(P600&lt;10000,"Under $10K",IF(P600&lt;20000,"$10-20K",IF(P600&lt;30000,"$20-30K",IF(P600&lt;50000,"$30-50K",IF(P600&lt;100000,"$50-100K","$100K+")))))</f>
        <v/>
      </c>
      <c r="AV600" s="5">
        <f>IF(O600&lt;=1.35,"1.35 and under",IF(O600&lt;=1.42,"1.36-1.42",IF(O600&lt;=1.45,"1.43-1.45",IF(O600&lt;1.49,"1.46-1.48",IF(O600&lt;=1.49,"1.49","Above 1.49")))))</f>
        <v/>
      </c>
      <c r="AW600" s="5">
        <f>IF(AE600="","",IF(AE600&lt;60,"Under 60",IF(AE600&lt;90,"60-89",IF(AE600&lt;120,"90-119",IF(AE600&lt;150,"120-149","150+")))))</f>
        <v/>
      </c>
      <c r="AX600" s="5">
        <f>IF(AP600="","No revenue data",IF(AP600&lt;0.15,"Under 0.15x",IF(AP600&lt;0.3,"0.15-0.30x",IF(AP600&lt;0.5,"0.30-0.50x",IF(AP600&lt;1,"0.50-1.00x","1.00x+")))))</f>
        <v/>
      </c>
      <c r="AY600" s="5">
        <f>IF(J600="","No SIC",IFERROR(VLOOKUP(J600,Ref!$A$4:$C$67,2,FALSE()),"Unclassified"))</f>
        <v/>
      </c>
      <c r="AZ600" s="5">
        <f>IF(E600="","",TEXT(E600,"YYYY")&amp;"-Q"&amp;ROUNDUP(MONTH(E600)/3,0))</f>
        <v/>
      </c>
      <c r="BA600" s="5">
        <f>IF(E600="","",TEXT(E600,"YYYY-MM"))</f>
        <v/>
      </c>
      <c r="BB600" s="5">
        <f>IF(E600="","",TEXT(E600,"YYYY"))</f>
        <v/>
      </c>
      <c r="BC600" s="92">
        <f>IF($E600="","",NETWORKDAYS($E600,Controls!$B$9,Ref!$F$4:$F$47))</f>
        <v/>
      </c>
      <c r="BD600" s="92">
        <f>IF(OR($AH600=1,$AJ600=1),1,0)</f>
        <v/>
      </c>
      <c r="BE600" s="95">
        <f>IF(OR($BD600=1,AND($AE600&lt;&gt;"",$BC600&gt;=Controls!$B$10*$AE600)),1,0)</f>
        <v/>
      </c>
    </row>
    <row r="601" ht="15.75" customHeight="1" s="79">
      <c r="A601" s="5" t="inlineStr">
        <is>
          <t>5674177893</t>
        </is>
      </c>
      <c r="B601" s="5" t="inlineStr">
        <is>
          <t>MAPULA LOGISTICS LLC</t>
        </is>
      </c>
      <c r="C601" s="5" t="inlineStr">
        <is>
          <t>MAPULA LOGISTICS LLC</t>
        </is>
      </c>
      <c r="D601" s="5" t="inlineStr">
        <is>
          <t>Closed</t>
        </is>
      </c>
      <c r="E601" s="16" t="n">
        <v>46057</v>
      </c>
      <c r="F601" s="16" t="n">
        <v>46153</v>
      </c>
      <c r="G601" s="17" t="n">
        <v>3</v>
      </c>
      <c r="H601" s="5" t="inlineStr">
        <is>
          <t>4212</t>
        </is>
      </c>
      <c r="I601" s="5" t="inlineStr">
        <is>
          <t>Specialized Freight (Except Used Goods) Trucking, Local</t>
        </is>
      </c>
      <c r="J601" s="5" t="inlineStr">
        <is>
          <t>42</t>
        </is>
      </c>
      <c r="K601" s="5" t="n">
        <v>4214</v>
      </c>
      <c r="L601" s="5" t="inlineStr">
        <is>
          <t>FL</t>
        </is>
      </c>
      <c r="M601" s="5" t="inlineStr">
        <is>
          <t>DIRECT CAPITAL SOURCE, INC.</t>
        </is>
      </c>
      <c r="N601" s="5" t="inlineStr">
        <is>
          <t>New Deal</t>
        </is>
      </c>
      <c r="O601" s="19" t="n">
        <v>1.49</v>
      </c>
      <c r="P601" s="20" t="n">
        <v>20000</v>
      </c>
      <c r="Q601" s="20" t="n">
        <v>2800</v>
      </c>
      <c r="R601" s="20" t="n">
        <v>29800</v>
      </c>
      <c r="S601" s="20" t="n">
        <v>29800</v>
      </c>
      <c r="T601" s="20" t="n">
        <v>0</v>
      </c>
      <c r="U601" s="21" t="n">
        <v>1</v>
      </c>
      <c r="V601" s="22" t="n">
        <v>3.279</v>
      </c>
      <c r="W601" s="17" t="n">
        <v>100</v>
      </c>
      <c r="X601" s="17" t="n">
        <v>0</v>
      </c>
      <c r="Y601" s="20" t="n">
        <v>100887.92</v>
      </c>
      <c r="Z601" s="21" t="n">
        <v>0.062</v>
      </c>
      <c r="AA601" s="16" t="n">
        <v>44019</v>
      </c>
      <c r="AB601" s="5">
        <f>IF(V601="","",IF(V601&lt;12,"Months","Weeks"))</f>
        <v/>
      </c>
      <c r="AC601" s="5">
        <f>IF(AB601="","",IF(AB601="Months","Daily","Weekly"))</f>
        <v/>
      </c>
      <c r="AD601" s="17">
        <f>IF(V601="","",IF(AC601="Daily",V601*Controls!$B$13,V601))</f>
        <v/>
      </c>
      <c r="AE601" s="17">
        <f>IF(V601="","",IF(AC601="Daily",V601*Controls!$B$13,V601*Controls!$B$12))</f>
        <v/>
      </c>
      <c r="AF601" s="17">
        <f>IF(OR(E601="",F601=""),"",F601-E601)</f>
        <v/>
      </c>
      <c r="AG601" s="17">
        <f>IF(OR(E601="",F601=""),"",NETWORKDAYS(E601,F601,Ref!$F$4:$F$47))</f>
        <v/>
      </c>
      <c r="AH601" s="39">
        <f>IF(IFERROR(VLOOKUP(D601,Controls!$A$25:$D$35,2,FALSE()),"No")="Yes",1,0)</f>
        <v/>
      </c>
      <c r="AI601" s="39">
        <f>IF(IFERROR(VLOOKUP(D601,Controls!$A$25:$D$35,3,FALSE()),"No")="Yes",1,0)</f>
        <v/>
      </c>
      <c r="AJ601" s="39">
        <f>IF(IFERROR(VLOOKUP(D601,Controls!$A$25:$D$35,4,FALSE()),"No")="Yes",1,0)</f>
        <v/>
      </c>
      <c r="AK601" s="96">
        <f>IF(AND($E601&gt;=Controls!$B$5,$E601&lt;=Controls!$B$6,OR(Controls!$E$9&lt;&gt;"Y",$BE601=1)),1,0)</f>
        <v/>
      </c>
      <c r="AL601" s="39">
        <f>1</f>
        <v/>
      </c>
      <c r="AM601" s="20">
        <f>S601-P601</f>
        <v/>
      </c>
      <c r="AN601" s="20">
        <f>IF(AH601=1,MAX(0,P601-S601),0)</f>
        <v/>
      </c>
      <c r="AO601" s="21">
        <f>IFERROR(S601/P601,"")</f>
        <v/>
      </c>
      <c r="AP601" s="22">
        <f>IF(Y601="","",P601/Y601)</f>
        <v/>
      </c>
      <c r="AQ601" s="39">
        <f>IF(Y601="",0,1)</f>
        <v/>
      </c>
      <c r="AR601" s="39">
        <f>IF(S601&lt;=0,1,0)</f>
        <v/>
      </c>
      <c r="AS601" s="17">
        <f>IF(AH601=1,AG601,"")</f>
        <v/>
      </c>
      <c r="AT601" s="17">
        <f>IF(AND(AH601=0,AJ601=1),AG601,"")</f>
        <v/>
      </c>
      <c r="AU601" s="5">
        <f>IF(P601&lt;10000,"Under $10K",IF(P601&lt;20000,"$10-20K",IF(P601&lt;30000,"$20-30K",IF(P601&lt;50000,"$30-50K",IF(P601&lt;100000,"$50-100K","$100K+")))))</f>
        <v/>
      </c>
      <c r="AV601" s="5">
        <f>IF(O601&lt;=1.35,"1.35 and under",IF(O601&lt;=1.42,"1.36-1.42",IF(O601&lt;=1.45,"1.43-1.45",IF(O601&lt;1.49,"1.46-1.48",IF(O601&lt;=1.49,"1.49","Above 1.49")))))</f>
        <v/>
      </c>
      <c r="AW601" s="5">
        <f>IF(AE601="","",IF(AE601&lt;60,"Under 60",IF(AE601&lt;90,"60-89",IF(AE601&lt;120,"90-119",IF(AE601&lt;150,"120-149","150+")))))</f>
        <v/>
      </c>
      <c r="AX601" s="5">
        <f>IF(AP601="","No revenue data",IF(AP601&lt;0.15,"Under 0.15x",IF(AP601&lt;0.3,"0.15-0.30x",IF(AP601&lt;0.5,"0.30-0.50x",IF(AP601&lt;1,"0.50-1.00x","1.00x+")))))</f>
        <v/>
      </c>
      <c r="AY601" s="5">
        <f>IF(J601="","No SIC",IFERROR(VLOOKUP(J601,Ref!$A$4:$C$67,2,FALSE()),"Unclassified"))</f>
        <v/>
      </c>
      <c r="AZ601" s="5">
        <f>IF(E601="","",TEXT(E601,"YYYY")&amp;"-Q"&amp;ROUNDUP(MONTH(E601)/3,0))</f>
        <v/>
      </c>
      <c r="BA601" s="5">
        <f>IF(E601="","",TEXT(E601,"YYYY-MM"))</f>
        <v/>
      </c>
      <c r="BB601" s="5">
        <f>IF(E601="","",TEXT(E601,"YYYY"))</f>
        <v/>
      </c>
      <c r="BC601" s="92">
        <f>IF($E601="","",NETWORKDAYS($E601,Controls!$B$9,Ref!$F$4:$F$47))</f>
        <v/>
      </c>
      <c r="BD601" s="92">
        <f>IF(OR($AH601=1,$AJ601=1),1,0)</f>
        <v/>
      </c>
      <c r="BE601" s="95">
        <f>IF(OR($BD601=1,AND($AE601&lt;&gt;"",$BC601&gt;=Controls!$B$10*$AE601)),1,0)</f>
        <v/>
      </c>
    </row>
    <row r="602" ht="15.75" customHeight="1" s="79">
      <c r="A602" s="5" t="inlineStr">
        <is>
          <t>5674177920</t>
        </is>
      </c>
      <c r="B602" s="5" t="inlineStr">
        <is>
          <t>SS1 LLC</t>
        </is>
      </c>
      <c r="C602" s="5" t="inlineStr">
        <is>
          <t>SS1 LLC</t>
        </is>
      </c>
      <c r="D602" s="5" t="inlineStr">
        <is>
          <t>Legal</t>
        </is>
      </c>
      <c r="E602" s="16" t="n">
        <v>46058</v>
      </c>
      <c r="F602" s="16" t="n">
        <v>46168</v>
      </c>
      <c r="G602" s="17" t="n">
        <v>2</v>
      </c>
      <c r="H602" s="5" t="inlineStr">
        <is>
          <t>5999</t>
        </is>
      </c>
      <c r="I602" s="5" t="inlineStr">
        <is>
          <t>All Other Misc. Store Retailers (Except Tobacco Stores)</t>
        </is>
      </c>
      <c r="J602" s="5" t="inlineStr">
        <is>
          <t>59</t>
        </is>
      </c>
      <c r="K602" s="5" t="n">
        <v>5999</v>
      </c>
      <c r="L602" s="5" t="inlineStr">
        <is>
          <t>MS</t>
        </is>
      </c>
      <c r="M602" s="5" t="inlineStr">
        <is>
          <t>Fidelity Funding</t>
        </is>
      </c>
      <c r="N602" s="5" t="inlineStr">
        <is>
          <t>New Deal</t>
        </is>
      </c>
      <c r="O602" s="19" t="n">
        <v>1.49</v>
      </c>
      <c r="P602" s="20" t="n">
        <v>12000</v>
      </c>
      <c r="Q602" s="20" t="n">
        <v>1680</v>
      </c>
      <c r="R602" s="20" t="n">
        <v>17880</v>
      </c>
      <c r="S602" s="20" t="n">
        <v>4767.84</v>
      </c>
      <c r="T602" s="20" t="n">
        <v>13112.16</v>
      </c>
      <c r="U602" s="21" t="n">
        <v>0.266657718120805</v>
      </c>
      <c r="V602" s="22" t="n">
        <v>2.951</v>
      </c>
      <c r="W602" s="17" t="n">
        <v>85</v>
      </c>
      <c r="X602" s="17" t="n">
        <v>46</v>
      </c>
      <c r="Y602" s="20" t="n">
        <v>29820.86</v>
      </c>
      <c r="Z602" s="21" t="n">
        <v>0.1399</v>
      </c>
      <c r="AA602" s="16" t="n">
        <v>44995</v>
      </c>
      <c r="AB602" s="5">
        <f>IF(V602="","",IF(V602&lt;12,"Months","Weeks"))</f>
        <v/>
      </c>
      <c r="AC602" s="5">
        <f>IF(AB602="","",IF(AB602="Months","Daily","Weekly"))</f>
        <v/>
      </c>
      <c r="AD602" s="17">
        <f>IF(V602="","",IF(AC602="Daily",V602*Controls!$B$13,V602))</f>
        <v/>
      </c>
      <c r="AE602" s="17">
        <f>IF(V602="","",IF(AC602="Daily",V602*Controls!$B$13,V602*Controls!$B$12))</f>
        <v/>
      </c>
      <c r="AF602" s="17">
        <f>IF(OR(E602="",F602=""),"",F602-E602)</f>
        <v/>
      </c>
      <c r="AG602" s="17">
        <f>IF(OR(E602="",F602=""),"",NETWORKDAYS(E602,F602,Ref!$F$4:$F$47))</f>
        <v/>
      </c>
      <c r="AH602" s="39">
        <f>IF(IFERROR(VLOOKUP(D602,Controls!$A$25:$D$35,2,FALSE()),"No")="Yes",1,0)</f>
        <v/>
      </c>
      <c r="AI602" s="39">
        <f>IF(IFERROR(VLOOKUP(D602,Controls!$A$25:$D$35,3,FALSE()),"No")="Yes",1,0)</f>
        <v/>
      </c>
      <c r="AJ602" s="39">
        <f>IF(IFERROR(VLOOKUP(D602,Controls!$A$25:$D$35,4,FALSE()),"No")="Yes",1,0)</f>
        <v/>
      </c>
      <c r="AK602" s="96">
        <f>IF(AND($E602&gt;=Controls!$B$5,$E602&lt;=Controls!$B$6,OR(Controls!$E$9&lt;&gt;"Y",$BE602=1)),1,0)</f>
        <v/>
      </c>
      <c r="AL602" s="39">
        <f>1</f>
        <v/>
      </c>
      <c r="AM602" s="20">
        <f>S602-P602</f>
        <v/>
      </c>
      <c r="AN602" s="20">
        <f>IF(AH602=1,MAX(0,P602-S602),0)</f>
        <v/>
      </c>
      <c r="AO602" s="21">
        <f>IFERROR(S602/P602,"")</f>
        <v/>
      </c>
      <c r="AP602" s="22">
        <f>IF(Y602="","",P602/Y602)</f>
        <v/>
      </c>
      <c r="AQ602" s="39">
        <f>IF(Y602="",0,1)</f>
        <v/>
      </c>
      <c r="AR602" s="39">
        <f>IF(S602&lt;=0,1,0)</f>
        <v/>
      </c>
      <c r="AS602" s="17">
        <f>IF(AH602=1,AG602,"")</f>
        <v/>
      </c>
      <c r="AT602" s="17">
        <f>IF(AND(AH602=0,AJ602=1),AG602,"")</f>
        <v/>
      </c>
      <c r="AU602" s="5">
        <f>IF(P602&lt;10000,"Under $10K",IF(P602&lt;20000,"$10-20K",IF(P602&lt;30000,"$20-30K",IF(P602&lt;50000,"$30-50K",IF(P602&lt;100000,"$50-100K","$100K+")))))</f>
        <v/>
      </c>
      <c r="AV602" s="5">
        <f>IF(O602&lt;=1.35,"1.35 and under",IF(O602&lt;=1.42,"1.36-1.42",IF(O602&lt;=1.45,"1.43-1.45",IF(O602&lt;1.49,"1.46-1.48",IF(O602&lt;=1.49,"1.49","Above 1.49")))))</f>
        <v/>
      </c>
      <c r="AW602" s="5">
        <f>IF(AE602="","",IF(AE602&lt;60,"Under 60",IF(AE602&lt;90,"60-89",IF(AE602&lt;120,"90-119",IF(AE602&lt;150,"120-149","150+")))))</f>
        <v/>
      </c>
      <c r="AX602" s="5">
        <f>IF(AP602="","No revenue data",IF(AP602&lt;0.15,"Under 0.15x",IF(AP602&lt;0.3,"0.15-0.30x",IF(AP602&lt;0.5,"0.30-0.50x",IF(AP602&lt;1,"0.50-1.00x","1.00x+")))))</f>
        <v/>
      </c>
      <c r="AY602" s="5">
        <f>IF(J602="","No SIC",IFERROR(VLOOKUP(J602,Ref!$A$4:$C$67,2,FALSE()),"Unclassified"))</f>
        <v/>
      </c>
      <c r="AZ602" s="5">
        <f>IF(E602="","",TEXT(E602,"YYYY")&amp;"-Q"&amp;ROUNDUP(MONTH(E602)/3,0))</f>
        <v/>
      </c>
      <c r="BA602" s="5">
        <f>IF(E602="","",TEXT(E602,"YYYY-MM"))</f>
        <v/>
      </c>
      <c r="BB602" s="5">
        <f>IF(E602="","",TEXT(E602,"YYYY"))</f>
        <v/>
      </c>
      <c r="BC602" s="92">
        <f>IF($E602="","",NETWORKDAYS($E602,Controls!$B$9,Ref!$F$4:$F$47))</f>
        <v/>
      </c>
      <c r="BD602" s="92">
        <f>IF(OR($AH602=1,$AJ602=1),1,0)</f>
        <v/>
      </c>
      <c r="BE602" s="95">
        <f>IF(OR($BD602=1,AND($AE602&lt;&gt;"",$BC602&gt;=Controls!$B$10*$AE602)),1,0)</f>
        <v/>
      </c>
    </row>
    <row r="603" ht="15.75" customHeight="1" s="79">
      <c r="A603" s="5" t="inlineStr">
        <is>
          <t>5674177940</t>
        </is>
      </c>
      <c r="B603" s="5" t="inlineStr">
        <is>
          <t>RED ROCK STEAKHOUSE &amp; BAR LLC</t>
        </is>
      </c>
      <c r="C603" s="5" t="inlineStr">
        <is>
          <t>RED ROCK STEAKHOUSE &amp; BAR LLC</t>
        </is>
      </c>
      <c r="D603" s="5" t="inlineStr">
        <is>
          <t>Open</t>
        </is>
      </c>
      <c r="E603" s="16" t="n">
        <v>46058</v>
      </c>
      <c r="F603" s="16" t="n">
        <v>46251</v>
      </c>
      <c r="G603" s="17" t="n">
        <v>2</v>
      </c>
      <c r="H603" s="5" t="inlineStr">
        <is>
          <t>5812</t>
        </is>
      </c>
      <c r="I603" s="5" t="inlineStr">
        <is>
          <t>Snack and Nonalcoholic Beverage Bars</t>
        </is>
      </c>
      <c r="J603" s="5" t="inlineStr">
        <is>
          <t>58</t>
        </is>
      </c>
      <c r="K603" s="5" t="n">
        <v>5812</v>
      </c>
      <c r="L603" s="5" t="inlineStr">
        <is>
          <t>TX</t>
        </is>
      </c>
      <c r="M603" s="5" t="inlineStr">
        <is>
          <t>Westwood</t>
        </is>
      </c>
      <c r="N603" s="5" t="inlineStr">
        <is>
          <t>New Deal</t>
        </is>
      </c>
      <c r="O603" s="19" t="n">
        <v>1.35</v>
      </c>
      <c r="P603" s="20" t="n">
        <v>25000</v>
      </c>
      <c r="Q603" s="20" t="n">
        <v>1750</v>
      </c>
      <c r="R603" s="20" t="n">
        <v>33750</v>
      </c>
      <c r="S603" s="20" t="n">
        <v>30927.38</v>
      </c>
      <c r="T603" s="20" t="n">
        <v>2822.62</v>
      </c>
      <c r="U603" s="21" t="n">
        <v>0.916366814814815</v>
      </c>
      <c r="V603" s="22" t="n">
        <v>24</v>
      </c>
      <c r="W603" s="17" t="n">
        <v>2</v>
      </c>
      <c r="X603" s="17" t="n">
        <v>5</v>
      </c>
      <c r="Y603" s="20" t="n">
        <v>65999.5</v>
      </c>
      <c r="Z603" s="21" t="n">
        <v>0.0852</v>
      </c>
      <c r="AA603" s="5" t="n"/>
      <c r="AB603" s="5">
        <f>IF(V603="","",IF(V603&lt;12,"Months","Weeks"))</f>
        <v/>
      </c>
      <c r="AC603" s="5">
        <f>IF(AB603="","",IF(AB603="Months","Daily","Weekly"))</f>
        <v/>
      </c>
      <c r="AD603" s="17">
        <f>IF(V603="","",IF(AC603="Daily",V603*Controls!$B$13,V603))</f>
        <v/>
      </c>
      <c r="AE603" s="17">
        <f>IF(V603="","",IF(AC603="Daily",V603*Controls!$B$13,V603*Controls!$B$12))</f>
        <v/>
      </c>
      <c r="AF603" s="17">
        <f>IF(OR(E603="",F603=""),"",F603-E603)</f>
        <v/>
      </c>
      <c r="AG603" s="17">
        <f>IF(OR(E603="",F603=""),"",NETWORKDAYS(E603,F603,Ref!$F$4:$F$47))</f>
        <v/>
      </c>
      <c r="AH603" s="39">
        <f>IF(IFERROR(VLOOKUP(D603,Controls!$A$25:$D$35,2,FALSE()),"No")="Yes",1,0)</f>
        <v/>
      </c>
      <c r="AI603" s="39">
        <f>IF(IFERROR(VLOOKUP(D603,Controls!$A$25:$D$35,3,FALSE()),"No")="Yes",1,0)</f>
        <v/>
      </c>
      <c r="AJ603" s="39">
        <f>IF(IFERROR(VLOOKUP(D603,Controls!$A$25:$D$35,4,FALSE()),"No")="Yes",1,0)</f>
        <v/>
      </c>
      <c r="AK603" s="96">
        <f>IF(AND($E603&gt;=Controls!$B$5,$E603&lt;=Controls!$B$6,OR(Controls!$E$9&lt;&gt;"Y",$BE603=1)),1,0)</f>
        <v/>
      </c>
      <c r="AL603" s="39">
        <f>1</f>
        <v/>
      </c>
      <c r="AM603" s="20">
        <f>S603-P603</f>
        <v/>
      </c>
      <c r="AN603" s="20">
        <f>IF(AH603=1,MAX(0,P603-S603),0)</f>
        <v/>
      </c>
      <c r="AO603" s="21">
        <f>IFERROR(S603/P603,"")</f>
        <v/>
      </c>
      <c r="AP603" s="22">
        <f>IF(Y603="","",P603/Y603)</f>
        <v/>
      </c>
      <c r="AQ603" s="39">
        <f>IF(Y603="",0,1)</f>
        <v/>
      </c>
      <c r="AR603" s="39">
        <f>IF(S603&lt;=0,1,0)</f>
        <v/>
      </c>
      <c r="AS603" s="17">
        <f>IF(AH603=1,AG603,"")</f>
        <v/>
      </c>
      <c r="AT603" s="17">
        <f>IF(AND(AH603=0,AJ603=1),AG603,"")</f>
        <v/>
      </c>
      <c r="AU603" s="5">
        <f>IF(P603&lt;10000,"Under $10K",IF(P603&lt;20000,"$10-20K",IF(P603&lt;30000,"$20-30K",IF(P603&lt;50000,"$30-50K",IF(P603&lt;100000,"$50-100K","$100K+")))))</f>
        <v/>
      </c>
      <c r="AV603" s="5">
        <f>IF(O603&lt;=1.35,"1.35 and under",IF(O603&lt;=1.42,"1.36-1.42",IF(O603&lt;=1.45,"1.43-1.45",IF(O603&lt;1.49,"1.46-1.48",IF(O603&lt;=1.49,"1.49","Above 1.49")))))</f>
        <v/>
      </c>
      <c r="AW603" s="5">
        <f>IF(AE603="","",IF(AE603&lt;60,"Under 60",IF(AE603&lt;90,"60-89",IF(AE603&lt;120,"90-119",IF(AE603&lt;150,"120-149","150+")))))</f>
        <v/>
      </c>
      <c r="AX603" s="5">
        <f>IF(AP603="","No revenue data",IF(AP603&lt;0.15,"Under 0.15x",IF(AP603&lt;0.3,"0.15-0.30x",IF(AP603&lt;0.5,"0.30-0.50x",IF(AP603&lt;1,"0.50-1.00x","1.00x+")))))</f>
        <v/>
      </c>
      <c r="AY603" s="5">
        <f>IF(J603="","No SIC",IFERROR(VLOOKUP(J603,Ref!$A$4:$C$67,2,FALSE()),"Unclassified"))</f>
        <v/>
      </c>
      <c r="AZ603" s="5">
        <f>IF(E603="","",TEXT(E603,"YYYY")&amp;"-Q"&amp;ROUNDUP(MONTH(E603)/3,0))</f>
        <v/>
      </c>
      <c r="BA603" s="5">
        <f>IF(E603="","",TEXT(E603,"YYYY-MM"))</f>
        <v/>
      </c>
      <c r="BB603" s="5">
        <f>IF(E603="","",TEXT(E603,"YYYY"))</f>
        <v/>
      </c>
      <c r="BC603" s="92">
        <f>IF($E603="","",NETWORKDAYS($E603,Controls!$B$9,Ref!$F$4:$F$47))</f>
        <v/>
      </c>
      <c r="BD603" s="92">
        <f>IF(OR($AH603=1,$AJ603=1),1,0)</f>
        <v/>
      </c>
      <c r="BE603" s="95">
        <f>IF(OR($BD603=1,AND($AE603&lt;&gt;"",$BC603&gt;=Controls!$B$10*$AE603)),1,0)</f>
        <v/>
      </c>
    </row>
    <row r="604" ht="15.75" customHeight="1" s="79">
      <c r="A604" s="5" t="inlineStr">
        <is>
          <t>5674177941</t>
        </is>
      </c>
      <c r="B604" s="5" t="inlineStr">
        <is>
          <t>SMACK EM SEAFOOD LLC</t>
        </is>
      </c>
      <c r="C604" s="5" t="inlineStr">
        <is>
          <t>SMACK EM SEAFOOD LLC</t>
        </is>
      </c>
      <c r="D604" s="5" t="inlineStr">
        <is>
          <t>Open</t>
        </is>
      </c>
      <c r="E604" s="16" t="n">
        <v>46058</v>
      </c>
      <c r="F604" s="16" t="n">
        <v>46234</v>
      </c>
      <c r="G604" s="17" t="n">
        <v>2</v>
      </c>
      <c r="H604" s="5" t="inlineStr">
        <is>
          <t>5812</t>
        </is>
      </c>
      <c r="I604" s="5" t="inlineStr">
        <is>
          <t>Snack and Nonalcoholic Beverage Bars</t>
        </is>
      </c>
      <c r="J604" s="5" t="inlineStr">
        <is>
          <t>58</t>
        </is>
      </c>
      <c r="K604" s="5" t="n">
        <v>5812</v>
      </c>
      <c r="L604" s="5" t="inlineStr">
        <is>
          <t>CA</t>
        </is>
      </c>
      <c r="M604" s="5" t="inlineStr">
        <is>
          <t>Ballicci</t>
        </is>
      </c>
      <c r="N604" s="5" t="inlineStr">
        <is>
          <t>New Deal</t>
        </is>
      </c>
      <c r="O604" s="19" t="n">
        <v>1.45</v>
      </c>
      <c r="P604" s="20" t="n">
        <v>15000</v>
      </c>
      <c r="Q604" s="20" t="n">
        <v>1800</v>
      </c>
      <c r="R604" s="20" t="n">
        <v>21750</v>
      </c>
      <c r="S604" s="20" t="n">
        <v>11527.56</v>
      </c>
      <c r="T604" s="20" t="n">
        <v>10222.44</v>
      </c>
      <c r="U604" s="21" t="n">
        <v>0.53000275862069</v>
      </c>
      <c r="V604" s="22" t="n">
        <v>18</v>
      </c>
      <c r="W604" s="17" t="n">
        <v>96</v>
      </c>
      <c r="X604" s="17" t="n">
        <v>13</v>
      </c>
      <c r="Y604" s="20" t="n">
        <v>55264.3</v>
      </c>
      <c r="Z604" s="21" t="n">
        <v>0.08749999999999999</v>
      </c>
      <c r="AA604" s="16" t="n">
        <v>45658</v>
      </c>
      <c r="AB604" s="5">
        <f>IF(V604="","",IF(V604&lt;12,"Months","Weeks"))</f>
        <v/>
      </c>
      <c r="AC604" s="5">
        <f>IF(AB604="","",IF(AB604="Months","Daily","Weekly"))</f>
        <v/>
      </c>
      <c r="AD604" s="17">
        <f>IF(V604="","",IF(AC604="Daily",V604*Controls!$B$13,V604))</f>
        <v/>
      </c>
      <c r="AE604" s="17">
        <f>IF(V604="","",IF(AC604="Daily",V604*Controls!$B$13,V604*Controls!$B$12))</f>
        <v/>
      </c>
      <c r="AF604" s="17">
        <f>IF(OR(E604="",F604=""),"",F604-E604)</f>
        <v/>
      </c>
      <c r="AG604" s="17">
        <f>IF(OR(E604="",F604=""),"",NETWORKDAYS(E604,F604,Ref!$F$4:$F$47))</f>
        <v/>
      </c>
      <c r="AH604" s="39">
        <f>IF(IFERROR(VLOOKUP(D604,Controls!$A$25:$D$35,2,FALSE()),"No")="Yes",1,0)</f>
        <v/>
      </c>
      <c r="AI604" s="39">
        <f>IF(IFERROR(VLOOKUP(D604,Controls!$A$25:$D$35,3,FALSE()),"No")="Yes",1,0)</f>
        <v/>
      </c>
      <c r="AJ604" s="39">
        <f>IF(IFERROR(VLOOKUP(D604,Controls!$A$25:$D$35,4,FALSE()),"No")="Yes",1,0)</f>
        <v/>
      </c>
      <c r="AK604" s="96">
        <f>IF(AND($E604&gt;=Controls!$B$5,$E604&lt;=Controls!$B$6,OR(Controls!$E$9&lt;&gt;"Y",$BE604=1)),1,0)</f>
        <v/>
      </c>
      <c r="AL604" s="39">
        <f>1</f>
        <v/>
      </c>
      <c r="AM604" s="20">
        <f>S604-P604</f>
        <v/>
      </c>
      <c r="AN604" s="20">
        <f>IF(AH604=1,MAX(0,P604-S604),0)</f>
        <v/>
      </c>
      <c r="AO604" s="21">
        <f>IFERROR(S604/P604,"")</f>
        <v/>
      </c>
      <c r="AP604" s="22">
        <f>IF(Y604="","",P604/Y604)</f>
        <v/>
      </c>
      <c r="AQ604" s="39">
        <f>IF(Y604="",0,1)</f>
        <v/>
      </c>
      <c r="AR604" s="39">
        <f>IF(S604&lt;=0,1,0)</f>
        <v/>
      </c>
      <c r="AS604" s="17">
        <f>IF(AH604=1,AG604,"")</f>
        <v/>
      </c>
      <c r="AT604" s="17">
        <f>IF(AND(AH604=0,AJ604=1),AG604,"")</f>
        <v/>
      </c>
      <c r="AU604" s="5">
        <f>IF(P604&lt;10000,"Under $10K",IF(P604&lt;20000,"$10-20K",IF(P604&lt;30000,"$20-30K",IF(P604&lt;50000,"$30-50K",IF(P604&lt;100000,"$50-100K","$100K+")))))</f>
        <v/>
      </c>
      <c r="AV604" s="5">
        <f>IF(O604&lt;=1.35,"1.35 and under",IF(O604&lt;=1.42,"1.36-1.42",IF(O604&lt;=1.45,"1.43-1.45",IF(O604&lt;1.49,"1.46-1.48",IF(O604&lt;=1.49,"1.49","Above 1.49")))))</f>
        <v/>
      </c>
      <c r="AW604" s="5">
        <f>IF(AE604="","",IF(AE604&lt;60,"Under 60",IF(AE604&lt;90,"60-89",IF(AE604&lt;120,"90-119",IF(AE604&lt;150,"120-149","150+")))))</f>
        <v/>
      </c>
      <c r="AX604" s="5">
        <f>IF(AP604="","No revenue data",IF(AP604&lt;0.15,"Under 0.15x",IF(AP604&lt;0.3,"0.15-0.30x",IF(AP604&lt;0.5,"0.30-0.50x",IF(AP604&lt;1,"0.50-1.00x","1.00x+")))))</f>
        <v/>
      </c>
      <c r="AY604" s="5">
        <f>IF(J604="","No SIC",IFERROR(VLOOKUP(J604,Ref!$A$4:$C$67,2,FALSE()),"Unclassified"))</f>
        <v/>
      </c>
      <c r="AZ604" s="5">
        <f>IF(E604="","",TEXT(E604,"YYYY")&amp;"-Q"&amp;ROUNDUP(MONTH(E604)/3,0))</f>
        <v/>
      </c>
      <c r="BA604" s="5">
        <f>IF(E604="","",TEXT(E604,"YYYY-MM"))</f>
        <v/>
      </c>
      <c r="BB604" s="5">
        <f>IF(E604="","",TEXT(E604,"YYYY"))</f>
        <v/>
      </c>
      <c r="BC604" s="92">
        <f>IF($E604="","",NETWORKDAYS($E604,Controls!$B$9,Ref!$F$4:$F$47))</f>
        <v/>
      </c>
      <c r="BD604" s="92">
        <f>IF(OR($AH604=1,$AJ604=1),1,0)</f>
        <v/>
      </c>
      <c r="BE604" s="95">
        <f>IF(OR($BD604=1,AND($AE604&lt;&gt;"",$BC604&gt;=Controls!$B$10*$AE604)),1,0)</f>
        <v/>
      </c>
    </row>
    <row r="605" ht="15.75" customHeight="1" s="79">
      <c r="A605" s="5" t="inlineStr">
        <is>
          <t>5674178034</t>
        </is>
      </c>
      <c r="B605" s="5" t="inlineStr">
        <is>
          <t>MOOR HERBS MARKETPLACE</t>
        </is>
      </c>
      <c r="C605" s="5" t="inlineStr">
        <is>
          <t>THE MOORISH SCIENCE - TEMPLE THE DIVINE AND NATIONAL MOVEMENT OF NORTH AMERICA INC</t>
        </is>
      </c>
      <c r="D605" s="5" t="inlineStr">
        <is>
          <t>Closed</t>
        </is>
      </c>
      <c r="E605" s="16" t="n">
        <v>46059</v>
      </c>
      <c r="F605" s="16" t="n">
        <v>46147</v>
      </c>
      <c r="G605" s="17" t="n">
        <v>4</v>
      </c>
      <c r="H605" s="5" t="inlineStr">
        <is>
          <t>5499</t>
        </is>
      </c>
      <c r="I605" s="5" t="inlineStr">
        <is>
          <t>All Other Specialty Food Stores</t>
        </is>
      </c>
      <c r="J605" s="5" t="inlineStr">
        <is>
          <t>54</t>
        </is>
      </c>
      <c r="K605" s="5" t="n">
        <v>5499</v>
      </c>
      <c r="L605" s="5" t="inlineStr">
        <is>
          <t>MI</t>
        </is>
      </c>
      <c r="M605" s="5" t="inlineStr">
        <is>
          <t>United Secured Capital 8</t>
        </is>
      </c>
      <c r="N605" s="5" t="inlineStr">
        <is>
          <t>Renewal</t>
        </is>
      </c>
      <c r="O605" s="19" t="n">
        <v>1.49</v>
      </c>
      <c r="P605" s="20" t="n">
        <v>45000</v>
      </c>
      <c r="Q605" s="20" t="n">
        <v>6300</v>
      </c>
      <c r="R605" s="20" t="n">
        <v>67050</v>
      </c>
      <c r="S605" s="20" t="n">
        <v>67050</v>
      </c>
      <c r="T605" s="20" t="n">
        <v>0</v>
      </c>
      <c r="U605" s="21" t="n">
        <v>1</v>
      </c>
      <c r="V605" s="22" t="n">
        <v>3.934</v>
      </c>
      <c r="W605" s="17" t="n">
        <v>106</v>
      </c>
      <c r="X605" s="17" t="n">
        <v>0</v>
      </c>
      <c r="Y605" s="20" t="n">
        <v>104379.99</v>
      </c>
      <c r="Z605" s="21" t="n">
        <v>0.1661</v>
      </c>
      <c r="AA605" s="16" t="n">
        <v>43221</v>
      </c>
      <c r="AB605" s="5">
        <f>IF(V605="","",IF(V605&lt;12,"Months","Weeks"))</f>
        <v/>
      </c>
      <c r="AC605" s="5">
        <f>IF(AB605="","",IF(AB605="Months","Daily","Weekly"))</f>
        <v/>
      </c>
      <c r="AD605" s="17">
        <f>IF(V605="","",IF(AC605="Daily",V605*Controls!$B$13,V605))</f>
        <v/>
      </c>
      <c r="AE605" s="17">
        <f>IF(V605="","",IF(AC605="Daily",V605*Controls!$B$13,V605*Controls!$B$12))</f>
        <v/>
      </c>
      <c r="AF605" s="17">
        <f>IF(OR(E605="",F605=""),"",F605-E605)</f>
        <v/>
      </c>
      <c r="AG605" s="17">
        <f>IF(OR(E605="",F605=""),"",NETWORKDAYS(E605,F605,Ref!$F$4:$F$47))</f>
        <v/>
      </c>
      <c r="AH605" s="39">
        <f>IF(IFERROR(VLOOKUP(D605,Controls!$A$25:$D$35,2,FALSE()),"No")="Yes",1,0)</f>
        <v/>
      </c>
      <c r="AI605" s="39">
        <f>IF(IFERROR(VLOOKUP(D605,Controls!$A$25:$D$35,3,FALSE()),"No")="Yes",1,0)</f>
        <v/>
      </c>
      <c r="AJ605" s="39">
        <f>IF(IFERROR(VLOOKUP(D605,Controls!$A$25:$D$35,4,FALSE()),"No")="Yes",1,0)</f>
        <v/>
      </c>
      <c r="AK605" s="96">
        <f>IF(AND($E605&gt;=Controls!$B$5,$E605&lt;=Controls!$B$6,OR(Controls!$E$9&lt;&gt;"Y",$BE605=1)),1,0)</f>
        <v/>
      </c>
      <c r="AL605" s="39">
        <f>1</f>
        <v/>
      </c>
      <c r="AM605" s="20">
        <f>S605-P605</f>
        <v/>
      </c>
      <c r="AN605" s="20">
        <f>IF(AH605=1,MAX(0,P605-S605),0)</f>
        <v/>
      </c>
      <c r="AO605" s="21">
        <f>IFERROR(S605/P605,"")</f>
        <v/>
      </c>
      <c r="AP605" s="22">
        <f>IF(Y605="","",P605/Y605)</f>
        <v/>
      </c>
      <c r="AQ605" s="39">
        <f>IF(Y605="",0,1)</f>
        <v/>
      </c>
      <c r="AR605" s="39">
        <f>IF(S605&lt;=0,1,0)</f>
        <v/>
      </c>
      <c r="AS605" s="17">
        <f>IF(AH605=1,AG605,"")</f>
        <v/>
      </c>
      <c r="AT605" s="17">
        <f>IF(AND(AH605=0,AJ605=1),AG605,"")</f>
        <v/>
      </c>
      <c r="AU605" s="5">
        <f>IF(P605&lt;10000,"Under $10K",IF(P605&lt;20000,"$10-20K",IF(P605&lt;30000,"$20-30K",IF(P605&lt;50000,"$30-50K",IF(P605&lt;100000,"$50-100K","$100K+")))))</f>
        <v/>
      </c>
      <c r="AV605" s="5">
        <f>IF(O605&lt;=1.35,"1.35 and under",IF(O605&lt;=1.42,"1.36-1.42",IF(O605&lt;=1.45,"1.43-1.45",IF(O605&lt;1.49,"1.46-1.48",IF(O605&lt;=1.49,"1.49","Above 1.49")))))</f>
        <v/>
      </c>
      <c r="AW605" s="5">
        <f>IF(AE605="","",IF(AE605&lt;60,"Under 60",IF(AE605&lt;90,"60-89",IF(AE605&lt;120,"90-119",IF(AE605&lt;150,"120-149","150+")))))</f>
        <v/>
      </c>
      <c r="AX605" s="5">
        <f>IF(AP605="","No revenue data",IF(AP605&lt;0.15,"Under 0.15x",IF(AP605&lt;0.3,"0.15-0.30x",IF(AP605&lt;0.5,"0.30-0.50x",IF(AP605&lt;1,"0.50-1.00x","1.00x+")))))</f>
        <v/>
      </c>
      <c r="AY605" s="5">
        <f>IF(J605="","No SIC",IFERROR(VLOOKUP(J605,Ref!$A$4:$C$67,2,FALSE()),"Unclassified"))</f>
        <v/>
      </c>
      <c r="AZ605" s="5">
        <f>IF(E605="","",TEXT(E605,"YYYY")&amp;"-Q"&amp;ROUNDUP(MONTH(E605)/3,0))</f>
        <v/>
      </c>
      <c r="BA605" s="5">
        <f>IF(E605="","",TEXT(E605,"YYYY-MM"))</f>
        <v/>
      </c>
      <c r="BB605" s="5">
        <f>IF(E605="","",TEXT(E605,"YYYY"))</f>
        <v/>
      </c>
      <c r="BC605" s="92">
        <f>IF($E605="","",NETWORKDAYS($E605,Controls!$B$9,Ref!$F$4:$F$47))</f>
        <v/>
      </c>
      <c r="BD605" s="92">
        <f>IF(OR($AH605=1,$AJ605=1),1,0)</f>
        <v/>
      </c>
      <c r="BE605" s="95">
        <f>IF(OR($BD605=1,AND($AE605&lt;&gt;"",$BC605&gt;=Controls!$B$10*$AE605)),1,0)</f>
        <v/>
      </c>
    </row>
    <row r="606" ht="15.75" customHeight="1" s="79">
      <c r="A606" s="5" t="inlineStr">
        <is>
          <t>5674178048</t>
        </is>
      </c>
      <c r="B606" s="5" t="inlineStr">
        <is>
          <t>Iphone Doctor Of Waco</t>
        </is>
      </c>
      <c r="C606" s="5" t="inlineStr">
        <is>
          <t>Iphone Doctor Of Waco</t>
        </is>
      </c>
      <c r="D606" s="5" t="inlineStr">
        <is>
          <t>Legal</t>
        </is>
      </c>
      <c r="E606" s="16" t="n">
        <v>46059</v>
      </c>
      <c r="F606" s="16" t="n">
        <v>46108</v>
      </c>
      <c r="G606" s="17" t="n">
        <v>2</v>
      </c>
      <c r="H606" s="5" t="inlineStr">
        <is>
          <t>5999</t>
        </is>
      </c>
      <c r="I606" s="5" t="inlineStr">
        <is>
          <t>All Other Health and Personal Care Stores</t>
        </is>
      </c>
      <c r="J606" s="5" t="inlineStr">
        <is>
          <t>59</t>
        </is>
      </c>
      <c r="K606" s="5" t="n">
        <v>5999</v>
      </c>
      <c r="L606" s="5" t="inlineStr">
        <is>
          <t>TX</t>
        </is>
      </c>
      <c r="M606" s="5" t="inlineStr">
        <is>
          <t>United Secured Capital 8</t>
        </is>
      </c>
      <c r="N606" s="5" t="inlineStr">
        <is>
          <t>New Deal</t>
        </is>
      </c>
      <c r="O606" s="19" t="n">
        <v>1.49</v>
      </c>
      <c r="P606" s="20" t="n">
        <v>8000</v>
      </c>
      <c r="Q606" s="20" t="n">
        <v>1120</v>
      </c>
      <c r="R606" s="20" t="n">
        <v>11920</v>
      </c>
      <c r="S606" s="20" t="n">
        <v>2173.11</v>
      </c>
      <c r="T606" s="20" t="n">
        <v>9746.889999999999</v>
      </c>
      <c r="U606" s="21" t="n">
        <v>0.18230788590604</v>
      </c>
      <c r="V606" s="22" t="n">
        <v>2.295</v>
      </c>
      <c r="W606" s="17" t="n">
        <v>145</v>
      </c>
      <c r="X606" s="17" t="n">
        <v>4</v>
      </c>
      <c r="Y606" s="20" t="n">
        <v>30623.79</v>
      </c>
      <c r="Z606" s="21" t="n">
        <v>0.1168</v>
      </c>
      <c r="AA606" s="16" t="n">
        <v>40525</v>
      </c>
      <c r="AB606" s="5">
        <f>IF(V606="","",IF(V606&lt;12,"Months","Weeks"))</f>
        <v/>
      </c>
      <c r="AC606" s="5">
        <f>IF(AB606="","",IF(AB606="Months","Daily","Weekly"))</f>
        <v/>
      </c>
      <c r="AD606" s="17">
        <f>IF(V606="","",IF(AC606="Daily",V606*Controls!$B$13,V606))</f>
        <v/>
      </c>
      <c r="AE606" s="17">
        <f>IF(V606="","",IF(AC606="Daily",V606*Controls!$B$13,V606*Controls!$B$12))</f>
        <v/>
      </c>
      <c r="AF606" s="17">
        <f>IF(OR(E606="",F606=""),"",F606-E606)</f>
        <v/>
      </c>
      <c r="AG606" s="17">
        <f>IF(OR(E606="",F606=""),"",NETWORKDAYS(E606,F606,Ref!$F$4:$F$47))</f>
        <v/>
      </c>
      <c r="AH606" s="39">
        <f>IF(IFERROR(VLOOKUP(D606,Controls!$A$25:$D$35,2,FALSE()),"No")="Yes",1,0)</f>
        <v/>
      </c>
      <c r="AI606" s="39">
        <f>IF(IFERROR(VLOOKUP(D606,Controls!$A$25:$D$35,3,FALSE()),"No")="Yes",1,0)</f>
        <v/>
      </c>
      <c r="AJ606" s="39">
        <f>IF(IFERROR(VLOOKUP(D606,Controls!$A$25:$D$35,4,FALSE()),"No")="Yes",1,0)</f>
        <v/>
      </c>
      <c r="AK606" s="96">
        <f>IF(AND($E606&gt;=Controls!$B$5,$E606&lt;=Controls!$B$6,OR(Controls!$E$9&lt;&gt;"Y",$BE606=1)),1,0)</f>
        <v/>
      </c>
      <c r="AL606" s="39">
        <f>1</f>
        <v/>
      </c>
      <c r="AM606" s="20">
        <f>S606-P606</f>
        <v/>
      </c>
      <c r="AN606" s="20">
        <f>IF(AH606=1,MAX(0,P606-S606),0)</f>
        <v/>
      </c>
      <c r="AO606" s="21">
        <f>IFERROR(S606/P606,"")</f>
        <v/>
      </c>
      <c r="AP606" s="22">
        <f>IF(Y606="","",P606/Y606)</f>
        <v/>
      </c>
      <c r="AQ606" s="39">
        <f>IF(Y606="",0,1)</f>
        <v/>
      </c>
      <c r="AR606" s="39">
        <f>IF(S606&lt;=0,1,0)</f>
        <v/>
      </c>
      <c r="AS606" s="17">
        <f>IF(AH606=1,AG606,"")</f>
        <v/>
      </c>
      <c r="AT606" s="17">
        <f>IF(AND(AH606=0,AJ606=1),AG606,"")</f>
        <v/>
      </c>
      <c r="AU606" s="5">
        <f>IF(P606&lt;10000,"Under $10K",IF(P606&lt;20000,"$10-20K",IF(P606&lt;30000,"$20-30K",IF(P606&lt;50000,"$30-50K",IF(P606&lt;100000,"$50-100K","$100K+")))))</f>
        <v/>
      </c>
      <c r="AV606" s="5">
        <f>IF(O606&lt;=1.35,"1.35 and under",IF(O606&lt;=1.42,"1.36-1.42",IF(O606&lt;=1.45,"1.43-1.45",IF(O606&lt;1.49,"1.46-1.48",IF(O606&lt;=1.49,"1.49","Above 1.49")))))</f>
        <v/>
      </c>
      <c r="AW606" s="5">
        <f>IF(AE606="","",IF(AE606&lt;60,"Under 60",IF(AE606&lt;90,"60-89",IF(AE606&lt;120,"90-119",IF(AE606&lt;150,"120-149","150+")))))</f>
        <v/>
      </c>
      <c r="AX606" s="5">
        <f>IF(AP606="","No revenue data",IF(AP606&lt;0.15,"Under 0.15x",IF(AP606&lt;0.3,"0.15-0.30x",IF(AP606&lt;0.5,"0.30-0.50x",IF(AP606&lt;1,"0.50-1.00x","1.00x+")))))</f>
        <v/>
      </c>
      <c r="AY606" s="5">
        <f>IF(J606="","No SIC",IFERROR(VLOOKUP(J606,Ref!$A$4:$C$67,2,FALSE()),"Unclassified"))</f>
        <v/>
      </c>
      <c r="AZ606" s="5">
        <f>IF(E606="","",TEXT(E606,"YYYY")&amp;"-Q"&amp;ROUNDUP(MONTH(E606)/3,0))</f>
        <v/>
      </c>
      <c r="BA606" s="5">
        <f>IF(E606="","",TEXT(E606,"YYYY-MM"))</f>
        <v/>
      </c>
      <c r="BB606" s="5">
        <f>IF(E606="","",TEXT(E606,"YYYY"))</f>
        <v/>
      </c>
      <c r="BC606" s="92">
        <f>IF($E606="","",NETWORKDAYS($E606,Controls!$B$9,Ref!$F$4:$F$47))</f>
        <v/>
      </c>
      <c r="BD606" s="92">
        <f>IF(OR($AH606=1,$AJ606=1),1,0)</f>
        <v/>
      </c>
      <c r="BE606" s="95">
        <f>IF(OR($BD606=1,AND($AE606&lt;&gt;"",$BC606&gt;=Controls!$B$10*$AE606)),1,0)</f>
        <v/>
      </c>
    </row>
    <row r="607" ht="15.75" customHeight="1" s="79">
      <c r="A607" s="5" t="inlineStr">
        <is>
          <t>5674178051</t>
        </is>
      </c>
      <c r="B607" s="5" t="inlineStr">
        <is>
          <t>LEGACY BARN DOORS INC.</t>
        </is>
      </c>
      <c r="C607" s="5" t="inlineStr">
        <is>
          <t>LEGACY BARN DOORS INC.</t>
        </is>
      </c>
      <c r="D607" s="5" t="inlineStr">
        <is>
          <t>Closed</t>
        </is>
      </c>
      <c r="E607" s="16" t="n">
        <v>46059</v>
      </c>
      <c r="F607" s="16" t="n">
        <v>46132</v>
      </c>
      <c r="G607" s="17" t="n">
        <v>3</v>
      </c>
      <c r="H607" s="5" t="inlineStr">
        <is>
          <t>2531</t>
        </is>
      </c>
      <c r="I607" s="5" t="inlineStr">
        <is>
          <t>Office Supplies (Except Paper) Mfg.</t>
        </is>
      </c>
      <c r="J607" s="5" t="inlineStr">
        <is>
          <t>25</t>
        </is>
      </c>
      <c r="K607" s="5" t="n">
        <v>5021</v>
      </c>
      <c r="L607" s="5" t="inlineStr">
        <is>
          <t>TX</t>
        </is>
      </c>
      <c r="M607" s="5" t="inlineStr">
        <is>
          <t>United Secured Capital 8</t>
        </is>
      </c>
      <c r="N607" s="5" t="inlineStr">
        <is>
          <t>New Deal</t>
        </is>
      </c>
      <c r="O607" s="19" t="n">
        <v>1.49</v>
      </c>
      <c r="P607" s="20" t="n">
        <v>15000</v>
      </c>
      <c r="Q607" s="20" t="n">
        <v>2100</v>
      </c>
      <c r="R607" s="20" t="n">
        <v>22350</v>
      </c>
      <c r="S607" s="20" t="n">
        <v>22350</v>
      </c>
      <c r="T607" s="20" t="n">
        <v>0</v>
      </c>
      <c r="U607" s="21" t="n">
        <v>1</v>
      </c>
      <c r="V607" s="22" t="n">
        <v>20</v>
      </c>
      <c r="W607" s="17" t="n">
        <v>121</v>
      </c>
      <c r="X607" s="17" t="n">
        <v>0</v>
      </c>
      <c r="Y607" s="20" t="n">
        <v>45291.67</v>
      </c>
      <c r="Z607" s="21" t="n">
        <v>0.09</v>
      </c>
      <c r="AA607" s="5" t="n"/>
      <c r="AB607" s="5">
        <f>IF(V607="","",IF(V607&lt;12,"Months","Weeks"))</f>
        <v/>
      </c>
      <c r="AC607" s="5">
        <f>IF(AB607="","",IF(AB607="Months","Daily","Weekly"))</f>
        <v/>
      </c>
      <c r="AD607" s="17">
        <f>IF(V607="","",IF(AC607="Daily",V607*Controls!$B$13,V607))</f>
        <v/>
      </c>
      <c r="AE607" s="17">
        <f>IF(V607="","",IF(AC607="Daily",V607*Controls!$B$13,V607*Controls!$B$12))</f>
        <v/>
      </c>
      <c r="AF607" s="17">
        <f>IF(OR(E607="",F607=""),"",F607-E607)</f>
        <v/>
      </c>
      <c r="AG607" s="17">
        <f>IF(OR(E607="",F607=""),"",NETWORKDAYS(E607,F607,Ref!$F$4:$F$47))</f>
        <v/>
      </c>
      <c r="AH607" s="39">
        <f>IF(IFERROR(VLOOKUP(D607,Controls!$A$25:$D$35,2,FALSE()),"No")="Yes",1,0)</f>
        <v/>
      </c>
      <c r="AI607" s="39">
        <f>IF(IFERROR(VLOOKUP(D607,Controls!$A$25:$D$35,3,FALSE()),"No")="Yes",1,0)</f>
        <v/>
      </c>
      <c r="AJ607" s="39">
        <f>IF(IFERROR(VLOOKUP(D607,Controls!$A$25:$D$35,4,FALSE()),"No")="Yes",1,0)</f>
        <v/>
      </c>
      <c r="AK607" s="96">
        <f>IF(AND($E607&gt;=Controls!$B$5,$E607&lt;=Controls!$B$6,OR(Controls!$E$9&lt;&gt;"Y",$BE607=1)),1,0)</f>
        <v/>
      </c>
      <c r="AL607" s="39">
        <f>1</f>
        <v/>
      </c>
      <c r="AM607" s="20">
        <f>S607-P607</f>
        <v/>
      </c>
      <c r="AN607" s="20">
        <f>IF(AH607=1,MAX(0,P607-S607),0)</f>
        <v/>
      </c>
      <c r="AO607" s="21">
        <f>IFERROR(S607/P607,"")</f>
        <v/>
      </c>
      <c r="AP607" s="22">
        <f>IF(Y607="","",P607/Y607)</f>
        <v/>
      </c>
      <c r="AQ607" s="39">
        <f>IF(Y607="",0,1)</f>
        <v/>
      </c>
      <c r="AR607" s="39">
        <f>IF(S607&lt;=0,1,0)</f>
        <v/>
      </c>
      <c r="AS607" s="17">
        <f>IF(AH607=1,AG607,"")</f>
        <v/>
      </c>
      <c r="AT607" s="17">
        <f>IF(AND(AH607=0,AJ607=1),AG607,"")</f>
        <v/>
      </c>
      <c r="AU607" s="5">
        <f>IF(P607&lt;10000,"Under $10K",IF(P607&lt;20000,"$10-20K",IF(P607&lt;30000,"$20-30K",IF(P607&lt;50000,"$30-50K",IF(P607&lt;100000,"$50-100K","$100K+")))))</f>
        <v/>
      </c>
      <c r="AV607" s="5">
        <f>IF(O607&lt;=1.35,"1.35 and under",IF(O607&lt;=1.42,"1.36-1.42",IF(O607&lt;=1.45,"1.43-1.45",IF(O607&lt;1.49,"1.46-1.48",IF(O607&lt;=1.49,"1.49","Above 1.49")))))</f>
        <v/>
      </c>
      <c r="AW607" s="5">
        <f>IF(AE607="","",IF(AE607&lt;60,"Under 60",IF(AE607&lt;90,"60-89",IF(AE607&lt;120,"90-119",IF(AE607&lt;150,"120-149","150+")))))</f>
        <v/>
      </c>
      <c r="AX607" s="5">
        <f>IF(AP607="","No revenue data",IF(AP607&lt;0.15,"Under 0.15x",IF(AP607&lt;0.3,"0.15-0.30x",IF(AP607&lt;0.5,"0.30-0.50x",IF(AP607&lt;1,"0.50-1.00x","1.00x+")))))</f>
        <v/>
      </c>
      <c r="AY607" s="5">
        <f>IF(J607="","No SIC",IFERROR(VLOOKUP(J607,Ref!$A$4:$C$67,2,FALSE()),"Unclassified"))</f>
        <v/>
      </c>
      <c r="AZ607" s="5">
        <f>IF(E607="","",TEXT(E607,"YYYY")&amp;"-Q"&amp;ROUNDUP(MONTH(E607)/3,0))</f>
        <v/>
      </c>
      <c r="BA607" s="5">
        <f>IF(E607="","",TEXT(E607,"YYYY-MM"))</f>
        <v/>
      </c>
      <c r="BB607" s="5">
        <f>IF(E607="","",TEXT(E607,"YYYY"))</f>
        <v/>
      </c>
      <c r="BC607" s="92">
        <f>IF($E607="","",NETWORKDAYS($E607,Controls!$B$9,Ref!$F$4:$F$47))</f>
        <v/>
      </c>
      <c r="BD607" s="92">
        <f>IF(OR($AH607=1,$AJ607=1),1,0)</f>
        <v/>
      </c>
      <c r="BE607" s="95">
        <f>IF(OR($BD607=1,AND($AE607&lt;&gt;"",$BC607&gt;=Controls!$B$10*$AE607)),1,0)</f>
        <v/>
      </c>
    </row>
    <row r="608" ht="15.75" customHeight="1" s="79">
      <c r="A608" s="5" t="inlineStr">
        <is>
          <t>5674178068</t>
        </is>
      </c>
      <c r="B608" s="5" t="inlineStr">
        <is>
          <t>Garcia xpress LLC</t>
        </is>
      </c>
      <c r="C608" s="5" t="inlineStr">
        <is>
          <t>GARCIA XPRESS LLC</t>
        </is>
      </c>
      <c r="D608" s="5" t="inlineStr">
        <is>
          <t>In House Collection</t>
        </is>
      </c>
      <c r="E608" s="16" t="n">
        <v>46059</v>
      </c>
      <c r="F608" s="16" t="n">
        <v>46203</v>
      </c>
      <c r="G608" s="17" t="n">
        <v>2</v>
      </c>
      <c r="H608" s="5" t="inlineStr">
        <is>
          <t>4212</t>
        </is>
      </c>
      <c r="I608" s="5" t="inlineStr">
        <is>
          <t>Specialized Freight (Except Used Goods) Trucking, Local</t>
        </is>
      </c>
      <c r="J608" s="5" t="inlineStr">
        <is>
          <t>42</t>
        </is>
      </c>
      <c r="K608" s="5" t="n">
        <v>4214</v>
      </c>
      <c r="L608" s="5" t="inlineStr">
        <is>
          <t>NJ</t>
        </is>
      </c>
      <c r="M608" s="5" t="inlineStr">
        <is>
          <t>Fundible</t>
        </is>
      </c>
      <c r="N608" s="5" t="inlineStr">
        <is>
          <t>New Deal</t>
        </is>
      </c>
      <c r="O608" s="19" t="n">
        <v>1.43</v>
      </c>
      <c r="P608" s="20" t="n">
        <v>15000</v>
      </c>
      <c r="Q608" s="20" t="n">
        <v>1650</v>
      </c>
      <c r="R608" s="20" t="n">
        <v>21450</v>
      </c>
      <c r="S608" s="20" t="n">
        <v>3436.56</v>
      </c>
      <c r="T608" s="20" t="n">
        <v>18013.44</v>
      </c>
      <c r="U608" s="21" t="n">
        <v>0.160212587412587</v>
      </c>
      <c r="V608" s="22" t="n">
        <v>2.459</v>
      </c>
      <c r="W608" s="17" t="n">
        <v>176</v>
      </c>
      <c r="X608" s="17" t="n">
        <v>14</v>
      </c>
      <c r="Y608" s="20" t="n">
        <v>274610.06</v>
      </c>
      <c r="Z608" s="21" t="n">
        <v>0.0219</v>
      </c>
      <c r="AA608" s="16" t="n">
        <v>45328</v>
      </c>
      <c r="AB608" s="5">
        <f>IF(V608="","",IF(V608&lt;12,"Months","Weeks"))</f>
        <v/>
      </c>
      <c r="AC608" s="5">
        <f>IF(AB608="","",IF(AB608="Months","Daily","Weekly"))</f>
        <v/>
      </c>
      <c r="AD608" s="17">
        <f>IF(V608="","",IF(AC608="Daily",V608*Controls!$B$13,V608))</f>
        <v/>
      </c>
      <c r="AE608" s="17">
        <f>IF(V608="","",IF(AC608="Daily",V608*Controls!$B$13,V608*Controls!$B$12))</f>
        <v/>
      </c>
      <c r="AF608" s="17">
        <f>IF(OR(E608="",F608=""),"",F608-E608)</f>
        <v/>
      </c>
      <c r="AG608" s="17">
        <f>IF(OR(E608="",F608=""),"",NETWORKDAYS(E608,F608,Ref!$F$4:$F$47))</f>
        <v/>
      </c>
      <c r="AH608" s="39">
        <f>IF(IFERROR(VLOOKUP(D608,Controls!$A$25:$D$35,2,FALSE()),"No")="Yes",1,0)</f>
        <v/>
      </c>
      <c r="AI608" s="39">
        <f>IF(IFERROR(VLOOKUP(D608,Controls!$A$25:$D$35,3,FALSE()),"No")="Yes",1,0)</f>
        <v/>
      </c>
      <c r="AJ608" s="39">
        <f>IF(IFERROR(VLOOKUP(D608,Controls!$A$25:$D$35,4,FALSE()),"No")="Yes",1,0)</f>
        <v/>
      </c>
      <c r="AK608" s="96">
        <f>IF(AND($E608&gt;=Controls!$B$5,$E608&lt;=Controls!$B$6,OR(Controls!$E$9&lt;&gt;"Y",$BE608=1)),1,0)</f>
        <v/>
      </c>
      <c r="AL608" s="39">
        <f>1</f>
        <v/>
      </c>
      <c r="AM608" s="20">
        <f>S608-P608</f>
        <v/>
      </c>
      <c r="AN608" s="20">
        <f>IF(AH608=1,MAX(0,P608-S608),0)</f>
        <v/>
      </c>
      <c r="AO608" s="21">
        <f>IFERROR(S608/P608,"")</f>
        <v/>
      </c>
      <c r="AP608" s="22">
        <f>IF(Y608="","",P608/Y608)</f>
        <v/>
      </c>
      <c r="AQ608" s="39">
        <f>IF(Y608="",0,1)</f>
        <v/>
      </c>
      <c r="AR608" s="39">
        <f>IF(S608&lt;=0,1,0)</f>
        <v/>
      </c>
      <c r="AS608" s="17">
        <f>IF(AH608=1,AG608,"")</f>
        <v/>
      </c>
      <c r="AT608" s="17">
        <f>IF(AND(AH608=0,AJ608=1),AG608,"")</f>
        <v/>
      </c>
      <c r="AU608" s="5">
        <f>IF(P608&lt;10000,"Under $10K",IF(P608&lt;20000,"$10-20K",IF(P608&lt;30000,"$20-30K",IF(P608&lt;50000,"$30-50K",IF(P608&lt;100000,"$50-100K","$100K+")))))</f>
        <v/>
      </c>
      <c r="AV608" s="5">
        <f>IF(O608&lt;=1.35,"1.35 and under",IF(O608&lt;=1.42,"1.36-1.42",IF(O608&lt;=1.45,"1.43-1.45",IF(O608&lt;1.49,"1.46-1.48",IF(O608&lt;=1.49,"1.49","Above 1.49")))))</f>
        <v/>
      </c>
      <c r="AW608" s="5">
        <f>IF(AE608="","",IF(AE608&lt;60,"Under 60",IF(AE608&lt;90,"60-89",IF(AE608&lt;120,"90-119",IF(AE608&lt;150,"120-149","150+")))))</f>
        <v/>
      </c>
      <c r="AX608" s="5">
        <f>IF(AP608="","No revenue data",IF(AP608&lt;0.15,"Under 0.15x",IF(AP608&lt;0.3,"0.15-0.30x",IF(AP608&lt;0.5,"0.30-0.50x",IF(AP608&lt;1,"0.50-1.00x","1.00x+")))))</f>
        <v/>
      </c>
      <c r="AY608" s="5">
        <f>IF(J608="","No SIC",IFERROR(VLOOKUP(J608,Ref!$A$4:$C$67,2,FALSE()),"Unclassified"))</f>
        <v/>
      </c>
      <c r="AZ608" s="5">
        <f>IF(E608="","",TEXT(E608,"YYYY")&amp;"-Q"&amp;ROUNDUP(MONTH(E608)/3,0))</f>
        <v/>
      </c>
      <c r="BA608" s="5">
        <f>IF(E608="","",TEXT(E608,"YYYY-MM"))</f>
        <v/>
      </c>
      <c r="BB608" s="5">
        <f>IF(E608="","",TEXT(E608,"YYYY"))</f>
        <v/>
      </c>
      <c r="BC608" s="92">
        <f>IF($E608="","",NETWORKDAYS($E608,Controls!$B$9,Ref!$F$4:$F$47))</f>
        <v/>
      </c>
      <c r="BD608" s="92">
        <f>IF(OR($AH608=1,$AJ608=1),1,0)</f>
        <v/>
      </c>
      <c r="BE608" s="95">
        <f>IF(OR($BD608=1,AND($AE608&lt;&gt;"",$BC608&gt;=Controls!$B$10*$AE608)),1,0)</f>
        <v/>
      </c>
    </row>
    <row r="609" ht="15.75" customHeight="1" s="79">
      <c r="A609" s="5" t="inlineStr">
        <is>
          <t>5674178074</t>
        </is>
      </c>
      <c r="B609" s="5" t="inlineStr">
        <is>
          <t>J &amp; R CONSTRUCTION</t>
        </is>
      </c>
      <c r="C609" s="5" t="inlineStr">
        <is>
          <t>J &amp; R CONSTRUCTION</t>
        </is>
      </c>
      <c r="D609" s="5" t="inlineStr">
        <is>
          <t>Legal</t>
        </is>
      </c>
      <c r="E609" s="16" t="n">
        <v>46059</v>
      </c>
      <c r="F609" s="16" t="n">
        <v>46087</v>
      </c>
      <c r="G609" s="17" t="n">
        <v>3</v>
      </c>
      <c r="H609" s="5" t="n"/>
      <c r="I609" s="5" t="n"/>
      <c r="J609" s="5" t="n"/>
      <c r="K609" s="5" t="n"/>
      <c r="L609" s="5" t="inlineStr">
        <is>
          <t>No state</t>
        </is>
      </c>
      <c r="M609" s="5" t="inlineStr">
        <is>
          <t>United Secured Capital 8</t>
        </is>
      </c>
      <c r="N609" s="5" t="inlineStr">
        <is>
          <t>New Deal</t>
        </is>
      </c>
      <c r="O609" s="19" t="n">
        <v>1.49</v>
      </c>
      <c r="P609" s="20" t="n">
        <v>30000</v>
      </c>
      <c r="Q609" s="20" t="n">
        <v>4200</v>
      </c>
      <c r="R609" s="20" t="n">
        <v>44700</v>
      </c>
      <c r="S609" s="20" t="n">
        <v>5588.25</v>
      </c>
      <c r="T609" s="20" t="n">
        <v>39111.75</v>
      </c>
      <c r="U609" s="21" t="n">
        <v>0.12501677852349</v>
      </c>
      <c r="V609" s="22" t="n">
        <v>24</v>
      </c>
      <c r="W609" s="17" t="n">
        <v>173</v>
      </c>
      <c r="X609" s="17" t="n">
        <v>1</v>
      </c>
      <c r="Y609" s="20" t="n">
        <v>78846.67</v>
      </c>
      <c r="Z609" s="21" t="n">
        <v>0.0945</v>
      </c>
      <c r="AA609" s="5" t="n"/>
      <c r="AB609" s="5">
        <f>IF(V609="","",IF(V609&lt;12,"Months","Weeks"))</f>
        <v/>
      </c>
      <c r="AC609" s="5">
        <f>IF(AB609="","",IF(AB609="Months","Daily","Weekly"))</f>
        <v/>
      </c>
      <c r="AD609" s="17">
        <f>IF(V609="","",IF(AC609="Daily",V609*Controls!$B$13,V609))</f>
        <v/>
      </c>
      <c r="AE609" s="17">
        <f>IF(V609="","",IF(AC609="Daily",V609*Controls!$B$13,V609*Controls!$B$12))</f>
        <v/>
      </c>
      <c r="AF609" s="17">
        <f>IF(OR(E609="",F609=""),"",F609-E609)</f>
        <v/>
      </c>
      <c r="AG609" s="17">
        <f>IF(OR(E609="",F609=""),"",NETWORKDAYS(E609,F609,Ref!$F$4:$F$47))</f>
        <v/>
      </c>
      <c r="AH609" s="39">
        <f>IF(IFERROR(VLOOKUP(D609,Controls!$A$25:$D$35,2,FALSE()),"No")="Yes",1,0)</f>
        <v/>
      </c>
      <c r="AI609" s="39">
        <f>IF(IFERROR(VLOOKUP(D609,Controls!$A$25:$D$35,3,FALSE()),"No")="Yes",1,0)</f>
        <v/>
      </c>
      <c r="AJ609" s="39">
        <f>IF(IFERROR(VLOOKUP(D609,Controls!$A$25:$D$35,4,FALSE()),"No")="Yes",1,0)</f>
        <v/>
      </c>
      <c r="AK609" s="96">
        <f>IF(AND($E609&gt;=Controls!$B$5,$E609&lt;=Controls!$B$6,OR(Controls!$E$9&lt;&gt;"Y",$BE609=1)),1,0)</f>
        <v/>
      </c>
      <c r="AL609" s="39">
        <f>1</f>
        <v/>
      </c>
      <c r="AM609" s="20">
        <f>S609-P609</f>
        <v/>
      </c>
      <c r="AN609" s="20">
        <f>IF(AH609=1,MAX(0,P609-S609),0)</f>
        <v/>
      </c>
      <c r="AO609" s="21">
        <f>IFERROR(S609/P609,"")</f>
        <v/>
      </c>
      <c r="AP609" s="22">
        <f>IF(Y609="","",P609/Y609)</f>
        <v/>
      </c>
      <c r="AQ609" s="39">
        <f>IF(Y609="",0,1)</f>
        <v/>
      </c>
      <c r="AR609" s="39">
        <f>IF(S609&lt;=0,1,0)</f>
        <v/>
      </c>
      <c r="AS609" s="17">
        <f>IF(AH609=1,AG609,"")</f>
        <v/>
      </c>
      <c r="AT609" s="17">
        <f>IF(AND(AH609=0,AJ609=1),AG609,"")</f>
        <v/>
      </c>
      <c r="AU609" s="5">
        <f>IF(P609&lt;10000,"Under $10K",IF(P609&lt;20000,"$10-20K",IF(P609&lt;30000,"$20-30K",IF(P609&lt;50000,"$30-50K",IF(P609&lt;100000,"$50-100K","$100K+")))))</f>
        <v/>
      </c>
      <c r="AV609" s="5">
        <f>IF(O609&lt;=1.35,"1.35 and under",IF(O609&lt;=1.42,"1.36-1.42",IF(O609&lt;=1.45,"1.43-1.45",IF(O609&lt;1.49,"1.46-1.48",IF(O609&lt;=1.49,"1.49","Above 1.49")))))</f>
        <v/>
      </c>
      <c r="AW609" s="5">
        <f>IF(AE609="","",IF(AE609&lt;60,"Under 60",IF(AE609&lt;90,"60-89",IF(AE609&lt;120,"90-119",IF(AE609&lt;150,"120-149","150+")))))</f>
        <v/>
      </c>
      <c r="AX609" s="5">
        <f>IF(AP609="","No revenue data",IF(AP609&lt;0.15,"Under 0.15x",IF(AP609&lt;0.3,"0.15-0.30x",IF(AP609&lt;0.5,"0.30-0.50x",IF(AP609&lt;1,"0.50-1.00x","1.00x+")))))</f>
        <v/>
      </c>
      <c r="AY609" s="5">
        <f>IF(J609="","No SIC",IFERROR(VLOOKUP(J609,Ref!$A$4:$C$67,2,FALSE()),"Unclassified"))</f>
        <v/>
      </c>
      <c r="AZ609" s="5">
        <f>IF(E609="","",TEXT(E609,"YYYY")&amp;"-Q"&amp;ROUNDUP(MONTH(E609)/3,0))</f>
        <v/>
      </c>
      <c r="BA609" s="5">
        <f>IF(E609="","",TEXT(E609,"YYYY-MM"))</f>
        <v/>
      </c>
      <c r="BB609" s="5">
        <f>IF(E609="","",TEXT(E609,"YYYY"))</f>
        <v/>
      </c>
      <c r="BC609" s="92">
        <f>IF($E609="","",NETWORKDAYS($E609,Controls!$B$9,Ref!$F$4:$F$47))</f>
        <v/>
      </c>
      <c r="BD609" s="92">
        <f>IF(OR($AH609=1,$AJ609=1),1,0)</f>
        <v/>
      </c>
      <c r="BE609" s="95">
        <f>IF(OR($BD609=1,AND($AE609&lt;&gt;"",$BC609&gt;=Controls!$B$10*$AE609)),1,0)</f>
        <v/>
      </c>
    </row>
    <row r="610" ht="15.75" customHeight="1" s="79">
      <c r="A610" s="5" t="inlineStr">
        <is>
          <t>5674178118</t>
        </is>
      </c>
      <c r="B610" s="5" t="inlineStr">
        <is>
          <t>KATHY'S MASON JAR FAMILY DINER LLC</t>
        </is>
      </c>
      <c r="C610" s="5" t="inlineStr">
        <is>
          <t>KATHY'S MASON JAR FAMILY DINER LLC</t>
        </is>
      </c>
      <c r="D610" s="5" t="inlineStr">
        <is>
          <t>Closed</t>
        </is>
      </c>
      <c r="E610" s="16" t="n">
        <v>46062</v>
      </c>
      <c r="F610" s="16" t="n">
        <v>46139</v>
      </c>
      <c r="G610" s="17" t="n">
        <v>3</v>
      </c>
      <c r="H610" s="5" t="inlineStr">
        <is>
          <t>5812</t>
        </is>
      </c>
      <c r="I610" s="5" t="inlineStr">
        <is>
          <t>Snack and Nonalcoholic Beverage Bars</t>
        </is>
      </c>
      <c r="J610" s="5" t="inlineStr">
        <is>
          <t>58</t>
        </is>
      </c>
      <c r="K610" s="5" t="n">
        <v>5812</v>
      </c>
      <c r="L610" s="5" t="inlineStr">
        <is>
          <t>OK</t>
        </is>
      </c>
      <c r="M610" s="5" t="inlineStr">
        <is>
          <t>United Secured Capital 8</t>
        </is>
      </c>
      <c r="N610" s="5" t="inlineStr">
        <is>
          <t>Renewal</t>
        </is>
      </c>
      <c r="O610" s="19" t="n">
        <v>1.49</v>
      </c>
      <c r="P610" s="20" t="n">
        <v>16500</v>
      </c>
      <c r="Q610" s="20" t="n">
        <v>2310</v>
      </c>
      <c r="R610" s="20" t="n">
        <v>24585</v>
      </c>
      <c r="S610" s="20" t="n">
        <v>24585</v>
      </c>
      <c r="T610" s="20" t="n">
        <v>0</v>
      </c>
      <c r="U610" s="21" t="n">
        <v>1</v>
      </c>
      <c r="V610" s="22" t="n">
        <v>3.279</v>
      </c>
      <c r="W610" s="17" t="n">
        <v>114</v>
      </c>
      <c r="X610" s="17" t="n">
        <v>1</v>
      </c>
      <c r="Y610" s="20" t="n">
        <v>37733.39</v>
      </c>
      <c r="Z610" s="21" t="n">
        <v>0.1368</v>
      </c>
      <c r="AA610" s="5" t="n"/>
      <c r="AB610" s="5">
        <f>IF(V610="","",IF(V610&lt;12,"Months","Weeks"))</f>
        <v/>
      </c>
      <c r="AC610" s="5">
        <f>IF(AB610="","",IF(AB610="Months","Daily","Weekly"))</f>
        <v/>
      </c>
      <c r="AD610" s="17">
        <f>IF(V610="","",IF(AC610="Daily",V610*Controls!$B$13,V610))</f>
        <v/>
      </c>
      <c r="AE610" s="17">
        <f>IF(V610="","",IF(AC610="Daily",V610*Controls!$B$13,V610*Controls!$B$12))</f>
        <v/>
      </c>
      <c r="AF610" s="17">
        <f>IF(OR(E610="",F610=""),"",F610-E610)</f>
        <v/>
      </c>
      <c r="AG610" s="17">
        <f>IF(OR(E610="",F610=""),"",NETWORKDAYS(E610,F610,Ref!$F$4:$F$47))</f>
        <v/>
      </c>
      <c r="AH610" s="39">
        <f>IF(IFERROR(VLOOKUP(D610,Controls!$A$25:$D$35,2,FALSE()),"No")="Yes",1,0)</f>
        <v/>
      </c>
      <c r="AI610" s="39">
        <f>IF(IFERROR(VLOOKUP(D610,Controls!$A$25:$D$35,3,FALSE()),"No")="Yes",1,0)</f>
        <v/>
      </c>
      <c r="AJ610" s="39">
        <f>IF(IFERROR(VLOOKUP(D610,Controls!$A$25:$D$35,4,FALSE()),"No")="Yes",1,0)</f>
        <v/>
      </c>
      <c r="AK610" s="96">
        <f>IF(AND($E610&gt;=Controls!$B$5,$E610&lt;=Controls!$B$6,OR(Controls!$E$9&lt;&gt;"Y",$BE610=1)),1,0)</f>
        <v/>
      </c>
      <c r="AL610" s="39">
        <f>1</f>
        <v/>
      </c>
      <c r="AM610" s="20">
        <f>S610-P610</f>
        <v/>
      </c>
      <c r="AN610" s="20">
        <f>IF(AH610=1,MAX(0,P610-S610),0)</f>
        <v/>
      </c>
      <c r="AO610" s="21">
        <f>IFERROR(S610/P610,"")</f>
        <v/>
      </c>
      <c r="AP610" s="22">
        <f>IF(Y610="","",P610/Y610)</f>
        <v/>
      </c>
      <c r="AQ610" s="39">
        <f>IF(Y610="",0,1)</f>
        <v/>
      </c>
      <c r="AR610" s="39">
        <f>IF(S610&lt;=0,1,0)</f>
        <v/>
      </c>
      <c r="AS610" s="17">
        <f>IF(AH610=1,AG610,"")</f>
        <v/>
      </c>
      <c r="AT610" s="17">
        <f>IF(AND(AH610=0,AJ610=1),AG610,"")</f>
        <v/>
      </c>
      <c r="AU610" s="5">
        <f>IF(P610&lt;10000,"Under $10K",IF(P610&lt;20000,"$10-20K",IF(P610&lt;30000,"$20-30K",IF(P610&lt;50000,"$30-50K",IF(P610&lt;100000,"$50-100K","$100K+")))))</f>
        <v/>
      </c>
      <c r="AV610" s="5">
        <f>IF(O610&lt;=1.35,"1.35 and under",IF(O610&lt;=1.42,"1.36-1.42",IF(O610&lt;=1.45,"1.43-1.45",IF(O610&lt;1.49,"1.46-1.48",IF(O610&lt;=1.49,"1.49","Above 1.49")))))</f>
        <v/>
      </c>
      <c r="AW610" s="5">
        <f>IF(AE610="","",IF(AE610&lt;60,"Under 60",IF(AE610&lt;90,"60-89",IF(AE610&lt;120,"90-119",IF(AE610&lt;150,"120-149","150+")))))</f>
        <v/>
      </c>
      <c r="AX610" s="5">
        <f>IF(AP610="","No revenue data",IF(AP610&lt;0.15,"Under 0.15x",IF(AP610&lt;0.3,"0.15-0.30x",IF(AP610&lt;0.5,"0.30-0.50x",IF(AP610&lt;1,"0.50-1.00x","1.00x+")))))</f>
        <v/>
      </c>
      <c r="AY610" s="5">
        <f>IF(J610="","No SIC",IFERROR(VLOOKUP(J610,Ref!$A$4:$C$67,2,FALSE()),"Unclassified"))</f>
        <v/>
      </c>
      <c r="AZ610" s="5">
        <f>IF(E610="","",TEXT(E610,"YYYY")&amp;"-Q"&amp;ROUNDUP(MONTH(E610)/3,0))</f>
        <v/>
      </c>
      <c r="BA610" s="5">
        <f>IF(E610="","",TEXT(E610,"YYYY-MM"))</f>
        <v/>
      </c>
      <c r="BB610" s="5">
        <f>IF(E610="","",TEXT(E610,"YYYY"))</f>
        <v/>
      </c>
      <c r="BC610" s="92">
        <f>IF($E610="","",NETWORKDAYS($E610,Controls!$B$9,Ref!$F$4:$F$47))</f>
        <v/>
      </c>
      <c r="BD610" s="92">
        <f>IF(OR($AH610=1,$AJ610=1),1,0)</f>
        <v/>
      </c>
      <c r="BE610" s="95">
        <f>IF(OR($BD610=1,AND($AE610&lt;&gt;"",$BC610&gt;=Controls!$B$10*$AE610)),1,0)</f>
        <v/>
      </c>
    </row>
    <row r="611" ht="15.75" customHeight="1" s="79">
      <c r="A611" s="5" t="inlineStr">
        <is>
          <t>5674178132</t>
        </is>
      </c>
      <c r="B611" s="5" t="inlineStr">
        <is>
          <t>TOP NOTCH TRAINING GYM LLC</t>
        </is>
      </c>
      <c r="C611" s="5" t="inlineStr">
        <is>
          <t>TOP NOTCH TRAINING GYM LLC</t>
        </is>
      </c>
      <c r="D611" s="5" t="inlineStr">
        <is>
          <t>Closed</t>
        </is>
      </c>
      <c r="E611" s="16" t="n">
        <v>46062</v>
      </c>
      <c r="F611" s="16" t="n">
        <v>46099</v>
      </c>
      <c r="G611" s="17" t="n">
        <v>3</v>
      </c>
      <c r="H611" s="5" t="inlineStr">
        <is>
          <t>7991</t>
        </is>
      </c>
      <c r="I611" s="5" t="inlineStr">
        <is>
          <t>Fitness and Recreational Sports Centers</t>
        </is>
      </c>
      <c r="J611" s="5" t="inlineStr">
        <is>
          <t>79</t>
        </is>
      </c>
      <c r="K611" s="5" t="n">
        <v>7991</v>
      </c>
      <c r="L611" s="5" t="inlineStr">
        <is>
          <t>GA</t>
        </is>
      </c>
      <c r="M611" s="5" t="inlineStr">
        <is>
          <t>American Funding Association 1</t>
        </is>
      </c>
      <c r="N611" s="5" t="inlineStr">
        <is>
          <t>New Deal</t>
        </is>
      </c>
      <c r="O611" s="19" t="n">
        <v>1.394418</v>
      </c>
      <c r="P611" s="20" t="n">
        <v>20000</v>
      </c>
      <c r="Q611" s="20" t="n">
        <v>2400</v>
      </c>
      <c r="R611" s="20" t="n">
        <v>27888.36</v>
      </c>
      <c r="S611" s="20" t="n">
        <v>27888.36</v>
      </c>
      <c r="T611" s="20" t="n">
        <v>-3.63797880709171e-12</v>
      </c>
      <c r="U611" s="21" t="n">
        <v>1</v>
      </c>
      <c r="V611" s="22" t="n">
        <v>2.951</v>
      </c>
      <c r="W611" s="17" t="n">
        <v>154</v>
      </c>
      <c r="X611" s="17" t="n">
        <v>0</v>
      </c>
      <c r="Y611" s="20" t="n">
        <v>81728.03</v>
      </c>
      <c r="Z611" s="21" t="n">
        <v>0.0828</v>
      </c>
      <c r="AA611" s="16" t="n">
        <v>41794</v>
      </c>
      <c r="AB611" s="5">
        <f>IF(V611="","",IF(V611&lt;12,"Months","Weeks"))</f>
        <v/>
      </c>
      <c r="AC611" s="5">
        <f>IF(AB611="","",IF(AB611="Months","Daily","Weekly"))</f>
        <v/>
      </c>
      <c r="AD611" s="17">
        <f>IF(V611="","",IF(AC611="Daily",V611*Controls!$B$13,V611))</f>
        <v/>
      </c>
      <c r="AE611" s="17">
        <f>IF(V611="","",IF(AC611="Daily",V611*Controls!$B$13,V611*Controls!$B$12))</f>
        <v/>
      </c>
      <c r="AF611" s="17">
        <f>IF(OR(E611="",F611=""),"",F611-E611)</f>
        <v/>
      </c>
      <c r="AG611" s="17">
        <f>IF(OR(E611="",F611=""),"",NETWORKDAYS(E611,F611,Ref!$F$4:$F$47))</f>
        <v/>
      </c>
      <c r="AH611" s="39">
        <f>IF(IFERROR(VLOOKUP(D611,Controls!$A$25:$D$35,2,FALSE()),"No")="Yes",1,0)</f>
        <v/>
      </c>
      <c r="AI611" s="39">
        <f>IF(IFERROR(VLOOKUP(D611,Controls!$A$25:$D$35,3,FALSE()),"No")="Yes",1,0)</f>
        <v/>
      </c>
      <c r="AJ611" s="39">
        <f>IF(IFERROR(VLOOKUP(D611,Controls!$A$25:$D$35,4,FALSE()),"No")="Yes",1,0)</f>
        <v/>
      </c>
      <c r="AK611" s="96">
        <f>IF(AND($E611&gt;=Controls!$B$5,$E611&lt;=Controls!$B$6,OR(Controls!$E$9&lt;&gt;"Y",$BE611=1)),1,0)</f>
        <v/>
      </c>
      <c r="AL611" s="39">
        <f>1</f>
        <v/>
      </c>
      <c r="AM611" s="20">
        <f>S611-P611</f>
        <v/>
      </c>
      <c r="AN611" s="20">
        <f>IF(AH611=1,MAX(0,P611-S611),0)</f>
        <v/>
      </c>
      <c r="AO611" s="21">
        <f>IFERROR(S611/P611,"")</f>
        <v/>
      </c>
      <c r="AP611" s="22">
        <f>IF(Y611="","",P611/Y611)</f>
        <v/>
      </c>
      <c r="AQ611" s="39">
        <f>IF(Y611="",0,1)</f>
        <v/>
      </c>
      <c r="AR611" s="39">
        <f>IF(S611&lt;=0,1,0)</f>
        <v/>
      </c>
      <c r="AS611" s="17">
        <f>IF(AH611=1,AG611,"")</f>
        <v/>
      </c>
      <c r="AT611" s="17">
        <f>IF(AND(AH611=0,AJ611=1),AG611,"")</f>
        <v/>
      </c>
      <c r="AU611" s="5">
        <f>IF(P611&lt;10000,"Under $10K",IF(P611&lt;20000,"$10-20K",IF(P611&lt;30000,"$20-30K",IF(P611&lt;50000,"$30-50K",IF(P611&lt;100000,"$50-100K","$100K+")))))</f>
        <v/>
      </c>
      <c r="AV611" s="5">
        <f>IF(O611&lt;=1.35,"1.35 and under",IF(O611&lt;=1.42,"1.36-1.42",IF(O611&lt;=1.45,"1.43-1.45",IF(O611&lt;1.49,"1.46-1.48",IF(O611&lt;=1.49,"1.49","Above 1.49")))))</f>
        <v/>
      </c>
      <c r="AW611" s="5">
        <f>IF(AE611="","",IF(AE611&lt;60,"Under 60",IF(AE611&lt;90,"60-89",IF(AE611&lt;120,"90-119",IF(AE611&lt;150,"120-149","150+")))))</f>
        <v/>
      </c>
      <c r="AX611" s="5">
        <f>IF(AP611="","No revenue data",IF(AP611&lt;0.15,"Under 0.15x",IF(AP611&lt;0.3,"0.15-0.30x",IF(AP611&lt;0.5,"0.30-0.50x",IF(AP611&lt;1,"0.50-1.00x","1.00x+")))))</f>
        <v/>
      </c>
      <c r="AY611" s="5">
        <f>IF(J611="","No SIC",IFERROR(VLOOKUP(J611,Ref!$A$4:$C$67,2,FALSE()),"Unclassified"))</f>
        <v/>
      </c>
      <c r="AZ611" s="5">
        <f>IF(E611="","",TEXT(E611,"YYYY")&amp;"-Q"&amp;ROUNDUP(MONTH(E611)/3,0))</f>
        <v/>
      </c>
      <c r="BA611" s="5">
        <f>IF(E611="","",TEXT(E611,"YYYY-MM"))</f>
        <v/>
      </c>
      <c r="BB611" s="5">
        <f>IF(E611="","",TEXT(E611,"YYYY"))</f>
        <v/>
      </c>
      <c r="BC611" s="92">
        <f>IF($E611="","",NETWORKDAYS($E611,Controls!$B$9,Ref!$F$4:$F$47))</f>
        <v/>
      </c>
      <c r="BD611" s="92">
        <f>IF(OR($AH611=1,$AJ611=1),1,0)</f>
        <v/>
      </c>
      <c r="BE611" s="95">
        <f>IF(OR($BD611=1,AND($AE611&lt;&gt;"",$BC611&gt;=Controls!$B$10*$AE611)),1,0)</f>
        <v/>
      </c>
    </row>
    <row r="612" ht="15.75" customHeight="1" s="79">
      <c r="A612" s="5" t="inlineStr">
        <is>
          <t>5674178133</t>
        </is>
      </c>
      <c r="B612" s="5" t="inlineStr">
        <is>
          <t>LEGENDS OFFROAD LLC</t>
        </is>
      </c>
      <c r="C612" s="5" t="inlineStr">
        <is>
          <t>LEGENDS OFFROAD LLC</t>
        </is>
      </c>
      <c r="D612" s="5" t="inlineStr">
        <is>
          <t>Legal</t>
        </is>
      </c>
      <c r="E612" s="16" t="n">
        <v>46062</v>
      </c>
      <c r="F612" s="16" t="n">
        <v>46150</v>
      </c>
      <c r="G612" s="17" t="n">
        <v>2</v>
      </c>
      <c r="H612" s="5" t="inlineStr">
        <is>
          <t>7538</t>
        </is>
      </c>
      <c r="I612" s="5" t="inlineStr">
        <is>
          <t>General Automotive Repair</t>
        </is>
      </c>
      <c r="J612" s="5" t="inlineStr">
        <is>
          <t>75</t>
        </is>
      </c>
      <c r="K612" s="5" t="n">
        <v>7538</v>
      </c>
      <c r="L612" s="5" t="inlineStr">
        <is>
          <t>ND</t>
        </is>
      </c>
      <c r="M612" s="5" t="inlineStr">
        <is>
          <t>TRUSTFI</t>
        </is>
      </c>
      <c r="N612" s="5" t="inlineStr">
        <is>
          <t>New Deal</t>
        </is>
      </c>
      <c r="O612" s="19" t="n">
        <v>1.4</v>
      </c>
      <c r="P612" s="20" t="n">
        <v>20000</v>
      </c>
      <c r="Q612" s="20" t="n">
        <v>1900</v>
      </c>
      <c r="R612" s="20" t="n">
        <v>28000</v>
      </c>
      <c r="S612" s="20" t="n">
        <v>6996.95</v>
      </c>
      <c r="T612" s="20" t="n">
        <v>21003.05</v>
      </c>
      <c r="U612" s="21" t="n">
        <v>0.249891071428571</v>
      </c>
      <c r="V612" s="22" t="n">
        <v>20</v>
      </c>
      <c r="W612" s="17" t="n">
        <v>145</v>
      </c>
      <c r="X612" s="17" t="n">
        <v>8</v>
      </c>
      <c r="Y612" s="20" t="n">
        <v>72319.86</v>
      </c>
      <c r="Z612" s="21" t="n">
        <v>0.0774</v>
      </c>
      <c r="AA612" s="16" t="n">
        <v>44409</v>
      </c>
      <c r="AB612" s="5">
        <f>IF(V612="","",IF(V612&lt;12,"Months","Weeks"))</f>
        <v/>
      </c>
      <c r="AC612" s="5">
        <f>IF(AB612="","",IF(AB612="Months","Daily","Weekly"))</f>
        <v/>
      </c>
      <c r="AD612" s="17">
        <f>IF(V612="","",IF(AC612="Daily",V612*Controls!$B$13,V612))</f>
        <v/>
      </c>
      <c r="AE612" s="17">
        <f>IF(V612="","",IF(AC612="Daily",V612*Controls!$B$13,V612*Controls!$B$12))</f>
        <v/>
      </c>
      <c r="AF612" s="17">
        <f>IF(OR(E612="",F612=""),"",F612-E612)</f>
        <v/>
      </c>
      <c r="AG612" s="17">
        <f>IF(OR(E612="",F612=""),"",NETWORKDAYS(E612,F612,Ref!$F$4:$F$47))</f>
        <v/>
      </c>
      <c r="AH612" s="39">
        <f>IF(IFERROR(VLOOKUP(D612,Controls!$A$25:$D$35,2,FALSE()),"No")="Yes",1,0)</f>
        <v/>
      </c>
      <c r="AI612" s="39">
        <f>IF(IFERROR(VLOOKUP(D612,Controls!$A$25:$D$35,3,FALSE()),"No")="Yes",1,0)</f>
        <v/>
      </c>
      <c r="AJ612" s="39">
        <f>IF(IFERROR(VLOOKUP(D612,Controls!$A$25:$D$35,4,FALSE()),"No")="Yes",1,0)</f>
        <v/>
      </c>
      <c r="AK612" s="96">
        <f>IF(AND($E612&gt;=Controls!$B$5,$E612&lt;=Controls!$B$6,OR(Controls!$E$9&lt;&gt;"Y",$BE612=1)),1,0)</f>
        <v/>
      </c>
      <c r="AL612" s="39">
        <f>1</f>
        <v/>
      </c>
      <c r="AM612" s="20">
        <f>S612-P612</f>
        <v/>
      </c>
      <c r="AN612" s="20">
        <f>IF(AH612=1,MAX(0,P612-S612),0)</f>
        <v/>
      </c>
      <c r="AO612" s="21">
        <f>IFERROR(S612/P612,"")</f>
        <v/>
      </c>
      <c r="AP612" s="22">
        <f>IF(Y612="","",P612/Y612)</f>
        <v/>
      </c>
      <c r="AQ612" s="39">
        <f>IF(Y612="",0,1)</f>
        <v/>
      </c>
      <c r="AR612" s="39">
        <f>IF(S612&lt;=0,1,0)</f>
        <v/>
      </c>
      <c r="AS612" s="17">
        <f>IF(AH612=1,AG612,"")</f>
        <v/>
      </c>
      <c r="AT612" s="17">
        <f>IF(AND(AH612=0,AJ612=1),AG612,"")</f>
        <v/>
      </c>
      <c r="AU612" s="5">
        <f>IF(P612&lt;10000,"Under $10K",IF(P612&lt;20000,"$10-20K",IF(P612&lt;30000,"$20-30K",IF(P612&lt;50000,"$30-50K",IF(P612&lt;100000,"$50-100K","$100K+")))))</f>
        <v/>
      </c>
      <c r="AV612" s="5">
        <f>IF(O612&lt;=1.35,"1.35 and under",IF(O612&lt;=1.42,"1.36-1.42",IF(O612&lt;=1.45,"1.43-1.45",IF(O612&lt;1.49,"1.46-1.48",IF(O612&lt;=1.49,"1.49","Above 1.49")))))</f>
        <v/>
      </c>
      <c r="AW612" s="5">
        <f>IF(AE612="","",IF(AE612&lt;60,"Under 60",IF(AE612&lt;90,"60-89",IF(AE612&lt;120,"90-119",IF(AE612&lt;150,"120-149","150+")))))</f>
        <v/>
      </c>
      <c r="AX612" s="5">
        <f>IF(AP612="","No revenue data",IF(AP612&lt;0.15,"Under 0.15x",IF(AP612&lt;0.3,"0.15-0.30x",IF(AP612&lt;0.5,"0.30-0.50x",IF(AP612&lt;1,"0.50-1.00x","1.00x+")))))</f>
        <v/>
      </c>
      <c r="AY612" s="5">
        <f>IF(J612="","No SIC",IFERROR(VLOOKUP(J612,Ref!$A$4:$C$67,2,FALSE()),"Unclassified"))</f>
        <v/>
      </c>
      <c r="AZ612" s="5">
        <f>IF(E612="","",TEXT(E612,"YYYY")&amp;"-Q"&amp;ROUNDUP(MONTH(E612)/3,0))</f>
        <v/>
      </c>
      <c r="BA612" s="5">
        <f>IF(E612="","",TEXT(E612,"YYYY-MM"))</f>
        <v/>
      </c>
      <c r="BB612" s="5">
        <f>IF(E612="","",TEXT(E612,"YYYY"))</f>
        <v/>
      </c>
      <c r="BC612" s="92">
        <f>IF($E612="","",NETWORKDAYS($E612,Controls!$B$9,Ref!$F$4:$F$47))</f>
        <v/>
      </c>
      <c r="BD612" s="92">
        <f>IF(OR($AH612=1,$AJ612=1),1,0)</f>
        <v/>
      </c>
      <c r="BE612" s="95">
        <f>IF(OR($BD612=1,AND($AE612&lt;&gt;"",$BC612&gt;=Controls!$B$10*$AE612)),1,0)</f>
        <v/>
      </c>
    </row>
    <row r="613" ht="15.75" customHeight="1" s="79">
      <c r="A613" s="5" t="inlineStr">
        <is>
          <t>5674178226</t>
        </is>
      </c>
      <c r="B613" s="5" t="inlineStr">
        <is>
          <t>ASTER PACIFIC LLC</t>
        </is>
      </c>
      <c r="C613" s="5" t="inlineStr">
        <is>
          <t>ASTER PACIFIC LLC</t>
        </is>
      </c>
      <c r="D613" s="5" t="inlineStr">
        <is>
          <t>Open</t>
        </is>
      </c>
      <c r="E613" s="16" t="n">
        <v>46063</v>
      </c>
      <c r="F613" s="16" t="n">
        <v>46220</v>
      </c>
      <c r="G613" s="17" t="n">
        <v>3</v>
      </c>
      <c r="H613" s="5" t="inlineStr">
        <is>
          <t>1521</t>
        </is>
      </c>
      <c r="I613" s="5" t="inlineStr">
        <is>
          <t>Residential Remodelers</t>
        </is>
      </c>
      <c r="J613" s="5" t="inlineStr">
        <is>
          <t>15</t>
        </is>
      </c>
      <c r="K613" s="5" t="n">
        <v>1520</v>
      </c>
      <c r="L613" s="5" t="inlineStr">
        <is>
          <t>FL</t>
        </is>
      </c>
      <c r="M613" s="5" t="inlineStr">
        <is>
          <t>United Secured Capital 8</t>
        </is>
      </c>
      <c r="N613" s="5" t="inlineStr">
        <is>
          <t>New Deal</t>
        </is>
      </c>
      <c r="O613" s="19" t="n">
        <v>1.49</v>
      </c>
      <c r="P613" s="20" t="n">
        <v>15000</v>
      </c>
      <c r="Q613" s="20" t="n">
        <v>2100</v>
      </c>
      <c r="R613" s="20" t="n">
        <v>22350</v>
      </c>
      <c r="S613" s="20" t="n">
        <v>6716.1</v>
      </c>
      <c r="T613" s="20" t="n">
        <v>15633.9</v>
      </c>
      <c r="U613" s="21" t="n">
        <v>0.300496644295302</v>
      </c>
      <c r="V613" s="22" t="n">
        <v>20</v>
      </c>
      <c r="W613" s="17" t="n">
        <v>106</v>
      </c>
      <c r="X613" s="17" t="n">
        <v>16</v>
      </c>
      <c r="Y613" s="20" t="n">
        <v>205385.89</v>
      </c>
      <c r="Z613" s="21" t="n">
        <v>0.0218</v>
      </c>
      <c r="AA613" s="5" t="n"/>
      <c r="AB613" s="5">
        <f>IF(V613="","",IF(V613&lt;12,"Months","Weeks"))</f>
        <v/>
      </c>
      <c r="AC613" s="5">
        <f>IF(AB613="","",IF(AB613="Months","Daily","Weekly"))</f>
        <v/>
      </c>
      <c r="AD613" s="17">
        <f>IF(V613="","",IF(AC613="Daily",V613*Controls!$B$13,V613))</f>
        <v/>
      </c>
      <c r="AE613" s="17">
        <f>IF(V613="","",IF(AC613="Daily",V613*Controls!$B$13,V613*Controls!$B$12))</f>
        <v/>
      </c>
      <c r="AF613" s="17">
        <f>IF(OR(E613="",F613=""),"",F613-E613)</f>
        <v/>
      </c>
      <c r="AG613" s="17">
        <f>IF(OR(E613="",F613=""),"",NETWORKDAYS(E613,F613,Ref!$F$4:$F$47))</f>
        <v/>
      </c>
      <c r="AH613" s="39">
        <f>IF(IFERROR(VLOOKUP(D613,Controls!$A$25:$D$35,2,FALSE()),"No")="Yes",1,0)</f>
        <v/>
      </c>
      <c r="AI613" s="39">
        <f>IF(IFERROR(VLOOKUP(D613,Controls!$A$25:$D$35,3,FALSE()),"No")="Yes",1,0)</f>
        <v/>
      </c>
      <c r="AJ613" s="39">
        <f>IF(IFERROR(VLOOKUP(D613,Controls!$A$25:$D$35,4,FALSE()),"No")="Yes",1,0)</f>
        <v/>
      </c>
      <c r="AK613" s="96">
        <f>IF(AND($E613&gt;=Controls!$B$5,$E613&lt;=Controls!$B$6,OR(Controls!$E$9&lt;&gt;"Y",$BE613=1)),1,0)</f>
        <v/>
      </c>
      <c r="AL613" s="39">
        <f>1</f>
        <v/>
      </c>
      <c r="AM613" s="20">
        <f>S613-P613</f>
        <v/>
      </c>
      <c r="AN613" s="20">
        <f>IF(AH613=1,MAX(0,P613-S613),0)</f>
        <v/>
      </c>
      <c r="AO613" s="21">
        <f>IFERROR(S613/P613,"")</f>
        <v/>
      </c>
      <c r="AP613" s="22">
        <f>IF(Y613="","",P613/Y613)</f>
        <v/>
      </c>
      <c r="AQ613" s="39">
        <f>IF(Y613="",0,1)</f>
        <v/>
      </c>
      <c r="AR613" s="39">
        <f>IF(S613&lt;=0,1,0)</f>
        <v/>
      </c>
      <c r="AS613" s="17">
        <f>IF(AH613=1,AG613,"")</f>
        <v/>
      </c>
      <c r="AT613" s="17">
        <f>IF(AND(AH613=0,AJ613=1),AG613,"")</f>
        <v/>
      </c>
      <c r="AU613" s="5">
        <f>IF(P613&lt;10000,"Under $10K",IF(P613&lt;20000,"$10-20K",IF(P613&lt;30000,"$20-30K",IF(P613&lt;50000,"$30-50K",IF(P613&lt;100000,"$50-100K","$100K+")))))</f>
        <v/>
      </c>
      <c r="AV613" s="5">
        <f>IF(O613&lt;=1.35,"1.35 and under",IF(O613&lt;=1.42,"1.36-1.42",IF(O613&lt;=1.45,"1.43-1.45",IF(O613&lt;1.49,"1.46-1.48",IF(O613&lt;=1.49,"1.49","Above 1.49")))))</f>
        <v/>
      </c>
      <c r="AW613" s="5">
        <f>IF(AE613="","",IF(AE613&lt;60,"Under 60",IF(AE613&lt;90,"60-89",IF(AE613&lt;120,"90-119",IF(AE613&lt;150,"120-149","150+")))))</f>
        <v/>
      </c>
      <c r="AX613" s="5">
        <f>IF(AP613="","No revenue data",IF(AP613&lt;0.15,"Under 0.15x",IF(AP613&lt;0.3,"0.15-0.30x",IF(AP613&lt;0.5,"0.30-0.50x",IF(AP613&lt;1,"0.50-1.00x","1.00x+")))))</f>
        <v/>
      </c>
      <c r="AY613" s="5">
        <f>IF(J613="","No SIC",IFERROR(VLOOKUP(J613,Ref!$A$4:$C$67,2,FALSE()),"Unclassified"))</f>
        <v/>
      </c>
      <c r="AZ613" s="5">
        <f>IF(E613="","",TEXT(E613,"YYYY")&amp;"-Q"&amp;ROUNDUP(MONTH(E613)/3,0))</f>
        <v/>
      </c>
      <c r="BA613" s="5">
        <f>IF(E613="","",TEXT(E613,"YYYY-MM"))</f>
        <v/>
      </c>
      <c r="BB613" s="5">
        <f>IF(E613="","",TEXT(E613,"YYYY"))</f>
        <v/>
      </c>
      <c r="BC613" s="92">
        <f>IF($E613="","",NETWORKDAYS($E613,Controls!$B$9,Ref!$F$4:$F$47))</f>
        <v/>
      </c>
      <c r="BD613" s="92">
        <f>IF(OR($AH613=1,$AJ613=1),1,0)</f>
        <v/>
      </c>
      <c r="BE613" s="95">
        <f>IF(OR($BD613=1,AND($AE613&lt;&gt;"",$BC613&gt;=Controls!$B$10*$AE613)),1,0)</f>
        <v/>
      </c>
    </row>
    <row r="614" ht="15.75" customHeight="1" s="79">
      <c r="A614" s="5" t="inlineStr">
        <is>
          <t>5674178229</t>
        </is>
      </c>
      <c r="B614" s="5" t="inlineStr">
        <is>
          <t>Beauty Bar Medispa Greenville, PLLC</t>
        </is>
      </c>
      <c r="C614" s="5" t="inlineStr">
        <is>
          <t>Beauty Bar Medispa Greenville, PLLC</t>
        </is>
      </c>
      <c r="D614" s="5" t="inlineStr">
        <is>
          <t>Closed</t>
        </is>
      </c>
      <c r="E614" s="16" t="n">
        <v>46063</v>
      </c>
      <c r="F614" s="16" t="n">
        <v>46141</v>
      </c>
      <c r="G614" s="17" t="n">
        <v>2</v>
      </c>
      <c r="H614" s="5" t="inlineStr">
        <is>
          <t>7231</t>
        </is>
      </c>
      <c r="I614" s="5" t="inlineStr">
        <is>
          <t>Cosmetology and Barber Schools</t>
        </is>
      </c>
      <c r="J614" s="5" t="inlineStr">
        <is>
          <t>72</t>
        </is>
      </c>
      <c r="K614" s="5" t="n">
        <v>7230</v>
      </c>
      <c r="L614" s="5" t="inlineStr">
        <is>
          <t>NC</t>
        </is>
      </c>
      <c r="M614" s="5" t="inlineStr">
        <is>
          <t>Ballicci</t>
        </is>
      </c>
      <c r="N614" s="5" t="inlineStr">
        <is>
          <t>New Deal</t>
        </is>
      </c>
      <c r="O614" s="19" t="n">
        <v>1.49</v>
      </c>
      <c r="P614" s="20" t="n">
        <v>20000</v>
      </c>
      <c r="Q614" s="20" t="n">
        <v>2800</v>
      </c>
      <c r="R614" s="20" t="n">
        <v>29800</v>
      </c>
      <c r="S614" s="20" t="n">
        <v>29800</v>
      </c>
      <c r="T614" s="20" t="n">
        <v>0</v>
      </c>
      <c r="U614" s="21" t="n">
        <v>1</v>
      </c>
      <c r="V614" s="22" t="n">
        <v>2.951</v>
      </c>
      <c r="W614" s="17" t="n">
        <v>112</v>
      </c>
      <c r="X614" s="17" t="n">
        <v>0</v>
      </c>
      <c r="Y614" s="20" t="n">
        <v>165533.36</v>
      </c>
      <c r="Z614" s="21" t="n">
        <v>0.042</v>
      </c>
      <c r="AA614" s="16" t="n">
        <v>43908</v>
      </c>
      <c r="AB614" s="5">
        <f>IF(V614="","",IF(V614&lt;12,"Months","Weeks"))</f>
        <v/>
      </c>
      <c r="AC614" s="5">
        <f>IF(AB614="","",IF(AB614="Months","Daily","Weekly"))</f>
        <v/>
      </c>
      <c r="AD614" s="17">
        <f>IF(V614="","",IF(AC614="Daily",V614*Controls!$B$13,V614))</f>
        <v/>
      </c>
      <c r="AE614" s="17">
        <f>IF(V614="","",IF(AC614="Daily",V614*Controls!$B$13,V614*Controls!$B$12))</f>
        <v/>
      </c>
      <c r="AF614" s="17">
        <f>IF(OR(E614="",F614=""),"",F614-E614)</f>
        <v/>
      </c>
      <c r="AG614" s="17">
        <f>IF(OR(E614="",F614=""),"",NETWORKDAYS(E614,F614,Ref!$F$4:$F$47))</f>
        <v/>
      </c>
      <c r="AH614" s="39">
        <f>IF(IFERROR(VLOOKUP(D614,Controls!$A$25:$D$35,2,FALSE()),"No")="Yes",1,0)</f>
        <v/>
      </c>
      <c r="AI614" s="39">
        <f>IF(IFERROR(VLOOKUP(D614,Controls!$A$25:$D$35,3,FALSE()),"No")="Yes",1,0)</f>
        <v/>
      </c>
      <c r="AJ614" s="39">
        <f>IF(IFERROR(VLOOKUP(D614,Controls!$A$25:$D$35,4,FALSE()),"No")="Yes",1,0)</f>
        <v/>
      </c>
      <c r="AK614" s="96">
        <f>IF(AND($E614&gt;=Controls!$B$5,$E614&lt;=Controls!$B$6,OR(Controls!$E$9&lt;&gt;"Y",$BE614=1)),1,0)</f>
        <v/>
      </c>
      <c r="AL614" s="39">
        <f>1</f>
        <v/>
      </c>
      <c r="AM614" s="20">
        <f>S614-P614</f>
        <v/>
      </c>
      <c r="AN614" s="20">
        <f>IF(AH614=1,MAX(0,P614-S614),0)</f>
        <v/>
      </c>
      <c r="AO614" s="21">
        <f>IFERROR(S614/P614,"")</f>
        <v/>
      </c>
      <c r="AP614" s="22">
        <f>IF(Y614="","",P614/Y614)</f>
        <v/>
      </c>
      <c r="AQ614" s="39">
        <f>IF(Y614="",0,1)</f>
        <v/>
      </c>
      <c r="AR614" s="39">
        <f>IF(S614&lt;=0,1,0)</f>
        <v/>
      </c>
      <c r="AS614" s="17">
        <f>IF(AH614=1,AG614,"")</f>
        <v/>
      </c>
      <c r="AT614" s="17">
        <f>IF(AND(AH614=0,AJ614=1),AG614,"")</f>
        <v/>
      </c>
      <c r="AU614" s="5">
        <f>IF(P614&lt;10000,"Under $10K",IF(P614&lt;20000,"$10-20K",IF(P614&lt;30000,"$20-30K",IF(P614&lt;50000,"$30-50K",IF(P614&lt;100000,"$50-100K","$100K+")))))</f>
        <v/>
      </c>
      <c r="AV614" s="5">
        <f>IF(O614&lt;=1.35,"1.35 and under",IF(O614&lt;=1.42,"1.36-1.42",IF(O614&lt;=1.45,"1.43-1.45",IF(O614&lt;1.49,"1.46-1.48",IF(O614&lt;=1.49,"1.49","Above 1.49")))))</f>
        <v/>
      </c>
      <c r="AW614" s="5">
        <f>IF(AE614="","",IF(AE614&lt;60,"Under 60",IF(AE614&lt;90,"60-89",IF(AE614&lt;120,"90-119",IF(AE614&lt;150,"120-149","150+")))))</f>
        <v/>
      </c>
      <c r="AX614" s="5">
        <f>IF(AP614="","No revenue data",IF(AP614&lt;0.15,"Under 0.15x",IF(AP614&lt;0.3,"0.15-0.30x",IF(AP614&lt;0.5,"0.30-0.50x",IF(AP614&lt;1,"0.50-1.00x","1.00x+")))))</f>
        <v/>
      </c>
      <c r="AY614" s="5">
        <f>IF(J614="","No SIC",IFERROR(VLOOKUP(J614,Ref!$A$4:$C$67,2,FALSE()),"Unclassified"))</f>
        <v/>
      </c>
      <c r="AZ614" s="5">
        <f>IF(E614="","",TEXT(E614,"YYYY")&amp;"-Q"&amp;ROUNDUP(MONTH(E614)/3,0))</f>
        <v/>
      </c>
      <c r="BA614" s="5">
        <f>IF(E614="","",TEXT(E614,"YYYY-MM"))</f>
        <v/>
      </c>
      <c r="BB614" s="5">
        <f>IF(E614="","",TEXT(E614,"YYYY"))</f>
        <v/>
      </c>
      <c r="BC614" s="92">
        <f>IF($E614="","",NETWORKDAYS($E614,Controls!$B$9,Ref!$F$4:$F$47))</f>
        <v/>
      </c>
      <c r="BD614" s="92">
        <f>IF(OR($AH614=1,$AJ614=1),1,0)</f>
        <v/>
      </c>
      <c r="BE614" s="95">
        <f>IF(OR($BD614=1,AND($AE614&lt;&gt;"",$BC614&gt;=Controls!$B$10*$AE614)),1,0)</f>
        <v/>
      </c>
    </row>
    <row r="615" ht="15.75" customHeight="1" s="79">
      <c r="A615" s="5" t="inlineStr">
        <is>
          <t>5674178256</t>
        </is>
      </c>
      <c r="B615" s="5" t="inlineStr">
        <is>
          <t>ferrox enterprises inc</t>
        </is>
      </c>
      <c r="C615" s="5" t="inlineStr">
        <is>
          <t>ferrox enterprises inc</t>
        </is>
      </c>
      <c r="D615" s="5" t="inlineStr">
        <is>
          <t>Legal</t>
        </is>
      </c>
      <c r="E615" s="16" t="n">
        <v>46063</v>
      </c>
      <c r="F615" s="16" t="n">
        <v>46073</v>
      </c>
      <c r="G615" s="17" t="n">
        <v>3</v>
      </c>
      <c r="H615" s="5" t="inlineStr">
        <is>
          <t>5399</t>
        </is>
      </c>
      <c r="I615" s="5" t="inlineStr">
        <is>
          <t>All Other General Merchandise Stores</t>
        </is>
      </c>
      <c r="J615" s="5" t="inlineStr">
        <is>
          <t>53</t>
        </is>
      </c>
      <c r="K615" s="5" t="n">
        <v>5399</v>
      </c>
      <c r="L615" s="5" t="inlineStr">
        <is>
          <t>CA</t>
        </is>
      </c>
      <c r="M615" s="5" t="inlineStr">
        <is>
          <t>United Secured Capital 8</t>
        </is>
      </c>
      <c r="N615" s="5" t="inlineStr">
        <is>
          <t>New Deal</t>
        </is>
      </c>
      <c r="O615" s="19" t="n">
        <v>1.49</v>
      </c>
      <c r="P615" s="20" t="n">
        <v>25000</v>
      </c>
      <c r="Q615" s="20" t="n">
        <v>0</v>
      </c>
      <c r="R615" s="20" t="n">
        <v>37250</v>
      </c>
      <c r="S615" s="20" t="n">
        <v>1862.09</v>
      </c>
      <c r="T615" s="20" t="n">
        <v>35387.91</v>
      </c>
      <c r="U615" s="21" t="n">
        <v>0.0499889932885906</v>
      </c>
      <c r="V615" s="22" t="n">
        <v>20</v>
      </c>
      <c r="W615" s="17" t="n">
        <v>187</v>
      </c>
      <c r="X615" s="17" t="n">
        <v>1</v>
      </c>
      <c r="Y615" s="20" t="n">
        <v>70667.49000000001</v>
      </c>
      <c r="Z615" s="21" t="n">
        <v>0.1054</v>
      </c>
      <c r="AA615" s="16" t="n">
        <v>44705</v>
      </c>
      <c r="AB615" s="5">
        <f>IF(V615="","",IF(V615&lt;12,"Months","Weeks"))</f>
        <v/>
      </c>
      <c r="AC615" s="5">
        <f>IF(AB615="","",IF(AB615="Months","Daily","Weekly"))</f>
        <v/>
      </c>
      <c r="AD615" s="17">
        <f>IF(V615="","",IF(AC615="Daily",V615*Controls!$B$13,V615))</f>
        <v/>
      </c>
      <c r="AE615" s="17">
        <f>IF(V615="","",IF(AC615="Daily",V615*Controls!$B$13,V615*Controls!$B$12))</f>
        <v/>
      </c>
      <c r="AF615" s="17">
        <f>IF(OR(E615="",F615=""),"",F615-E615)</f>
        <v/>
      </c>
      <c r="AG615" s="17">
        <f>IF(OR(E615="",F615=""),"",NETWORKDAYS(E615,F615,Ref!$F$4:$F$47))</f>
        <v/>
      </c>
      <c r="AH615" s="39">
        <f>IF(IFERROR(VLOOKUP(D615,Controls!$A$25:$D$35,2,FALSE()),"No")="Yes",1,0)</f>
        <v/>
      </c>
      <c r="AI615" s="39">
        <f>IF(IFERROR(VLOOKUP(D615,Controls!$A$25:$D$35,3,FALSE()),"No")="Yes",1,0)</f>
        <v/>
      </c>
      <c r="AJ615" s="39">
        <f>IF(IFERROR(VLOOKUP(D615,Controls!$A$25:$D$35,4,FALSE()),"No")="Yes",1,0)</f>
        <v/>
      </c>
      <c r="AK615" s="96">
        <f>IF(AND($E615&gt;=Controls!$B$5,$E615&lt;=Controls!$B$6,OR(Controls!$E$9&lt;&gt;"Y",$BE615=1)),1,0)</f>
        <v/>
      </c>
      <c r="AL615" s="39">
        <f>1</f>
        <v/>
      </c>
      <c r="AM615" s="20">
        <f>S615-P615</f>
        <v/>
      </c>
      <c r="AN615" s="20">
        <f>IF(AH615=1,MAX(0,P615-S615),0)</f>
        <v/>
      </c>
      <c r="AO615" s="21">
        <f>IFERROR(S615/P615,"")</f>
        <v/>
      </c>
      <c r="AP615" s="22">
        <f>IF(Y615="","",P615/Y615)</f>
        <v/>
      </c>
      <c r="AQ615" s="39">
        <f>IF(Y615="",0,1)</f>
        <v/>
      </c>
      <c r="AR615" s="39">
        <f>IF(S615&lt;=0,1,0)</f>
        <v/>
      </c>
      <c r="AS615" s="17">
        <f>IF(AH615=1,AG615,"")</f>
        <v/>
      </c>
      <c r="AT615" s="17">
        <f>IF(AND(AH615=0,AJ615=1),AG615,"")</f>
        <v/>
      </c>
      <c r="AU615" s="5">
        <f>IF(P615&lt;10000,"Under $10K",IF(P615&lt;20000,"$10-20K",IF(P615&lt;30000,"$20-30K",IF(P615&lt;50000,"$30-50K",IF(P615&lt;100000,"$50-100K","$100K+")))))</f>
        <v/>
      </c>
      <c r="AV615" s="5">
        <f>IF(O615&lt;=1.35,"1.35 and under",IF(O615&lt;=1.42,"1.36-1.42",IF(O615&lt;=1.45,"1.43-1.45",IF(O615&lt;1.49,"1.46-1.48",IF(O615&lt;=1.49,"1.49","Above 1.49")))))</f>
        <v/>
      </c>
      <c r="AW615" s="5">
        <f>IF(AE615="","",IF(AE615&lt;60,"Under 60",IF(AE615&lt;90,"60-89",IF(AE615&lt;120,"90-119",IF(AE615&lt;150,"120-149","150+")))))</f>
        <v/>
      </c>
      <c r="AX615" s="5">
        <f>IF(AP615="","No revenue data",IF(AP615&lt;0.15,"Under 0.15x",IF(AP615&lt;0.3,"0.15-0.30x",IF(AP615&lt;0.5,"0.30-0.50x",IF(AP615&lt;1,"0.50-1.00x","1.00x+")))))</f>
        <v/>
      </c>
      <c r="AY615" s="5">
        <f>IF(J615="","No SIC",IFERROR(VLOOKUP(J615,Ref!$A$4:$C$67,2,FALSE()),"Unclassified"))</f>
        <v/>
      </c>
      <c r="AZ615" s="5">
        <f>IF(E615="","",TEXT(E615,"YYYY")&amp;"-Q"&amp;ROUNDUP(MONTH(E615)/3,0))</f>
        <v/>
      </c>
      <c r="BA615" s="5">
        <f>IF(E615="","",TEXT(E615,"YYYY-MM"))</f>
        <v/>
      </c>
      <c r="BB615" s="5">
        <f>IF(E615="","",TEXT(E615,"YYYY"))</f>
        <v/>
      </c>
      <c r="BC615" s="92">
        <f>IF($E615="","",NETWORKDAYS($E615,Controls!$B$9,Ref!$F$4:$F$47))</f>
        <v/>
      </c>
      <c r="BD615" s="92">
        <f>IF(OR($AH615=1,$AJ615=1),1,0)</f>
        <v/>
      </c>
      <c r="BE615" s="95">
        <f>IF(OR($BD615=1,AND($AE615&lt;&gt;"",$BC615&gt;=Controls!$B$10*$AE615)),1,0)</f>
        <v/>
      </c>
    </row>
    <row r="616" ht="15.75" customHeight="1" s="79">
      <c r="A616" s="5" t="inlineStr">
        <is>
          <t>5674178317</t>
        </is>
      </c>
      <c r="B616" s="5" t="inlineStr">
        <is>
          <t>Falkon Technologies LLC</t>
        </is>
      </c>
      <c r="C616" s="5" t="inlineStr">
        <is>
          <t>Falkon Technologies LLC</t>
        </is>
      </c>
      <c r="D616" s="5" t="inlineStr">
        <is>
          <t>Closed</t>
        </is>
      </c>
      <c r="E616" s="16" t="n">
        <v>46064</v>
      </c>
      <c r="F616" s="16" t="n">
        <v>46132</v>
      </c>
      <c r="G616" s="17" t="n">
        <v>3</v>
      </c>
      <c r="H616" s="5" t="inlineStr">
        <is>
          <t>7382</t>
        </is>
      </c>
      <c r="I616" s="5" t="inlineStr">
        <is>
          <t>Security Systems Services (Except Locksmiths)</t>
        </is>
      </c>
      <c r="J616" s="5" t="inlineStr">
        <is>
          <t>73</t>
        </is>
      </c>
      <c r="K616" s="5" t="n">
        <v>7393</v>
      </c>
      <c r="L616" s="5" t="inlineStr">
        <is>
          <t>No state</t>
        </is>
      </c>
      <c r="M616" s="5" t="inlineStr">
        <is>
          <t>PMF</t>
        </is>
      </c>
      <c r="N616" s="5" t="inlineStr">
        <is>
          <t>New Deal</t>
        </is>
      </c>
      <c r="O616" s="19" t="n">
        <v>1.09</v>
      </c>
      <c r="P616" s="20" t="n">
        <v>150000</v>
      </c>
      <c r="Q616" s="20" t="n">
        <v>10500</v>
      </c>
      <c r="R616" s="20" t="n">
        <v>163500</v>
      </c>
      <c r="S616" s="20" t="n">
        <v>163500</v>
      </c>
      <c r="T616" s="20" t="n">
        <v>0</v>
      </c>
      <c r="U616" s="21" t="n">
        <v>1</v>
      </c>
      <c r="V616" s="22" t="n">
        <v>40</v>
      </c>
      <c r="W616" s="17" t="n">
        <v>124</v>
      </c>
      <c r="X616" s="17" t="n">
        <v>1</v>
      </c>
      <c r="Y616" s="20" t="n">
        <v>675707.72</v>
      </c>
      <c r="Z616" s="21" t="n">
        <v>0.032</v>
      </c>
      <c r="AA616" s="16" t="n">
        <v>41310</v>
      </c>
      <c r="AB616" s="5">
        <f>IF(V616="","",IF(V616&lt;12,"Months","Weeks"))</f>
        <v/>
      </c>
      <c r="AC616" s="5">
        <f>IF(AB616="","",IF(AB616="Months","Daily","Weekly"))</f>
        <v/>
      </c>
      <c r="AD616" s="17">
        <f>IF(V616="","",IF(AC616="Daily",V616*Controls!$B$13,V616))</f>
        <v/>
      </c>
      <c r="AE616" s="17">
        <f>IF(V616="","",IF(AC616="Daily",V616*Controls!$B$13,V616*Controls!$B$12))</f>
        <v/>
      </c>
      <c r="AF616" s="17">
        <f>IF(OR(E616="",F616=""),"",F616-E616)</f>
        <v/>
      </c>
      <c r="AG616" s="17">
        <f>IF(OR(E616="",F616=""),"",NETWORKDAYS(E616,F616,Ref!$F$4:$F$47))</f>
        <v/>
      </c>
      <c r="AH616" s="39">
        <f>IF(IFERROR(VLOOKUP(D616,Controls!$A$25:$D$35,2,FALSE()),"No")="Yes",1,0)</f>
        <v/>
      </c>
      <c r="AI616" s="39">
        <f>IF(IFERROR(VLOOKUP(D616,Controls!$A$25:$D$35,3,FALSE()),"No")="Yes",1,0)</f>
        <v/>
      </c>
      <c r="AJ616" s="39">
        <f>IF(IFERROR(VLOOKUP(D616,Controls!$A$25:$D$35,4,FALSE()),"No")="Yes",1,0)</f>
        <v/>
      </c>
      <c r="AK616" s="96">
        <f>IF(AND($E616&gt;=Controls!$B$5,$E616&lt;=Controls!$B$6,OR(Controls!$E$9&lt;&gt;"Y",$BE616=1)),1,0)</f>
        <v/>
      </c>
      <c r="AL616" s="39">
        <f>1</f>
        <v/>
      </c>
      <c r="AM616" s="20">
        <f>S616-P616</f>
        <v/>
      </c>
      <c r="AN616" s="20">
        <f>IF(AH616=1,MAX(0,P616-S616),0)</f>
        <v/>
      </c>
      <c r="AO616" s="21">
        <f>IFERROR(S616/P616,"")</f>
        <v/>
      </c>
      <c r="AP616" s="22">
        <f>IF(Y616="","",P616/Y616)</f>
        <v/>
      </c>
      <c r="AQ616" s="39">
        <f>IF(Y616="",0,1)</f>
        <v/>
      </c>
      <c r="AR616" s="39">
        <f>IF(S616&lt;=0,1,0)</f>
        <v/>
      </c>
      <c r="AS616" s="17">
        <f>IF(AH616=1,AG616,"")</f>
        <v/>
      </c>
      <c r="AT616" s="17">
        <f>IF(AND(AH616=0,AJ616=1),AG616,"")</f>
        <v/>
      </c>
      <c r="AU616" s="5">
        <f>IF(P616&lt;10000,"Under $10K",IF(P616&lt;20000,"$10-20K",IF(P616&lt;30000,"$20-30K",IF(P616&lt;50000,"$30-50K",IF(P616&lt;100000,"$50-100K","$100K+")))))</f>
        <v/>
      </c>
      <c r="AV616" s="5">
        <f>IF(O616&lt;=1.35,"1.35 and under",IF(O616&lt;=1.42,"1.36-1.42",IF(O616&lt;=1.45,"1.43-1.45",IF(O616&lt;1.49,"1.46-1.48",IF(O616&lt;=1.49,"1.49","Above 1.49")))))</f>
        <v/>
      </c>
      <c r="AW616" s="5">
        <f>IF(AE616="","",IF(AE616&lt;60,"Under 60",IF(AE616&lt;90,"60-89",IF(AE616&lt;120,"90-119",IF(AE616&lt;150,"120-149","150+")))))</f>
        <v/>
      </c>
      <c r="AX616" s="5">
        <f>IF(AP616="","No revenue data",IF(AP616&lt;0.15,"Under 0.15x",IF(AP616&lt;0.3,"0.15-0.30x",IF(AP616&lt;0.5,"0.30-0.50x",IF(AP616&lt;1,"0.50-1.00x","1.00x+")))))</f>
        <v/>
      </c>
      <c r="AY616" s="5">
        <f>IF(J616="","No SIC",IFERROR(VLOOKUP(J616,Ref!$A$4:$C$67,2,FALSE()),"Unclassified"))</f>
        <v/>
      </c>
      <c r="AZ616" s="5">
        <f>IF(E616="","",TEXT(E616,"YYYY")&amp;"-Q"&amp;ROUNDUP(MONTH(E616)/3,0))</f>
        <v/>
      </c>
      <c r="BA616" s="5">
        <f>IF(E616="","",TEXT(E616,"YYYY-MM"))</f>
        <v/>
      </c>
      <c r="BB616" s="5">
        <f>IF(E616="","",TEXT(E616,"YYYY"))</f>
        <v/>
      </c>
      <c r="BC616" s="92">
        <f>IF($E616="","",NETWORKDAYS($E616,Controls!$B$9,Ref!$F$4:$F$47))</f>
        <v/>
      </c>
      <c r="BD616" s="92">
        <f>IF(OR($AH616=1,$AJ616=1),1,0)</f>
        <v/>
      </c>
      <c r="BE616" s="95">
        <f>IF(OR($BD616=1,AND($AE616&lt;&gt;"",$BC616&gt;=Controls!$B$10*$AE616)),1,0)</f>
        <v/>
      </c>
    </row>
    <row r="617" ht="15.75" customHeight="1" s="79">
      <c r="A617" s="5" t="inlineStr">
        <is>
          <t>5674178327</t>
        </is>
      </c>
      <c r="B617" s="5" t="inlineStr">
        <is>
          <t>AAMCO of Athens</t>
        </is>
      </c>
      <c r="C617" s="5" t="inlineStr">
        <is>
          <t>RL BARRON HOLDING INC</t>
        </is>
      </c>
      <c r="D617" s="5" t="inlineStr">
        <is>
          <t>Closed</t>
        </is>
      </c>
      <c r="E617" s="16" t="n">
        <v>46064</v>
      </c>
      <c r="F617" s="16" t="n">
        <v>46140</v>
      </c>
      <c r="G617" s="17" t="n">
        <v>3</v>
      </c>
      <c r="H617" s="5" t="inlineStr">
        <is>
          <t>7538</t>
        </is>
      </c>
      <c r="I617" s="5" t="inlineStr">
        <is>
          <t>General Automotive Repair</t>
        </is>
      </c>
      <c r="J617" s="5" t="inlineStr">
        <is>
          <t>75</t>
        </is>
      </c>
      <c r="K617" s="5" t="n">
        <v>7538</v>
      </c>
      <c r="L617" s="5" t="inlineStr">
        <is>
          <t>No state</t>
        </is>
      </c>
      <c r="M617" s="5" t="inlineStr">
        <is>
          <t>Ballicci</t>
        </is>
      </c>
      <c r="N617" s="5" t="inlineStr">
        <is>
          <t>New Deal</t>
        </is>
      </c>
      <c r="O617" s="19" t="n">
        <v>1.49</v>
      </c>
      <c r="P617" s="20" t="n">
        <v>25000</v>
      </c>
      <c r="Q617" s="20" t="n">
        <v>3500</v>
      </c>
      <c r="R617" s="20" t="n">
        <v>37250</v>
      </c>
      <c r="S617" s="20" t="n">
        <v>37250</v>
      </c>
      <c r="T617" s="20" t="n">
        <v>0</v>
      </c>
      <c r="U617" s="21" t="n">
        <v>1</v>
      </c>
      <c r="V617" s="22" t="n">
        <v>100</v>
      </c>
      <c r="W617" s="17" t="n">
        <v>113</v>
      </c>
      <c r="X617" s="17" t="n">
        <v>0</v>
      </c>
      <c r="Y617" s="20" t="n">
        <v>41414.05</v>
      </c>
      <c r="Z617" s="21" t="n">
        <v>0.1889</v>
      </c>
      <c r="AA617" s="5" t="n"/>
      <c r="AB617" s="5">
        <f>IF(V617="","",IF(V617&lt;12,"Months","Weeks"))</f>
        <v/>
      </c>
      <c r="AC617" s="5">
        <f>IF(AB617="","",IF(AB617="Months","Daily","Weekly"))</f>
        <v/>
      </c>
      <c r="AD617" s="17">
        <f>IF(V617="","",IF(AC617="Daily",V617*Controls!$B$13,V617))</f>
        <v/>
      </c>
      <c r="AE617" s="17">
        <f>IF(V617="","",IF(AC617="Daily",V617*Controls!$B$13,V617*Controls!$B$12))</f>
        <v/>
      </c>
      <c r="AF617" s="17">
        <f>IF(OR(E617="",F617=""),"",F617-E617)</f>
        <v/>
      </c>
      <c r="AG617" s="17">
        <f>IF(OR(E617="",F617=""),"",NETWORKDAYS(E617,F617,Ref!$F$4:$F$47))</f>
        <v/>
      </c>
      <c r="AH617" s="39">
        <f>IF(IFERROR(VLOOKUP(D617,Controls!$A$25:$D$35,2,FALSE()),"No")="Yes",1,0)</f>
        <v/>
      </c>
      <c r="AI617" s="39">
        <f>IF(IFERROR(VLOOKUP(D617,Controls!$A$25:$D$35,3,FALSE()),"No")="Yes",1,0)</f>
        <v/>
      </c>
      <c r="AJ617" s="39">
        <f>IF(IFERROR(VLOOKUP(D617,Controls!$A$25:$D$35,4,FALSE()),"No")="Yes",1,0)</f>
        <v/>
      </c>
      <c r="AK617" s="96">
        <f>IF(AND($E617&gt;=Controls!$B$5,$E617&lt;=Controls!$B$6,OR(Controls!$E$9&lt;&gt;"Y",$BE617=1)),1,0)</f>
        <v/>
      </c>
      <c r="AL617" s="39">
        <f>1</f>
        <v/>
      </c>
      <c r="AM617" s="20">
        <f>S617-P617</f>
        <v/>
      </c>
      <c r="AN617" s="20">
        <f>IF(AH617=1,MAX(0,P617-S617),0)</f>
        <v/>
      </c>
      <c r="AO617" s="21">
        <f>IFERROR(S617/P617,"")</f>
        <v/>
      </c>
      <c r="AP617" s="22">
        <f>IF(Y617="","",P617/Y617)</f>
        <v/>
      </c>
      <c r="AQ617" s="39">
        <f>IF(Y617="",0,1)</f>
        <v/>
      </c>
      <c r="AR617" s="39">
        <f>IF(S617&lt;=0,1,0)</f>
        <v/>
      </c>
      <c r="AS617" s="17">
        <f>IF(AH617=1,AG617,"")</f>
        <v/>
      </c>
      <c r="AT617" s="17">
        <f>IF(AND(AH617=0,AJ617=1),AG617,"")</f>
        <v/>
      </c>
      <c r="AU617" s="5">
        <f>IF(P617&lt;10000,"Under $10K",IF(P617&lt;20000,"$10-20K",IF(P617&lt;30000,"$20-30K",IF(P617&lt;50000,"$30-50K",IF(P617&lt;100000,"$50-100K","$100K+")))))</f>
        <v/>
      </c>
      <c r="AV617" s="5">
        <f>IF(O617&lt;=1.35,"1.35 and under",IF(O617&lt;=1.42,"1.36-1.42",IF(O617&lt;=1.45,"1.43-1.45",IF(O617&lt;1.49,"1.46-1.48",IF(O617&lt;=1.49,"1.49","Above 1.49")))))</f>
        <v/>
      </c>
      <c r="AW617" s="5">
        <f>IF(AE617="","",IF(AE617&lt;60,"Under 60",IF(AE617&lt;90,"60-89",IF(AE617&lt;120,"90-119",IF(AE617&lt;150,"120-149","150+")))))</f>
        <v/>
      </c>
      <c r="AX617" s="5">
        <f>IF(AP617="","No revenue data",IF(AP617&lt;0.15,"Under 0.15x",IF(AP617&lt;0.3,"0.15-0.30x",IF(AP617&lt;0.5,"0.30-0.50x",IF(AP617&lt;1,"0.50-1.00x","1.00x+")))))</f>
        <v/>
      </c>
      <c r="AY617" s="5">
        <f>IF(J617="","No SIC",IFERROR(VLOOKUP(J617,Ref!$A$4:$C$67,2,FALSE()),"Unclassified"))</f>
        <v/>
      </c>
      <c r="AZ617" s="5">
        <f>IF(E617="","",TEXT(E617,"YYYY")&amp;"-Q"&amp;ROUNDUP(MONTH(E617)/3,0))</f>
        <v/>
      </c>
      <c r="BA617" s="5">
        <f>IF(E617="","",TEXT(E617,"YYYY-MM"))</f>
        <v/>
      </c>
      <c r="BB617" s="5">
        <f>IF(E617="","",TEXT(E617,"YYYY"))</f>
        <v/>
      </c>
      <c r="BC617" s="92">
        <f>IF($E617="","",NETWORKDAYS($E617,Controls!$B$9,Ref!$F$4:$F$47))</f>
        <v/>
      </c>
      <c r="BD617" s="92">
        <f>IF(OR($AH617=1,$AJ617=1),1,0)</f>
        <v/>
      </c>
      <c r="BE617" s="95">
        <f>IF(OR($BD617=1,AND($AE617&lt;&gt;"",$BC617&gt;=Controls!$B$10*$AE617)),1,0)</f>
        <v/>
      </c>
    </row>
    <row r="618" ht="15.75" customHeight="1" s="79">
      <c r="A618" s="5" t="inlineStr">
        <is>
          <t>5674178331</t>
        </is>
      </c>
      <c r="B618" s="5" t="inlineStr">
        <is>
          <t>Silver &amp; Riley</t>
        </is>
      </c>
      <c r="C618" s="5" t="inlineStr">
        <is>
          <t>Silver &amp; Riley</t>
        </is>
      </c>
      <c r="D618" s="5" t="inlineStr">
        <is>
          <t>Closed</t>
        </is>
      </c>
      <c r="E618" s="16" t="n">
        <v>46064</v>
      </c>
      <c r="F618" s="16" t="n">
        <v>46195</v>
      </c>
      <c r="G618" s="17" t="n">
        <v>2</v>
      </c>
      <c r="H618" s="5" t="inlineStr">
        <is>
          <t>5399</t>
        </is>
      </c>
      <c r="I618" s="5" t="inlineStr">
        <is>
          <t>All Other General Merchandise Stores</t>
        </is>
      </c>
      <c r="J618" s="5" t="inlineStr">
        <is>
          <t>53</t>
        </is>
      </c>
      <c r="K618" s="5" t="n">
        <v>5399</v>
      </c>
      <c r="L618" s="5" t="inlineStr">
        <is>
          <t>No state</t>
        </is>
      </c>
      <c r="M618" s="5" t="inlineStr">
        <is>
          <t>Vanguard Equities</t>
        </is>
      </c>
      <c r="N618" s="5" t="inlineStr">
        <is>
          <t>New Deal</t>
        </is>
      </c>
      <c r="O618" s="19" t="n">
        <v>1.43</v>
      </c>
      <c r="P618" s="20" t="n">
        <v>20000</v>
      </c>
      <c r="Q618" s="20" t="n">
        <v>2200</v>
      </c>
      <c r="R618" s="20" t="n">
        <v>28600</v>
      </c>
      <c r="S618" s="20" t="n">
        <v>28600</v>
      </c>
      <c r="T618" s="20" t="n">
        <v>0</v>
      </c>
      <c r="U618" s="21" t="n">
        <v>1</v>
      </c>
      <c r="V618" s="22" t="n">
        <v>90</v>
      </c>
      <c r="W618" s="17" t="n">
        <v>58</v>
      </c>
      <c r="X618" s="17" t="n">
        <v>1</v>
      </c>
      <c r="Y618" s="20" t="n">
        <v>37557.06</v>
      </c>
      <c r="Z618" s="21" t="n">
        <v>0.1777</v>
      </c>
      <c r="AA618" s="16" t="n">
        <v>43617</v>
      </c>
      <c r="AB618" s="5">
        <f>IF(V618="","",IF(V618&lt;12,"Months","Weeks"))</f>
        <v/>
      </c>
      <c r="AC618" s="5">
        <f>IF(AB618="","",IF(AB618="Months","Daily","Weekly"))</f>
        <v/>
      </c>
      <c r="AD618" s="17">
        <f>IF(V618="","",IF(AC618="Daily",V618*Controls!$B$13,V618))</f>
        <v/>
      </c>
      <c r="AE618" s="17">
        <f>IF(V618="","",IF(AC618="Daily",V618*Controls!$B$13,V618*Controls!$B$12))</f>
        <v/>
      </c>
      <c r="AF618" s="17">
        <f>IF(OR(E618="",F618=""),"",F618-E618)</f>
        <v/>
      </c>
      <c r="AG618" s="17">
        <f>IF(OR(E618="",F618=""),"",NETWORKDAYS(E618,F618,Ref!$F$4:$F$47))</f>
        <v/>
      </c>
      <c r="AH618" s="39">
        <f>IF(IFERROR(VLOOKUP(D618,Controls!$A$25:$D$35,2,FALSE()),"No")="Yes",1,0)</f>
        <v/>
      </c>
      <c r="AI618" s="39">
        <f>IF(IFERROR(VLOOKUP(D618,Controls!$A$25:$D$35,3,FALSE()),"No")="Yes",1,0)</f>
        <v/>
      </c>
      <c r="AJ618" s="39">
        <f>IF(IFERROR(VLOOKUP(D618,Controls!$A$25:$D$35,4,FALSE()),"No")="Yes",1,0)</f>
        <v/>
      </c>
      <c r="AK618" s="96">
        <f>IF(AND($E618&gt;=Controls!$B$5,$E618&lt;=Controls!$B$6,OR(Controls!$E$9&lt;&gt;"Y",$BE618=1)),1,0)</f>
        <v/>
      </c>
      <c r="AL618" s="39">
        <f>1</f>
        <v/>
      </c>
      <c r="AM618" s="20">
        <f>S618-P618</f>
        <v/>
      </c>
      <c r="AN618" s="20">
        <f>IF(AH618=1,MAX(0,P618-S618),0)</f>
        <v/>
      </c>
      <c r="AO618" s="21">
        <f>IFERROR(S618/P618,"")</f>
        <v/>
      </c>
      <c r="AP618" s="22">
        <f>IF(Y618="","",P618/Y618)</f>
        <v/>
      </c>
      <c r="AQ618" s="39">
        <f>IF(Y618="",0,1)</f>
        <v/>
      </c>
      <c r="AR618" s="39">
        <f>IF(S618&lt;=0,1,0)</f>
        <v/>
      </c>
      <c r="AS618" s="17">
        <f>IF(AH618=1,AG618,"")</f>
        <v/>
      </c>
      <c r="AT618" s="17">
        <f>IF(AND(AH618=0,AJ618=1),AG618,"")</f>
        <v/>
      </c>
      <c r="AU618" s="5">
        <f>IF(P618&lt;10000,"Under $10K",IF(P618&lt;20000,"$10-20K",IF(P618&lt;30000,"$20-30K",IF(P618&lt;50000,"$30-50K",IF(P618&lt;100000,"$50-100K","$100K+")))))</f>
        <v/>
      </c>
      <c r="AV618" s="5">
        <f>IF(O618&lt;=1.35,"1.35 and under",IF(O618&lt;=1.42,"1.36-1.42",IF(O618&lt;=1.45,"1.43-1.45",IF(O618&lt;1.49,"1.46-1.48",IF(O618&lt;=1.49,"1.49","Above 1.49")))))</f>
        <v/>
      </c>
      <c r="AW618" s="5">
        <f>IF(AE618="","",IF(AE618&lt;60,"Under 60",IF(AE618&lt;90,"60-89",IF(AE618&lt;120,"90-119",IF(AE618&lt;150,"120-149","150+")))))</f>
        <v/>
      </c>
      <c r="AX618" s="5">
        <f>IF(AP618="","No revenue data",IF(AP618&lt;0.15,"Under 0.15x",IF(AP618&lt;0.3,"0.15-0.30x",IF(AP618&lt;0.5,"0.30-0.50x",IF(AP618&lt;1,"0.50-1.00x","1.00x+")))))</f>
        <v/>
      </c>
      <c r="AY618" s="5">
        <f>IF(J618="","No SIC",IFERROR(VLOOKUP(J618,Ref!$A$4:$C$67,2,FALSE()),"Unclassified"))</f>
        <v/>
      </c>
      <c r="AZ618" s="5">
        <f>IF(E618="","",TEXT(E618,"YYYY")&amp;"-Q"&amp;ROUNDUP(MONTH(E618)/3,0))</f>
        <v/>
      </c>
      <c r="BA618" s="5">
        <f>IF(E618="","",TEXT(E618,"YYYY-MM"))</f>
        <v/>
      </c>
      <c r="BB618" s="5">
        <f>IF(E618="","",TEXT(E618,"YYYY"))</f>
        <v/>
      </c>
      <c r="BC618" s="92">
        <f>IF($E618="","",NETWORKDAYS($E618,Controls!$B$9,Ref!$F$4:$F$47))</f>
        <v/>
      </c>
      <c r="BD618" s="92">
        <f>IF(OR($AH618=1,$AJ618=1),1,0)</f>
        <v/>
      </c>
      <c r="BE618" s="95">
        <f>IF(OR($BD618=1,AND($AE618&lt;&gt;"",$BC618&gt;=Controls!$B$10*$AE618)),1,0)</f>
        <v/>
      </c>
    </row>
    <row r="619" ht="15.75" customHeight="1" s="79">
      <c r="A619" s="5" t="inlineStr">
        <is>
          <t>5674178399</t>
        </is>
      </c>
      <c r="B619" s="5" t="inlineStr">
        <is>
          <t>Fifth Gear Powersports</t>
        </is>
      </c>
      <c r="C619" s="5" t="inlineStr">
        <is>
          <t>FIFTH GEAR POWERSPORTS LLC</t>
        </is>
      </c>
      <c r="D619" s="5" t="inlineStr">
        <is>
          <t>Legal</t>
        </is>
      </c>
      <c r="E619" s="16" t="n">
        <v>46065</v>
      </c>
      <c r="F619" s="16" t="n">
        <v>46188</v>
      </c>
      <c r="G619" s="17" t="n">
        <v>3</v>
      </c>
      <c r="H619" s="5" t="inlineStr">
        <is>
          <t>7538</t>
        </is>
      </c>
      <c r="I619" s="5" t="inlineStr">
        <is>
          <t>General Automotive Repair</t>
        </is>
      </c>
      <c r="J619" s="5" t="inlineStr">
        <is>
          <t>75</t>
        </is>
      </c>
      <c r="K619" s="5" t="n">
        <v>7538</v>
      </c>
      <c r="L619" s="5" t="inlineStr">
        <is>
          <t>MI</t>
        </is>
      </c>
      <c r="M619" s="5" t="inlineStr">
        <is>
          <t>Ballicci</t>
        </is>
      </c>
      <c r="N619" s="5" t="inlineStr">
        <is>
          <t>New Deal</t>
        </is>
      </c>
      <c r="O619" s="19" t="n">
        <v>1.4</v>
      </c>
      <c r="P619" s="20" t="n">
        <v>30000</v>
      </c>
      <c r="Q619" s="20" t="n">
        <v>2850</v>
      </c>
      <c r="R619" s="20" t="n">
        <v>42000</v>
      </c>
      <c r="S619" s="20" t="n">
        <v>9517.65</v>
      </c>
      <c r="T619" s="20" t="n">
        <v>32482.35</v>
      </c>
      <c r="U619" s="21" t="n">
        <v>0.226610714285714</v>
      </c>
      <c r="V619" s="22" t="n">
        <v>24</v>
      </c>
      <c r="W619" s="17" t="n">
        <v>65</v>
      </c>
      <c r="X619" s="17" t="n">
        <v>7</v>
      </c>
      <c r="Y619" s="5" t="n"/>
      <c r="Z619" s="21" t="n">
        <v>0.126</v>
      </c>
      <c r="AA619" s="16" t="n">
        <v>45132</v>
      </c>
      <c r="AB619" s="5">
        <f>IF(V619="","",IF(V619&lt;12,"Months","Weeks"))</f>
        <v/>
      </c>
      <c r="AC619" s="5">
        <f>IF(AB619="","",IF(AB619="Months","Daily","Weekly"))</f>
        <v/>
      </c>
      <c r="AD619" s="17">
        <f>IF(V619="","",IF(AC619="Daily",V619*Controls!$B$13,V619))</f>
        <v/>
      </c>
      <c r="AE619" s="17">
        <f>IF(V619="","",IF(AC619="Daily",V619*Controls!$B$13,V619*Controls!$B$12))</f>
        <v/>
      </c>
      <c r="AF619" s="17">
        <f>IF(OR(E619="",F619=""),"",F619-E619)</f>
        <v/>
      </c>
      <c r="AG619" s="17">
        <f>IF(OR(E619="",F619=""),"",NETWORKDAYS(E619,F619,Ref!$F$4:$F$47))</f>
        <v/>
      </c>
      <c r="AH619" s="39">
        <f>IF(IFERROR(VLOOKUP(D619,Controls!$A$25:$D$35,2,FALSE()),"No")="Yes",1,0)</f>
        <v/>
      </c>
      <c r="AI619" s="39">
        <f>IF(IFERROR(VLOOKUP(D619,Controls!$A$25:$D$35,3,FALSE()),"No")="Yes",1,0)</f>
        <v/>
      </c>
      <c r="AJ619" s="39">
        <f>IF(IFERROR(VLOOKUP(D619,Controls!$A$25:$D$35,4,FALSE()),"No")="Yes",1,0)</f>
        <v/>
      </c>
      <c r="AK619" s="96">
        <f>IF(AND($E619&gt;=Controls!$B$5,$E619&lt;=Controls!$B$6,OR(Controls!$E$9&lt;&gt;"Y",$BE619=1)),1,0)</f>
        <v/>
      </c>
      <c r="AL619" s="39">
        <f>1</f>
        <v/>
      </c>
      <c r="AM619" s="20">
        <f>S619-P619</f>
        <v/>
      </c>
      <c r="AN619" s="20">
        <f>IF(AH619=1,MAX(0,P619-S619),0)</f>
        <v/>
      </c>
      <c r="AO619" s="21">
        <f>IFERROR(S619/P619,"")</f>
        <v/>
      </c>
      <c r="AP619" s="22">
        <f>IF(Y619="","",P619/Y619)</f>
        <v/>
      </c>
      <c r="AQ619" s="39">
        <f>IF(Y619="",0,1)</f>
        <v/>
      </c>
      <c r="AR619" s="39">
        <f>IF(S619&lt;=0,1,0)</f>
        <v/>
      </c>
      <c r="AS619" s="17">
        <f>IF(AH619=1,AG619,"")</f>
        <v/>
      </c>
      <c r="AT619" s="17">
        <f>IF(AND(AH619=0,AJ619=1),AG619,"")</f>
        <v/>
      </c>
      <c r="AU619" s="5">
        <f>IF(P619&lt;10000,"Under $10K",IF(P619&lt;20000,"$10-20K",IF(P619&lt;30000,"$20-30K",IF(P619&lt;50000,"$30-50K",IF(P619&lt;100000,"$50-100K","$100K+")))))</f>
        <v/>
      </c>
      <c r="AV619" s="5">
        <f>IF(O619&lt;=1.35,"1.35 and under",IF(O619&lt;=1.42,"1.36-1.42",IF(O619&lt;=1.45,"1.43-1.45",IF(O619&lt;1.49,"1.46-1.48",IF(O619&lt;=1.49,"1.49","Above 1.49")))))</f>
        <v/>
      </c>
      <c r="AW619" s="5">
        <f>IF(AE619="","",IF(AE619&lt;60,"Under 60",IF(AE619&lt;90,"60-89",IF(AE619&lt;120,"90-119",IF(AE619&lt;150,"120-149","150+")))))</f>
        <v/>
      </c>
      <c r="AX619" s="5">
        <f>IF(AP619="","No revenue data",IF(AP619&lt;0.15,"Under 0.15x",IF(AP619&lt;0.3,"0.15-0.30x",IF(AP619&lt;0.5,"0.30-0.50x",IF(AP619&lt;1,"0.50-1.00x","1.00x+")))))</f>
        <v/>
      </c>
      <c r="AY619" s="5">
        <f>IF(J619="","No SIC",IFERROR(VLOOKUP(J619,Ref!$A$4:$C$67,2,FALSE()),"Unclassified"))</f>
        <v/>
      </c>
      <c r="AZ619" s="5">
        <f>IF(E619="","",TEXT(E619,"YYYY")&amp;"-Q"&amp;ROUNDUP(MONTH(E619)/3,0))</f>
        <v/>
      </c>
      <c r="BA619" s="5">
        <f>IF(E619="","",TEXT(E619,"YYYY-MM"))</f>
        <v/>
      </c>
      <c r="BB619" s="5">
        <f>IF(E619="","",TEXT(E619,"YYYY"))</f>
        <v/>
      </c>
      <c r="BC619" s="92">
        <f>IF($E619="","",NETWORKDAYS($E619,Controls!$B$9,Ref!$F$4:$F$47))</f>
        <v/>
      </c>
      <c r="BD619" s="92">
        <f>IF(OR($AH619=1,$AJ619=1),1,0)</f>
        <v/>
      </c>
      <c r="BE619" s="95">
        <f>IF(OR($BD619=1,AND($AE619&lt;&gt;"",$BC619&gt;=Controls!$B$10*$AE619)),1,0)</f>
        <v/>
      </c>
    </row>
    <row r="620" ht="15.75" customHeight="1" s="79">
      <c r="A620" s="5" t="inlineStr">
        <is>
          <t>5674178438</t>
        </is>
      </c>
      <c r="B620" s="5" t="inlineStr">
        <is>
          <t>PARIKH LAW GROUP</t>
        </is>
      </c>
      <c r="C620" s="5" t="inlineStr">
        <is>
          <t>PARIKH LAW GROUP LLC</t>
        </is>
      </c>
      <c r="D620" s="5" t="inlineStr">
        <is>
          <t>Closed</t>
        </is>
      </c>
      <c r="E620" s="16" t="n">
        <v>46065</v>
      </c>
      <c r="F620" s="16" t="n">
        <v>46133</v>
      </c>
      <c r="G620" s="17" t="n">
        <v>4</v>
      </c>
      <c r="H620" s="5" t="inlineStr">
        <is>
          <t>8111</t>
        </is>
      </c>
      <c r="I620" s="5" t="inlineStr">
        <is>
          <t>Offices of Lawyers</t>
        </is>
      </c>
      <c r="J620" s="5" t="inlineStr">
        <is>
          <t>81</t>
        </is>
      </c>
      <c r="K620" s="5" t="n">
        <v>8111</v>
      </c>
      <c r="L620" s="5" t="inlineStr">
        <is>
          <t>IL</t>
        </is>
      </c>
      <c r="M620" s="5" t="inlineStr">
        <is>
          <t>Westwood</t>
        </is>
      </c>
      <c r="N620" s="5" t="inlineStr">
        <is>
          <t>Renewal</t>
        </is>
      </c>
      <c r="O620" s="19" t="n">
        <v>1.49</v>
      </c>
      <c r="P620" s="20" t="n">
        <v>180000</v>
      </c>
      <c r="Q620" s="20" t="n">
        <v>27000</v>
      </c>
      <c r="R620" s="20" t="n">
        <v>268200</v>
      </c>
      <c r="S620" s="20" t="n">
        <v>268200</v>
      </c>
      <c r="T620" s="20" t="n">
        <v>0</v>
      </c>
      <c r="U620" s="21" t="n">
        <v>1</v>
      </c>
      <c r="V620" s="22" t="n">
        <v>3.443</v>
      </c>
      <c r="W620" s="17" t="n">
        <v>120</v>
      </c>
      <c r="X620" s="17" t="n">
        <v>2</v>
      </c>
      <c r="Y620" s="5" t="n"/>
      <c r="Z620" s="21" t="n">
        <v>0.2029</v>
      </c>
      <c r="AA620" s="16" t="n">
        <v>40198</v>
      </c>
      <c r="AB620" s="5">
        <f>IF(V620="","",IF(V620&lt;12,"Months","Weeks"))</f>
        <v/>
      </c>
      <c r="AC620" s="5">
        <f>IF(AB620="","",IF(AB620="Months","Daily","Weekly"))</f>
        <v/>
      </c>
      <c r="AD620" s="17">
        <f>IF(V620="","",IF(AC620="Daily",V620*Controls!$B$13,V620))</f>
        <v/>
      </c>
      <c r="AE620" s="17">
        <f>IF(V620="","",IF(AC620="Daily",V620*Controls!$B$13,V620*Controls!$B$12))</f>
        <v/>
      </c>
      <c r="AF620" s="17">
        <f>IF(OR(E620="",F620=""),"",F620-E620)</f>
        <v/>
      </c>
      <c r="AG620" s="17">
        <f>IF(OR(E620="",F620=""),"",NETWORKDAYS(E620,F620,Ref!$F$4:$F$47))</f>
        <v/>
      </c>
      <c r="AH620" s="39">
        <f>IF(IFERROR(VLOOKUP(D620,Controls!$A$25:$D$35,2,FALSE()),"No")="Yes",1,0)</f>
        <v/>
      </c>
      <c r="AI620" s="39">
        <f>IF(IFERROR(VLOOKUP(D620,Controls!$A$25:$D$35,3,FALSE()),"No")="Yes",1,0)</f>
        <v/>
      </c>
      <c r="AJ620" s="39">
        <f>IF(IFERROR(VLOOKUP(D620,Controls!$A$25:$D$35,4,FALSE()),"No")="Yes",1,0)</f>
        <v/>
      </c>
      <c r="AK620" s="96">
        <f>IF(AND($E620&gt;=Controls!$B$5,$E620&lt;=Controls!$B$6,OR(Controls!$E$9&lt;&gt;"Y",$BE620=1)),1,0)</f>
        <v/>
      </c>
      <c r="AL620" s="39">
        <f>1</f>
        <v/>
      </c>
      <c r="AM620" s="20">
        <f>S620-P620</f>
        <v/>
      </c>
      <c r="AN620" s="20">
        <f>IF(AH620=1,MAX(0,P620-S620),0)</f>
        <v/>
      </c>
      <c r="AO620" s="21">
        <f>IFERROR(S620/P620,"")</f>
        <v/>
      </c>
      <c r="AP620" s="22">
        <f>IF(Y620="","",P620/Y620)</f>
        <v/>
      </c>
      <c r="AQ620" s="39">
        <f>IF(Y620="",0,1)</f>
        <v/>
      </c>
      <c r="AR620" s="39">
        <f>IF(S620&lt;=0,1,0)</f>
        <v/>
      </c>
      <c r="AS620" s="17">
        <f>IF(AH620=1,AG620,"")</f>
        <v/>
      </c>
      <c r="AT620" s="17">
        <f>IF(AND(AH620=0,AJ620=1),AG620,"")</f>
        <v/>
      </c>
      <c r="AU620" s="5">
        <f>IF(P620&lt;10000,"Under $10K",IF(P620&lt;20000,"$10-20K",IF(P620&lt;30000,"$20-30K",IF(P620&lt;50000,"$30-50K",IF(P620&lt;100000,"$50-100K","$100K+")))))</f>
        <v/>
      </c>
      <c r="AV620" s="5">
        <f>IF(O620&lt;=1.35,"1.35 and under",IF(O620&lt;=1.42,"1.36-1.42",IF(O620&lt;=1.45,"1.43-1.45",IF(O620&lt;1.49,"1.46-1.48",IF(O620&lt;=1.49,"1.49","Above 1.49")))))</f>
        <v/>
      </c>
      <c r="AW620" s="5">
        <f>IF(AE620="","",IF(AE620&lt;60,"Under 60",IF(AE620&lt;90,"60-89",IF(AE620&lt;120,"90-119",IF(AE620&lt;150,"120-149","150+")))))</f>
        <v/>
      </c>
      <c r="AX620" s="5">
        <f>IF(AP620="","No revenue data",IF(AP620&lt;0.15,"Under 0.15x",IF(AP620&lt;0.3,"0.15-0.30x",IF(AP620&lt;0.5,"0.30-0.50x",IF(AP620&lt;1,"0.50-1.00x","1.00x+")))))</f>
        <v/>
      </c>
      <c r="AY620" s="5">
        <f>IF(J620="","No SIC",IFERROR(VLOOKUP(J620,Ref!$A$4:$C$67,2,FALSE()),"Unclassified"))</f>
        <v/>
      </c>
      <c r="AZ620" s="5">
        <f>IF(E620="","",TEXT(E620,"YYYY")&amp;"-Q"&amp;ROUNDUP(MONTH(E620)/3,0))</f>
        <v/>
      </c>
      <c r="BA620" s="5">
        <f>IF(E620="","",TEXT(E620,"YYYY-MM"))</f>
        <v/>
      </c>
      <c r="BB620" s="5">
        <f>IF(E620="","",TEXT(E620,"YYYY"))</f>
        <v/>
      </c>
      <c r="BC620" s="92">
        <f>IF($E620="","",NETWORKDAYS($E620,Controls!$B$9,Ref!$F$4:$F$47))</f>
        <v/>
      </c>
      <c r="BD620" s="92">
        <f>IF(OR($AH620=1,$AJ620=1),1,0)</f>
        <v/>
      </c>
      <c r="BE620" s="95">
        <f>IF(OR($BD620=1,AND($AE620&lt;&gt;"",$BC620&gt;=Controls!$B$10*$AE620)),1,0)</f>
        <v/>
      </c>
    </row>
    <row r="621" ht="15.75" customHeight="1" s="79">
      <c r="A621" s="5" t="inlineStr">
        <is>
          <t>5674178491</t>
        </is>
      </c>
      <c r="B621" s="5" t="inlineStr">
        <is>
          <t>FIREWATER RESTORATION AND CONSTRUCTION, INC</t>
        </is>
      </c>
      <c r="C621" s="5" t="inlineStr">
        <is>
          <t>FIREWATER RESTORATION AND CONSTRUCTION, INC</t>
        </is>
      </c>
      <c r="D621" s="5" t="inlineStr">
        <is>
          <t>Legal</t>
        </is>
      </c>
      <c r="E621" s="16" t="n">
        <v>46066</v>
      </c>
      <c r="F621" s="16" t="n">
        <v>46156</v>
      </c>
      <c r="G621" s="17" t="n">
        <v>3</v>
      </c>
      <c r="H621" s="5" t="inlineStr">
        <is>
          <t>1521</t>
        </is>
      </c>
      <c r="I621" s="5" t="inlineStr">
        <is>
          <t>Residential Remodelers</t>
        </is>
      </c>
      <c r="J621" s="5" t="inlineStr">
        <is>
          <t>15</t>
        </is>
      </c>
      <c r="K621" s="5" t="n">
        <v>1520</v>
      </c>
      <c r="L621" s="5" t="inlineStr">
        <is>
          <t>CA</t>
        </is>
      </c>
      <c r="M621" s="5" t="inlineStr">
        <is>
          <t>United Secured Capital 8</t>
        </is>
      </c>
      <c r="N621" s="5" t="inlineStr">
        <is>
          <t>New Deal</t>
        </is>
      </c>
      <c r="O621" s="19" t="n">
        <v>1.41</v>
      </c>
      <c r="P621" s="20" t="n">
        <v>30000</v>
      </c>
      <c r="Q621" s="20" t="n">
        <v>3000</v>
      </c>
      <c r="R621" s="20" t="n">
        <v>42300</v>
      </c>
      <c r="S621" s="20" t="n">
        <v>7282.92</v>
      </c>
      <c r="T621" s="20" t="n">
        <v>35017.08</v>
      </c>
      <c r="U621" s="21" t="n">
        <v>0.17217304964539</v>
      </c>
      <c r="V621" s="22" t="n">
        <v>26</v>
      </c>
      <c r="W621" s="17" t="n">
        <v>104</v>
      </c>
      <c r="X621" s="17" t="n">
        <v>2</v>
      </c>
      <c r="Y621" s="20" t="n">
        <v>69557.39999999999</v>
      </c>
      <c r="Z621" s="21" t="n">
        <v>0.0936</v>
      </c>
      <c r="AA621" s="5" t="n"/>
      <c r="AB621" s="5">
        <f>IF(V621="","",IF(V621&lt;12,"Months","Weeks"))</f>
        <v/>
      </c>
      <c r="AC621" s="5">
        <f>IF(AB621="","",IF(AB621="Months","Daily","Weekly"))</f>
        <v/>
      </c>
      <c r="AD621" s="17">
        <f>IF(V621="","",IF(AC621="Daily",V621*Controls!$B$13,V621))</f>
        <v/>
      </c>
      <c r="AE621" s="17">
        <f>IF(V621="","",IF(AC621="Daily",V621*Controls!$B$13,V621*Controls!$B$12))</f>
        <v/>
      </c>
      <c r="AF621" s="17">
        <f>IF(OR(E621="",F621=""),"",F621-E621)</f>
        <v/>
      </c>
      <c r="AG621" s="17">
        <f>IF(OR(E621="",F621=""),"",NETWORKDAYS(E621,F621,Ref!$F$4:$F$47))</f>
        <v/>
      </c>
      <c r="AH621" s="39">
        <f>IF(IFERROR(VLOOKUP(D621,Controls!$A$25:$D$35,2,FALSE()),"No")="Yes",1,0)</f>
        <v/>
      </c>
      <c r="AI621" s="39">
        <f>IF(IFERROR(VLOOKUP(D621,Controls!$A$25:$D$35,3,FALSE()),"No")="Yes",1,0)</f>
        <v/>
      </c>
      <c r="AJ621" s="39">
        <f>IF(IFERROR(VLOOKUP(D621,Controls!$A$25:$D$35,4,FALSE()),"No")="Yes",1,0)</f>
        <v/>
      </c>
      <c r="AK621" s="96">
        <f>IF(AND($E621&gt;=Controls!$B$5,$E621&lt;=Controls!$B$6,OR(Controls!$E$9&lt;&gt;"Y",$BE621=1)),1,0)</f>
        <v/>
      </c>
      <c r="AL621" s="39">
        <f>1</f>
        <v/>
      </c>
      <c r="AM621" s="20">
        <f>S621-P621</f>
        <v/>
      </c>
      <c r="AN621" s="20">
        <f>IF(AH621=1,MAX(0,P621-S621),0)</f>
        <v/>
      </c>
      <c r="AO621" s="21">
        <f>IFERROR(S621/P621,"")</f>
        <v/>
      </c>
      <c r="AP621" s="22">
        <f>IF(Y621="","",P621/Y621)</f>
        <v/>
      </c>
      <c r="AQ621" s="39">
        <f>IF(Y621="",0,1)</f>
        <v/>
      </c>
      <c r="AR621" s="39">
        <f>IF(S621&lt;=0,1,0)</f>
        <v/>
      </c>
      <c r="AS621" s="17">
        <f>IF(AH621=1,AG621,"")</f>
        <v/>
      </c>
      <c r="AT621" s="17">
        <f>IF(AND(AH621=0,AJ621=1),AG621,"")</f>
        <v/>
      </c>
      <c r="AU621" s="5">
        <f>IF(P621&lt;10000,"Under $10K",IF(P621&lt;20000,"$10-20K",IF(P621&lt;30000,"$20-30K",IF(P621&lt;50000,"$30-50K",IF(P621&lt;100000,"$50-100K","$100K+")))))</f>
        <v/>
      </c>
      <c r="AV621" s="5">
        <f>IF(O621&lt;=1.35,"1.35 and under",IF(O621&lt;=1.42,"1.36-1.42",IF(O621&lt;=1.45,"1.43-1.45",IF(O621&lt;1.49,"1.46-1.48",IF(O621&lt;=1.49,"1.49","Above 1.49")))))</f>
        <v/>
      </c>
      <c r="AW621" s="5">
        <f>IF(AE621="","",IF(AE621&lt;60,"Under 60",IF(AE621&lt;90,"60-89",IF(AE621&lt;120,"90-119",IF(AE621&lt;150,"120-149","150+")))))</f>
        <v/>
      </c>
      <c r="AX621" s="5">
        <f>IF(AP621="","No revenue data",IF(AP621&lt;0.15,"Under 0.15x",IF(AP621&lt;0.3,"0.15-0.30x",IF(AP621&lt;0.5,"0.30-0.50x",IF(AP621&lt;1,"0.50-1.00x","1.00x+")))))</f>
        <v/>
      </c>
      <c r="AY621" s="5">
        <f>IF(J621="","No SIC",IFERROR(VLOOKUP(J621,Ref!$A$4:$C$67,2,FALSE()),"Unclassified"))</f>
        <v/>
      </c>
      <c r="AZ621" s="5">
        <f>IF(E621="","",TEXT(E621,"YYYY")&amp;"-Q"&amp;ROUNDUP(MONTH(E621)/3,0))</f>
        <v/>
      </c>
      <c r="BA621" s="5">
        <f>IF(E621="","",TEXT(E621,"YYYY-MM"))</f>
        <v/>
      </c>
      <c r="BB621" s="5">
        <f>IF(E621="","",TEXT(E621,"YYYY"))</f>
        <v/>
      </c>
      <c r="BC621" s="92">
        <f>IF($E621="","",NETWORKDAYS($E621,Controls!$B$9,Ref!$F$4:$F$47))</f>
        <v/>
      </c>
      <c r="BD621" s="92">
        <f>IF(OR($AH621=1,$AJ621=1),1,0)</f>
        <v/>
      </c>
      <c r="BE621" s="95">
        <f>IF(OR($BD621=1,AND($AE621&lt;&gt;"",$BC621&gt;=Controls!$B$10*$AE621)),1,0)</f>
        <v/>
      </c>
    </row>
    <row r="622" ht="15.75" customHeight="1" s="79">
      <c r="A622" s="5" t="inlineStr">
        <is>
          <t>5674178516</t>
        </is>
      </c>
      <c r="B622" s="5" t="inlineStr">
        <is>
          <t>DICKINSON FEED &amp; SUPPLY LLC</t>
        </is>
      </c>
      <c r="C622" s="5" t="inlineStr">
        <is>
          <t>DICKINSON FEED &amp; SUPPLY LLC</t>
        </is>
      </c>
      <c r="D622" s="5" t="inlineStr">
        <is>
          <t>Open</t>
        </is>
      </c>
      <c r="E622" s="16" t="n">
        <v>46066</v>
      </c>
      <c r="F622" s="16" t="n">
        <v>46248</v>
      </c>
      <c r="G622" s="17" t="n">
        <v>3</v>
      </c>
      <c r="H622" s="5" t="inlineStr">
        <is>
          <t>0219</t>
        </is>
      </c>
      <c r="I622" s="5" t="inlineStr">
        <is>
          <t>Animal Production NOC</t>
        </is>
      </c>
      <c r="J622" s="5" t="inlineStr">
        <is>
          <t>02</t>
        </is>
      </c>
      <c r="K622" s="5" t="n">
        <v>5399</v>
      </c>
      <c r="L622" s="5" t="inlineStr">
        <is>
          <t>TX</t>
        </is>
      </c>
      <c r="M622" s="5" t="inlineStr">
        <is>
          <t>liquidity lending group</t>
        </is>
      </c>
      <c r="N622" s="5" t="inlineStr">
        <is>
          <t>New Deal</t>
        </is>
      </c>
      <c r="O622" s="19" t="n">
        <v>1.45</v>
      </c>
      <c r="P622" s="20" t="n">
        <v>30000</v>
      </c>
      <c r="Q622" s="20" t="n">
        <v>3600</v>
      </c>
      <c r="R622" s="20" t="n">
        <v>43500</v>
      </c>
      <c r="S622" s="20" t="n">
        <v>6527.67</v>
      </c>
      <c r="T622" s="20" t="n">
        <v>36972.33</v>
      </c>
      <c r="U622" s="21" t="n">
        <v>0.150061379310345</v>
      </c>
      <c r="V622" s="22" t="n">
        <v>20</v>
      </c>
      <c r="W622" s="17" t="n">
        <v>145</v>
      </c>
      <c r="X622" s="17" t="n">
        <v>23</v>
      </c>
      <c r="Y622" s="20" t="n">
        <v>73884.37</v>
      </c>
      <c r="Z622" s="21" t="n">
        <v>0.1178</v>
      </c>
      <c r="AA622" s="16" t="n">
        <v>42529</v>
      </c>
      <c r="AB622" s="5">
        <f>IF(V622="","",IF(V622&lt;12,"Months","Weeks"))</f>
        <v/>
      </c>
      <c r="AC622" s="5">
        <f>IF(AB622="","",IF(AB622="Months","Daily","Weekly"))</f>
        <v/>
      </c>
      <c r="AD622" s="17">
        <f>IF(V622="","",IF(AC622="Daily",V622*Controls!$B$13,V622))</f>
        <v/>
      </c>
      <c r="AE622" s="17">
        <f>IF(V622="","",IF(AC622="Daily",V622*Controls!$B$13,V622*Controls!$B$12))</f>
        <v/>
      </c>
      <c r="AF622" s="17">
        <f>IF(OR(E622="",F622=""),"",F622-E622)</f>
        <v/>
      </c>
      <c r="AG622" s="17">
        <f>IF(OR(E622="",F622=""),"",NETWORKDAYS(E622,F622,Ref!$F$4:$F$47))</f>
        <v/>
      </c>
      <c r="AH622" s="39">
        <f>IF(IFERROR(VLOOKUP(D622,Controls!$A$25:$D$35,2,FALSE()),"No")="Yes",1,0)</f>
        <v/>
      </c>
      <c r="AI622" s="39">
        <f>IF(IFERROR(VLOOKUP(D622,Controls!$A$25:$D$35,3,FALSE()),"No")="Yes",1,0)</f>
        <v/>
      </c>
      <c r="AJ622" s="39">
        <f>IF(IFERROR(VLOOKUP(D622,Controls!$A$25:$D$35,4,FALSE()),"No")="Yes",1,0)</f>
        <v/>
      </c>
      <c r="AK622" s="96">
        <f>IF(AND($E622&gt;=Controls!$B$5,$E622&lt;=Controls!$B$6,OR(Controls!$E$9&lt;&gt;"Y",$BE622=1)),1,0)</f>
        <v/>
      </c>
      <c r="AL622" s="39">
        <f>1</f>
        <v/>
      </c>
      <c r="AM622" s="20">
        <f>S622-P622</f>
        <v/>
      </c>
      <c r="AN622" s="20">
        <f>IF(AH622=1,MAX(0,P622-S622),0)</f>
        <v/>
      </c>
      <c r="AO622" s="21">
        <f>IFERROR(S622/P622,"")</f>
        <v/>
      </c>
      <c r="AP622" s="22">
        <f>IF(Y622="","",P622/Y622)</f>
        <v/>
      </c>
      <c r="AQ622" s="39">
        <f>IF(Y622="",0,1)</f>
        <v/>
      </c>
      <c r="AR622" s="39">
        <f>IF(S622&lt;=0,1,0)</f>
        <v/>
      </c>
      <c r="AS622" s="17">
        <f>IF(AH622=1,AG622,"")</f>
        <v/>
      </c>
      <c r="AT622" s="17">
        <f>IF(AND(AH622=0,AJ622=1),AG622,"")</f>
        <v/>
      </c>
      <c r="AU622" s="5">
        <f>IF(P622&lt;10000,"Under $10K",IF(P622&lt;20000,"$10-20K",IF(P622&lt;30000,"$20-30K",IF(P622&lt;50000,"$30-50K",IF(P622&lt;100000,"$50-100K","$100K+")))))</f>
        <v/>
      </c>
      <c r="AV622" s="5">
        <f>IF(O622&lt;=1.35,"1.35 and under",IF(O622&lt;=1.42,"1.36-1.42",IF(O622&lt;=1.45,"1.43-1.45",IF(O622&lt;1.49,"1.46-1.48",IF(O622&lt;=1.49,"1.49","Above 1.49")))))</f>
        <v/>
      </c>
      <c r="AW622" s="5">
        <f>IF(AE622="","",IF(AE622&lt;60,"Under 60",IF(AE622&lt;90,"60-89",IF(AE622&lt;120,"90-119",IF(AE622&lt;150,"120-149","150+")))))</f>
        <v/>
      </c>
      <c r="AX622" s="5">
        <f>IF(AP622="","No revenue data",IF(AP622&lt;0.15,"Under 0.15x",IF(AP622&lt;0.3,"0.15-0.30x",IF(AP622&lt;0.5,"0.30-0.50x",IF(AP622&lt;1,"0.50-1.00x","1.00x+")))))</f>
        <v/>
      </c>
      <c r="AY622" s="5">
        <f>IF(J622="","No SIC",IFERROR(VLOOKUP(J622,Ref!$A$4:$C$67,2,FALSE()),"Unclassified"))</f>
        <v/>
      </c>
      <c r="AZ622" s="5">
        <f>IF(E622="","",TEXT(E622,"YYYY")&amp;"-Q"&amp;ROUNDUP(MONTH(E622)/3,0))</f>
        <v/>
      </c>
      <c r="BA622" s="5">
        <f>IF(E622="","",TEXT(E622,"YYYY-MM"))</f>
        <v/>
      </c>
      <c r="BB622" s="5">
        <f>IF(E622="","",TEXT(E622,"YYYY"))</f>
        <v/>
      </c>
      <c r="BC622" s="92">
        <f>IF($E622="","",NETWORKDAYS($E622,Controls!$B$9,Ref!$F$4:$F$47))</f>
        <v/>
      </c>
      <c r="BD622" s="92">
        <f>IF(OR($AH622=1,$AJ622=1),1,0)</f>
        <v/>
      </c>
      <c r="BE622" s="95">
        <f>IF(OR($BD622=1,AND($AE622&lt;&gt;"",$BC622&gt;=Controls!$B$10*$AE622)),1,0)</f>
        <v/>
      </c>
    </row>
    <row r="623" ht="15.75" customHeight="1" s="79">
      <c r="A623" s="5" t="inlineStr">
        <is>
          <t>5674178518</t>
        </is>
      </c>
      <c r="B623" s="5" t="inlineStr">
        <is>
          <t>RHINOMACTT LLC</t>
        </is>
      </c>
      <c r="C623" s="5" t="inlineStr">
        <is>
          <t>RHINOMACTT LLC</t>
        </is>
      </c>
      <c r="D623" s="5" t="inlineStr">
        <is>
          <t>Legal</t>
        </is>
      </c>
      <c r="E623" s="16" t="n">
        <v>46066</v>
      </c>
      <c r="F623" s="16" t="n">
        <v>46108</v>
      </c>
      <c r="G623" s="17" t="n">
        <v>3</v>
      </c>
      <c r="H623" s="5" t="inlineStr">
        <is>
          <t>1521</t>
        </is>
      </c>
      <c r="I623" s="5" t="inlineStr">
        <is>
          <t>Residential Remodelers</t>
        </is>
      </c>
      <c r="J623" s="5" t="inlineStr">
        <is>
          <t>15</t>
        </is>
      </c>
      <c r="K623" s="5" t="n">
        <v>1520</v>
      </c>
      <c r="L623" s="5" t="inlineStr">
        <is>
          <t>OK</t>
        </is>
      </c>
      <c r="M623" s="5" t="inlineStr">
        <is>
          <t>United Secured Capital 8</t>
        </is>
      </c>
      <c r="N623" s="5" t="inlineStr">
        <is>
          <t>New Deal</t>
        </is>
      </c>
      <c r="O623" s="19" t="n">
        <v>1.49</v>
      </c>
      <c r="P623" s="20" t="n">
        <v>15000</v>
      </c>
      <c r="Q623" s="20" t="n">
        <v>2100</v>
      </c>
      <c r="R623" s="20" t="n">
        <v>22350</v>
      </c>
      <c r="S623" s="20" t="n">
        <v>5586.25</v>
      </c>
      <c r="T623" s="20" t="n">
        <v>16763.75</v>
      </c>
      <c r="U623" s="21" t="n">
        <v>0.249944071588367</v>
      </c>
      <c r="V623" s="22" t="n">
        <v>3.279</v>
      </c>
      <c r="W623" s="17" t="n">
        <v>149</v>
      </c>
      <c r="X623" s="17" t="n">
        <v>4</v>
      </c>
      <c r="Y623" s="20" t="n">
        <v>25364.67</v>
      </c>
      <c r="Z623" s="21" t="n">
        <v>0.185</v>
      </c>
      <c r="AA623" s="5" t="n"/>
      <c r="AB623" s="5">
        <f>IF(V623="","",IF(V623&lt;12,"Months","Weeks"))</f>
        <v/>
      </c>
      <c r="AC623" s="5">
        <f>IF(AB623="","",IF(AB623="Months","Daily","Weekly"))</f>
        <v/>
      </c>
      <c r="AD623" s="17">
        <f>IF(V623="","",IF(AC623="Daily",V623*Controls!$B$13,V623))</f>
        <v/>
      </c>
      <c r="AE623" s="17">
        <f>IF(V623="","",IF(AC623="Daily",V623*Controls!$B$13,V623*Controls!$B$12))</f>
        <v/>
      </c>
      <c r="AF623" s="17">
        <f>IF(OR(E623="",F623=""),"",F623-E623)</f>
        <v/>
      </c>
      <c r="AG623" s="17">
        <f>IF(OR(E623="",F623=""),"",NETWORKDAYS(E623,F623,Ref!$F$4:$F$47))</f>
        <v/>
      </c>
      <c r="AH623" s="39">
        <f>IF(IFERROR(VLOOKUP(D623,Controls!$A$25:$D$35,2,FALSE()),"No")="Yes",1,0)</f>
        <v/>
      </c>
      <c r="AI623" s="39">
        <f>IF(IFERROR(VLOOKUP(D623,Controls!$A$25:$D$35,3,FALSE()),"No")="Yes",1,0)</f>
        <v/>
      </c>
      <c r="AJ623" s="39">
        <f>IF(IFERROR(VLOOKUP(D623,Controls!$A$25:$D$35,4,FALSE()),"No")="Yes",1,0)</f>
        <v/>
      </c>
      <c r="AK623" s="96">
        <f>IF(AND($E623&gt;=Controls!$B$5,$E623&lt;=Controls!$B$6,OR(Controls!$E$9&lt;&gt;"Y",$BE623=1)),1,0)</f>
        <v/>
      </c>
      <c r="AL623" s="39">
        <f>1</f>
        <v/>
      </c>
      <c r="AM623" s="20">
        <f>S623-P623</f>
        <v/>
      </c>
      <c r="AN623" s="20">
        <f>IF(AH623=1,MAX(0,P623-S623),0)</f>
        <v/>
      </c>
      <c r="AO623" s="21">
        <f>IFERROR(S623/P623,"")</f>
        <v/>
      </c>
      <c r="AP623" s="22">
        <f>IF(Y623="","",P623/Y623)</f>
        <v/>
      </c>
      <c r="AQ623" s="39">
        <f>IF(Y623="",0,1)</f>
        <v/>
      </c>
      <c r="AR623" s="39">
        <f>IF(S623&lt;=0,1,0)</f>
        <v/>
      </c>
      <c r="AS623" s="17">
        <f>IF(AH623=1,AG623,"")</f>
        <v/>
      </c>
      <c r="AT623" s="17">
        <f>IF(AND(AH623=0,AJ623=1),AG623,"")</f>
        <v/>
      </c>
      <c r="AU623" s="5">
        <f>IF(P623&lt;10000,"Under $10K",IF(P623&lt;20000,"$10-20K",IF(P623&lt;30000,"$20-30K",IF(P623&lt;50000,"$30-50K",IF(P623&lt;100000,"$50-100K","$100K+")))))</f>
        <v/>
      </c>
      <c r="AV623" s="5">
        <f>IF(O623&lt;=1.35,"1.35 and under",IF(O623&lt;=1.42,"1.36-1.42",IF(O623&lt;=1.45,"1.43-1.45",IF(O623&lt;1.49,"1.46-1.48",IF(O623&lt;=1.49,"1.49","Above 1.49")))))</f>
        <v/>
      </c>
      <c r="AW623" s="5">
        <f>IF(AE623="","",IF(AE623&lt;60,"Under 60",IF(AE623&lt;90,"60-89",IF(AE623&lt;120,"90-119",IF(AE623&lt;150,"120-149","150+")))))</f>
        <v/>
      </c>
      <c r="AX623" s="5">
        <f>IF(AP623="","No revenue data",IF(AP623&lt;0.15,"Under 0.15x",IF(AP623&lt;0.3,"0.15-0.30x",IF(AP623&lt;0.5,"0.30-0.50x",IF(AP623&lt;1,"0.50-1.00x","1.00x+")))))</f>
        <v/>
      </c>
      <c r="AY623" s="5">
        <f>IF(J623="","No SIC",IFERROR(VLOOKUP(J623,Ref!$A$4:$C$67,2,FALSE()),"Unclassified"))</f>
        <v/>
      </c>
      <c r="AZ623" s="5">
        <f>IF(E623="","",TEXT(E623,"YYYY")&amp;"-Q"&amp;ROUNDUP(MONTH(E623)/3,0))</f>
        <v/>
      </c>
      <c r="BA623" s="5">
        <f>IF(E623="","",TEXT(E623,"YYYY-MM"))</f>
        <v/>
      </c>
      <c r="BB623" s="5">
        <f>IF(E623="","",TEXT(E623,"YYYY"))</f>
        <v/>
      </c>
      <c r="BC623" s="92">
        <f>IF($E623="","",NETWORKDAYS($E623,Controls!$B$9,Ref!$F$4:$F$47))</f>
        <v/>
      </c>
      <c r="BD623" s="92">
        <f>IF(OR($AH623=1,$AJ623=1),1,0)</f>
        <v/>
      </c>
      <c r="BE623" s="95">
        <f>IF(OR($BD623=1,AND($AE623&lt;&gt;"",$BC623&gt;=Controls!$B$10*$AE623)),1,0)</f>
        <v/>
      </c>
    </row>
    <row r="624" ht="15.75" customHeight="1" s="79">
      <c r="A624" s="5" t="inlineStr">
        <is>
          <t>5674178538</t>
        </is>
      </c>
      <c r="B624" s="5" t="inlineStr">
        <is>
          <t>Southern Power Systems LLC</t>
        </is>
      </c>
      <c r="C624" s="5" t="inlineStr">
        <is>
          <t>Southern Power Systems LLC</t>
        </is>
      </c>
      <c r="D624" s="5" t="inlineStr">
        <is>
          <t>Open</t>
        </is>
      </c>
      <c r="E624" s="16" t="n">
        <v>46066</v>
      </c>
      <c r="F624" s="16" t="n">
        <v>46253</v>
      </c>
      <c r="G624" s="17" t="n">
        <v>3</v>
      </c>
      <c r="H624" s="5" t="inlineStr">
        <is>
          <t>3621</t>
        </is>
      </c>
      <c r="I624" s="5" t="inlineStr">
        <is>
          <t>Motor and Generator Mfg.</t>
        </is>
      </c>
      <c r="J624" s="5" t="inlineStr">
        <is>
          <t>36</t>
        </is>
      </c>
      <c r="K624" s="5" t="n">
        <v>5999</v>
      </c>
      <c r="L624" s="5" t="inlineStr">
        <is>
          <t>GA</t>
        </is>
      </c>
      <c r="M624" s="5" t="inlineStr">
        <is>
          <t>United Secured Capital 8</t>
        </is>
      </c>
      <c r="N624" s="5" t="inlineStr">
        <is>
          <t>New Deal</t>
        </is>
      </c>
      <c r="O624" s="19" t="n">
        <v>1.49</v>
      </c>
      <c r="P624" s="20" t="n">
        <v>20000</v>
      </c>
      <c r="Q624" s="20" t="n">
        <v>2800</v>
      </c>
      <c r="R624" s="20" t="n">
        <v>29800</v>
      </c>
      <c r="S624" s="20" t="n">
        <v>29800</v>
      </c>
      <c r="T624" s="20" t="n">
        <v>0</v>
      </c>
      <c r="U624" s="21" t="n">
        <v>1</v>
      </c>
      <c r="V624" s="22" t="n">
        <v>20</v>
      </c>
      <c r="W624" s="17" t="n">
        <v>0</v>
      </c>
      <c r="X624" s="17" t="n">
        <v>0</v>
      </c>
      <c r="Y624" s="20" t="n">
        <v>2423.33</v>
      </c>
      <c r="Z624" s="21" t="n">
        <v>0.0298</v>
      </c>
      <c r="AA624" s="16" t="n">
        <v>45657</v>
      </c>
      <c r="AB624" s="5">
        <f>IF(V624="","",IF(V624&lt;12,"Months","Weeks"))</f>
        <v/>
      </c>
      <c r="AC624" s="5">
        <f>IF(AB624="","",IF(AB624="Months","Daily","Weekly"))</f>
        <v/>
      </c>
      <c r="AD624" s="17">
        <f>IF(V624="","",IF(AC624="Daily",V624*Controls!$B$13,V624))</f>
        <v/>
      </c>
      <c r="AE624" s="17">
        <f>IF(V624="","",IF(AC624="Daily",V624*Controls!$B$13,V624*Controls!$B$12))</f>
        <v/>
      </c>
      <c r="AF624" s="17">
        <f>IF(OR(E624="",F624=""),"",F624-E624)</f>
        <v/>
      </c>
      <c r="AG624" s="17">
        <f>IF(OR(E624="",F624=""),"",NETWORKDAYS(E624,F624,Ref!$F$4:$F$47))</f>
        <v/>
      </c>
      <c r="AH624" s="39">
        <f>IF(IFERROR(VLOOKUP(D624,Controls!$A$25:$D$35,2,FALSE()),"No")="Yes",1,0)</f>
        <v/>
      </c>
      <c r="AI624" s="39">
        <f>IF(IFERROR(VLOOKUP(D624,Controls!$A$25:$D$35,3,FALSE()),"No")="Yes",1,0)</f>
        <v/>
      </c>
      <c r="AJ624" s="39">
        <f>IF(IFERROR(VLOOKUP(D624,Controls!$A$25:$D$35,4,FALSE()),"No")="Yes",1,0)</f>
        <v/>
      </c>
      <c r="AK624" s="96">
        <f>IF(AND($E624&gt;=Controls!$B$5,$E624&lt;=Controls!$B$6,OR(Controls!$E$9&lt;&gt;"Y",$BE624=1)),1,0)</f>
        <v/>
      </c>
      <c r="AL624" s="39">
        <f>1</f>
        <v/>
      </c>
      <c r="AM624" s="20">
        <f>S624-P624</f>
        <v/>
      </c>
      <c r="AN624" s="20">
        <f>IF(AH624=1,MAX(0,P624-S624),0)</f>
        <v/>
      </c>
      <c r="AO624" s="21">
        <f>IFERROR(S624/P624,"")</f>
        <v/>
      </c>
      <c r="AP624" s="22">
        <f>IF(Y624="","",P624/Y624)</f>
        <v/>
      </c>
      <c r="AQ624" s="39">
        <f>IF(Y624="",0,1)</f>
        <v/>
      </c>
      <c r="AR624" s="39">
        <f>IF(S624&lt;=0,1,0)</f>
        <v/>
      </c>
      <c r="AS624" s="17">
        <f>IF(AH624=1,AG624,"")</f>
        <v/>
      </c>
      <c r="AT624" s="17">
        <f>IF(AND(AH624=0,AJ624=1),AG624,"")</f>
        <v/>
      </c>
      <c r="AU624" s="5">
        <f>IF(P624&lt;10000,"Under $10K",IF(P624&lt;20000,"$10-20K",IF(P624&lt;30000,"$20-30K",IF(P624&lt;50000,"$30-50K",IF(P624&lt;100000,"$50-100K","$100K+")))))</f>
        <v/>
      </c>
      <c r="AV624" s="5">
        <f>IF(O624&lt;=1.35,"1.35 and under",IF(O624&lt;=1.42,"1.36-1.42",IF(O624&lt;=1.45,"1.43-1.45",IF(O624&lt;1.49,"1.46-1.48",IF(O624&lt;=1.49,"1.49","Above 1.49")))))</f>
        <v/>
      </c>
      <c r="AW624" s="5">
        <f>IF(AE624="","",IF(AE624&lt;60,"Under 60",IF(AE624&lt;90,"60-89",IF(AE624&lt;120,"90-119",IF(AE624&lt;150,"120-149","150+")))))</f>
        <v/>
      </c>
      <c r="AX624" s="5">
        <f>IF(AP624="","No revenue data",IF(AP624&lt;0.15,"Under 0.15x",IF(AP624&lt;0.3,"0.15-0.30x",IF(AP624&lt;0.5,"0.30-0.50x",IF(AP624&lt;1,"0.50-1.00x","1.00x+")))))</f>
        <v/>
      </c>
      <c r="AY624" s="5">
        <f>IF(J624="","No SIC",IFERROR(VLOOKUP(J624,Ref!$A$4:$C$67,2,FALSE()),"Unclassified"))</f>
        <v/>
      </c>
      <c r="AZ624" s="5">
        <f>IF(E624="","",TEXT(E624,"YYYY")&amp;"-Q"&amp;ROUNDUP(MONTH(E624)/3,0))</f>
        <v/>
      </c>
      <c r="BA624" s="5">
        <f>IF(E624="","",TEXT(E624,"YYYY-MM"))</f>
        <v/>
      </c>
      <c r="BB624" s="5">
        <f>IF(E624="","",TEXT(E624,"YYYY"))</f>
        <v/>
      </c>
      <c r="BC624" s="92">
        <f>IF($E624="","",NETWORKDAYS($E624,Controls!$B$9,Ref!$F$4:$F$47))</f>
        <v/>
      </c>
      <c r="BD624" s="92">
        <f>IF(OR($AH624=1,$AJ624=1),1,0)</f>
        <v/>
      </c>
      <c r="BE624" s="95">
        <f>IF(OR($BD624=1,AND($AE624&lt;&gt;"",$BC624&gt;=Controls!$B$10*$AE624)),1,0)</f>
        <v/>
      </c>
    </row>
    <row r="625" ht="15.75" customHeight="1" s="79">
      <c r="A625" s="5" t="inlineStr">
        <is>
          <t>5674178553</t>
        </is>
      </c>
      <c r="B625" s="5" t="inlineStr">
        <is>
          <t>T&amp;M BUILDERS AND DESIGN INC</t>
        </is>
      </c>
      <c r="C625" s="5" t="inlineStr">
        <is>
          <t>T&amp;M BUILDERS AND DESIGN INC</t>
        </is>
      </c>
      <c r="D625" s="5" t="inlineStr">
        <is>
          <t>Open</t>
        </is>
      </c>
      <c r="E625" s="16" t="n">
        <v>46066</v>
      </c>
      <c r="F625" s="16" t="n">
        <v>46206</v>
      </c>
      <c r="G625" s="17" t="n">
        <v>1</v>
      </c>
      <c r="H625" s="5" t="inlineStr">
        <is>
          <t>1521</t>
        </is>
      </c>
      <c r="I625" s="5" t="inlineStr">
        <is>
          <t>New Single-Family Housing Construction (Except For-Sale Builders)</t>
        </is>
      </c>
      <c r="J625" s="5" t="inlineStr">
        <is>
          <t>15</t>
        </is>
      </c>
      <c r="K625" s="5" t="n">
        <v>1520</v>
      </c>
      <c r="L625" s="5" t="inlineStr">
        <is>
          <t>CA</t>
        </is>
      </c>
      <c r="M625" s="5" t="inlineStr">
        <is>
          <t>Fundible</t>
        </is>
      </c>
      <c r="N625" s="5" t="inlineStr">
        <is>
          <t>New Deal</t>
        </is>
      </c>
      <c r="O625" s="19" t="n">
        <v>1.49</v>
      </c>
      <c r="P625" s="20" t="n">
        <v>25000</v>
      </c>
      <c r="Q625" s="20" t="n">
        <v>3500</v>
      </c>
      <c r="R625" s="20" t="n">
        <v>37250</v>
      </c>
      <c r="S625" s="20" t="n">
        <v>14335.5</v>
      </c>
      <c r="T625" s="20" t="n">
        <v>22914.5</v>
      </c>
      <c r="U625" s="21" t="n">
        <v>0.384845637583893</v>
      </c>
      <c r="V625" s="22" t="n">
        <v>26</v>
      </c>
      <c r="W625" s="17" t="n">
        <v>117</v>
      </c>
      <c r="X625" s="17" t="n">
        <v>10</v>
      </c>
      <c r="Y625" s="20" t="n">
        <v>139292.82</v>
      </c>
      <c r="Z625" s="21" t="n">
        <v>0.0415</v>
      </c>
      <c r="AA625" s="16" t="n">
        <v>45683</v>
      </c>
      <c r="AB625" s="5">
        <f>IF(V625="","",IF(V625&lt;12,"Months","Weeks"))</f>
        <v/>
      </c>
      <c r="AC625" s="5">
        <f>IF(AB625="","",IF(AB625="Months","Daily","Weekly"))</f>
        <v/>
      </c>
      <c r="AD625" s="17">
        <f>IF(V625="","",IF(AC625="Daily",V625*Controls!$B$13,V625))</f>
        <v/>
      </c>
      <c r="AE625" s="17">
        <f>IF(V625="","",IF(AC625="Daily",V625*Controls!$B$13,V625*Controls!$B$12))</f>
        <v/>
      </c>
      <c r="AF625" s="17">
        <f>IF(OR(E625="",F625=""),"",F625-E625)</f>
        <v/>
      </c>
      <c r="AG625" s="17">
        <f>IF(OR(E625="",F625=""),"",NETWORKDAYS(E625,F625,Ref!$F$4:$F$47))</f>
        <v/>
      </c>
      <c r="AH625" s="39">
        <f>IF(IFERROR(VLOOKUP(D625,Controls!$A$25:$D$35,2,FALSE()),"No")="Yes",1,0)</f>
        <v/>
      </c>
      <c r="AI625" s="39">
        <f>IF(IFERROR(VLOOKUP(D625,Controls!$A$25:$D$35,3,FALSE()),"No")="Yes",1,0)</f>
        <v/>
      </c>
      <c r="AJ625" s="39">
        <f>IF(IFERROR(VLOOKUP(D625,Controls!$A$25:$D$35,4,FALSE()),"No")="Yes",1,0)</f>
        <v/>
      </c>
      <c r="AK625" s="96">
        <f>IF(AND($E625&gt;=Controls!$B$5,$E625&lt;=Controls!$B$6,OR(Controls!$E$9&lt;&gt;"Y",$BE625=1)),1,0)</f>
        <v/>
      </c>
      <c r="AL625" s="39">
        <f>1</f>
        <v/>
      </c>
      <c r="AM625" s="20">
        <f>S625-P625</f>
        <v/>
      </c>
      <c r="AN625" s="20">
        <f>IF(AH625=1,MAX(0,P625-S625),0)</f>
        <v/>
      </c>
      <c r="AO625" s="21">
        <f>IFERROR(S625/P625,"")</f>
        <v/>
      </c>
      <c r="AP625" s="22">
        <f>IF(Y625="","",P625/Y625)</f>
        <v/>
      </c>
      <c r="AQ625" s="39">
        <f>IF(Y625="",0,1)</f>
        <v/>
      </c>
      <c r="AR625" s="39">
        <f>IF(S625&lt;=0,1,0)</f>
        <v/>
      </c>
      <c r="AS625" s="17">
        <f>IF(AH625=1,AG625,"")</f>
        <v/>
      </c>
      <c r="AT625" s="17">
        <f>IF(AND(AH625=0,AJ625=1),AG625,"")</f>
        <v/>
      </c>
      <c r="AU625" s="5">
        <f>IF(P625&lt;10000,"Under $10K",IF(P625&lt;20000,"$10-20K",IF(P625&lt;30000,"$20-30K",IF(P625&lt;50000,"$30-50K",IF(P625&lt;100000,"$50-100K","$100K+")))))</f>
        <v/>
      </c>
      <c r="AV625" s="5">
        <f>IF(O625&lt;=1.35,"1.35 and under",IF(O625&lt;=1.42,"1.36-1.42",IF(O625&lt;=1.45,"1.43-1.45",IF(O625&lt;1.49,"1.46-1.48",IF(O625&lt;=1.49,"1.49","Above 1.49")))))</f>
        <v/>
      </c>
      <c r="AW625" s="5">
        <f>IF(AE625="","",IF(AE625&lt;60,"Under 60",IF(AE625&lt;90,"60-89",IF(AE625&lt;120,"90-119",IF(AE625&lt;150,"120-149","150+")))))</f>
        <v/>
      </c>
      <c r="AX625" s="5">
        <f>IF(AP625="","No revenue data",IF(AP625&lt;0.15,"Under 0.15x",IF(AP625&lt;0.3,"0.15-0.30x",IF(AP625&lt;0.5,"0.30-0.50x",IF(AP625&lt;1,"0.50-1.00x","1.00x+")))))</f>
        <v/>
      </c>
      <c r="AY625" s="5">
        <f>IF(J625="","No SIC",IFERROR(VLOOKUP(J625,Ref!$A$4:$C$67,2,FALSE()),"Unclassified"))</f>
        <v/>
      </c>
      <c r="AZ625" s="5">
        <f>IF(E625="","",TEXT(E625,"YYYY")&amp;"-Q"&amp;ROUNDUP(MONTH(E625)/3,0))</f>
        <v/>
      </c>
      <c r="BA625" s="5">
        <f>IF(E625="","",TEXT(E625,"YYYY-MM"))</f>
        <v/>
      </c>
      <c r="BB625" s="5">
        <f>IF(E625="","",TEXT(E625,"YYYY"))</f>
        <v/>
      </c>
      <c r="BC625" s="92">
        <f>IF($E625="","",NETWORKDAYS($E625,Controls!$B$9,Ref!$F$4:$F$47))</f>
        <v/>
      </c>
      <c r="BD625" s="92">
        <f>IF(OR($AH625=1,$AJ625=1),1,0)</f>
        <v/>
      </c>
      <c r="BE625" s="95">
        <f>IF(OR($BD625=1,AND($AE625&lt;&gt;"",$BC625&gt;=Controls!$B$10*$AE625)),1,0)</f>
        <v/>
      </c>
    </row>
    <row r="626" ht="15.75" customHeight="1" s="79">
      <c r="A626" s="5" t="inlineStr">
        <is>
          <t>5674178578</t>
        </is>
      </c>
      <c r="B626" s="5" t="inlineStr">
        <is>
          <t>CITI LIMOUSINE GROUP, INC.</t>
        </is>
      </c>
      <c r="C626" s="5" t="inlineStr">
        <is>
          <t>CITI LIMOUSINE GROUP, INC.</t>
        </is>
      </c>
      <c r="D626" s="5" t="inlineStr">
        <is>
          <t>Legal</t>
        </is>
      </c>
      <c r="E626" s="16" t="n">
        <v>46070</v>
      </c>
      <c r="F626" s="16" t="n">
        <v>46122</v>
      </c>
      <c r="G626" s="17" t="n">
        <v>3</v>
      </c>
      <c r="H626" s="5" t="inlineStr">
        <is>
          <t>4121</t>
        </is>
      </c>
      <c r="I626" s="5" t="inlineStr">
        <is>
          <t>Taxi Service</t>
        </is>
      </c>
      <c r="J626" s="5" t="inlineStr">
        <is>
          <t>41</t>
        </is>
      </c>
      <c r="K626" s="5" t="n">
        <v>4121</v>
      </c>
      <c r="L626" s="5" t="inlineStr">
        <is>
          <t>IL</t>
        </is>
      </c>
      <c r="M626" s="5" t="inlineStr">
        <is>
          <t>legacy funding llc</t>
        </is>
      </c>
      <c r="N626" s="5" t="inlineStr">
        <is>
          <t>New Deal</t>
        </is>
      </c>
      <c r="O626" s="19" t="n">
        <v>1.49</v>
      </c>
      <c r="P626" s="20" t="n">
        <v>20000</v>
      </c>
      <c r="Q626" s="20" t="n">
        <v>0</v>
      </c>
      <c r="R626" s="20" t="n">
        <v>29800</v>
      </c>
      <c r="S626" s="20" t="n">
        <v>5867.69</v>
      </c>
      <c r="T626" s="20" t="n">
        <v>23932.31</v>
      </c>
      <c r="U626" s="21" t="n">
        <v>0.196902348993289</v>
      </c>
      <c r="V626" s="22" t="n">
        <v>20</v>
      </c>
      <c r="W626" s="17" t="n">
        <v>138</v>
      </c>
      <c r="X626" s="17" t="n">
        <v>2</v>
      </c>
      <c r="Y626" s="20" t="n">
        <v>70496.03</v>
      </c>
      <c r="Z626" s="21" t="n">
        <v>0.08450000000000001</v>
      </c>
      <c r="AA626" s="16" t="n">
        <v>42284</v>
      </c>
      <c r="AB626" s="5">
        <f>IF(V626="","",IF(V626&lt;12,"Months","Weeks"))</f>
        <v/>
      </c>
      <c r="AC626" s="5">
        <f>IF(AB626="","",IF(AB626="Months","Daily","Weekly"))</f>
        <v/>
      </c>
      <c r="AD626" s="17">
        <f>IF(V626="","",IF(AC626="Daily",V626*Controls!$B$13,V626))</f>
        <v/>
      </c>
      <c r="AE626" s="17">
        <f>IF(V626="","",IF(AC626="Daily",V626*Controls!$B$13,V626*Controls!$B$12))</f>
        <v/>
      </c>
      <c r="AF626" s="17">
        <f>IF(OR(E626="",F626=""),"",F626-E626)</f>
        <v/>
      </c>
      <c r="AG626" s="17">
        <f>IF(OR(E626="",F626=""),"",NETWORKDAYS(E626,F626,Ref!$F$4:$F$47))</f>
        <v/>
      </c>
      <c r="AH626" s="39">
        <f>IF(IFERROR(VLOOKUP(D626,Controls!$A$25:$D$35,2,FALSE()),"No")="Yes",1,0)</f>
        <v/>
      </c>
      <c r="AI626" s="39">
        <f>IF(IFERROR(VLOOKUP(D626,Controls!$A$25:$D$35,3,FALSE()),"No")="Yes",1,0)</f>
        <v/>
      </c>
      <c r="AJ626" s="39">
        <f>IF(IFERROR(VLOOKUP(D626,Controls!$A$25:$D$35,4,FALSE()),"No")="Yes",1,0)</f>
        <v/>
      </c>
      <c r="AK626" s="96">
        <f>IF(AND($E626&gt;=Controls!$B$5,$E626&lt;=Controls!$B$6,OR(Controls!$E$9&lt;&gt;"Y",$BE626=1)),1,0)</f>
        <v/>
      </c>
      <c r="AL626" s="39">
        <f>1</f>
        <v/>
      </c>
      <c r="AM626" s="20">
        <f>S626-P626</f>
        <v/>
      </c>
      <c r="AN626" s="20">
        <f>IF(AH626=1,MAX(0,P626-S626),0)</f>
        <v/>
      </c>
      <c r="AO626" s="21">
        <f>IFERROR(S626/P626,"")</f>
        <v/>
      </c>
      <c r="AP626" s="22">
        <f>IF(Y626="","",P626/Y626)</f>
        <v/>
      </c>
      <c r="AQ626" s="39">
        <f>IF(Y626="",0,1)</f>
        <v/>
      </c>
      <c r="AR626" s="39">
        <f>IF(S626&lt;=0,1,0)</f>
        <v/>
      </c>
      <c r="AS626" s="17">
        <f>IF(AH626=1,AG626,"")</f>
        <v/>
      </c>
      <c r="AT626" s="17">
        <f>IF(AND(AH626=0,AJ626=1),AG626,"")</f>
        <v/>
      </c>
      <c r="AU626" s="5">
        <f>IF(P626&lt;10000,"Under $10K",IF(P626&lt;20000,"$10-20K",IF(P626&lt;30000,"$20-30K",IF(P626&lt;50000,"$30-50K",IF(P626&lt;100000,"$50-100K","$100K+")))))</f>
        <v/>
      </c>
      <c r="AV626" s="5">
        <f>IF(O626&lt;=1.35,"1.35 and under",IF(O626&lt;=1.42,"1.36-1.42",IF(O626&lt;=1.45,"1.43-1.45",IF(O626&lt;1.49,"1.46-1.48",IF(O626&lt;=1.49,"1.49","Above 1.49")))))</f>
        <v/>
      </c>
      <c r="AW626" s="5">
        <f>IF(AE626="","",IF(AE626&lt;60,"Under 60",IF(AE626&lt;90,"60-89",IF(AE626&lt;120,"90-119",IF(AE626&lt;150,"120-149","150+")))))</f>
        <v/>
      </c>
      <c r="AX626" s="5">
        <f>IF(AP626="","No revenue data",IF(AP626&lt;0.15,"Under 0.15x",IF(AP626&lt;0.3,"0.15-0.30x",IF(AP626&lt;0.5,"0.30-0.50x",IF(AP626&lt;1,"0.50-1.00x","1.00x+")))))</f>
        <v/>
      </c>
      <c r="AY626" s="5">
        <f>IF(J626="","No SIC",IFERROR(VLOOKUP(J626,Ref!$A$4:$C$67,2,FALSE()),"Unclassified"))</f>
        <v/>
      </c>
      <c r="AZ626" s="5">
        <f>IF(E626="","",TEXT(E626,"YYYY")&amp;"-Q"&amp;ROUNDUP(MONTH(E626)/3,0))</f>
        <v/>
      </c>
      <c r="BA626" s="5">
        <f>IF(E626="","",TEXT(E626,"YYYY-MM"))</f>
        <v/>
      </c>
      <c r="BB626" s="5">
        <f>IF(E626="","",TEXT(E626,"YYYY"))</f>
        <v/>
      </c>
      <c r="BC626" s="92">
        <f>IF($E626="","",NETWORKDAYS($E626,Controls!$B$9,Ref!$F$4:$F$47))</f>
        <v/>
      </c>
      <c r="BD626" s="92">
        <f>IF(OR($AH626=1,$AJ626=1),1,0)</f>
        <v/>
      </c>
      <c r="BE626" s="95">
        <f>IF(OR($BD626=1,AND($AE626&lt;&gt;"",$BC626&gt;=Controls!$B$10*$AE626)),1,0)</f>
        <v/>
      </c>
    </row>
    <row r="627" ht="15.75" customHeight="1" s="79">
      <c r="A627" s="5" t="inlineStr">
        <is>
          <t>5674178595</t>
        </is>
      </c>
      <c r="B627" s="5" t="inlineStr">
        <is>
          <t>HUMBLE WELLNESS LLC</t>
        </is>
      </c>
      <c r="C627" s="5" t="inlineStr">
        <is>
          <t>HUMBLE WELLNESS LLC</t>
        </is>
      </c>
      <c r="D627" s="5" t="inlineStr">
        <is>
          <t>Legal</t>
        </is>
      </c>
      <c r="E627" s="16" t="n">
        <v>46070</v>
      </c>
      <c r="F627" s="16" t="n">
        <v>46182</v>
      </c>
      <c r="G627" s="17" t="n">
        <v>3</v>
      </c>
      <c r="H627" s="5" t="inlineStr">
        <is>
          <t>7991</t>
        </is>
      </c>
      <c r="I627" s="5" t="inlineStr">
        <is>
          <t>Fitness and Recreational Sports Centers</t>
        </is>
      </c>
      <c r="J627" s="5" t="inlineStr">
        <is>
          <t>79</t>
        </is>
      </c>
      <c r="K627" s="5" t="n">
        <v>7991</v>
      </c>
      <c r="L627" s="5" t="inlineStr">
        <is>
          <t>OH</t>
        </is>
      </c>
      <c r="M627" s="5" t="inlineStr">
        <is>
          <t>TRUSTFI</t>
        </is>
      </c>
      <c r="N627" s="5" t="inlineStr">
        <is>
          <t>New Deal</t>
        </is>
      </c>
      <c r="O627" s="19" t="n">
        <v>1.49</v>
      </c>
      <c r="P627" s="20" t="n">
        <v>35000</v>
      </c>
      <c r="Q627" s="20" t="n">
        <v>0</v>
      </c>
      <c r="R627" s="20" t="n">
        <v>52150</v>
      </c>
      <c r="S627" s="20" t="n">
        <v>4345.86</v>
      </c>
      <c r="T627" s="20" t="n">
        <v>47804.14</v>
      </c>
      <c r="U627" s="21" t="n">
        <v>0.08333384467881109</v>
      </c>
      <c r="V627" s="22" t="n">
        <v>24</v>
      </c>
      <c r="W627" s="17" t="n">
        <v>155</v>
      </c>
      <c r="X627" s="17" t="n">
        <v>19</v>
      </c>
      <c r="Y627" s="20" t="n">
        <v>55010.84</v>
      </c>
      <c r="Z627" s="21" t="n">
        <v>0.158</v>
      </c>
      <c r="AA627" s="16" t="n">
        <v>45383</v>
      </c>
      <c r="AB627" s="5">
        <f>IF(V627="","",IF(V627&lt;12,"Months","Weeks"))</f>
        <v/>
      </c>
      <c r="AC627" s="5">
        <f>IF(AB627="","",IF(AB627="Months","Daily","Weekly"))</f>
        <v/>
      </c>
      <c r="AD627" s="17">
        <f>IF(V627="","",IF(AC627="Daily",V627*Controls!$B$13,V627))</f>
        <v/>
      </c>
      <c r="AE627" s="17">
        <f>IF(V627="","",IF(AC627="Daily",V627*Controls!$B$13,V627*Controls!$B$12))</f>
        <v/>
      </c>
      <c r="AF627" s="17">
        <f>IF(OR(E627="",F627=""),"",F627-E627)</f>
        <v/>
      </c>
      <c r="AG627" s="17">
        <f>IF(OR(E627="",F627=""),"",NETWORKDAYS(E627,F627,Ref!$F$4:$F$47))</f>
        <v/>
      </c>
      <c r="AH627" s="39">
        <f>IF(IFERROR(VLOOKUP(D627,Controls!$A$25:$D$35,2,FALSE()),"No")="Yes",1,0)</f>
        <v/>
      </c>
      <c r="AI627" s="39">
        <f>IF(IFERROR(VLOOKUP(D627,Controls!$A$25:$D$35,3,FALSE()),"No")="Yes",1,0)</f>
        <v/>
      </c>
      <c r="AJ627" s="39">
        <f>IF(IFERROR(VLOOKUP(D627,Controls!$A$25:$D$35,4,FALSE()),"No")="Yes",1,0)</f>
        <v/>
      </c>
      <c r="AK627" s="96">
        <f>IF(AND($E627&gt;=Controls!$B$5,$E627&lt;=Controls!$B$6,OR(Controls!$E$9&lt;&gt;"Y",$BE627=1)),1,0)</f>
        <v/>
      </c>
      <c r="AL627" s="39">
        <f>1</f>
        <v/>
      </c>
      <c r="AM627" s="20">
        <f>S627-P627</f>
        <v/>
      </c>
      <c r="AN627" s="20">
        <f>IF(AH627=1,MAX(0,P627-S627),0)</f>
        <v/>
      </c>
      <c r="AO627" s="21">
        <f>IFERROR(S627/P627,"")</f>
        <v/>
      </c>
      <c r="AP627" s="22">
        <f>IF(Y627="","",P627/Y627)</f>
        <v/>
      </c>
      <c r="AQ627" s="39">
        <f>IF(Y627="",0,1)</f>
        <v/>
      </c>
      <c r="AR627" s="39">
        <f>IF(S627&lt;=0,1,0)</f>
        <v/>
      </c>
      <c r="AS627" s="17">
        <f>IF(AH627=1,AG627,"")</f>
        <v/>
      </c>
      <c r="AT627" s="17">
        <f>IF(AND(AH627=0,AJ627=1),AG627,"")</f>
        <v/>
      </c>
      <c r="AU627" s="5">
        <f>IF(P627&lt;10000,"Under $10K",IF(P627&lt;20000,"$10-20K",IF(P627&lt;30000,"$20-30K",IF(P627&lt;50000,"$30-50K",IF(P627&lt;100000,"$50-100K","$100K+")))))</f>
        <v/>
      </c>
      <c r="AV627" s="5">
        <f>IF(O627&lt;=1.35,"1.35 and under",IF(O627&lt;=1.42,"1.36-1.42",IF(O627&lt;=1.45,"1.43-1.45",IF(O627&lt;1.49,"1.46-1.48",IF(O627&lt;=1.49,"1.49","Above 1.49")))))</f>
        <v/>
      </c>
      <c r="AW627" s="5">
        <f>IF(AE627="","",IF(AE627&lt;60,"Under 60",IF(AE627&lt;90,"60-89",IF(AE627&lt;120,"90-119",IF(AE627&lt;150,"120-149","150+")))))</f>
        <v/>
      </c>
      <c r="AX627" s="5">
        <f>IF(AP627="","No revenue data",IF(AP627&lt;0.15,"Under 0.15x",IF(AP627&lt;0.3,"0.15-0.30x",IF(AP627&lt;0.5,"0.30-0.50x",IF(AP627&lt;1,"0.50-1.00x","1.00x+")))))</f>
        <v/>
      </c>
      <c r="AY627" s="5">
        <f>IF(J627="","No SIC",IFERROR(VLOOKUP(J627,Ref!$A$4:$C$67,2,FALSE()),"Unclassified"))</f>
        <v/>
      </c>
      <c r="AZ627" s="5">
        <f>IF(E627="","",TEXT(E627,"YYYY")&amp;"-Q"&amp;ROUNDUP(MONTH(E627)/3,0))</f>
        <v/>
      </c>
      <c r="BA627" s="5">
        <f>IF(E627="","",TEXT(E627,"YYYY-MM"))</f>
        <v/>
      </c>
      <c r="BB627" s="5">
        <f>IF(E627="","",TEXT(E627,"YYYY"))</f>
        <v/>
      </c>
      <c r="BC627" s="92">
        <f>IF($E627="","",NETWORKDAYS($E627,Controls!$B$9,Ref!$F$4:$F$47))</f>
        <v/>
      </c>
      <c r="BD627" s="92">
        <f>IF(OR($AH627=1,$AJ627=1),1,0)</f>
        <v/>
      </c>
      <c r="BE627" s="95">
        <f>IF(OR($BD627=1,AND($AE627&lt;&gt;"",$BC627&gt;=Controls!$B$10*$AE627)),1,0)</f>
        <v/>
      </c>
    </row>
    <row r="628" ht="15.75" customHeight="1" s="79">
      <c r="A628" s="5" t="inlineStr">
        <is>
          <t>5674178605</t>
        </is>
      </c>
      <c r="B628" s="5" t="inlineStr">
        <is>
          <t>BUFFALO'S CAFE</t>
        </is>
      </c>
      <c r="C628" s="5" t="inlineStr">
        <is>
          <t>B&amp;A HOSPITALITY OF ROME INC</t>
        </is>
      </c>
      <c r="D628" s="5" t="inlineStr">
        <is>
          <t>Legal</t>
        </is>
      </c>
      <c r="E628" s="16" t="n">
        <v>46070</v>
      </c>
      <c r="F628" s="16" t="n">
        <v>46090</v>
      </c>
      <c r="G628" s="17" t="n">
        <v>3</v>
      </c>
      <c r="H628" s="5" t="inlineStr">
        <is>
          <t>5812</t>
        </is>
      </c>
      <c r="I628" s="5" t="inlineStr">
        <is>
          <t>Snack and Nonalcoholic Beverage Bars</t>
        </is>
      </c>
      <c r="J628" s="5" t="inlineStr">
        <is>
          <t>58</t>
        </is>
      </c>
      <c r="K628" s="5" t="n">
        <v>5812</v>
      </c>
      <c r="L628" s="5" t="inlineStr">
        <is>
          <t>GA</t>
        </is>
      </c>
      <c r="M628" s="5" t="inlineStr">
        <is>
          <t>JABSCAP</t>
        </is>
      </c>
      <c r="N628" s="5" t="inlineStr">
        <is>
          <t>New Deal</t>
        </is>
      </c>
      <c r="O628" s="19" t="n">
        <v>1.45</v>
      </c>
      <c r="P628" s="20" t="n">
        <v>20000</v>
      </c>
      <c r="Q628" s="20" t="n">
        <v>0</v>
      </c>
      <c r="R628" s="20" t="n">
        <v>29000</v>
      </c>
      <c r="S628" s="20" t="n">
        <v>3188.9</v>
      </c>
      <c r="T628" s="20" t="n">
        <v>25811.1</v>
      </c>
      <c r="U628" s="21" t="n">
        <v>0.109962068965517</v>
      </c>
      <c r="V628" s="22" t="n">
        <v>3.279</v>
      </c>
      <c r="W628" s="17" t="n">
        <v>169</v>
      </c>
      <c r="X628" s="17" t="n">
        <v>4</v>
      </c>
      <c r="Y628" s="20" t="n">
        <v>73972.82000000001</v>
      </c>
      <c r="Z628" s="21" t="n">
        <v>0.0823</v>
      </c>
      <c r="AA628" s="16" t="n">
        <v>45546</v>
      </c>
      <c r="AB628" s="5">
        <f>IF(V628="","",IF(V628&lt;12,"Months","Weeks"))</f>
        <v/>
      </c>
      <c r="AC628" s="5">
        <f>IF(AB628="","",IF(AB628="Months","Daily","Weekly"))</f>
        <v/>
      </c>
      <c r="AD628" s="17">
        <f>IF(V628="","",IF(AC628="Daily",V628*Controls!$B$13,V628))</f>
        <v/>
      </c>
      <c r="AE628" s="17">
        <f>IF(V628="","",IF(AC628="Daily",V628*Controls!$B$13,V628*Controls!$B$12))</f>
        <v/>
      </c>
      <c r="AF628" s="17">
        <f>IF(OR(E628="",F628=""),"",F628-E628)</f>
        <v/>
      </c>
      <c r="AG628" s="17">
        <f>IF(OR(E628="",F628=""),"",NETWORKDAYS(E628,F628,Ref!$F$4:$F$47))</f>
        <v/>
      </c>
      <c r="AH628" s="39">
        <f>IF(IFERROR(VLOOKUP(D628,Controls!$A$25:$D$35,2,FALSE()),"No")="Yes",1,0)</f>
        <v/>
      </c>
      <c r="AI628" s="39">
        <f>IF(IFERROR(VLOOKUP(D628,Controls!$A$25:$D$35,3,FALSE()),"No")="Yes",1,0)</f>
        <v/>
      </c>
      <c r="AJ628" s="39">
        <f>IF(IFERROR(VLOOKUP(D628,Controls!$A$25:$D$35,4,FALSE()),"No")="Yes",1,0)</f>
        <v/>
      </c>
      <c r="AK628" s="96">
        <f>IF(AND($E628&gt;=Controls!$B$5,$E628&lt;=Controls!$B$6,OR(Controls!$E$9&lt;&gt;"Y",$BE628=1)),1,0)</f>
        <v/>
      </c>
      <c r="AL628" s="39">
        <f>1</f>
        <v/>
      </c>
      <c r="AM628" s="20">
        <f>S628-P628</f>
        <v/>
      </c>
      <c r="AN628" s="20">
        <f>IF(AH628=1,MAX(0,P628-S628),0)</f>
        <v/>
      </c>
      <c r="AO628" s="21">
        <f>IFERROR(S628/P628,"")</f>
        <v/>
      </c>
      <c r="AP628" s="22">
        <f>IF(Y628="","",P628/Y628)</f>
        <v/>
      </c>
      <c r="AQ628" s="39">
        <f>IF(Y628="",0,1)</f>
        <v/>
      </c>
      <c r="AR628" s="39">
        <f>IF(S628&lt;=0,1,0)</f>
        <v/>
      </c>
      <c r="AS628" s="17">
        <f>IF(AH628=1,AG628,"")</f>
        <v/>
      </c>
      <c r="AT628" s="17">
        <f>IF(AND(AH628=0,AJ628=1),AG628,"")</f>
        <v/>
      </c>
      <c r="AU628" s="5">
        <f>IF(P628&lt;10000,"Under $10K",IF(P628&lt;20000,"$10-20K",IF(P628&lt;30000,"$20-30K",IF(P628&lt;50000,"$30-50K",IF(P628&lt;100000,"$50-100K","$100K+")))))</f>
        <v/>
      </c>
      <c r="AV628" s="5">
        <f>IF(O628&lt;=1.35,"1.35 and under",IF(O628&lt;=1.42,"1.36-1.42",IF(O628&lt;=1.45,"1.43-1.45",IF(O628&lt;1.49,"1.46-1.48",IF(O628&lt;=1.49,"1.49","Above 1.49")))))</f>
        <v/>
      </c>
      <c r="AW628" s="5">
        <f>IF(AE628="","",IF(AE628&lt;60,"Under 60",IF(AE628&lt;90,"60-89",IF(AE628&lt;120,"90-119",IF(AE628&lt;150,"120-149","150+")))))</f>
        <v/>
      </c>
      <c r="AX628" s="5">
        <f>IF(AP628="","No revenue data",IF(AP628&lt;0.15,"Under 0.15x",IF(AP628&lt;0.3,"0.15-0.30x",IF(AP628&lt;0.5,"0.30-0.50x",IF(AP628&lt;1,"0.50-1.00x","1.00x+")))))</f>
        <v/>
      </c>
      <c r="AY628" s="5">
        <f>IF(J628="","No SIC",IFERROR(VLOOKUP(J628,Ref!$A$4:$C$67,2,FALSE()),"Unclassified"))</f>
        <v/>
      </c>
      <c r="AZ628" s="5">
        <f>IF(E628="","",TEXT(E628,"YYYY")&amp;"-Q"&amp;ROUNDUP(MONTH(E628)/3,0))</f>
        <v/>
      </c>
      <c r="BA628" s="5">
        <f>IF(E628="","",TEXT(E628,"YYYY-MM"))</f>
        <v/>
      </c>
      <c r="BB628" s="5">
        <f>IF(E628="","",TEXT(E628,"YYYY"))</f>
        <v/>
      </c>
      <c r="BC628" s="92">
        <f>IF($E628="","",NETWORKDAYS($E628,Controls!$B$9,Ref!$F$4:$F$47))</f>
        <v/>
      </c>
      <c r="BD628" s="92">
        <f>IF(OR($AH628=1,$AJ628=1),1,0)</f>
        <v/>
      </c>
      <c r="BE628" s="95">
        <f>IF(OR($BD628=1,AND($AE628&lt;&gt;"",$BC628&gt;=Controls!$B$10*$AE628)),1,0)</f>
        <v/>
      </c>
    </row>
    <row r="629" ht="15.75" customHeight="1" s="79">
      <c r="A629" s="5" t="inlineStr">
        <is>
          <t>5674178608</t>
        </is>
      </c>
      <c r="B629" s="5" t="inlineStr">
        <is>
          <t>CJ3 Properties, LLC</t>
        </is>
      </c>
      <c r="C629" s="5" t="inlineStr">
        <is>
          <t>CJ3 Properties, LLC</t>
        </is>
      </c>
      <c r="D629" s="5" t="inlineStr">
        <is>
          <t>Open</t>
        </is>
      </c>
      <c r="E629" s="16" t="n">
        <v>46070</v>
      </c>
      <c r="F629" s="16" t="n">
        <v>46248</v>
      </c>
      <c r="G629" s="17" t="n">
        <v>3</v>
      </c>
      <c r="H629" s="5" t="inlineStr">
        <is>
          <t>1521</t>
        </is>
      </c>
      <c r="I629" s="5" t="inlineStr">
        <is>
          <t>Residential Remodelers</t>
        </is>
      </c>
      <c r="J629" s="5" t="inlineStr">
        <is>
          <t>15</t>
        </is>
      </c>
      <c r="K629" s="5" t="n">
        <v>1520</v>
      </c>
      <c r="L629" s="5" t="inlineStr">
        <is>
          <t>SC</t>
        </is>
      </c>
      <c r="M629" s="5" t="inlineStr">
        <is>
          <t>Ballicci</t>
        </is>
      </c>
      <c r="N629" s="5" t="inlineStr">
        <is>
          <t>New Deal</t>
        </is>
      </c>
      <c r="O629" s="19" t="n">
        <v>1.49</v>
      </c>
      <c r="P629" s="20" t="n">
        <v>20000</v>
      </c>
      <c r="Q629" s="20" t="n">
        <v>2800</v>
      </c>
      <c r="R629" s="20" t="n">
        <v>29800</v>
      </c>
      <c r="S629" s="20" t="n">
        <v>18924.38</v>
      </c>
      <c r="T629" s="20" t="n">
        <v>10875.62</v>
      </c>
      <c r="U629" s="21" t="n">
        <v>0.635046308724832</v>
      </c>
      <c r="V629" s="22" t="n">
        <v>20</v>
      </c>
      <c r="W629" s="17" t="n">
        <v>28</v>
      </c>
      <c r="X629" s="17" t="n">
        <v>21</v>
      </c>
      <c r="Y629" s="20" t="n">
        <v>444351.02</v>
      </c>
      <c r="Z629" s="21" t="n">
        <v>0.0134</v>
      </c>
      <c r="AA629" s="16" t="n">
        <v>43195</v>
      </c>
      <c r="AB629" s="5">
        <f>IF(V629="","",IF(V629&lt;12,"Months","Weeks"))</f>
        <v/>
      </c>
      <c r="AC629" s="5">
        <f>IF(AB629="","",IF(AB629="Months","Daily","Weekly"))</f>
        <v/>
      </c>
      <c r="AD629" s="17">
        <f>IF(V629="","",IF(AC629="Daily",V629*Controls!$B$13,V629))</f>
        <v/>
      </c>
      <c r="AE629" s="17">
        <f>IF(V629="","",IF(AC629="Daily",V629*Controls!$B$13,V629*Controls!$B$12))</f>
        <v/>
      </c>
      <c r="AF629" s="17">
        <f>IF(OR(E629="",F629=""),"",F629-E629)</f>
        <v/>
      </c>
      <c r="AG629" s="17">
        <f>IF(OR(E629="",F629=""),"",NETWORKDAYS(E629,F629,Ref!$F$4:$F$47))</f>
        <v/>
      </c>
      <c r="AH629" s="39">
        <f>IF(IFERROR(VLOOKUP(D629,Controls!$A$25:$D$35,2,FALSE()),"No")="Yes",1,0)</f>
        <v/>
      </c>
      <c r="AI629" s="39">
        <f>IF(IFERROR(VLOOKUP(D629,Controls!$A$25:$D$35,3,FALSE()),"No")="Yes",1,0)</f>
        <v/>
      </c>
      <c r="AJ629" s="39">
        <f>IF(IFERROR(VLOOKUP(D629,Controls!$A$25:$D$35,4,FALSE()),"No")="Yes",1,0)</f>
        <v/>
      </c>
      <c r="AK629" s="96">
        <f>IF(AND($E629&gt;=Controls!$B$5,$E629&lt;=Controls!$B$6,OR(Controls!$E$9&lt;&gt;"Y",$BE629=1)),1,0)</f>
        <v/>
      </c>
      <c r="AL629" s="39">
        <f>1</f>
        <v/>
      </c>
      <c r="AM629" s="20">
        <f>S629-P629</f>
        <v/>
      </c>
      <c r="AN629" s="20">
        <f>IF(AH629=1,MAX(0,P629-S629),0)</f>
        <v/>
      </c>
      <c r="AO629" s="21">
        <f>IFERROR(S629/P629,"")</f>
        <v/>
      </c>
      <c r="AP629" s="22">
        <f>IF(Y629="","",P629/Y629)</f>
        <v/>
      </c>
      <c r="AQ629" s="39">
        <f>IF(Y629="",0,1)</f>
        <v/>
      </c>
      <c r="AR629" s="39">
        <f>IF(S629&lt;=0,1,0)</f>
        <v/>
      </c>
      <c r="AS629" s="17">
        <f>IF(AH629=1,AG629,"")</f>
        <v/>
      </c>
      <c r="AT629" s="17">
        <f>IF(AND(AH629=0,AJ629=1),AG629,"")</f>
        <v/>
      </c>
      <c r="AU629" s="5">
        <f>IF(P629&lt;10000,"Under $10K",IF(P629&lt;20000,"$10-20K",IF(P629&lt;30000,"$20-30K",IF(P629&lt;50000,"$30-50K",IF(P629&lt;100000,"$50-100K","$100K+")))))</f>
        <v/>
      </c>
      <c r="AV629" s="5">
        <f>IF(O629&lt;=1.35,"1.35 and under",IF(O629&lt;=1.42,"1.36-1.42",IF(O629&lt;=1.45,"1.43-1.45",IF(O629&lt;1.49,"1.46-1.48",IF(O629&lt;=1.49,"1.49","Above 1.49")))))</f>
        <v/>
      </c>
      <c r="AW629" s="5">
        <f>IF(AE629="","",IF(AE629&lt;60,"Under 60",IF(AE629&lt;90,"60-89",IF(AE629&lt;120,"90-119",IF(AE629&lt;150,"120-149","150+")))))</f>
        <v/>
      </c>
      <c r="AX629" s="5">
        <f>IF(AP629="","No revenue data",IF(AP629&lt;0.15,"Under 0.15x",IF(AP629&lt;0.3,"0.15-0.30x",IF(AP629&lt;0.5,"0.30-0.50x",IF(AP629&lt;1,"0.50-1.00x","1.00x+")))))</f>
        <v/>
      </c>
      <c r="AY629" s="5">
        <f>IF(J629="","No SIC",IFERROR(VLOOKUP(J629,Ref!$A$4:$C$67,2,FALSE()),"Unclassified"))</f>
        <v/>
      </c>
      <c r="AZ629" s="5">
        <f>IF(E629="","",TEXT(E629,"YYYY")&amp;"-Q"&amp;ROUNDUP(MONTH(E629)/3,0))</f>
        <v/>
      </c>
      <c r="BA629" s="5">
        <f>IF(E629="","",TEXT(E629,"YYYY-MM"))</f>
        <v/>
      </c>
      <c r="BB629" s="5">
        <f>IF(E629="","",TEXT(E629,"YYYY"))</f>
        <v/>
      </c>
      <c r="BC629" s="92">
        <f>IF($E629="","",NETWORKDAYS($E629,Controls!$B$9,Ref!$F$4:$F$47))</f>
        <v/>
      </c>
      <c r="BD629" s="92">
        <f>IF(OR($AH629=1,$AJ629=1),1,0)</f>
        <v/>
      </c>
      <c r="BE629" s="95">
        <f>IF(OR($BD629=1,AND($AE629&lt;&gt;"",$BC629&gt;=Controls!$B$10*$AE629)),1,0)</f>
        <v/>
      </c>
    </row>
    <row r="630" ht="15.75" customHeight="1" s="79">
      <c r="A630" s="5" t="inlineStr">
        <is>
          <t>5674178625</t>
        </is>
      </c>
      <c r="B630" s="5" t="inlineStr">
        <is>
          <t>UNCLE TOMY'S ORIGINAL PIZZA</t>
        </is>
      </c>
      <c r="C630" s="5" t="inlineStr">
        <is>
          <t>27TH STREET FOOD LLC</t>
        </is>
      </c>
      <c r="D630" s="5" t="inlineStr">
        <is>
          <t>Closed</t>
        </is>
      </c>
      <c r="E630" s="16" t="n">
        <v>46070</v>
      </c>
      <c r="F630" s="16" t="n">
        <v>46155</v>
      </c>
      <c r="G630" s="17" t="n">
        <v>3</v>
      </c>
      <c r="H630" s="5" t="inlineStr">
        <is>
          <t>5812</t>
        </is>
      </c>
      <c r="I630" s="5" t="inlineStr">
        <is>
          <t>Snack and Nonalcoholic Beverage Bars</t>
        </is>
      </c>
      <c r="J630" s="5" t="inlineStr">
        <is>
          <t>58</t>
        </is>
      </c>
      <c r="K630" s="5" t="n">
        <v>5812</v>
      </c>
      <c r="L630" s="5" t="inlineStr">
        <is>
          <t>PA</t>
        </is>
      </c>
      <c r="M630" s="5" t="inlineStr">
        <is>
          <t>United Secured Capital 8</t>
        </is>
      </c>
      <c r="N630" s="5" t="inlineStr">
        <is>
          <t>Renewal</t>
        </is>
      </c>
      <c r="O630" s="19" t="n">
        <v>1.49</v>
      </c>
      <c r="P630" s="20" t="n">
        <v>33000</v>
      </c>
      <c r="Q630" s="20" t="n">
        <v>4620</v>
      </c>
      <c r="R630" s="20" t="n">
        <v>49170</v>
      </c>
      <c r="S630" s="20" t="n">
        <v>49170</v>
      </c>
      <c r="T630" s="20" t="n">
        <v>0</v>
      </c>
      <c r="U630" s="21" t="n">
        <v>1</v>
      </c>
      <c r="V630" s="22" t="n">
        <v>3.607</v>
      </c>
      <c r="W630" s="17" t="n">
        <v>98</v>
      </c>
      <c r="X630" s="17" t="n">
        <v>0</v>
      </c>
      <c r="Y630" s="20" t="n">
        <v>55406.13</v>
      </c>
      <c r="Z630" s="21" t="n">
        <v>0.1694</v>
      </c>
      <c r="AA630" s="5" t="n"/>
      <c r="AB630" s="5">
        <f>IF(V630="","",IF(V630&lt;12,"Months","Weeks"))</f>
        <v/>
      </c>
      <c r="AC630" s="5">
        <f>IF(AB630="","",IF(AB630="Months","Daily","Weekly"))</f>
        <v/>
      </c>
      <c r="AD630" s="17">
        <f>IF(V630="","",IF(AC630="Daily",V630*Controls!$B$13,V630))</f>
        <v/>
      </c>
      <c r="AE630" s="17">
        <f>IF(V630="","",IF(AC630="Daily",V630*Controls!$B$13,V630*Controls!$B$12))</f>
        <v/>
      </c>
      <c r="AF630" s="17">
        <f>IF(OR(E630="",F630=""),"",F630-E630)</f>
        <v/>
      </c>
      <c r="AG630" s="17">
        <f>IF(OR(E630="",F630=""),"",NETWORKDAYS(E630,F630,Ref!$F$4:$F$47))</f>
        <v/>
      </c>
      <c r="AH630" s="39">
        <f>IF(IFERROR(VLOOKUP(D630,Controls!$A$25:$D$35,2,FALSE()),"No")="Yes",1,0)</f>
        <v/>
      </c>
      <c r="AI630" s="39">
        <f>IF(IFERROR(VLOOKUP(D630,Controls!$A$25:$D$35,3,FALSE()),"No")="Yes",1,0)</f>
        <v/>
      </c>
      <c r="AJ630" s="39">
        <f>IF(IFERROR(VLOOKUP(D630,Controls!$A$25:$D$35,4,FALSE()),"No")="Yes",1,0)</f>
        <v/>
      </c>
      <c r="AK630" s="96">
        <f>IF(AND($E630&gt;=Controls!$B$5,$E630&lt;=Controls!$B$6,OR(Controls!$E$9&lt;&gt;"Y",$BE630=1)),1,0)</f>
        <v/>
      </c>
      <c r="AL630" s="39">
        <f>1</f>
        <v/>
      </c>
      <c r="AM630" s="20">
        <f>S630-P630</f>
        <v/>
      </c>
      <c r="AN630" s="20">
        <f>IF(AH630=1,MAX(0,P630-S630),0)</f>
        <v/>
      </c>
      <c r="AO630" s="21">
        <f>IFERROR(S630/P630,"")</f>
        <v/>
      </c>
      <c r="AP630" s="22">
        <f>IF(Y630="","",P630/Y630)</f>
        <v/>
      </c>
      <c r="AQ630" s="39">
        <f>IF(Y630="",0,1)</f>
        <v/>
      </c>
      <c r="AR630" s="39">
        <f>IF(S630&lt;=0,1,0)</f>
        <v/>
      </c>
      <c r="AS630" s="17">
        <f>IF(AH630=1,AG630,"")</f>
        <v/>
      </c>
      <c r="AT630" s="17">
        <f>IF(AND(AH630=0,AJ630=1),AG630,"")</f>
        <v/>
      </c>
      <c r="AU630" s="5">
        <f>IF(P630&lt;10000,"Under $10K",IF(P630&lt;20000,"$10-20K",IF(P630&lt;30000,"$20-30K",IF(P630&lt;50000,"$30-50K",IF(P630&lt;100000,"$50-100K","$100K+")))))</f>
        <v/>
      </c>
      <c r="AV630" s="5">
        <f>IF(O630&lt;=1.35,"1.35 and under",IF(O630&lt;=1.42,"1.36-1.42",IF(O630&lt;=1.45,"1.43-1.45",IF(O630&lt;1.49,"1.46-1.48",IF(O630&lt;=1.49,"1.49","Above 1.49")))))</f>
        <v/>
      </c>
      <c r="AW630" s="5">
        <f>IF(AE630="","",IF(AE630&lt;60,"Under 60",IF(AE630&lt;90,"60-89",IF(AE630&lt;120,"90-119",IF(AE630&lt;150,"120-149","150+")))))</f>
        <v/>
      </c>
      <c r="AX630" s="5">
        <f>IF(AP630="","No revenue data",IF(AP630&lt;0.15,"Under 0.15x",IF(AP630&lt;0.3,"0.15-0.30x",IF(AP630&lt;0.5,"0.30-0.50x",IF(AP630&lt;1,"0.50-1.00x","1.00x+")))))</f>
        <v/>
      </c>
      <c r="AY630" s="5">
        <f>IF(J630="","No SIC",IFERROR(VLOOKUP(J630,Ref!$A$4:$C$67,2,FALSE()),"Unclassified"))</f>
        <v/>
      </c>
      <c r="AZ630" s="5">
        <f>IF(E630="","",TEXT(E630,"YYYY")&amp;"-Q"&amp;ROUNDUP(MONTH(E630)/3,0))</f>
        <v/>
      </c>
      <c r="BA630" s="5">
        <f>IF(E630="","",TEXT(E630,"YYYY-MM"))</f>
        <v/>
      </c>
      <c r="BB630" s="5">
        <f>IF(E630="","",TEXT(E630,"YYYY"))</f>
        <v/>
      </c>
      <c r="BC630" s="92">
        <f>IF($E630="","",NETWORKDAYS($E630,Controls!$B$9,Ref!$F$4:$F$47))</f>
        <v/>
      </c>
      <c r="BD630" s="92">
        <f>IF(OR($AH630=1,$AJ630=1),1,0)</f>
        <v/>
      </c>
      <c r="BE630" s="95">
        <f>IF(OR($BD630=1,AND($AE630&lt;&gt;"",$BC630&gt;=Controls!$B$10*$AE630)),1,0)</f>
        <v/>
      </c>
    </row>
    <row r="631" ht="15.75" customHeight="1" s="79">
      <c r="A631" s="5" t="inlineStr">
        <is>
          <t>5674178629</t>
        </is>
      </c>
      <c r="B631" s="5" t="inlineStr">
        <is>
          <t>THE TAMPA BAY COLLARD GREEN FESTIVAL INC</t>
        </is>
      </c>
      <c r="C631" s="5" t="inlineStr">
        <is>
          <t>THE TAMPA BAY COLLARD GREEN FESTIVAL INC</t>
        </is>
      </c>
      <c r="D631" s="5" t="inlineStr">
        <is>
          <t>Legal</t>
        </is>
      </c>
      <c r="E631" s="16" t="n">
        <v>46070</v>
      </c>
      <c r="F631" s="16" t="n">
        <v>46118</v>
      </c>
      <c r="G631" s="17" t="n">
        <v>3</v>
      </c>
      <c r="H631" s="5" t="inlineStr">
        <is>
          <t>5812</t>
        </is>
      </c>
      <c r="I631" s="5" t="inlineStr">
        <is>
          <t>Snack and Nonalcoholic Beverage Bars</t>
        </is>
      </c>
      <c r="J631" s="5" t="inlineStr">
        <is>
          <t>58</t>
        </is>
      </c>
      <c r="K631" s="5" t="n">
        <v>5812</v>
      </c>
      <c r="L631" s="5" t="inlineStr">
        <is>
          <t>FL</t>
        </is>
      </c>
      <c r="M631" s="5" t="inlineStr">
        <is>
          <t>Fidelity Funding</t>
        </is>
      </c>
      <c r="N631" s="5" t="inlineStr">
        <is>
          <t>New Deal</t>
        </is>
      </c>
      <c r="O631" s="19" t="n">
        <v>1.49</v>
      </c>
      <c r="P631" s="20" t="n">
        <v>10000</v>
      </c>
      <c r="Q631" s="20" t="n">
        <v>0</v>
      </c>
      <c r="R631" s="20" t="n">
        <v>14900</v>
      </c>
      <c r="S631" s="20" t="n">
        <v>2084.04</v>
      </c>
      <c r="T631" s="20" t="n">
        <v>12815.96</v>
      </c>
      <c r="U631" s="21" t="n">
        <v>0.139868456375839</v>
      </c>
      <c r="V631" s="22" t="n">
        <v>3.279</v>
      </c>
      <c r="W631" s="17" t="n">
        <v>166</v>
      </c>
      <c r="X631" s="17" t="n">
        <v>19</v>
      </c>
      <c r="Y631" s="20" t="n">
        <v>97305.75999999999</v>
      </c>
      <c r="Z631" s="21" t="n">
        <v>0.037</v>
      </c>
      <c r="AA631" s="16" t="n">
        <v>42942</v>
      </c>
      <c r="AB631" s="5">
        <f>IF(V631="","",IF(V631&lt;12,"Months","Weeks"))</f>
        <v/>
      </c>
      <c r="AC631" s="5">
        <f>IF(AB631="","",IF(AB631="Months","Daily","Weekly"))</f>
        <v/>
      </c>
      <c r="AD631" s="17">
        <f>IF(V631="","",IF(AC631="Daily",V631*Controls!$B$13,V631))</f>
        <v/>
      </c>
      <c r="AE631" s="17">
        <f>IF(V631="","",IF(AC631="Daily",V631*Controls!$B$13,V631*Controls!$B$12))</f>
        <v/>
      </c>
      <c r="AF631" s="17">
        <f>IF(OR(E631="",F631=""),"",F631-E631)</f>
        <v/>
      </c>
      <c r="AG631" s="17">
        <f>IF(OR(E631="",F631=""),"",NETWORKDAYS(E631,F631,Ref!$F$4:$F$47))</f>
        <v/>
      </c>
      <c r="AH631" s="39">
        <f>IF(IFERROR(VLOOKUP(D631,Controls!$A$25:$D$35,2,FALSE()),"No")="Yes",1,0)</f>
        <v/>
      </c>
      <c r="AI631" s="39">
        <f>IF(IFERROR(VLOOKUP(D631,Controls!$A$25:$D$35,3,FALSE()),"No")="Yes",1,0)</f>
        <v/>
      </c>
      <c r="AJ631" s="39">
        <f>IF(IFERROR(VLOOKUP(D631,Controls!$A$25:$D$35,4,FALSE()),"No")="Yes",1,0)</f>
        <v/>
      </c>
      <c r="AK631" s="96">
        <f>IF(AND($E631&gt;=Controls!$B$5,$E631&lt;=Controls!$B$6,OR(Controls!$E$9&lt;&gt;"Y",$BE631=1)),1,0)</f>
        <v/>
      </c>
      <c r="AL631" s="39">
        <f>1</f>
        <v/>
      </c>
      <c r="AM631" s="20">
        <f>S631-P631</f>
        <v/>
      </c>
      <c r="AN631" s="20">
        <f>IF(AH631=1,MAX(0,P631-S631),0)</f>
        <v/>
      </c>
      <c r="AO631" s="21">
        <f>IFERROR(S631/P631,"")</f>
        <v/>
      </c>
      <c r="AP631" s="22">
        <f>IF(Y631="","",P631/Y631)</f>
        <v/>
      </c>
      <c r="AQ631" s="39">
        <f>IF(Y631="",0,1)</f>
        <v/>
      </c>
      <c r="AR631" s="39">
        <f>IF(S631&lt;=0,1,0)</f>
        <v/>
      </c>
      <c r="AS631" s="17">
        <f>IF(AH631=1,AG631,"")</f>
        <v/>
      </c>
      <c r="AT631" s="17">
        <f>IF(AND(AH631=0,AJ631=1),AG631,"")</f>
        <v/>
      </c>
      <c r="AU631" s="5">
        <f>IF(P631&lt;10000,"Under $10K",IF(P631&lt;20000,"$10-20K",IF(P631&lt;30000,"$20-30K",IF(P631&lt;50000,"$30-50K",IF(P631&lt;100000,"$50-100K","$100K+")))))</f>
        <v/>
      </c>
      <c r="AV631" s="5">
        <f>IF(O631&lt;=1.35,"1.35 and under",IF(O631&lt;=1.42,"1.36-1.42",IF(O631&lt;=1.45,"1.43-1.45",IF(O631&lt;1.49,"1.46-1.48",IF(O631&lt;=1.49,"1.49","Above 1.49")))))</f>
        <v/>
      </c>
      <c r="AW631" s="5">
        <f>IF(AE631="","",IF(AE631&lt;60,"Under 60",IF(AE631&lt;90,"60-89",IF(AE631&lt;120,"90-119",IF(AE631&lt;150,"120-149","150+")))))</f>
        <v/>
      </c>
      <c r="AX631" s="5">
        <f>IF(AP631="","No revenue data",IF(AP631&lt;0.15,"Under 0.15x",IF(AP631&lt;0.3,"0.15-0.30x",IF(AP631&lt;0.5,"0.30-0.50x",IF(AP631&lt;1,"0.50-1.00x","1.00x+")))))</f>
        <v/>
      </c>
      <c r="AY631" s="5">
        <f>IF(J631="","No SIC",IFERROR(VLOOKUP(J631,Ref!$A$4:$C$67,2,FALSE()),"Unclassified"))</f>
        <v/>
      </c>
      <c r="AZ631" s="5">
        <f>IF(E631="","",TEXT(E631,"YYYY")&amp;"-Q"&amp;ROUNDUP(MONTH(E631)/3,0))</f>
        <v/>
      </c>
      <c r="BA631" s="5">
        <f>IF(E631="","",TEXT(E631,"YYYY-MM"))</f>
        <v/>
      </c>
      <c r="BB631" s="5">
        <f>IF(E631="","",TEXT(E631,"YYYY"))</f>
        <v/>
      </c>
      <c r="BC631" s="92">
        <f>IF($E631="","",NETWORKDAYS($E631,Controls!$B$9,Ref!$F$4:$F$47))</f>
        <v/>
      </c>
      <c r="BD631" s="92">
        <f>IF(OR($AH631=1,$AJ631=1),1,0)</f>
        <v/>
      </c>
      <c r="BE631" s="95">
        <f>IF(OR($BD631=1,AND($AE631&lt;&gt;"",$BC631&gt;=Controls!$B$10*$AE631)),1,0)</f>
        <v/>
      </c>
    </row>
    <row r="632" ht="15.75" customHeight="1" s="79">
      <c r="A632" s="5" t="inlineStr">
        <is>
          <t>5674178655</t>
        </is>
      </c>
      <c r="B632" s="5" t="inlineStr">
        <is>
          <t>BARBERIA CALLE LOIZA VILLA CAROLINA</t>
        </is>
      </c>
      <c r="C632" s="5" t="inlineStr">
        <is>
          <t>ROBERTO ROLON DELGADO</t>
        </is>
      </c>
      <c r="D632" s="5" t="inlineStr">
        <is>
          <t>Closed</t>
        </is>
      </c>
      <c r="E632" s="16" t="n">
        <v>46070</v>
      </c>
      <c r="F632" s="16" t="n">
        <v>46169</v>
      </c>
      <c r="G632" s="17" t="n">
        <v>3</v>
      </c>
      <c r="H632" s="5" t="inlineStr">
        <is>
          <t>7241</t>
        </is>
      </c>
      <c r="I632" s="5" t="inlineStr">
        <is>
          <t>Barber Shops</t>
        </is>
      </c>
      <c r="J632" s="5" t="inlineStr">
        <is>
          <t>72</t>
        </is>
      </c>
      <c r="K632" s="5" t="n">
        <v>7230</v>
      </c>
      <c r="L632" s="5" t="inlineStr">
        <is>
          <t>PR</t>
        </is>
      </c>
      <c r="M632" s="5" t="inlineStr">
        <is>
          <t>Siriux internacional corp</t>
        </is>
      </c>
      <c r="N632" s="5" t="inlineStr">
        <is>
          <t>Renewal</t>
        </is>
      </c>
      <c r="O632" s="19" t="n">
        <v>1.49</v>
      </c>
      <c r="P632" s="20" t="n">
        <v>10000</v>
      </c>
      <c r="Q632" s="20" t="n">
        <v>1400</v>
      </c>
      <c r="R632" s="20" t="n">
        <v>14900</v>
      </c>
      <c r="S632" s="20" t="n">
        <v>14900</v>
      </c>
      <c r="T632" s="20" t="n">
        <v>0</v>
      </c>
      <c r="U632" s="21" t="n">
        <v>1</v>
      </c>
      <c r="V632" s="22" t="n">
        <v>2.951</v>
      </c>
      <c r="W632" s="17" t="n">
        <v>84</v>
      </c>
      <c r="X632" s="17" t="n">
        <v>0</v>
      </c>
      <c r="Y632" s="20" t="n">
        <v>14958.77</v>
      </c>
      <c r="Z632" s="21" t="n">
        <v>0.2324</v>
      </c>
      <c r="AA632" s="16" t="n">
        <v>42309</v>
      </c>
      <c r="AB632" s="5">
        <f>IF(V632="","",IF(V632&lt;12,"Months","Weeks"))</f>
        <v/>
      </c>
      <c r="AC632" s="5">
        <f>IF(AB632="","",IF(AB632="Months","Daily","Weekly"))</f>
        <v/>
      </c>
      <c r="AD632" s="17">
        <f>IF(V632="","",IF(AC632="Daily",V632*Controls!$B$13,V632))</f>
        <v/>
      </c>
      <c r="AE632" s="17">
        <f>IF(V632="","",IF(AC632="Daily",V632*Controls!$B$13,V632*Controls!$B$12))</f>
        <v/>
      </c>
      <c r="AF632" s="17">
        <f>IF(OR(E632="",F632=""),"",F632-E632)</f>
        <v/>
      </c>
      <c r="AG632" s="17">
        <f>IF(OR(E632="",F632=""),"",NETWORKDAYS(E632,F632,Ref!$F$4:$F$47))</f>
        <v/>
      </c>
      <c r="AH632" s="39">
        <f>IF(IFERROR(VLOOKUP(D632,Controls!$A$25:$D$35,2,FALSE()),"No")="Yes",1,0)</f>
        <v/>
      </c>
      <c r="AI632" s="39">
        <f>IF(IFERROR(VLOOKUP(D632,Controls!$A$25:$D$35,3,FALSE()),"No")="Yes",1,0)</f>
        <v/>
      </c>
      <c r="AJ632" s="39">
        <f>IF(IFERROR(VLOOKUP(D632,Controls!$A$25:$D$35,4,FALSE()),"No")="Yes",1,0)</f>
        <v/>
      </c>
      <c r="AK632" s="96">
        <f>IF(AND($E632&gt;=Controls!$B$5,$E632&lt;=Controls!$B$6,OR(Controls!$E$9&lt;&gt;"Y",$BE632=1)),1,0)</f>
        <v/>
      </c>
      <c r="AL632" s="39">
        <f>1</f>
        <v/>
      </c>
      <c r="AM632" s="20">
        <f>S632-P632</f>
        <v/>
      </c>
      <c r="AN632" s="20">
        <f>IF(AH632=1,MAX(0,P632-S632),0)</f>
        <v/>
      </c>
      <c r="AO632" s="21">
        <f>IFERROR(S632/P632,"")</f>
        <v/>
      </c>
      <c r="AP632" s="22">
        <f>IF(Y632="","",P632/Y632)</f>
        <v/>
      </c>
      <c r="AQ632" s="39">
        <f>IF(Y632="",0,1)</f>
        <v/>
      </c>
      <c r="AR632" s="39">
        <f>IF(S632&lt;=0,1,0)</f>
        <v/>
      </c>
      <c r="AS632" s="17">
        <f>IF(AH632=1,AG632,"")</f>
        <v/>
      </c>
      <c r="AT632" s="17">
        <f>IF(AND(AH632=0,AJ632=1),AG632,"")</f>
        <v/>
      </c>
      <c r="AU632" s="5">
        <f>IF(P632&lt;10000,"Under $10K",IF(P632&lt;20000,"$10-20K",IF(P632&lt;30000,"$20-30K",IF(P632&lt;50000,"$30-50K",IF(P632&lt;100000,"$50-100K","$100K+")))))</f>
        <v/>
      </c>
      <c r="AV632" s="5">
        <f>IF(O632&lt;=1.35,"1.35 and under",IF(O632&lt;=1.42,"1.36-1.42",IF(O632&lt;=1.45,"1.43-1.45",IF(O632&lt;1.49,"1.46-1.48",IF(O632&lt;=1.49,"1.49","Above 1.49")))))</f>
        <v/>
      </c>
      <c r="AW632" s="5">
        <f>IF(AE632="","",IF(AE632&lt;60,"Under 60",IF(AE632&lt;90,"60-89",IF(AE632&lt;120,"90-119",IF(AE632&lt;150,"120-149","150+")))))</f>
        <v/>
      </c>
      <c r="AX632" s="5">
        <f>IF(AP632="","No revenue data",IF(AP632&lt;0.15,"Under 0.15x",IF(AP632&lt;0.3,"0.15-0.30x",IF(AP632&lt;0.5,"0.30-0.50x",IF(AP632&lt;1,"0.50-1.00x","1.00x+")))))</f>
        <v/>
      </c>
      <c r="AY632" s="5">
        <f>IF(J632="","No SIC",IFERROR(VLOOKUP(J632,Ref!$A$4:$C$67,2,FALSE()),"Unclassified"))</f>
        <v/>
      </c>
      <c r="AZ632" s="5">
        <f>IF(E632="","",TEXT(E632,"YYYY")&amp;"-Q"&amp;ROUNDUP(MONTH(E632)/3,0))</f>
        <v/>
      </c>
      <c r="BA632" s="5">
        <f>IF(E632="","",TEXT(E632,"YYYY-MM"))</f>
        <v/>
      </c>
      <c r="BB632" s="5">
        <f>IF(E632="","",TEXT(E632,"YYYY"))</f>
        <v/>
      </c>
      <c r="BC632" s="92">
        <f>IF($E632="","",NETWORKDAYS($E632,Controls!$B$9,Ref!$F$4:$F$47))</f>
        <v/>
      </c>
      <c r="BD632" s="92">
        <f>IF(OR($AH632=1,$AJ632=1),1,0)</f>
        <v/>
      </c>
      <c r="BE632" s="95">
        <f>IF(OR($BD632=1,AND($AE632&lt;&gt;"",$BC632&gt;=Controls!$B$10*$AE632)),1,0)</f>
        <v/>
      </c>
    </row>
    <row r="633" ht="15.75" customHeight="1" s="79">
      <c r="A633" s="5" t="inlineStr">
        <is>
          <t>5674178663</t>
        </is>
      </c>
      <c r="B633" s="5" t="inlineStr">
        <is>
          <t>CORNUCOPIA FARMS LLC</t>
        </is>
      </c>
      <c r="C633" s="5" t="inlineStr">
        <is>
          <t>CORNUCOPIA FARMS LLC</t>
        </is>
      </c>
      <c r="D633" s="5" t="inlineStr">
        <is>
          <t>Closed</t>
        </is>
      </c>
      <c r="E633" s="16" t="n">
        <v>46071</v>
      </c>
      <c r="F633" s="16" t="n">
        <v>46135</v>
      </c>
      <c r="G633" s="17" t="n">
        <v>3</v>
      </c>
      <c r="H633" s="5" t="inlineStr">
        <is>
          <t>5812</t>
        </is>
      </c>
      <c r="I633" s="5" t="inlineStr">
        <is>
          <t>Snack and Nonalcoholic Beverage Bars</t>
        </is>
      </c>
      <c r="J633" s="5" t="inlineStr">
        <is>
          <t>58</t>
        </is>
      </c>
      <c r="K633" s="5" t="n">
        <v>5812</v>
      </c>
      <c r="L633" s="5" t="inlineStr">
        <is>
          <t>GA</t>
        </is>
      </c>
      <c r="M633" s="5" t="inlineStr">
        <is>
          <t>United Secured Capital 8</t>
        </is>
      </c>
      <c r="N633" s="5" t="inlineStr">
        <is>
          <t>New Deal</t>
        </is>
      </c>
      <c r="O633" s="19" t="n">
        <v>1.49</v>
      </c>
      <c r="P633" s="20" t="n">
        <v>25000</v>
      </c>
      <c r="Q633" s="20" t="n">
        <v>3500</v>
      </c>
      <c r="R633" s="20" t="n">
        <v>37250</v>
      </c>
      <c r="S633" s="20" t="n">
        <v>37250</v>
      </c>
      <c r="T633" s="20" t="n">
        <v>0</v>
      </c>
      <c r="U633" s="21" t="n">
        <v>1</v>
      </c>
      <c r="V633" s="22" t="n">
        <v>3.607</v>
      </c>
      <c r="W633" s="17" t="n">
        <v>118</v>
      </c>
      <c r="X633" s="17" t="n">
        <v>3</v>
      </c>
      <c r="Y633" s="20" t="n">
        <v>80000</v>
      </c>
      <c r="Z633" s="21" t="n">
        <v>0.0912</v>
      </c>
      <c r="AA633" s="5" t="n"/>
      <c r="AB633" s="5">
        <f>IF(V633="","",IF(V633&lt;12,"Months","Weeks"))</f>
        <v/>
      </c>
      <c r="AC633" s="5">
        <f>IF(AB633="","",IF(AB633="Months","Daily","Weekly"))</f>
        <v/>
      </c>
      <c r="AD633" s="17">
        <f>IF(V633="","",IF(AC633="Daily",V633*Controls!$B$13,V633))</f>
        <v/>
      </c>
      <c r="AE633" s="17">
        <f>IF(V633="","",IF(AC633="Daily",V633*Controls!$B$13,V633*Controls!$B$12))</f>
        <v/>
      </c>
      <c r="AF633" s="17">
        <f>IF(OR(E633="",F633=""),"",F633-E633)</f>
        <v/>
      </c>
      <c r="AG633" s="17">
        <f>IF(OR(E633="",F633=""),"",NETWORKDAYS(E633,F633,Ref!$F$4:$F$47))</f>
        <v/>
      </c>
      <c r="AH633" s="39">
        <f>IF(IFERROR(VLOOKUP(D633,Controls!$A$25:$D$35,2,FALSE()),"No")="Yes",1,0)</f>
        <v/>
      </c>
      <c r="AI633" s="39">
        <f>IF(IFERROR(VLOOKUP(D633,Controls!$A$25:$D$35,3,FALSE()),"No")="Yes",1,0)</f>
        <v/>
      </c>
      <c r="AJ633" s="39">
        <f>IF(IFERROR(VLOOKUP(D633,Controls!$A$25:$D$35,4,FALSE()),"No")="Yes",1,0)</f>
        <v/>
      </c>
      <c r="AK633" s="96">
        <f>IF(AND($E633&gt;=Controls!$B$5,$E633&lt;=Controls!$B$6,OR(Controls!$E$9&lt;&gt;"Y",$BE633=1)),1,0)</f>
        <v/>
      </c>
      <c r="AL633" s="39">
        <f>1</f>
        <v/>
      </c>
      <c r="AM633" s="20">
        <f>S633-P633</f>
        <v/>
      </c>
      <c r="AN633" s="20">
        <f>IF(AH633=1,MAX(0,P633-S633),0)</f>
        <v/>
      </c>
      <c r="AO633" s="21">
        <f>IFERROR(S633/P633,"")</f>
        <v/>
      </c>
      <c r="AP633" s="22">
        <f>IF(Y633="","",P633/Y633)</f>
        <v/>
      </c>
      <c r="AQ633" s="39">
        <f>IF(Y633="",0,1)</f>
        <v/>
      </c>
      <c r="AR633" s="39">
        <f>IF(S633&lt;=0,1,0)</f>
        <v/>
      </c>
      <c r="AS633" s="17">
        <f>IF(AH633=1,AG633,"")</f>
        <v/>
      </c>
      <c r="AT633" s="17">
        <f>IF(AND(AH633=0,AJ633=1),AG633,"")</f>
        <v/>
      </c>
      <c r="AU633" s="5">
        <f>IF(P633&lt;10000,"Under $10K",IF(P633&lt;20000,"$10-20K",IF(P633&lt;30000,"$20-30K",IF(P633&lt;50000,"$30-50K",IF(P633&lt;100000,"$50-100K","$100K+")))))</f>
        <v/>
      </c>
      <c r="AV633" s="5">
        <f>IF(O633&lt;=1.35,"1.35 and under",IF(O633&lt;=1.42,"1.36-1.42",IF(O633&lt;=1.45,"1.43-1.45",IF(O633&lt;1.49,"1.46-1.48",IF(O633&lt;=1.49,"1.49","Above 1.49")))))</f>
        <v/>
      </c>
      <c r="AW633" s="5">
        <f>IF(AE633="","",IF(AE633&lt;60,"Under 60",IF(AE633&lt;90,"60-89",IF(AE633&lt;120,"90-119",IF(AE633&lt;150,"120-149","150+")))))</f>
        <v/>
      </c>
      <c r="AX633" s="5">
        <f>IF(AP633="","No revenue data",IF(AP633&lt;0.15,"Under 0.15x",IF(AP633&lt;0.3,"0.15-0.30x",IF(AP633&lt;0.5,"0.30-0.50x",IF(AP633&lt;1,"0.50-1.00x","1.00x+")))))</f>
        <v/>
      </c>
      <c r="AY633" s="5">
        <f>IF(J633="","No SIC",IFERROR(VLOOKUP(J633,Ref!$A$4:$C$67,2,FALSE()),"Unclassified"))</f>
        <v/>
      </c>
      <c r="AZ633" s="5">
        <f>IF(E633="","",TEXT(E633,"YYYY")&amp;"-Q"&amp;ROUNDUP(MONTH(E633)/3,0))</f>
        <v/>
      </c>
      <c r="BA633" s="5">
        <f>IF(E633="","",TEXT(E633,"YYYY-MM"))</f>
        <v/>
      </c>
      <c r="BB633" s="5">
        <f>IF(E633="","",TEXT(E633,"YYYY"))</f>
        <v/>
      </c>
      <c r="BC633" s="92">
        <f>IF($E633="","",NETWORKDAYS($E633,Controls!$B$9,Ref!$F$4:$F$47))</f>
        <v/>
      </c>
      <c r="BD633" s="92">
        <f>IF(OR($AH633=1,$AJ633=1),1,0)</f>
        <v/>
      </c>
      <c r="BE633" s="95">
        <f>IF(OR($BD633=1,AND($AE633&lt;&gt;"",$BC633&gt;=Controls!$B$10*$AE633)),1,0)</f>
        <v/>
      </c>
    </row>
    <row r="634" ht="15.75" customHeight="1" s="79">
      <c r="A634" s="5" t="inlineStr">
        <is>
          <t>5674178677</t>
        </is>
      </c>
      <c r="B634" s="5" t="inlineStr">
        <is>
          <t>EAGLE MEDICAL MANAGEMENT INC</t>
        </is>
      </c>
      <c r="C634" s="5" t="inlineStr">
        <is>
          <t>EAGLE MEDICAL MANAGEMENT INC</t>
        </is>
      </c>
      <c r="D634" s="5" t="inlineStr">
        <is>
          <t>Open</t>
        </is>
      </c>
      <c r="E634" s="16" t="n">
        <v>46071</v>
      </c>
      <c r="F634" s="16" t="n">
        <v>46247</v>
      </c>
      <c r="G634" s="17" t="n">
        <v>3</v>
      </c>
      <c r="H634" s="5" t="inlineStr">
        <is>
          <t>8011</t>
        </is>
      </c>
      <c r="I634" s="5" t="inlineStr">
        <is>
          <t>Freestanding Ambulatory Surgical and Emergency Centers</t>
        </is>
      </c>
      <c r="J634" s="5" t="inlineStr">
        <is>
          <t>80</t>
        </is>
      </c>
      <c r="K634" s="5" t="n">
        <v>8011</v>
      </c>
      <c r="L634" s="5" t="inlineStr">
        <is>
          <t>FL</t>
        </is>
      </c>
      <c r="M634" s="5" t="inlineStr">
        <is>
          <t>United Secured Capital 8</t>
        </is>
      </c>
      <c r="N634" s="5" t="inlineStr">
        <is>
          <t>Renewal</t>
        </is>
      </c>
      <c r="O634" s="19" t="n">
        <v>1.45</v>
      </c>
      <c r="P634" s="20" t="n">
        <v>45000</v>
      </c>
      <c r="Q634" s="20" t="n">
        <v>5400</v>
      </c>
      <c r="R634" s="20" t="n">
        <v>65250</v>
      </c>
      <c r="S634" s="20" t="n">
        <v>36721.44</v>
      </c>
      <c r="T634" s="20" t="n">
        <v>28528.56</v>
      </c>
      <c r="U634" s="21" t="n">
        <v>0.562780689655173</v>
      </c>
      <c r="V634" s="22" t="n">
        <v>32</v>
      </c>
      <c r="W634" s="17" t="n">
        <v>6</v>
      </c>
      <c r="X634" s="17" t="n">
        <v>0</v>
      </c>
      <c r="Y634" s="20" t="n">
        <v>151117.26</v>
      </c>
      <c r="Z634" s="21" t="n">
        <v>0.054</v>
      </c>
      <c r="AA634" s="16" t="n">
        <v>36749</v>
      </c>
      <c r="AB634" s="5">
        <f>IF(V634="","",IF(V634&lt;12,"Months","Weeks"))</f>
        <v/>
      </c>
      <c r="AC634" s="5">
        <f>IF(AB634="","",IF(AB634="Months","Daily","Weekly"))</f>
        <v/>
      </c>
      <c r="AD634" s="17">
        <f>IF(V634="","",IF(AC634="Daily",V634*Controls!$B$13,V634))</f>
        <v/>
      </c>
      <c r="AE634" s="17">
        <f>IF(V634="","",IF(AC634="Daily",V634*Controls!$B$13,V634*Controls!$B$12))</f>
        <v/>
      </c>
      <c r="AF634" s="17">
        <f>IF(OR(E634="",F634=""),"",F634-E634)</f>
        <v/>
      </c>
      <c r="AG634" s="17">
        <f>IF(OR(E634="",F634=""),"",NETWORKDAYS(E634,F634,Ref!$F$4:$F$47))</f>
        <v/>
      </c>
      <c r="AH634" s="39">
        <f>IF(IFERROR(VLOOKUP(D634,Controls!$A$25:$D$35,2,FALSE()),"No")="Yes",1,0)</f>
        <v/>
      </c>
      <c r="AI634" s="39">
        <f>IF(IFERROR(VLOOKUP(D634,Controls!$A$25:$D$35,3,FALSE()),"No")="Yes",1,0)</f>
        <v/>
      </c>
      <c r="AJ634" s="39">
        <f>IF(IFERROR(VLOOKUP(D634,Controls!$A$25:$D$35,4,FALSE()),"No")="Yes",1,0)</f>
        <v/>
      </c>
      <c r="AK634" s="96">
        <f>IF(AND($E634&gt;=Controls!$B$5,$E634&lt;=Controls!$B$6,OR(Controls!$E$9&lt;&gt;"Y",$BE634=1)),1,0)</f>
        <v/>
      </c>
      <c r="AL634" s="39">
        <f>1</f>
        <v/>
      </c>
      <c r="AM634" s="20">
        <f>S634-P634</f>
        <v/>
      </c>
      <c r="AN634" s="20">
        <f>IF(AH634=1,MAX(0,P634-S634),0)</f>
        <v/>
      </c>
      <c r="AO634" s="21">
        <f>IFERROR(S634/P634,"")</f>
        <v/>
      </c>
      <c r="AP634" s="22">
        <f>IF(Y634="","",P634/Y634)</f>
        <v/>
      </c>
      <c r="AQ634" s="39">
        <f>IF(Y634="",0,1)</f>
        <v/>
      </c>
      <c r="AR634" s="39">
        <f>IF(S634&lt;=0,1,0)</f>
        <v/>
      </c>
      <c r="AS634" s="17">
        <f>IF(AH634=1,AG634,"")</f>
        <v/>
      </c>
      <c r="AT634" s="17">
        <f>IF(AND(AH634=0,AJ634=1),AG634,"")</f>
        <v/>
      </c>
      <c r="AU634" s="5">
        <f>IF(P634&lt;10000,"Under $10K",IF(P634&lt;20000,"$10-20K",IF(P634&lt;30000,"$20-30K",IF(P634&lt;50000,"$30-50K",IF(P634&lt;100000,"$50-100K","$100K+")))))</f>
        <v/>
      </c>
      <c r="AV634" s="5">
        <f>IF(O634&lt;=1.35,"1.35 and under",IF(O634&lt;=1.42,"1.36-1.42",IF(O634&lt;=1.45,"1.43-1.45",IF(O634&lt;1.49,"1.46-1.48",IF(O634&lt;=1.49,"1.49","Above 1.49")))))</f>
        <v/>
      </c>
      <c r="AW634" s="5">
        <f>IF(AE634="","",IF(AE634&lt;60,"Under 60",IF(AE634&lt;90,"60-89",IF(AE634&lt;120,"90-119",IF(AE634&lt;150,"120-149","150+")))))</f>
        <v/>
      </c>
      <c r="AX634" s="5">
        <f>IF(AP634="","No revenue data",IF(AP634&lt;0.15,"Under 0.15x",IF(AP634&lt;0.3,"0.15-0.30x",IF(AP634&lt;0.5,"0.30-0.50x",IF(AP634&lt;1,"0.50-1.00x","1.00x+")))))</f>
        <v/>
      </c>
      <c r="AY634" s="5">
        <f>IF(J634="","No SIC",IFERROR(VLOOKUP(J634,Ref!$A$4:$C$67,2,FALSE()),"Unclassified"))</f>
        <v/>
      </c>
      <c r="AZ634" s="5">
        <f>IF(E634="","",TEXT(E634,"YYYY")&amp;"-Q"&amp;ROUNDUP(MONTH(E634)/3,0))</f>
        <v/>
      </c>
      <c r="BA634" s="5">
        <f>IF(E634="","",TEXT(E634,"YYYY-MM"))</f>
        <v/>
      </c>
      <c r="BB634" s="5">
        <f>IF(E634="","",TEXT(E634,"YYYY"))</f>
        <v/>
      </c>
      <c r="BC634" s="92">
        <f>IF($E634="","",NETWORKDAYS($E634,Controls!$B$9,Ref!$F$4:$F$47))</f>
        <v/>
      </c>
      <c r="BD634" s="92">
        <f>IF(OR($AH634=1,$AJ634=1),1,0)</f>
        <v/>
      </c>
      <c r="BE634" s="95">
        <f>IF(OR($BD634=1,AND($AE634&lt;&gt;"",$BC634&gt;=Controls!$B$10*$AE634)),1,0)</f>
        <v/>
      </c>
    </row>
    <row r="635" ht="15.75" customHeight="1" s="79">
      <c r="A635" s="5" t="inlineStr">
        <is>
          <t>5674178697</t>
        </is>
      </c>
      <c r="B635" s="5" t="inlineStr">
        <is>
          <t>All inclusive service station Corp</t>
        </is>
      </c>
      <c r="C635" s="5" t="inlineStr">
        <is>
          <t>All inclusive service station Corp</t>
        </is>
      </c>
      <c r="D635" s="5" t="inlineStr">
        <is>
          <t>Closed</t>
        </is>
      </c>
      <c r="E635" s="16" t="n">
        <v>46071</v>
      </c>
      <c r="F635" s="16" t="n">
        <v>46128</v>
      </c>
      <c r="G635" s="17" t="n">
        <v>3</v>
      </c>
      <c r="H635" s="5" t="inlineStr">
        <is>
          <t>5541</t>
        </is>
      </c>
      <c r="I635" s="5" t="inlineStr">
        <is>
          <t>Gasoline Stations with Convenience Stores</t>
        </is>
      </c>
      <c r="J635" s="5" t="inlineStr">
        <is>
          <t>55</t>
        </is>
      </c>
      <c r="K635" s="5" t="n">
        <v>5541</v>
      </c>
      <c r="L635" s="5" t="inlineStr">
        <is>
          <t>PR</t>
        </is>
      </c>
      <c r="M635" s="5" t="inlineStr">
        <is>
          <t>ontime cap</t>
        </is>
      </c>
      <c r="N635" s="5" t="inlineStr">
        <is>
          <t>New Deal</t>
        </is>
      </c>
      <c r="O635" s="19" t="n">
        <v>1.49</v>
      </c>
      <c r="P635" s="20" t="n">
        <v>40000</v>
      </c>
      <c r="Q635" s="20" t="n">
        <v>5600</v>
      </c>
      <c r="R635" s="20" t="n">
        <v>59600</v>
      </c>
      <c r="S635" s="20" t="n">
        <v>59600</v>
      </c>
      <c r="T635" s="20" t="n">
        <v>0</v>
      </c>
      <c r="U635" s="21" t="n">
        <v>1</v>
      </c>
      <c r="V635" s="22" t="n">
        <v>1.967</v>
      </c>
      <c r="W635" s="17" t="n">
        <v>125</v>
      </c>
      <c r="X635" s="17" t="n">
        <v>0</v>
      </c>
      <c r="Y635" s="20" t="n">
        <v>377319.5</v>
      </c>
      <c r="Z635" s="21" t="n">
        <v>0.0553</v>
      </c>
      <c r="AA635" s="16" t="n">
        <v>42535</v>
      </c>
      <c r="AB635" s="5">
        <f>IF(V635="","",IF(V635&lt;12,"Months","Weeks"))</f>
        <v/>
      </c>
      <c r="AC635" s="5">
        <f>IF(AB635="","",IF(AB635="Months","Daily","Weekly"))</f>
        <v/>
      </c>
      <c r="AD635" s="17">
        <f>IF(V635="","",IF(AC635="Daily",V635*Controls!$B$13,V635))</f>
        <v/>
      </c>
      <c r="AE635" s="17">
        <f>IF(V635="","",IF(AC635="Daily",V635*Controls!$B$13,V635*Controls!$B$12))</f>
        <v/>
      </c>
      <c r="AF635" s="17">
        <f>IF(OR(E635="",F635=""),"",F635-E635)</f>
        <v/>
      </c>
      <c r="AG635" s="17">
        <f>IF(OR(E635="",F635=""),"",NETWORKDAYS(E635,F635,Ref!$F$4:$F$47))</f>
        <v/>
      </c>
      <c r="AH635" s="39">
        <f>IF(IFERROR(VLOOKUP(D635,Controls!$A$25:$D$35,2,FALSE()),"No")="Yes",1,0)</f>
        <v/>
      </c>
      <c r="AI635" s="39">
        <f>IF(IFERROR(VLOOKUP(D635,Controls!$A$25:$D$35,3,FALSE()),"No")="Yes",1,0)</f>
        <v/>
      </c>
      <c r="AJ635" s="39">
        <f>IF(IFERROR(VLOOKUP(D635,Controls!$A$25:$D$35,4,FALSE()),"No")="Yes",1,0)</f>
        <v/>
      </c>
      <c r="AK635" s="96">
        <f>IF(AND($E635&gt;=Controls!$B$5,$E635&lt;=Controls!$B$6,OR(Controls!$E$9&lt;&gt;"Y",$BE635=1)),1,0)</f>
        <v/>
      </c>
      <c r="AL635" s="39">
        <f>1</f>
        <v/>
      </c>
      <c r="AM635" s="20">
        <f>S635-P635</f>
        <v/>
      </c>
      <c r="AN635" s="20">
        <f>IF(AH635=1,MAX(0,P635-S635),0)</f>
        <v/>
      </c>
      <c r="AO635" s="21">
        <f>IFERROR(S635/P635,"")</f>
        <v/>
      </c>
      <c r="AP635" s="22">
        <f>IF(Y635="","",P635/Y635)</f>
        <v/>
      </c>
      <c r="AQ635" s="39">
        <f>IF(Y635="",0,1)</f>
        <v/>
      </c>
      <c r="AR635" s="39">
        <f>IF(S635&lt;=0,1,0)</f>
        <v/>
      </c>
      <c r="AS635" s="17">
        <f>IF(AH635=1,AG635,"")</f>
        <v/>
      </c>
      <c r="AT635" s="17">
        <f>IF(AND(AH635=0,AJ635=1),AG635,"")</f>
        <v/>
      </c>
      <c r="AU635" s="5">
        <f>IF(P635&lt;10000,"Under $10K",IF(P635&lt;20000,"$10-20K",IF(P635&lt;30000,"$20-30K",IF(P635&lt;50000,"$30-50K",IF(P635&lt;100000,"$50-100K","$100K+")))))</f>
        <v/>
      </c>
      <c r="AV635" s="5">
        <f>IF(O635&lt;=1.35,"1.35 and under",IF(O635&lt;=1.42,"1.36-1.42",IF(O635&lt;=1.45,"1.43-1.45",IF(O635&lt;1.49,"1.46-1.48",IF(O635&lt;=1.49,"1.49","Above 1.49")))))</f>
        <v/>
      </c>
      <c r="AW635" s="5">
        <f>IF(AE635="","",IF(AE635&lt;60,"Under 60",IF(AE635&lt;90,"60-89",IF(AE635&lt;120,"90-119",IF(AE635&lt;150,"120-149","150+")))))</f>
        <v/>
      </c>
      <c r="AX635" s="5">
        <f>IF(AP635="","No revenue data",IF(AP635&lt;0.15,"Under 0.15x",IF(AP635&lt;0.3,"0.15-0.30x",IF(AP635&lt;0.5,"0.30-0.50x",IF(AP635&lt;1,"0.50-1.00x","1.00x+")))))</f>
        <v/>
      </c>
      <c r="AY635" s="5">
        <f>IF(J635="","No SIC",IFERROR(VLOOKUP(J635,Ref!$A$4:$C$67,2,FALSE()),"Unclassified"))</f>
        <v/>
      </c>
      <c r="AZ635" s="5">
        <f>IF(E635="","",TEXT(E635,"YYYY")&amp;"-Q"&amp;ROUNDUP(MONTH(E635)/3,0))</f>
        <v/>
      </c>
      <c r="BA635" s="5">
        <f>IF(E635="","",TEXT(E635,"YYYY-MM"))</f>
        <v/>
      </c>
      <c r="BB635" s="5">
        <f>IF(E635="","",TEXT(E635,"YYYY"))</f>
        <v/>
      </c>
      <c r="BC635" s="92">
        <f>IF($E635="","",NETWORKDAYS($E635,Controls!$B$9,Ref!$F$4:$F$47))</f>
        <v/>
      </c>
      <c r="BD635" s="92">
        <f>IF(OR($AH635=1,$AJ635=1),1,0)</f>
        <v/>
      </c>
      <c r="BE635" s="95">
        <f>IF(OR($BD635=1,AND($AE635&lt;&gt;"",$BC635&gt;=Controls!$B$10*$AE635)),1,0)</f>
        <v/>
      </c>
    </row>
    <row r="636" ht="15.75" customHeight="1" s="79">
      <c r="A636" s="5" t="inlineStr">
        <is>
          <t>5674178709</t>
        </is>
      </c>
      <c r="B636" s="5" t="inlineStr">
        <is>
          <t>Essential Washer LLC</t>
        </is>
      </c>
      <c r="C636" s="5" t="inlineStr">
        <is>
          <t>Essential Washer LLC</t>
        </is>
      </c>
      <c r="D636" s="5" t="inlineStr">
        <is>
          <t>Closed</t>
        </is>
      </c>
      <c r="E636" s="16" t="n">
        <v>46071</v>
      </c>
      <c r="F636" s="16" t="n">
        <v>46202</v>
      </c>
      <c r="G636" s="17" t="n">
        <v>3</v>
      </c>
      <c r="H636" s="5" t="inlineStr">
        <is>
          <t>7211</t>
        </is>
      </c>
      <c r="I636" s="5" t="inlineStr">
        <is>
          <t>Drycleaning and Laundry Services (Except Coin-Operated)</t>
        </is>
      </c>
      <c r="J636" s="5" t="inlineStr">
        <is>
          <t>72</t>
        </is>
      </c>
      <c r="K636" s="5" t="n">
        <v>7211</v>
      </c>
      <c r="L636" s="5" t="inlineStr">
        <is>
          <t>TX</t>
        </is>
      </c>
      <c r="M636" s="5" t="inlineStr">
        <is>
          <t>Merchant ReFi</t>
        </is>
      </c>
      <c r="N636" s="5" t="inlineStr">
        <is>
          <t>Renewal</t>
        </is>
      </c>
      <c r="O636" s="19" t="n">
        <v>1.49</v>
      </c>
      <c r="P636" s="20" t="n">
        <v>15000</v>
      </c>
      <c r="Q636" s="20" t="n">
        <v>2100</v>
      </c>
      <c r="R636" s="20" t="n">
        <v>22350</v>
      </c>
      <c r="S636" s="20" t="n">
        <v>22350</v>
      </c>
      <c r="T636" s="20" t="n">
        <v>0</v>
      </c>
      <c r="U636" s="21" t="n">
        <v>1</v>
      </c>
      <c r="V636" s="22" t="n">
        <v>2.984</v>
      </c>
      <c r="W636" s="17" t="n">
        <v>51</v>
      </c>
      <c r="X636" s="17" t="n">
        <v>0</v>
      </c>
      <c r="Y636" s="20" t="n">
        <v>15685.35</v>
      </c>
      <c r="Z636" s="21" t="n">
        <v>0.2014</v>
      </c>
      <c r="AA636" s="5" t="n"/>
      <c r="AB636" s="5">
        <f>IF(V636="","",IF(V636&lt;12,"Months","Weeks"))</f>
        <v/>
      </c>
      <c r="AC636" s="5">
        <f>IF(AB636="","",IF(AB636="Months","Daily","Weekly"))</f>
        <v/>
      </c>
      <c r="AD636" s="17">
        <f>IF(V636="","",IF(AC636="Daily",V636*Controls!$B$13,V636))</f>
        <v/>
      </c>
      <c r="AE636" s="17">
        <f>IF(V636="","",IF(AC636="Daily",V636*Controls!$B$13,V636*Controls!$B$12))</f>
        <v/>
      </c>
      <c r="AF636" s="17">
        <f>IF(OR(E636="",F636=""),"",F636-E636)</f>
        <v/>
      </c>
      <c r="AG636" s="17">
        <f>IF(OR(E636="",F636=""),"",NETWORKDAYS(E636,F636,Ref!$F$4:$F$47))</f>
        <v/>
      </c>
      <c r="AH636" s="39">
        <f>IF(IFERROR(VLOOKUP(D636,Controls!$A$25:$D$35,2,FALSE()),"No")="Yes",1,0)</f>
        <v/>
      </c>
      <c r="AI636" s="39">
        <f>IF(IFERROR(VLOOKUP(D636,Controls!$A$25:$D$35,3,FALSE()),"No")="Yes",1,0)</f>
        <v/>
      </c>
      <c r="AJ636" s="39">
        <f>IF(IFERROR(VLOOKUP(D636,Controls!$A$25:$D$35,4,FALSE()),"No")="Yes",1,0)</f>
        <v/>
      </c>
      <c r="AK636" s="96">
        <f>IF(AND($E636&gt;=Controls!$B$5,$E636&lt;=Controls!$B$6,OR(Controls!$E$9&lt;&gt;"Y",$BE636=1)),1,0)</f>
        <v/>
      </c>
      <c r="AL636" s="39">
        <f>1</f>
        <v/>
      </c>
      <c r="AM636" s="20">
        <f>S636-P636</f>
        <v/>
      </c>
      <c r="AN636" s="20">
        <f>IF(AH636=1,MAX(0,P636-S636),0)</f>
        <v/>
      </c>
      <c r="AO636" s="21">
        <f>IFERROR(S636/P636,"")</f>
        <v/>
      </c>
      <c r="AP636" s="22">
        <f>IF(Y636="","",P636/Y636)</f>
        <v/>
      </c>
      <c r="AQ636" s="39">
        <f>IF(Y636="",0,1)</f>
        <v/>
      </c>
      <c r="AR636" s="39">
        <f>IF(S636&lt;=0,1,0)</f>
        <v/>
      </c>
      <c r="AS636" s="17">
        <f>IF(AH636=1,AG636,"")</f>
        <v/>
      </c>
      <c r="AT636" s="17">
        <f>IF(AND(AH636=0,AJ636=1),AG636,"")</f>
        <v/>
      </c>
      <c r="AU636" s="5">
        <f>IF(P636&lt;10000,"Under $10K",IF(P636&lt;20000,"$10-20K",IF(P636&lt;30000,"$20-30K",IF(P636&lt;50000,"$30-50K",IF(P636&lt;100000,"$50-100K","$100K+")))))</f>
        <v/>
      </c>
      <c r="AV636" s="5">
        <f>IF(O636&lt;=1.35,"1.35 and under",IF(O636&lt;=1.42,"1.36-1.42",IF(O636&lt;=1.45,"1.43-1.45",IF(O636&lt;1.49,"1.46-1.48",IF(O636&lt;=1.49,"1.49","Above 1.49")))))</f>
        <v/>
      </c>
      <c r="AW636" s="5">
        <f>IF(AE636="","",IF(AE636&lt;60,"Under 60",IF(AE636&lt;90,"60-89",IF(AE636&lt;120,"90-119",IF(AE636&lt;150,"120-149","150+")))))</f>
        <v/>
      </c>
      <c r="AX636" s="5">
        <f>IF(AP636="","No revenue data",IF(AP636&lt;0.15,"Under 0.15x",IF(AP636&lt;0.3,"0.15-0.30x",IF(AP636&lt;0.5,"0.30-0.50x",IF(AP636&lt;1,"0.50-1.00x","1.00x+")))))</f>
        <v/>
      </c>
      <c r="AY636" s="5">
        <f>IF(J636="","No SIC",IFERROR(VLOOKUP(J636,Ref!$A$4:$C$67,2,FALSE()),"Unclassified"))</f>
        <v/>
      </c>
      <c r="AZ636" s="5">
        <f>IF(E636="","",TEXT(E636,"YYYY")&amp;"-Q"&amp;ROUNDUP(MONTH(E636)/3,0))</f>
        <v/>
      </c>
      <c r="BA636" s="5">
        <f>IF(E636="","",TEXT(E636,"YYYY-MM"))</f>
        <v/>
      </c>
      <c r="BB636" s="5">
        <f>IF(E636="","",TEXT(E636,"YYYY"))</f>
        <v/>
      </c>
      <c r="BC636" s="92">
        <f>IF($E636="","",NETWORKDAYS($E636,Controls!$B$9,Ref!$F$4:$F$47))</f>
        <v/>
      </c>
      <c r="BD636" s="92">
        <f>IF(OR($AH636=1,$AJ636=1),1,0)</f>
        <v/>
      </c>
      <c r="BE636" s="95">
        <f>IF(OR($BD636=1,AND($AE636&lt;&gt;"",$BC636&gt;=Controls!$B$10*$AE636)),1,0)</f>
        <v/>
      </c>
    </row>
    <row r="637" ht="15.75" customHeight="1" s="79">
      <c r="A637" s="5" t="inlineStr">
        <is>
          <t>5674178723</t>
        </is>
      </c>
      <c r="B637" s="5" t="inlineStr">
        <is>
          <t>SYDNEY LB INC</t>
        </is>
      </c>
      <c r="C637" s="5" t="inlineStr">
        <is>
          <t>SYDNEY LB INC</t>
        </is>
      </c>
      <c r="D637" s="5" t="inlineStr">
        <is>
          <t>Legal</t>
        </is>
      </c>
      <c r="E637" s="16" t="n">
        <v>46071</v>
      </c>
      <c r="F637" s="16" t="n">
        <v>46126</v>
      </c>
      <c r="G637" s="17" t="n">
        <v>3</v>
      </c>
      <c r="H637" s="5" t="inlineStr">
        <is>
          <t>5999</t>
        </is>
      </c>
      <c r="I637" s="5" t="inlineStr">
        <is>
          <t>All Other Health and Personal Care Stores</t>
        </is>
      </c>
      <c r="J637" s="5" t="inlineStr">
        <is>
          <t>59</t>
        </is>
      </c>
      <c r="K637" s="5" t="n">
        <v>5999</v>
      </c>
      <c r="L637" s="5" t="inlineStr">
        <is>
          <t>IL</t>
        </is>
      </c>
      <c r="M637" s="5" t="inlineStr">
        <is>
          <t>SABER ASSETS LLC</t>
        </is>
      </c>
      <c r="N637" s="5" t="inlineStr">
        <is>
          <t>New Deal</t>
        </is>
      </c>
      <c r="O637" s="19" t="n">
        <v>1.49</v>
      </c>
      <c r="P637" s="20" t="n">
        <v>20000</v>
      </c>
      <c r="Q637" s="20" t="n">
        <v>0</v>
      </c>
      <c r="R637" s="20" t="n">
        <v>29800</v>
      </c>
      <c r="S637" s="20" t="n">
        <v>3180.16</v>
      </c>
      <c r="T637" s="20" t="n">
        <v>26619.84</v>
      </c>
      <c r="U637" s="21" t="n">
        <v>0.10671677852349</v>
      </c>
      <c r="V637" s="22" t="n">
        <v>2.459</v>
      </c>
      <c r="W637" s="17" t="n">
        <v>153</v>
      </c>
      <c r="X637" s="17" t="n">
        <v>27</v>
      </c>
      <c r="Y637" s="20" t="n">
        <v>296023.84</v>
      </c>
      <c r="Z637" s="21" t="n">
        <v>0.0282</v>
      </c>
      <c r="AA637" s="16" t="n">
        <v>43349</v>
      </c>
      <c r="AB637" s="5">
        <f>IF(V637="","",IF(V637&lt;12,"Months","Weeks"))</f>
        <v/>
      </c>
      <c r="AC637" s="5">
        <f>IF(AB637="","",IF(AB637="Months","Daily","Weekly"))</f>
        <v/>
      </c>
      <c r="AD637" s="17">
        <f>IF(V637="","",IF(AC637="Daily",V637*Controls!$B$13,V637))</f>
        <v/>
      </c>
      <c r="AE637" s="17">
        <f>IF(V637="","",IF(AC637="Daily",V637*Controls!$B$13,V637*Controls!$B$12))</f>
        <v/>
      </c>
      <c r="AF637" s="17">
        <f>IF(OR(E637="",F637=""),"",F637-E637)</f>
        <v/>
      </c>
      <c r="AG637" s="17">
        <f>IF(OR(E637="",F637=""),"",NETWORKDAYS(E637,F637,Ref!$F$4:$F$47))</f>
        <v/>
      </c>
      <c r="AH637" s="39">
        <f>IF(IFERROR(VLOOKUP(D637,Controls!$A$25:$D$35,2,FALSE()),"No")="Yes",1,0)</f>
        <v/>
      </c>
      <c r="AI637" s="39">
        <f>IF(IFERROR(VLOOKUP(D637,Controls!$A$25:$D$35,3,FALSE()),"No")="Yes",1,0)</f>
        <v/>
      </c>
      <c r="AJ637" s="39">
        <f>IF(IFERROR(VLOOKUP(D637,Controls!$A$25:$D$35,4,FALSE()),"No")="Yes",1,0)</f>
        <v/>
      </c>
      <c r="AK637" s="96">
        <f>IF(AND($E637&gt;=Controls!$B$5,$E637&lt;=Controls!$B$6,OR(Controls!$E$9&lt;&gt;"Y",$BE637=1)),1,0)</f>
        <v/>
      </c>
      <c r="AL637" s="39">
        <f>1</f>
        <v/>
      </c>
      <c r="AM637" s="20">
        <f>S637-P637</f>
        <v/>
      </c>
      <c r="AN637" s="20">
        <f>IF(AH637=1,MAX(0,P637-S637),0)</f>
        <v/>
      </c>
      <c r="AO637" s="21">
        <f>IFERROR(S637/P637,"")</f>
        <v/>
      </c>
      <c r="AP637" s="22">
        <f>IF(Y637="","",P637/Y637)</f>
        <v/>
      </c>
      <c r="AQ637" s="39">
        <f>IF(Y637="",0,1)</f>
        <v/>
      </c>
      <c r="AR637" s="39">
        <f>IF(S637&lt;=0,1,0)</f>
        <v/>
      </c>
      <c r="AS637" s="17">
        <f>IF(AH637=1,AG637,"")</f>
        <v/>
      </c>
      <c r="AT637" s="17">
        <f>IF(AND(AH637=0,AJ637=1),AG637,"")</f>
        <v/>
      </c>
      <c r="AU637" s="5">
        <f>IF(P637&lt;10000,"Under $10K",IF(P637&lt;20000,"$10-20K",IF(P637&lt;30000,"$20-30K",IF(P637&lt;50000,"$30-50K",IF(P637&lt;100000,"$50-100K","$100K+")))))</f>
        <v/>
      </c>
      <c r="AV637" s="5">
        <f>IF(O637&lt;=1.35,"1.35 and under",IF(O637&lt;=1.42,"1.36-1.42",IF(O637&lt;=1.45,"1.43-1.45",IF(O637&lt;1.49,"1.46-1.48",IF(O637&lt;=1.49,"1.49","Above 1.49")))))</f>
        <v/>
      </c>
      <c r="AW637" s="5">
        <f>IF(AE637="","",IF(AE637&lt;60,"Under 60",IF(AE637&lt;90,"60-89",IF(AE637&lt;120,"90-119",IF(AE637&lt;150,"120-149","150+")))))</f>
        <v/>
      </c>
      <c r="AX637" s="5">
        <f>IF(AP637="","No revenue data",IF(AP637&lt;0.15,"Under 0.15x",IF(AP637&lt;0.3,"0.15-0.30x",IF(AP637&lt;0.5,"0.30-0.50x",IF(AP637&lt;1,"0.50-1.00x","1.00x+")))))</f>
        <v/>
      </c>
      <c r="AY637" s="5">
        <f>IF(J637="","No SIC",IFERROR(VLOOKUP(J637,Ref!$A$4:$C$67,2,FALSE()),"Unclassified"))</f>
        <v/>
      </c>
      <c r="AZ637" s="5">
        <f>IF(E637="","",TEXT(E637,"YYYY")&amp;"-Q"&amp;ROUNDUP(MONTH(E637)/3,0))</f>
        <v/>
      </c>
      <c r="BA637" s="5">
        <f>IF(E637="","",TEXT(E637,"YYYY-MM"))</f>
        <v/>
      </c>
      <c r="BB637" s="5">
        <f>IF(E637="","",TEXT(E637,"YYYY"))</f>
        <v/>
      </c>
      <c r="BC637" s="92">
        <f>IF($E637="","",NETWORKDAYS($E637,Controls!$B$9,Ref!$F$4:$F$47))</f>
        <v/>
      </c>
      <c r="BD637" s="92">
        <f>IF(OR($AH637=1,$AJ637=1),1,0)</f>
        <v/>
      </c>
      <c r="BE637" s="95">
        <f>IF(OR($BD637=1,AND($AE637&lt;&gt;"",$BC637&gt;=Controls!$B$10*$AE637)),1,0)</f>
        <v/>
      </c>
    </row>
    <row r="638" ht="15.75" customHeight="1" s="79">
      <c r="A638" s="5" t="inlineStr">
        <is>
          <t>5674178730</t>
        </is>
      </c>
      <c r="B638" s="5" t="inlineStr">
        <is>
          <t>irwin printing company inc</t>
        </is>
      </c>
      <c r="C638" s="5" t="inlineStr">
        <is>
          <t>irwin printing company inc</t>
        </is>
      </c>
      <c r="D638" s="5" t="inlineStr">
        <is>
          <t>Closed</t>
        </is>
      </c>
      <c r="E638" s="16" t="n">
        <v>46071</v>
      </c>
      <c r="F638" s="16" t="n">
        <v>46146</v>
      </c>
      <c r="G638" s="17" t="n">
        <v>3</v>
      </c>
      <c r="H638" s="5" t="inlineStr">
        <is>
          <t>2752</t>
        </is>
      </c>
      <c r="I638" s="5" t="inlineStr">
        <is>
          <t>Commercial Printing (Except Screen and Books)</t>
        </is>
      </c>
      <c r="J638" s="5" t="inlineStr">
        <is>
          <t>27</t>
        </is>
      </c>
      <c r="K638" s="5" t="n">
        <v>2741</v>
      </c>
      <c r="L638" s="5" t="inlineStr">
        <is>
          <t>MO</t>
        </is>
      </c>
      <c r="M638" s="5" t="inlineStr">
        <is>
          <t>secure way capital</t>
        </is>
      </c>
      <c r="N638" s="5" t="inlineStr">
        <is>
          <t>New Deal</t>
        </is>
      </c>
      <c r="O638" s="19" t="n">
        <v>1.49</v>
      </c>
      <c r="P638" s="20" t="n">
        <v>10000</v>
      </c>
      <c r="Q638" s="20" t="n">
        <v>1400</v>
      </c>
      <c r="R638" s="20" t="n">
        <v>14900</v>
      </c>
      <c r="S638" s="20" t="n">
        <v>14900</v>
      </c>
      <c r="T638" s="20" t="n">
        <v>0</v>
      </c>
      <c r="U638" s="21" t="n">
        <v>1</v>
      </c>
      <c r="V638" s="22" t="n">
        <v>2.459</v>
      </c>
      <c r="W638" s="17" t="n">
        <v>107</v>
      </c>
      <c r="X638" s="17" t="n">
        <v>0</v>
      </c>
      <c r="Y638" s="20" t="n">
        <v>31854.08</v>
      </c>
      <c r="Z638" s="21" t="n">
        <v>0.1304</v>
      </c>
      <c r="AA638" s="16" t="n">
        <v>28525</v>
      </c>
      <c r="AB638" s="5">
        <f>IF(V638="","",IF(V638&lt;12,"Months","Weeks"))</f>
        <v/>
      </c>
      <c r="AC638" s="5">
        <f>IF(AB638="","",IF(AB638="Months","Daily","Weekly"))</f>
        <v/>
      </c>
      <c r="AD638" s="17">
        <f>IF(V638="","",IF(AC638="Daily",V638*Controls!$B$13,V638))</f>
        <v/>
      </c>
      <c r="AE638" s="17">
        <f>IF(V638="","",IF(AC638="Daily",V638*Controls!$B$13,V638*Controls!$B$12))</f>
        <v/>
      </c>
      <c r="AF638" s="17">
        <f>IF(OR(E638="",F638=""),"",F638-E638)</f>
        <v/>
      </c>
      <c r="AG638" s="17">
        <f>IF(OR(E638="",F638=""),"",NETWORKDAYS(E638,F638,Ref!$F$4:$F$47))</f>
        <v/>
      </c>
      <c r="AH638" s="39">
        <f>IF(IFERROR(VLOOKUP(D638,Controls!$A$25:$D$35,2,FALSE()),"No")="Yes",1,0)</f>
        <v/>
      </c>
      <c r="AI638" s="39">
        <f>IF(IFERROR(VLOOKUP(D638,Controls!$A$25:$D$35,3,FALSE()),"No")="Yes",1,0)</f>
        <v/>
      </c>
      <c r="AJ638" s="39">
        <f>IF(IFERROR(VLOOKUP(D638,Controls!$A$25:$D$35,4,FALSE()),"No")="Yes",1,0)</f>
        <v/>
      </c>
      <c r="AK638" s="96">
        <f>IF(AND($E638&gt;=Controls!$B$5,$E638&lt;=Controls!$B$6,OR(Controls!$E$9&lt;&gt;"Y",$BE638=1)),1,0)</f>
        <v/>
      </c>
      <c r="AL638" s="39">
        <f>1</f>
        <v/>
      </c>
      <c r="AM638" s="20">
        <f>S638-P638</f>
        <v/>
      </c>
      <c r="AN638" s="20">
        <f>IF(AH638=1,MAX(0,P638-S638),0)</f>
        <v/>
      </c>
      <c r="AO638" s="21">
        <f>IFERROR(S638/P638,"")</f>
        <v/>
      </c>
      <c r="AP638" s="22">
        <f>IF(Y638="","",P638/Y638)</f>
        <v/>
      </c>
      <c r="AQ638" s="39">
        <f>IF(Y638="",0,1)</f>
        <v/>
      </c>
      <c r="AR638" s="39">
        <f>IF(S638&lt;=0,1,0)</f>
        <v/>
      </c>
      <c r="AS638" s="17">
        <f>IF(AH638=1,AG638,"")</f>
        <v/>
      </c>
      <c r="AT638" s="17">
        <f>IF(AND(AH638=0,AJ638=1),AG638,"")</f>
        <v/>
      </c>
      <c r="AU638" s="5">
        <f>IF(P638&lt;10000,"Under $10K",IF(P638&lt;20000,"$10-20K",IF(P638&lt;30000,"$20-30K",IF(P638&lt;50000,"$30-50K",IF(P638&lt;100000,"$50-100K","$100K+")))))</f>
        <v/>
      </c>
      <c r="AV638" s="5">
        <f>IF(O638&lt;=1.35,"1.35 and under",IF(O638&lt;=1.42,"1.36-1.42",IF(O638&lt;=1.45,"1.43-1.45",IF(O638&lt;1.49,"1.46-1.48",IF(O638&lt;=1.49,"1.49","Above 1.49")))))</f>
        <v/>
      </c>
      <c r="AW638" s="5">
        <f>IF(AE638="","",IF(AE638&lt;60,"Under 60",IF(AE638&lt;90,"60-89",IF(AE638&lt;120,"90-119",IF(AE638&lt;150,"120-149","150+")))))</f>
        <v/>
      </c>
      <c r="AX638" s="5">
        <f>IF(AP638="","No revenue data",IF(AP638&lt;0.15,"Under 0.15x",IF(AP638&lt;0.3,"0.15-0.30x",IF(AP638&lt;0.5,"0.30-0.50x",IF(AP638&lt;1,"0.50-1.00x","1.00x+")))))</f>
        <v/>
      </c>
      <c r="AY638" s="5">
        <f>IF(J638="","No SIC",IFERROR(VLOOKUP(J638,Ref!$A$4:$C$67,2,FALSE()),"Unclassified"))</f>
        <v/>
      </c>
      <c r="AZ638" s="5">
        <f>IF(E638="","",TEXT(E638,"YYYY")&amp;"-Q"&amp;ROUNDUP(MONTH(E638)/3,0))</f>
        <v/>
      </c>
      <c r="BA638" s="5">
        <f>IF(E638="","",TEXT(E638,"YYYY-MM"))</f>
        <v/>
      </c>
      <c r="BB638" s="5">
        <f>IF(E638="","",TEXT(E638,"YYYY"))</f>
        <v/>
      </c>
      <c r="BC638" s="92">
        <f>IF($E638="","",NETWORKDAYS($E638,Controls!$B$9,Ref!$F$4:$F$47))</f>
        <v/>
      </c>
      <c r="BD638" s="92">
        <f>IF(OR($AH638=1,$AJ638=1),1,0)</f>
        <v/>
      </c>
      <c r="BE638" s="95">
        <f>IF(OR($BD638=1,AND($AE638&lt;&gt;"",$BC638&gt;=Controls!$B$10*$AE638)),1,0)</f>
        <v/>
      </c>
    </row>
    <row r="639" ht="15.75" customHeight="1" s="79">
      <c r="A639" s="5" t="inlineStr">
        <is>
          <t>5674178733</t>
        </is>
      </c>
      <c r="B639" s="5" t="inlineStr">
        <is>
          <t>JRRE CONSULTING</t>
        </is>
      </c>
      <c r="C639" s="5" t="inlineStr">
        <is>
          <t>JRRE CONSULTING LLC</t>
        </is>
      </c>
      <c r="D639" s="5" t="inlineStr">
        <is>
          <t>Closed</t>
        </is>
      </c>
      <c r="E639" s="16" t="n">
        <v>46071</v>
      </c>
      <c r="F639" s="16" t="n">
        <v>46198</v>
      </c>
      <c r="G639" s="17" t="n">
        <v>3</v>
      </c>
      <c r="H639" s="5" t="inlineStr">
        <is>
          <t>8748</t>
        </is>
      </c>
      <c r="I639" s="5" t="inlineStr">
        <is>
          <t>Other Management Consulting Services</t>
        </is>
      </c>
      <c r="J639" s="5" t="inlineStr">
        <is>
          <t>87</t>
        </is>
      </c>
      <c r="K639" s="5" t="n">
        <v>7392</v>
      </c>
      <c r="L639" s="5" t="inlineStr">
        <is>
          <t>SC</t>
        </is>
      </c>
      <c r="M639" s="5" t="inlineStr">
        <is>
          <t>Westwood</t>
        </is>
      </c>
      <c r="N639" s="5" t="inlineStr">
        <is>
          <t>New Deal</t>
        </is>
      </c>
      <c r="O639" s="19" t="n">
        <v>1.49</v>
      </c>
      <c r="P639" s="20" t="n">
        <v>15000</v>
      </c>
      <c r="Q639" s="20" t="n">
        <v>2100</v>
      </c>
      <c r="R639" s="20" t="n">
        <v>22350</v>
      </c>
      <c r="S639" s="20" t="n">
        <v>22350</v>
      </c>
      <c r="T639" s="20" t="n">
        <v>0</v>
      </c>
      <c r="U639" s="21" t="n">
        <v>1</v>
      </c>
      <c r="V639" s="22" t="n">
        <v>2.951</v>
      </c>
      <c r="W639" s="17" t="n">
        <v>55</v>
      </c>
      <c r="X639" s="17" t="n">
        <v>0</v>
      </c>
      <c r="Y639" s="20" t="n">
        <v>41887.96</v>
      </c>
      <c r="Z639" s="21" t="n">
        <v>0.1245</v>
      </c>
      <c r="AA639" s="16" t="n">
        <v>45884</v>
      </c>
      <c r="AB639" s="5">
        <f>IF(V639="","",IF(V639&lt;12,"Months","Weeks"))</f>
        <v/>
      </c>
      <c r="AC639" s="5">
        <f>IF(AB639="","",IF(AB639="Months","Daily","Weekly"))</f>
        <v/>
      </c>
      <c r="AD639" s="17">
        <f>IF(V639="","",IF(AC639="Daily",V639*Controls!$B$13,V639))</f>
        <v/>
      </c>
      <c r="AE639" s="17">
        <f>IF(V639="","",IF(AC639="Daily",V639*Controls!$B$13,V639*Controls!$B$12))</f>
        <v/>
      </c>
      <c r="AF639" s="17">
        <f>IF(OR(E639="",F639=""),"",F639-E639)</f>
        <v/>
      </c>
      <c r="AG639" s="17">
        <f>IF(OR(E639="",F639=""),"",NETWORKDAYS(E639,F639,Ref!$F$4:$F$47))</f>
        <v/>
      </c>
      <c r="AH639" s="39">
        <f>IF(IFERROR(VLOOKUP(D639,Controls!$A$25:$D$35,2,FALSE()),"No")="Yes",1,0)</f>
        <v/>
      </c>
      <c r="AI639" s="39">
        <f>IF(IFERROR(VLOOKUP(D639,Controls!$A$25:$D$35,3,FALSE()),"No")="Yes",1,0)</f>
        <v/>
      </c>
      <c r="AJ639" s="39">
        <f>IF(IFERROR(VLOOKUP(D639,Controls!$A$25:$D$35,4,FALSE()),"No")="Yes",1,0)</f>
        <v/>
      </c>
      <c r="AK639" s="96">
        <f>IF(AND($E639&gt;=Controls!$B$5,$E639&lt;=Controls!$B$6,OR(Controls!$E$9&lt;&gt;"Y",$BE639=1)),1,0)</f>
        <v/>
      </c>
      <c r="AL639" s="39">
        <f>1</f>
        <v/>
      </c>
      <c r="AM639" s="20">
        <f>S639-P639</f>
        <v/>
      </c>
      <c r="AN639" s="20">
        <f>IF(AH639=1,MAX(0,P639-S639),0)</f>
        <v/>
      </c>
      <c r="AO639" s="21">
        <f>IFERROR(S639/P639,"")</f>
        <v/>
      </c>
      <c r="AP639" s="22">
        <f>IF(Y639="","",P639/Y639)</f>
        <v/>
      </c>
      <c r="AQ639" s="39">
        <f>IF(Y639="",0,1)</f>
        <v/>
      </c>
      <c r="AR639" s="39">
        <f>IF(S639&lt;=0,1,0)</f>
        <v/>
      </c>
      <c r="AS639" s="17">
        <f>IF(AH639=1,AG639,"")</f>
        <v/>
      </c>
      <c r="AT639" s="17">
        <f>IF(AND(AH639=0,AJ639=1),AG639,"")</f>
        <v/>
      </c>
      <c r="AU639" s="5">
        <f>IF(P639&lt;10000,"Under $10K",IF(P639&lt;20000,"$10-20K",IF(P639&lt;30000,"$20-30K",IF(P639&lt;50000,"$30-50K",IF(P639&lt;100000,"$50-100K","$100K+")))))</f>
        <v/>
      </c>
      <c r="AV639" s="5">
        <f>IF(O639&lt;=1.35,"1.35 and under",IF(O639&lt;=1.42,"1.36-1.42",IF(O639&lt;=1.45,"1.43-1.45",IF(O639&lt;1.49,"1.46-1.48",IF(O639&lt;=1.49,"1.49","Above 1.49")))))</f>
        <v/>
      </c>
      <c r="AW639" s="5">
        <f>IF(AE639="","",IF(AE639&lt;60,"Under 60",IF(AE639&lt;90,"60-89",IF(AE639&lt;120,"90-119",IF(AE639&lt;150,"120-149","150+")))))</f>
        <v/>
      </c>
      <c r="AX639" s="5">
        <f>IF(AP639="","No revenue data",IF(AP639&lt;0.15,"Under 0.15x",IF(AP639&lt;0.3,"0.15-0.30x",IF(AP639&lt;0.5,"0.30-0.50x",IF(AP639&lt;1,"0.50-1.00x","1.00x+")))))</f>
        <v/>
      </c>
      <c r="AY639" s="5">
        <f>IF(J639="","No SIC",IFERROR(VLOOKUP(J639,Ref!$A$4:$C$67,2,FALSE()),"Unclassified"))</f>
        <v/>
      </c>
      <c r="AZ639" s="5">
        <f>IF(E639="","",TEXT(E639,"YYYY")&amp;"-Q"&amp;ROUNDUP(MONTH(E639)/3,0))</f>
        <v/>
      </c>
      <c r="BA639" s="5">
        <f>IF(E639="","",TEXT(E639,"YYYY-MM"))</f>
        <v/>
      </c>
      <c r="BB639" s="5">
        <f>IF(E639="","",TEXT(E639,"YYYY"))</f>
        <v/>
      </c>
      <c r="BC639" s="92">
        <f>IF($E639="","",NETWORKDAYS($E639,Controls!$B$9,Ref!$F$4:$F$47))</f>
        <v/>
      </c>
      <c r="BD639" s="92">
        <f>IF(OR($AH639=1,$AJ639=1),1,0)</f>
        <v/>
      </c>
      <c r="BE639" s="95">
        <f>IF(OR($BD639=1,AND($AE639&lt;&gt;"",$BC639&gt;=Controls!$B$10*$AE639)),1,0)</f>
        <v/>
      </c>
    </row>
    <row r="640" ht="15.75" customHeight="1" s="79">
      <c r="A640" s="5" t="inlineStr">
        <is>
          <t>5674178740</t>
        </is>
      </c>
      <c r="B640" s="5" t="inlineStr">
        <is>
          <t>K &amp; R DEVELOPMENT</t>
        </is>
      </c>
      <c r="C640" s="5" t="inlineStr">
        <is>
          <t>K &amp; R DEVELOPMENT LLC</t>
        </is>
      </c>
      <c r="D640" s="5" t="inlineStr">
        <is>
          <t>Closed</t>
        </is>
      </c>
      <c r="E640" s="16" t="n">
        <v>46071</v>
      </c>
      <c r="F640" s="16" t="n">
        <v>46171</v>
      </c>
      <c r="G640" s="17" t="n">
        <v>2</v>
      </c>
      <c r="H640" s="5" t="inlineStr">
        <is>
          <t>6531</t>
        </is>
      </c>
      <c r="I640" s="5" t="inlineStr">
        <is>
          <t>Other Activities Related to Real Estate</t>
        </is>
      </c>
      <c r="J640" s="5" t="inlineStr">
        <is>
          <t>65</t>
        </is>
      </c>
      <c r="K640" s="5" t="n">
        <v>6513</v>
      </c>
      <c r="L640" s="5" t="inlineStr">
        <is>
          <t>SC</t>
        </is>
      </c>
      <c r="M640" s="5" t="inlineStr">
        <is>
          <t>bridge consolidation</t>
        </is>
      </c>
      <c r="N640" s="5" t="inlineStr">
        <is>
          <t>New Deal</t>
        </is>
      </c>
      <c r="O640" s="19" t="n">
        <v>1.49</v>
      </c>
      <c r="P640" s="20" t="n">
        <v>100000</v>
      </c>
      <c r="Q640" s="20" t="n">
        <v>14000</v>
      </c>
      <c r="R640" s="20" t="n">
        <v>149000</v>
      </c>
      <c r="S640" s="20" t="n">
        <v>149000</v>
      </c>
      <c r="T640" s="20" t="n">
        <v>0</v>
      </c>
      <c r="U640" s="21" t="n">
        <v>1</v>
      </c>
      <c r="V640" s="22" t="n">
        <v>25</v>
      </c>
      <c r="W640" s="17" t="n">
        <v>82</v>
      </c>
      <c r="X640" s="17" t="n">
        <v>1</v>
      </c>
      <c r="Y640" s="20" t="n">
        <v>377550.59</v>
      </c>
      <c r="Z640" s="21" t="n">
        <v>0.0631</v>
      </c>
      <c r="AA640" s="16" t="n">
        <v>43520</v>
      </c>
      <c r="AB640" s="5">
        <f>IF(V640="","",IF(V640&lt;12,"Months","Weeks"))</f>
        <v/>
      </c>
      <c r="AC640" s="5">
        <f>IF(AB640="","",IF(AB640="Months","Daily","Weekly"))</f>
        <v/>
      </c>
      <c r="AD640" s="17">
        <f>IF(V640="","",IF(AC640="Daily",V640*Controls!$B$13,V640))</f>
        <v/>
      </c>
      <c r="AE640" s="17">
        <f>IF(V640="","",IF(AC640="Daily",V640*Controls!$B$13,V640*Controls!$B$12))</f>
        <v/>
      </c>
      <c r="AF640" s="17">
        <f>IF(OR(E640="",F640=""),"",F640-E640)</f>
        <v/>
      </c>
      <c r="AG640" s="17">
        <f>IF(OR(E640="",F640=""),"",NETWORKDAYS(E640,F640,Ref!$F$4:$F$47))</f>
        <v/>
      </c>
      <c r="AH640" s="39">
        <f>IF(IFERROR(VLOOKUP(D640,Controls!$A$25:$D$35,2,FALSE()),"No")="Yes",1,0)</f>
        <v/>
      </c>
      <c r="AI640" s="39">
        <f>IF(IFERROR(VLOOKUP(D640,Controls!$A$25:$D$35,3,FALSE()),"No")="Yes",1,0)</f>
        <v/>
      </c>
      <c r="AJ640" s="39">
        <f>IF(IFERROR(VLOOKUP(D640,Controls!$A$25:$D$35,4,FALSE()),"No")="Yes",1,0)</f>
        <v/>
      </c>
      <c r="AK640" s="96">
        <f>IF(AND($E640&gt;=Controls!$B$5,$E640&lt;=Controls!$B$6,OR(Controls!$E$9&lt;&gt;"Y",$BE640=1)),1,0)</f>
        <v/>
      </c>
      <c r="AL640" s="39">
        <f>1</f>
        <v/>
      </c>
      <c r="AM640" s="20">
        <f>S640-P640</f>
        <v/>
      </c>
      <c r="AN640" s="20">
        <f>IF(AH640=1,MAX(0,P640-S640),0)</f>
        <v/>
      </c>
      <c r="AO640" s="21">
        <f>IFERROR(S640/P640,"")</f>
        <v/>
      </c>
      <c r="AP640" s="22">
        <f>IF(Y640="","",P640/Y640)</f>
        <v/>
      </c>
      <c r="AQ640" s="39">
        <f>IF(Y640="",0,1)</f>
        <v/>
      </c>
      <c r="AR640" s="39">
        <f>IF(S640&lt;=0,1,0)</f>
        <v/>
      </c>
      <c r="AS640" s="17">
        <f>IF(AH640=1,AG640,"")</f>
        <v/>
      </c>
      <c r="AT640" s="17">
        <f>IF(AND(AH640=0,AJ640=1),AG640,"")</f>
        <v/>
      </c>
      <c r="AU640" s="5">
        <f>IF(P640&lt;10000,"Under $10K",IF(P640&lt;20000,"$10-20K",IF(P640&lt;30000,"$20-30K",IF(P640&lt;50000,"$30-50K",IF(P640&lt;100000,"$50-100K","$100K+")))))</f>
        <v/>
      </c>
      <c r="AV640" s="5">
        <f>IF(O640&lt;=1.35,"1.35 and under",IF(O640&lt;=1.42,"1.36-1.42",IF(O640&lt;=1.45,"1.43-1.45",IF(O640&lt;1.49,"1.46-1.48",IF(O640&lt;=1.49,"1.49","Above 1.49")))))</f>
        <v/>
      </c>
      <c r="AW640" s="5">
        <f>IF(AE640="","",IF(AE640&lt;60,"Under 60",IF(AE640&lt;90,"60-89",IF(AE640&lt;120,"90-119",IF(AE640&lt;150,"120-149","150+")))))</f>
        <v/>
      </c>
      <c r="AX640" s="5">
        <f>IF(AP640="","No revenue data",IF(AP640&lt;0.15,"Under 0.15x",IF(AP640&lt;0.3,"0.15-0.30x",IF(AP640&lt;0.5,"0.30-0.50x",IF(AP640&lt;1,"0.50-1.00x","1.00x+")))))</f>
        <v/>
      </c>
      <c r="AY640" s="5">
        <f>IF(J640="","No SIC",IFERROR(VLOOKUP(J640,Ref!$A$4:$C$67,2,FALSE()),"Unclassified"))</f>
        <v/>
      </c>
      <c r="AZ640" s="5">
        <f>IF(E640="","",TEXT(E640,"YYYY")&amp;"-Q"&amp;ROUNDUP(MONTH(E640)/3,0))</f>
        <v/>
      </c>
      <c r="BA640" s="5">
        <f>IF(E640="","",TEXT(E640,"YYYY-MM"))</f>
        <v/>
      </c>
      <c r="BB640" s="5">
        <f>IF(E640="","",TEXT(E640,"YYYY"))</f>
        <v/>
      </c>
      <c r="BC640" s="92">
        <f>IF($E640="","",NETWORKDAYS($E640,Controls!$B$9,Ref!$F$4:$F$47))</f>
        <v/>
      </c>
      <c r="BD640" s="92">
        <f>IF(OR($AH640=1,$AJ640=1),1,0)</f>
        <v/>
      </c>
      <c r="BE640" s="95">
        <f>IF(OR($BD640=1,AND($AE640&lt;&gt;"",$BC640&gt;=Controls!$B$10*$AE640)),1,0)</f>
        <v/>
      </c>
    </row>
    <row r="641" ht="15.75" customHeight="1" s="79">
      <c r="A641" s="5" t="inlineStr">
        <is>
          <t>5674178759</t>
        </is>
      </c>
      <c r="B641" s="5" t="inlineStr">
        <is>
          <t>EL Fogon Restobar and Grill</t>
        </is>
      </c>
      <c r="C641" s="5" t="inlineStr">
        <is>
          <t>EL Fogon Restobar and Grill</t>
        </is>
      </c>
      <c r="D641" s="5" t="inlineStr">
        <is>
          <t>Legal</t>
        </is>
      </c>
      <c r="E641" s="16" t="n">
        <v>46072</v>
      </c>
      <c r="F641" s="16" t="n">
        <v>46083</v>
      </c>
      <c r="G641" s="17" t="n">
        <v>3</v>
      </c>
      <c r="H641" s="5" t="inlineStr">
        <is>
          <t>5812</t>
        </is>
      </c>
      <c r="I641" s="5" t="inlineStr">
        <is>
          <t>Snack and Nonalcoholic Beverage Bars</t>
        </is>
      </c>
      <c r="J641" s="5" t="inlineStr">
        <is>
          <t>58</t>
        </is>
      </c>
      <c r="K641" s="5" t="n">
        <v>5812</v>
      </c>
      <c r="L641" s="5" t="inlineStr">
        <is>
          <t>VA</t>
        </is>
      </c>
      <c r="M641" s="5" t="inlineStr">
        <is>
          <t>United Secured Capital 8</t>
        </is>
      </c>
      <c r="N641" s="5" t="inlineStr">
        <is>
          <t>New Deal</t>
        </is>
      </c>
      <c r="O641" s="19" t="n">
        <v>1.49</v>
      </c>
      <c r="P641" s="20" t="n">
        <v>25000</v>
      </c>
      <c r="Q641" s="20" t="n">
        <v>0</v>
      </c>
      <c r="R641" s="20" t="n">
        <v>37250</v>
      </c>
      <c r="S641" s="20" t="n">
        <v>1117.35</v>
      </c>
      <c r="T641" s="20" t="n">
        <v>36132.65</v>
      </c>
      <c r="U641" s="21" t="n">
        <v>0.0299959731543624</v>
      </c>
      <c r="V641" s="22" t="n">
        <v>3.279</v>
      </c>
      <c r="W641" s="17" t="n">
        <v>176</v>
      </c>
      <c r="X641" s="17" t="n">
        <v>4</v>
      </c>
      <c r="Y641" s="20" t="n">
        <v>67136.31</v>
      </c>
      <c r="Z641" s="21" t="n">
        <v>0.1165</v>
      </c>
      <c r="AA641" s="16" t="n">
        <v>45816</v>
      </c>
      <c r="AB641" s="5">
        <f>IF(V641="","",IF(V641&lt;12,"Months","Weeks"))</f>
        <v/>
      </c>
      <c r="AC641" s="5">
        <f>IF(AB641="","",IF(AB641="Months","Daily","Weekly"))</f>
        <v/>
      </c>
      <c r="AD641" s="17">
        <f>IF(V641="","",IF(AC641="Daily",V641*Controls!$B$13,V641))</f>
        <v/>
      </c>
      <c r="AE641" s="17">
        <f>IF(V641="","",IF(AC641="Daily",V641*Controls!$B$13,V641*Controls!$B$12))</f>
        <v/>
      </c>
      <c r="AF641" s="17">
        <f>IF(OR(E641="",F641=""),"",F641-E641)</f>
        <v/>
      </c>
      <c r="AG641" s="17">
        <f>IF(OR(E641="",F641=""),"",NETWORKDAYS(E641,F641,Ref!$F$4:$F$47))</f>
        <v/>
      </c>
      <c r="AH641" s="39">
        <f>IF(IFERROR(VLOOKUP(D641,Controls!$A$25:$D$35,2,FALSE()),"No")="Yes",1,0)</f>
        <v/>
      </c>
      <c r="AI641" s="39">
        <f>IF(IFERROR(VLOOKUP(D641,Controls!$A$25:$D$35,3,FALSE()),"No")="Yes",1,0)</f>
        <v/>
      </c>
      <c r="AJ641" s="39">
        <f>IF(IFERROR(VLOOKUP(D641,Controls!$A$25:$D$35,4,FALSE()),"No")="Yes",1,0)</f>
        <v/>
      </c>
      <c r="AK641" s="96">
        <f>IF(AND($E641&gt;=Controls!$B$5,$E641&lt;=Controls!$B$6,OR(Controls!$E$9&lt;&gt;"Y",$BE641=1)),1,0)</f>
        <v/>
      </c>
      <c r="AL641" s="39">
        <f>1</f>
        <v/>
      </c>
      <c r="AM641" s="20">
        <f>S641-P641</f>
        <v/>
      </c>
      <c r="AN641" s="20">
        <f>IF(AH641=1,MAX(0,P641-S641),0)</f>
        <v/>
      </c>
      <c r="AO641" s="21">
        <f>IFERROR(S641/P641,"")</f>
        <v/>
      </c>
      <c r="AP641" s="22">
        <f>IF(Y641="","",P641/Y641)</f>
        <v/>
      </c>
      <c r="AQ641" s="39">
        <f>IF(Y641="",0,1)</f>
        <v/>
      </c>
      <c r="AR641" s="39">
        <f>IF(S641&lt;=0,1,0)</f>
        <v/>
      </c>
      <c r="AS641" s="17">
        <f>IF(AH641=1,AG641,"")</f>
        <v/>
      </c>
      <c r="AT641" s="17">
        <f>IF(AND(AH641=0,AJ641=1),AG641,"")</f>
        <v/>
      </c>
      <c r="AU641" s="5">
        <f>IF(P641&lt;10000,"Under $10K",IF(P641&lt;20000,"$10-20K",IF(P641&lt;30000,"$20-30K",IF(P641&lt;50000,"$30-50K",IF(P641&lt;100000,"$50-100K","$100K+")))))</f>
        <v/>
      </c>
      <c r="AV641" s="5">
        <f>IF(O641&lt;=1.35,"1.35 and under",IF(O641&lt;=1.42,"1.36-1.42",IF(O641&lt;=1.45,"1.43-1.45",IF(O641&lt;1.49,"1.46-1.48",IF(O641&lt;=1.49,"1.49","Above 1.49")))))</f>
        <v/>
      </c>
      <c r="AW641" s="5">
        <f>IF(AE641="","",IF(AE641&lt;60,"Under 60",IF(AE641&lt;90,"60-89",IF(AE641&lt;120,"90-119",IF(AE641&lt;150,"120-149","150+")))))</f>
        <v/>
      </c>
      <c r="AX641" s="5">
        <f>IF(AP641="","No revenue data",IF(AP641&lt;0.15,"Under 0.15x",IF(AP641&lt;0.3,"0.15-0.30x",IF(AP641&lt;0.5,"0.30-0.50x",IF(AP641&lt;1,"0.50-1.00x","1.00x+")))))</f>
        <v/>
      </c>
      <c r="AY641" s="5">
        <f>IF(J641="","No SIC",IFERROR(VLOOKUP(J641,Ref!$A$4:$C$67,2,FALSE()),"Unclassified"))</f>
        <v/>
      </c>
      <c r="AZ641" s="5">
        <f>IF(E641="","",TEXT(E641,"YYYY")&amp;"-Q"&amp;ROUNDUP(MONTH(E641)/3,0))</f>
        <v/>
      </c>
      <c r="BA641" s="5">
        <f>IF(E641="","",TEXT(E641,"YYYY-MM"))</f>
        <v/>
      </c>
      <c r="BB641" s="5">
        <f>IF(E641="","",TEXT(E641,"YYYY"))</f>
        <v/>
      </c>
      <c r="BC641" s="92">
        <f>IF($E641="","",NETWORKDAYS($E641,Controls!$B$9,Ref!$F$4:$F$47))</f>
        <v/>
      </c>
      <c r="BD641" s="92">
        <f>IF(OR($AH641=1,$AJ641=1),1,0)</f>
        <v/>
      </c>
      <c r="BE641" s="95">
        <f>IF(OR($BD641=1,AND($AE641&lt;&gt;"",$BC641&gt;=Controls!$B$10*$AE641)),1,0)</f>
        <v/>
      </c>
    </row>
    <row r="642" ht="15.75" customHeight="1" s="79">
      <c r="A642" s="5" t="inlineStr">
        <is>
          <t>5674178767</t>
        </is>
      </c>
      <c r="B642" s="5" t="inlineStr">
        <is>
          <t>Simpl Construction</t>
        </is>
      </c>
      <c r="C642" s="5" t="inlineStr">
        <is>
          <t>Simpl Construction</t>
        </is>
      </c>
      <c r="D642" s="5" t="inlineStr">
        <is>
          <t>Legal</t>
        </is>
      </c>
      <c r="E642" s="16" t="n">
        <v>46072</v>
      </c>
      <c r="F642" s="16" t="n">
        <v>46149</v>
      </c>
      <c r="G642" s="17" t="n">
        <v>3</v>
      </c>
      <c r="H642" s="5" t="inlineStr">
        <is>
          <t>1521</t>
        </is>
      </c>
      <c r="I642" s="5" t="inlineStr">
        <is>
          <t>New Single-Family Housing Construction (Except For-Sale Builders)</t>
        </is>
      </c>
      <c r="J642" s="5" t="inlineStr">
        <is>
          <t>15</t>
        </is>
      </c>
      <c r="K642" s="5" t="n">
        <v>1520</v>
      </c>
      <c r="L642" s="5" t="inlineStr">
        <is>
          <t>GA</t>
        </is>
      </c>
      <c r="M642" s="5" t="inlineStr">
        <is>
          <t>Secure Capital Solutions 7</t>
        </is>
      </c>
      <c r="N642" s="5" t="inlineStr">
        <is>
          <t>New Deal</t>
        </is>
      </c>
      <c r="O642" s="19" t="n">
        <v>1.49</v>
      </c>
      <c r="P642" s="20" t="n">
        <v>25000</v>
      </c>
      <c r="Q642" s="20" t="n">
        <v>0</v>
      </c>
      <c r="R642" s="20" t="n">
        <v>37250</v>
      </c>
      <c r="S642" s="20" t="n">
        <v>4346.05</v>
      </c>
      <c r="T642" s="20" t="n">
        <v>32903.95</v>
      </c>
      <c r="U642" s="21" t="n">
        <v>0.116672483221477</v>
      </c>
      <c r="V642" s="22" t="n">
        <v>2.951</v>
      </c>
      <c r="W642" s="17" t="n">
        <v>146</v>
      </c>
      <c r="X642" s="17" t="n">
        <v>40</v>
      </c>
      <c r="Y642" s="20" t="n">
        <v>80000</v>
      </c>
      <c r="Z642" s="21" t="n">
        <v>0.0945</v>
      </c>
      <c r="AA642" s="16" t="n">
        <v>42736</v>
      </c>
      <c r="AB642" s="5">
        <f>IF(V642="","",IF(V642&lt;12,"Months","Weeks"))</f>
        <v/>
      </c>
      <c r="AC642" s="5">
        <f>IF(AB642="","",IF(AB642="Months","Daily","Weekly"))</f>
        <v/>
      </c>
      <c r="AD642" s="17">
        <f>IF(V642="","",IF(AC642="Daily",V642*Controls!$B$13,V642))</f>
        <v/>
      </c>
      <c r="AE642" s="17">
        <f>IF(V642="","",IF(AC642="Daily",V642*Controls!$B$13,V642*Controls!$B$12))</f>
        <v/>
      </c>
      <c r="AF642" s="17">
        <f>IF(OR(E642="",F642=""),"",F642-E642)</f>
        <v/>
      </c>
      <c r="AG642" s="17">
        <f>IF(OR(E642="",F642=""),"",NETWORKDAYS(E642,F642,Ref!$F$4:$F$47))</f>
        <v/>
      </c>
      <c r="AH642" s="39">
        <f>IF(IFERROR(VLOOKUP(D642,Controls!$A$25:$D$35,2,FALSE()),"No")="Yes",1,0)</f>
        <v/>
      </c>
      <c r="AI642" s="39">
        <f>IF(IFERROR(VLOOKUP(D642,Controls!$A$25:$D$35,3,FALSE()),"No")="Yes",1,0)</f>
        <v/>
      </c>
      <c r="AJ642" s="39">
        <f>IF(IFERROR(VLOOKUP(D642,Controls!$A$25:$D$35,4,FALSE()),"No")="Yes",1,0)</f>
        <v/>
      </c>
      <c r="AK642" s="96">
        <f>IF(AND($E642&gt;=Controls!$B$5,$E642&lt;=Controls!$B$6,OR(Controls!$E$9&lt;&gt;"Y",$BE642=1)),1,0)</f>
        <v/>
      </c>
      <c r="AL642" s="39">
        <f>1</f>
        <v/>
      </c>
      <c r="AM642" s="20">
        <f>S642-P642</f>
        <v/>
      </c>
      <c r="AN642" s="20">
        <f>IF(AH642=1,MAX(0,P642-S642),0)</f>
        <v/>
      </c>
      <c r="AO642" s="21">
        <f>IFERROR(S642/P642,"")</f>
        <v/>
      </c>
      <c r="AP642" s="22">
        <f>IF(Y642="","",P642/Y642)</f>
        <v/>
      </c>
      <c r="AQ642" s="39">
        <f>IF(Y642="",0,1)</f>
        <v/>
      </c>
      <c r="AR642" s="39">
        <f>IF(S642&lt;=0,1,0)</f>
        <v/>
      </c>
      <c r="AS642" s="17">
        <f>IF(AH642=1,AG642,"")</f>
        <v/>
      </c>
      <c r="AT642" s="17">
        <f>IF(AND(AH642=0,AJ642=1),AG642,"")</f>
        <v/>
      </c>
      <c r="AU642" s="5">
        <f>IF(P642&lt;10000,"Under $10K",IF(P642&lt;20000,"$10-20K",IF(P642&lt;30000,"$20-30K",IF(P642&lt;50000,"$30-50K",IF(P642&lt;100000,"$50-100K","$100K+")))))</f>
        <v/>
      </c>
      <c r="AV642" s="5">
        <f>IF(O642&lt;=1.35,"1.35 and under",IF(O642&lt;=1.42,"1.36-1.42",IF(O642&lt;=1.45,"1.43-1.45",IF(O642&lt;1.49,"1.46-1.48",IF(O642&lt;=1.49,"1.49","Above 1.49")))))</f>
        <v/>
      </c>
      <c r="AW642" s="5">
        <f>IF(AE642="","",IF(AE642&lt;60,"Under 60",IF(AE642&lt;90,"60-89",IF(AE642&lt;120,"90-119",IF(AE642&lt;150,"120-149","150+")))))</f>
        <v/>
      </c>
      <c r="AX642" s="5">
        <f>IF(AP642="","No revenue data",IF(AP642&lt;0.15,"Under 0.15x",IF(AP642&lt;0.3,"0.15-0.30x",IF(AP642&lt;0.5,"0.30-0.50x",IF(AP642&lt;1,"0.50-1.00x","1.00x+")))))</f>
        <v/>
      </c>
      <c r="AY642" s="5">
        <f>IF(J642="","No SIC",IFERROR(VLOOKUP(J642,Ref!$A$4:$C$67,2,FALSE()),"Unclassified"))</f>
        <v/>
      </c>
      <c r="AZ642" s="5">
        <f>IF(E642="","",TEXT(E642,"YYYY")&amp;"-Q"&amp;ROUNDUP(MONTH(E642)/3,0))</f>
        <v/>
      </c>
      <c r="BA642" s="5">
        <f>IF(E642="","",TEXT(E642,"YYYY-MM"))</f>
        <v/>
      </c>
      <c r="BB642" s="5">
        <f>IF(E642="","",TEXT(E642,"YYYY"))</f>
        <v/>
      </c>
      <c r="BC642" s="92">
        <f>IF($E642="","",NETWORKDAYS($E642,Controls!$B$9,Ref!$F$4:$F$47))</f>
        <v/>
      </c>
      <c r="BD642" s="92">
        <f>IF(OR($AH642=1,$AJ642=1),1,0)</f>
        <v/>
      </c>
      <c r="BE642" s="95">
        <f>IF(OR($BD642=1,AND($AE642&lt;&gt;"",$BC642&gt;=Controls!$B$10*$AE642)),1,0)</f>
        <v/>
      </c>
    </row>
    <row r="643" ht="15.75" customHeight="1" s="79">
      <c r="A643" s="5" t="inlineStr">
        <is>
          <t>5674178782</t>
        </is>
      </c>
      <c r="B643" s="5" t="inlineStr">
        <is>
          <t>Kc Pharmaceuticals, Inc.</t>
        </is>
      </c>
      <c r="C643" s="5" t="inlineStr">
        <is>
          <t>Kc Pharmaceuticals, Inc.</t>
        </is>
      </c>
      <c r="D643" s="5" t="inlineStr">
        <is>
          <t>Closed</t>
        </is>
      </c>
      <c r="E643" s="16" t="n">
        <v>46072</v>
      </c>
      <c r="F643" s="16" t="n">
        <v>46127</v>
      </c>
      <c r="G643" s="17" t="n">
        <v>2</v>
      </c>
      <c r="H643" s="5" t="inlineStr">
        <is>
          <t>2834</t>
        </is>
      </c>
      <c r="I643" s="5" t="inlineStr">
        <is>
          <t>Pharmaceutical Preparation Mfg.</t>
        </is>
      </c>
      <c r="J643" s="5" t="inlineStr">
        <is>
          <t>28</t>
        </is>
      </c>
      <c r="K643" s="5" t="n">
        <v>5912</v>
      </c>
      <c r="L643" s="5" t="inlineStr">
        <is>
          <t>CA</t>
        </is>
      </c>
      <c r="M643" s="5" t="inlineStr">
        <is>
          <t>Fundwell</t>
        </is>
      </c>
      <c r="N643" s="5" t="inlineStr">
        <is>
          <t>New Deal</t>
        </is>
      </c>
      <c r="O643" s="19" t="n">
        <v>1.36</v>
      </c>
      <c r="P643" s="20" t="n">
        <v>275000</v>
      </c>
      <c r="Q643" s="20" t="n">
        <v>27500</v>
      </c>
      <c r="R643" s="20" t="n">
        <v>374000</v>
      </c>
      <c r="S643" s="20" t="n">
        <v>374000</v>
      </c>
      <c r="T643" s="20" t="n">
        <v>0</v>
      </c>
      <c r="U643" s="21" t="n">
        <v>1</v>
      </c>
      <c r="V643" s="22" t="n">
        <v>52</v>
      </c>
      <c r="W643" s="17" t="n">
        <v>126</v>
      </c>
      <c r="X643" s="17" t="n">
        <v>1</v>
      </c>
      <c r="Y643" s="20" t="n">
        <v>4622375.62</v>
      </c>
      <c r="Z643" s="21" t="n">
        <v>0.0325</v>
      </c>
      <c r="AA643" s="16" t="n">
        <v>32082</v>
      </c>
      <c r="AB643" s="5">
        <f>IF(V643="","",IF(V643&lt;12,"Months","Weeks"))</f>
        <v/>
      </c>
      <c r="AC643" s="5">
        <f>IF(AB643="","",IF(AB643="Months","Daily","Weekly"))</f>
        <v/>
      </c>
      <c r="AD643" s="17">
        <f>IF(V643="","",IF(AC643="Daily",V643*Controls!$B$13,V643))</f>
        <v/>
      </c>
      <c r="AE643" s="17">
        <f>IF(V643="","",IF(AC643="Daily",V643*Controls!$B$13,V643*Controls!$B$12))</f>
        <v/>
      </c>
      <c r="AF643" s="17">
        <f>IF(OR(E643="",F643=""),"",F643-E643)</f>
        <v/>
      </c>
      <c r="AG643" s="17">
        <f>IF(OR(E643="",F643=""),"",NETWORKDAYS(E643,F643,Ref!$F$4:$F$47))</f>
        <v/>
      </c>
      <c r="AH643" s="39">
        <f>IF(IFERROR(VLOOKUP(D643,Controls!$A$25:$D$35,2,FALSE()),"No")="Yes",1,0)</f>
        <v/>
      </c>
      <c r="AI643" s="39">
        <f>IF(IFERROR(VLOOKUP(D643,Controls!$A$25:$D$35,3,FALSE()),"No")="Yes",1,0)</f>
        <v/>
      </c>
      <c r="AJ643" s="39">
        <f>IF(IFERROR(VLOOKUP(D643,Controls!$A$25:$D$35,4,FALSE()),"No")="Yes",1,0)</f>
        <v/>
      </c>
      <c r="AK643" s="96">
        <f>IF(AND($E643&gt;=Controls!$B$5,$E643&lt;=Controls!$B$6,OR(Controls!$E$9&lt;&gt;"Y",$BE643=1)),1,0)</f>
        <v/>
      </c>
      <c r="AL643" s="39">
        <f>1</f>
        <v/>
      </c>
      <c r="AM643" s="20">
        <f>S643-P643</f>
        <v/>
      </c>
      <c r="AN643" s="20">
        <f>IF(AH643=1,MAX(0,P643-S643),0)</f>
        <v/>
      </c>
      <c r="AO643" s="21">
        <f>IFERROR(S643/P643,"")</f>
        <v/>
      </c>
      <c r="AP643" s="22">
        <f>IF(Y643="","",P643/Y643)</f>
        <v/>
      </c>
      <c r="AQ643" s="39">
        <f>IF(Y643="",0,1)</f>
        <v/>
      </c>
      <c r="AR643" s="39">
        <f>IF(S643&lt;=0,1,0)</f>
        <v/>
      </c>
      <c r="AS643" s="17">
        <f>IF(AH643=1,AG643,"")</f>
        <v/>
      </c>
      <c r="AT643" s="17">
        <f>IF(AND(AH643=0,AJ643=1),AG643,"")</f>
        <v/>
      </c>
      <c r="AU643" s="5">
        <f>IF(P643&lt;10000,"Under $10K",IF(P643&lt;20000,"$10-20K",IF(P643&lt;30000,"$20-30K",IF(P643&lt;50000,"$30-50K",IF(P643&lt;100000,"$50-100K","$100K+")))))</f>
        <v/>
      </c>
      <c r="AV643" s="5">
        <f>IF(O643&lt;=1.35,"1.35 and under",IF(O643&lt;=1.42,"1.36-1.42",IF(O643&lt;=1.45,"1.43-1.45",IF(O643&lt;1.49,"1.46-1.48",IF(O643&lt;=1.49,"1.49","Above 1.49")))))</f>
        <v/>
      </c>
      <c r="AW643" s="5">
        <f>IF(AE643="","",IF(AE643&lt;60,"Under 60",IF(AE643&lt;90,"60-89",IF(AE643&lt;120,"90-119",IF(AE643&lt;150,"120-149","150+")))))</f>
        <v/>
      </c>
      <c r="AX643" s="5">
        <f>IF(AP643="","No revenue data",IF(AP643&lt;0.15,"Under 0.15x",IF(AP643&lt;0.3,"0.15-0.30x",IF(AP643&lt;0.5,"0.30-0.50x",IF(AP643&lt;1,"0.50-1.00x","1.00x+")))))</f>
        <v/>
      </c>
      <c r="AY643" s="5">
        <f>IF(J643="","No SIC",IFERROR(VLOOKUP(J643,Ref!$A$4:$C$67,2,FALSE()),"Unclassified"))</f>
        <v/>
      </c>
      <c r="AZ643" s="5">
        <f>IF(E643="","",TEXT(E643,"YYYY")&amp;"-Q"&amp;ROUNDUP(MONTH(E643)/3,0))</f>
        <v/>
      </c>
      <c r="BA643" s="5">
        <f>IF(E643="","",TEXT(E643,"YYYY-MM"))</f>
        <v/>
      </c>
      <c r="BB643" s="5">
        <f>IF(E643="","",TEXT(E643,"YYYY"))</f>
        <v/>
      </c>
      <c r="BC643" s="92">
        <f>IF($E643="","",NETWORKDAYS($E643,Controls!$B$9,Ref!$F$4:$F$47))</f>
        <v/>
      </c>
      <c r="BD643" s="92">
        <f>IF(OR($AH643=1,$AJ643=1),1,0)</f>
        <v/>
      </c>
      <c r="BE643" s="95">
        <f>IF(OR($BD643=1,AND($AE643&lt;&gt;"",$BC643&gt;=Controls!$B$10*$AE643)),1,0)</f>
        <v/>
      </c>
    </row>
    <row r="644" ht="15.75" customHeight="1" s="79">
      <c r="A644" s="5" t="inlineStr">
        <is>
          <t>5674178840</t>
        </is>
      </c>
      <c r="B644" s="5" t="inlineStr">
        <is>
          <t>K&amp;JTowing,Inc</t>
        </is>
      </c>
      <c r="C644" s="5" t="inlineStr">
        <is>
          <t>K&amp;JTowing,Inc</t>
        </is>
      </c>
      <c r="D644" s="5" t="inlineStr">
        <is>
          <t>Closed</t>
        </is>
      </c>
      <c r="E644" s="16" t="n">
        <v>46073</v>
      </c>
      <c r="F644" s="16" t="n">
        <v>46136</v>
      </c>
      <c r="G644" s="17" t="n">
        <v>3</v>
      </c>
      <c r="H644" s="5" t="inlineStr">
        <is>
          <t>4492</t>
        </is>
      </c>
      <c r="I644" s="5" t="inlineStr">
        <is>
          <t>TOWING AND TUGBOAT SERVICE</t>
        </is>
      </c>
      <c r="J644" s="5" t="inlineStr">
        <is>
          <t>44</t>
        </is>
      </c>
      <c r="K644" s="5" t="n"/>
      <c r="L644" s="5" t="inlineStr">
        <is>
          <t>No state</t>
        </is>
      </c>
      <c r="M644" s="5" t="inlineStr">
        <is>
          <t>Atla Finance</t>
        </is>
      </c>
      <c r="N644" s="5" t="inlineStr">
        <is>
          <t>Renewal</t>
        </is>
      </c>
      <c r="O644" s="19" t="n">
        <v>1.32024</v>
      </c>
      <c r="P644" s="20" t="n">
        <v>25000</v>
      </c>
      <c r="Q644" s="20" t="n">
        <v>2125</v>
      </c>
      <c r="R644" s="20" t="n">
        <v>33006</v>
      </c>
      <c r="S644" s="20" t="n">
        <v>33006</v>
      </c>
      <c r="T644" s="20" t="n">
        <v>0</v>
      </c>
      <c r="U644" s="21" t="n">
        <v>1</v>
      </c>
      <c r="V644" s="22" t="n">
        <v>30</v>
      </c>
      <c r="W644" s="17" t="n">
        <v>117</v>
      </c>
      <c r="X644" s="17" t="n">
        <v>0</v>
      </c>
      <c r="Y644" s="20" t="n">
        <v>120000</v>
      </c>
      <c r="Z644" s="21" t="n">
        <v>0.1248</v>
      </c>
      <c r="AA644" s="16" t="n">
        <v>42644</v>
      </c>
      <c r="AB644" s="5">
        <f>IF(V644="","",IF(V644&lt;12,"Months","Weeks"))</f>
        <v/>
      </c>
      <c r="AC644" s="5">
        <f>IF(AB644="","",IF(AB644="Months","Daily","Weekly"))</f>
        <v/>
      </c>
      <c r="AD644" s="17">
        <f>IF(V644="","",IF(AC644="Daily",V644*Controls!$B$13,V644))</f>
        <v/>
      </c>
      <c r="AE644" s="17">
        <f>IF(V644="","",IF(AC644="Daily",V644*Controls!$B$13,V644*Controls!$B$12))</f>
        <v/>
      </c>
      <c r="AF644" s="17">
        <f>IF(OR(E644="",F644=""),"",F644-E644)</f>
        <v/>
      </c>
      <c r="AG644" s="17">
        <f>IF(OR(E644="",F644=""),"",NETWORKDAYS(E644,F644,Ref!$F$4:$F$47))</f>
        <v/>
      </c>
      <c r="AH644" s="39">
        <f>IF(IFERROR(VLOOKUP(D644,Controls!$A$25:$D$35,2,FALSE()),"No")="Yes",1,0)</f>
        <v/>
      </c>
      <c r="AI644" s="39">
        <f>IF(IFERROR(VLOOKUP(D644,Controls!$A$25:$D$35,3,FALSE()),"No")="Yes",1,0)</f>
        <v/>
      </c>
      <c r="AJ644" s="39">
        <f>IF(IFERROR(VLOOKUP(D644,Controls!$A$25:$D$35,4,FALSE()),"No")="Yes",1,0)</f>
        <v/>
      </c>
      <c r="AK644" s="96">
        <f>IF(AND($E644&gt;=Controls!$B$5,$E644&lt;=Controls!$B$6,OR(Controls!$E$9&lt;&gt;"Y",$BE644=1)),1,0)</f>
        <v/>
      </c>
      <c r="AL644" s="39">
        <f>1</f>
        <v/>
      </c>
      <c r="AM644" s="20">
        <f>S644-P644</f>
        <v/>
      </c>
      <c r="AN644" s="20">
        <f>IF(AH644=1,MAX(0,P644-S644),0)</f>
        <v/>
      </c>
      <c r="AO644" s="21">
        <f>IFERROR(S644/P644,"")</f>
        <v/>
      </c>
      <c r="AP644" s="22">
        <f>IF(Y644="","",P644/Y644)</f>
        <v/>
      </c>
      <c r="AQ644" s="39">
        <f>IF(Y644="",0,1)</f>
        <v/>
      </c>
      <c r="AR644" s="39">
        <f>IF(S644&lt;=0,1,0)</f>
        <v/>
      </c>
      <c r="AS644" s="17">
        <f>IF(AH644=1,AG644,"")</f>
        <v/>
      </c>
      <c r="AT644" s="17">
        <f>IF(AND(AH644=0,AJ644=1),AG644,"")</f>
        <v/>
      </c>
      <c r="AU644" s="5">
        <f>IF(P644&lt;10000,"Under $10K",IF(P644&lt;20000,"$10-20K",IF(P644&lt;30000,"$20-30K",IF(P644&lt;50000,"$30-50K",IF(P644&lt;100000,"$50-100K","$100K+")))))</f>
        <v/>
      </c>
      <c r="AV644" s="5">
        <f>IF(O644&lt;=1.35,"1.35 and under",IF(O644&lt;=1.42,"1.36-1.42",IF(O644&lt;=1.45,"1.43-1.45",IF(O644&lt;1.49,"1.46-1.48",IF(O644&lt;=1.49,"1.49","Above 1.49")))))</f>
        <v/>
      </c>
      <c r="AW644" s="5">
        <f>IF(AE644="","",IF(AE644&lt;60,"Under 60",IF(AE644&lt;90,"60-89",IF(AE644&lt;120,"90-119",IF(AE644&lt;150,"120-149","150+")))))</f>
        <v/>
      </c>
      <c r="AX644" s="5">
        <f>IF(AP644="","No revenue data",IF(AP644&lt;0.15,"Under 0.15x",IF(AP644&lt;0.3,"0.15-0.30x",IF(AP644&lt;0.5,"0.30-0.50x",IF(AP644&lt;1,"0.50-1.00x","1.00x+")))))</f>
        <v/>
      </c>
      <c r="AY644" s="5">
        <f>IF(J644="","No SIC",IFERROR(VLOOKUP(J644,Ref!$A$4:$C$67,2,FALSE()),"Unclassified"))</f>
        <v/>
      </c>
      <c r="AZ644" s="5">
        <f>IF(E644="","",TEXT(E644,"YYYY")&amp;"-Q"&amp;ROUNDUP(MONTH(E644)/3,0))</f>
        <v/>
      </c>
      <c r="BA644" s="5">
        <f>IF(E644="","",TEXT(E644,"YYYY-MM"))</f>
        <v/>
      </c>
      <c r="BB644" s="5">
        <f>IF(E644="","",TEXT(E644,"YYYY"))</f>
        <v/>
      </c>
      <c r="BC644" s="92">
        <f>IF($E644="","",NETWORKDAYS($E644,Controls!$B$9,Ref!$F$4:$F$47))</f>
        <v/>
      </c>
      <c r="BD644" s="92">
        <f>IF(OR($AH644=1,$AJ644=1),1,0)</f>
        <v/>
      </c>
      <c r="BE644" s="95">
        <f>IF(OR($BD644=1,AND($AE644&lt;&gt;"",$BC644&gt;=Controls!$B$10*$AE644)),1,0)</f>
        <v/>
      </c>
    </row>
    <row r="645" ht="15.75" customHeight="1" s="79">
      <c r="A645" s="5" t="inlineStr">
        <is>
          <t>5674178857</t>
        </is>
      </c>
      <c r="B645" s="5" t="inlineStr">
        <is>
          <t>AMINO PHARM LLC</t>
        </is>
      </c>
      <c r="C645" s="5" t="inlineStr">
        <is>
          <t>AMINO PHARM LLC</t>
        </is>
      </c>
      <c r="D645" s="5" t="inlineStr">
        <is>
          <t>Closed</t>
        </is>
      </c>
      <c r="E645" s="16" t="n">
        <v>46073</v>
      </c>
      <c r="F645" s="16" t="n">
        <v>46213</v>
      </c>
      <c r="G645" s="17" t="n">
        <v>3</v>
      </c>
      <c r="H645" s="5" t="inlineStr">
        <is>
          <t>2834</t>
        </is>
      </c>
      <c r="I645" s="5" t="inlineStr">
        <is>
          <t>Pharmaceutical Preparation Mfg.</t>
        </is>
      </c>
      <c r="J645" s="5" t="inlineStr">
        <is>
          <t>28</t>
        </is>
      </c>
      <c r="K645" s="5" t="n">
        <v>5912</v>
      </c>
      <c r="L645" s="5" t="inlineStr">
        <is>
          <t>UT</t>
        </is>
      </c>
      <c r="M645" s="5" t="inlineStr">
        <is>
          <t>Ballicci</t>
        </is>
      </c>
      <c r="N645" s="5" t="inlineStr">
        <is>
          <t>New Deal</t>
        </is>
      </c>
      <c r="O645" s="19" t="n">
        <v>1.41</v>
      </c>
      <c r="P645" s="20" t="n">
        <v>20000</v>
      </c>
      <c r="Q645" s="20" t="n">
        <v>2000</v>
      </c>
      <c r="R645" s="20" t="n">
        <v>28200</v>
      </c>
      <c r="S645" s="20" t="n">
        <v>28200</v>
      </c>
      <c r="T645" s="20" t="n">
        <v>0</v>
      </c>
      <c r="U645" s="21" t="n">
        <v>1</v>
      </c>
      <c r="V645" s="22" t="n">
        <v>20</v>
      </c>
      <c r="W645" s="17" t="n">
        <v>40</v>
      </c>
      <c r="X645" s="17" t="n">
        <v>0</v>
      </c>
      <c r="Y645" s="20" t="n">
        <v>32069.05</v>
      </c>
      <c r="Z645" s="21" t="n">
        <v>0.1759</v>
      </c>
      <c r="AA645" s="16" t="n">
        <v>45728</v>
      </c>
      <c r="AB645" s="5">
        <f>IF(V645="","",IF(V645&lt;12,"Months","Weeks"))</f>
        <v/>
      </c>
      <c r="AC645" s="5">
        <f>IF(AB645="","",IF(AB645="Months","Daily","Weekly"))</f>
        <v/>
      </c>
      <c r="AD645" s="17">
        <f>IF(V645="","",IF(AC645="Daily",V645*Controls!$B$13,V645))</f>
        <v/>
      </c>
      <c r="AE645" s="17">
        <f>IF(V645="","",IF(AC645="Daily",V645*Controls!$B$13,V645*Controls!$B$12))</f>
        <v/>
      </c>
      <c r="AF645" s="17">
        <f>IF(OR(E645="",F645=""),"",F645-E645)</f>
        <v/>
      </c>
      <c r="AG645" s="17">
        <f>IF(OR(E645="",F645=""),"",NETWORKDAYS(E645,F645,Ref!$F$4:$F$47))</f>
        <v/>
      </c>
      <c r="AH645" s="39">
        <f>IF(IFERROR(VLOOKUP(D645,Controls!$A$25:$D$35,2,FALSE()),"No")="Yes",1,0)</f>
        <v/>
      </c>
      <c r="AI645" s="39">
        <f>IF(IFERROR(VLOOKUP(D645,Controls!$A$25:$D$35,3,FALSE()),"No")="Yes",1,0)</f>
        <v/>
      </c>
      <c r="AJ645" s="39">
        <f>IF(IFERROR(VLOOKUP(D645,Controls!$A$25:$D$35,4,FALSE()),"No")="Yes",1,0)</f>
        <v/>
      </c>
      <c r="AK645" s="96">
        <f>IF(AND($E645&gt;=Controls!$B$5,$E645&lt;=Controls!$B$6,OR(Controls!$E$9&lt;&gt;"Y",$BE645=1)),1,0)</f>
        <v/>
      </c>
      <c r="AL645" s="39">
        <f>1</f>
        <v/>
      </c>
      <c r="AM645" s="20">
        <f>S645-P645</f>
        <v/>
      </c>
      <c r="AN645" s="20">
        <f>IF(AH645=1,MAX(0,P645-S645),0)</f>
        <v/>
      </c>
      <c r="AO645" s="21">
        <f>IFERROR(S645/P645,"")</f>
        <v/>
      </c>
      <c r="AP645" s="22">
        <f>IF(Y645="","",P645/Y645)</f>
        <v/>
      </c>
      <c r="AQ645" s="39">
        <f>IF(Y645="",0,1)</f>
        <v/>
      </c>
      <c r="AR645" s="39">
        <f>IF(S645&lt;=0,1,0)</f>
        <v/>
      </c>
      <c r="AS645" s="17">
        <f>IF(AH645=1,AG645,"")</f>
        <v/>
      </c>
      <c r="AT645" s="17">
        <f>IF(AND(AH645=0,AJ645=1),AG645,"")</f>
        <v/>
      </c>
      <c r="AU645" s="5">
        <f>IF(P645&lt;10000,"Under $10K",IF(P645&lt;20000,"$10-20K",IF(P645&lt;30000,"$20-30K",IF(P645&lt;50000,"$30-50K",IF(P645&lt;100000,"$50-100K","$100K+")))))</f>
        <v/>
      </c>
      <c r="AV645" s="5">
        <f>IF(O645&lt;=1.35,"1.35 and under",IF(O645&lt;=1.42,"1.36-1.42",IF(O645&lt;=1.45,"1.43-1.45",IF(O645&lt;1.49,"1.46-1.48",IF(O645&lt;=1.49,"1.49","Above 1.49")))))</f>
        <v/>
      </c>
      <c r="AW645" s="5">
        <f>IF(AE645="","",IF(AE645&lt;60,"Under 60",IF(AE645&lt;90,"60-89",IF(AE645&lt;120,"90-119",IF(AE645&lt;150,"120-149","150+")))))</f>
        <v/>
      </c>
      <c r="AX645" s="5">
        <f>IF(AP645="","No revenue data",IF(AP645&lt;0.15,"Under 0.15x",IF(AP645&lt;0.3,"0.15-0.30x",IF(AP645&lt;0.5,"0.30-0.50x",IF(AP645&lt;1,"0.50-1.00x","1.00x+")))))</f>
        <v/>
      </c>
      <c r="AY645" s="5">
        <f>IF(J645="","No SIC",IFERROR(VLOOKUP(J645,Ref!$A$4:$C$67,2,FALSE()),"Unclassified"))</f>
        <v/>
      </c>
      <c r="AZ645" s="5">
        <f>IF(E645="","",TEXT(E645,"YYYY")&amp;"-Q"&amp;ROUNDUP(MONTH(E645)/3,0))</f>
        <v/>
      </c>
      <c r="BA645" s="5">
        <f>IF(E645="","",TEXT(E645,"YYYY-MM"))</f>
        <v/>
      </c>
      <c r="BB645" s="5">
        <f>IF(E645="","",TEXT(E645,"YYYY"))</f>
        <v/>
      </c>
      <c r="BC645" s="92">
        <f>IF($E645="","",NETWORKDAYS($E645,Controls!$B$9,Ref!$F$4:$F$47))</f>
        <v/>
      </c>
      <c r="BD645" s="92">
        <f>IF(OR($AH645=1,$AJ645=1),1,0)</f>
        <v/>
      </c>
      <c r="BE645" s="95">
        <f>IF(OR($BD645=1,AND($AE645&lt;&gt;"",$BC645&gt;=Controls!$B$10*$AE645)),1,0)</f>
        <v/>
      </c>
    </row>
    <row r="646" ht="15.75" customHeight="1" s="79">
      <c r="A646" s="5" t="inlineStr">
        <is>
          <t>5674178874</t>
        </is>
      </c>
      <c r="B646" s="5" t="inlineStr">
        <is>
          <t>Precision Home Builders</t>
        </is>
      </c>
      <c r="C646" s="5" t="inlineStr">
        <is>
          <t>PHB LLC</t>
        </is>
      </c>
      <c r="D646" s="5" t="inlineStr">
        <is>
          <t>Open</t>
        </is>
      </c>
      <c r="E646" s="16" t="n">
        <v>46073</v>
      </c>
      <c r="F646" s="16" t="n">
        <v>46248</v>
      </c>
      <c r="G646" s="17" t="n">
        <v>3</v>
      </c>
      <c r="H646" s="5" t="inlineStr">
        <is>
          <t>1521</t>
        </is>
      </c>
      <c r="I646" s="5" t="inlineStr">
        <is>
          <t>Residential Remodelers</t>
        </is>
      </c>
      <c r="J646" s="5" t="inlineStr">
        <is>
          <t>15</t>
        </is>
      </c>
      <c r="K646" s="5" t="n">
        <v>1799</v>
      </c>
      <c r="L646" s="5" t="inlineStr">
        <is>
          <t>CO</t>
        </is>
      </c>
      <c r="M646" s="5" t="inlineStr">
        <is>
          <t>Westwood</t>
        </is>
      </c>
      <c r="N646" s="5" t="inlineStr">
        <is>
          <t>New Deal</t>
        </is>
      </c>
      <c r="O646" s="19" t="n">
        <v>1.49</v>
      </c>
      <c r="P646" s="20" t="n">
        <v>18000</v>
      </c>
      <c r="Q646" s="20" t="n">
        <v>2520</v>
      </c>
      <c r="R646" s="20" t="n">
        <v>26820</v>
      </c>
      <c r="S646" s="20" t="n">
        <v>26820</v>
      </c>
      <c r="T646" s="20" t="n">
        <v>0</v>
      </c>
      <c r="U646" s="21" t="n">
        <v>1</v>
      </c>
      <c r="V646" s="22" t="n">
        <v>24</v>
      </c>
      <c r="W646" s="17" t="n">
        <v>5</v>
      </c>
      <c r="X646" s="17" t="n">
        <v>0</v>
      </c>
      <c r="Y646" s="20" t="n">
        <v>51085.47</v>
      </c>
      <c r="Z646" s="21" t="n">
        <v>0.08749999999999999</v>
      </c>
      <c r="AA646" s="16" t="n">
        <v>44567</v>
      </c>
      <c r="AB646" s="5">
        <f>IF(V646="","",IF(V646&lt;12,"Months","Weeks"))</f>
        <v/>
      </c>
      <c r="AC646" s="5">
        <f>IF(AB646="","",IF(AB646="Months","Daily","Weekly"))</f>
        <v/>
      </c>
      <c r="AD646" s="17">
        <f>IF(V646="","",IF(AC646="Daily",V646*Controls!$B$13,V646))</f>
        <v/>
      </c>
      <c r="AE646" s="17">
        <f>IF(V646="","",IF(AC646="Daily",V646*Controls!$B$13,V646*Controls!$B$12))</f>
        <v/>
      </c>
      <c r="AF646" s="17">
        <f>IF(OR(E646="",F646=""),"",F646-E646)</f>
        <v/>
      </c>
      <c r="AG646" s="17">
        <f>IF(OR(E646="",F646=""),"",NETWORKDAYS(E646,F646,Ref!$F$4:$F$47))</f>
        <v/>
      </c>
      <c r="AH646" s="39">
        <f>IF(IFERROR(VLOOKUP(D646,Controls!$A$25:$D$35,2,FALSE()),"No")="Yes",1,0)</f>
        <v/>
      </c>
      <c r="AI646" s="39">
        <f>IF(IFERROR(VLOOKUP(D646,Controls!$A$25:$D$35,3,FALSE()),"No")="Yes",1,0)</f>
        <v/>
      </c>
      <c r="AJ646" s="39">
        <f>IF(IFERROR(VLOOKUP(D646,Controls!$A$25:$D$35,4,FALSE()),"No")="Yes",1,0)</f>
        <v/>
      </c>
      <c r="AK646" s="96">
        <f>IF(AND($E646&gt;=Controls!$B$5,$E646&lt;=Controls!$B$6,OR(Controls!$E$9&lt;&gt;"Y",$BE646=1)),1,0)</f>
        <v/>
      </c>
      <c r="AL646" s="39">
        <f>1</f>
        <v/>
      </c>
      <c r="AM646" s="20">
        <f>S646-P646</f>
        <v/>
      </c>
      <c r="AN646" s="20">
        <f>IF(AH646=1,MAX(0,P646-S646),0)</f>
        <v/>
      </c>
      <c r="AO646" s="21">
        <f>IFERROR(S646/P646,"")</f>
        <v/>
      </c>
      <c r="AP646" s="22">
        <f>IF(Y646="","",P646/Y646)</f>
        <v/>
      </c>
      <c r="AQ646" s="39">
        <f>IF(Y646="",0,1)</f>
        <v/>
      </c>
      <c r="AR646" s="39">
        <f>IF(S646&lt;=0,1,0)</f>
        <v/>
      </c>
      <c r="AS646" s="17">
        <f>IF(AH646=1,AG646,"")</f>
        <v/>
      </c>
      <c r="AT646" s="17">
        <f>IF(AND(AH646=0,AJ646=1),AG646,"")</f>
        <v/>
      </c>
      <c r="AU646" s="5">
        <f>IF(P646&lt;10000,"Under $10K",IF(P646&lt;20000,"$10-20K",IF(P646&lt;30000,"$20-30K",IF(P646&lt;50000,"$30-50K",IF(P646&lt;100000,"$50-100K","$100K+")))))</f>
        <v/>
      </c>
      <c r="AV646" s="5">
        <f>IF(O646&lt;=1.35,"1.35 and under",IF(O646&lt;=1.42,"1.36-1.42",IF(O646&lt;=1.45,"1.43-1.45",IF(O646&lt;1.49,"1.46-1.48",IF(O646&lt;=1.49,"1.49","Above 1.49")))))</f>
        <v/>
      </c>
      <c r="AW646" s="5">
        <f>IF(AE646="","",IF(AE646&lt;60,"Under 60",IF(AE646&lt;90,"60-89",IF(AE646&lt;120,"90-119",IF(AE646&lt;150,"120-149","150+")))))</f>
        <v/>
      </c>
      <c r="AX646" s="5">
        <f>IF(AP646="","No revenue data",IF(AP646&lt;0.15,"Under 0.15x",IF(AP646&lt;0.3,"0.15-0.30x",IF(AP646&lt;0.5,"0.30-0.50x",IF(AP646&lt;1,"0.50-1.00x","1.00x+")))))</f>
        <v/>
      </c>
      <c r="AY646" s="5">
        <f>IF(J646="","No SIC",IFERROR(VLOOKUP(J646,Ref!$A$4:$C$67,2,FALSE()),"Unclassified"))</f>
        <v/>
      </c>
      <c r="AZ646" s="5">
        <f>IF(E646="","",TEXT(E646,"YYYY")&amp;"-Q"&amp;ROUNDUP(MONTH(E646)/3,0))</f>
        <v/>
      </c>
      <c r="BA646" s="5">
        <f>IF(E646="","",TEXT(E646,"YYYY-MM"))</f>
        <v/>
      </c>
      <c r="BB646" s="5">
        <f>IF(E646="","",TEXT(E646,"YYYY"))</f>
        <v/>
      </c>
      <c r="BC646" s="92">
        <f>IF($E646="","",NETWORKDAYS($E646,Controls!$B$9,Ref!$F$4:$F$47))</f>
        <v/>
      </c>
      <c r="BD646" s="92">
        <f>IF(OR($AH646=1,$AJ646=1),1,0)</f>
        <v/>
      </c>
      <c r="BE646" s="95">
        <f>IF(OR($BD646=1,AND($AE646&lt;&gt;"",$BC646&gt;=Controls!$B$10*$AE646)),1,0)</f>
        <v/>
      </c>
    </row>
    <row r="647" ht="15.75" customHeight="1" s="79">
      <c r="A647" s="5" t="inlineStr">
        <is>
          <t>5674178880</t>
        </is>
      </c>
      <c r="B647" s="5" t="inlineStr">
        <is>
          <t>REDELIFT EQUIPMENT LIMITED LTD</t>
        </is>
      </c>
      <c r="C647" s="5" t="inlineStr">
        <is>
          <t>REDELIFT EQUIPMENT LIMITED LTD</t>
        </is>
      </c>
      <c r="D647" s="5" t="inlineStr">
        <is>
          <t>Open</t>
        </is>
      </c>
      <c r="E647" s="16" t="n">
        <v>46073</v>
      </c>
      <c r="F647" s="16" t="n">
        <v>46253</v>
      </c>
      <c r="G647" s="17" t="n">
        <v>3</v>
      </c>
      <c r="H647" s="5" t="inlineStr">
        <is>
          <t>1521</t>
        </is>
      </c>
      <c r="I647" s="5" t="inlineStr">
        <is>
          <t>Residential Remodelers</t>
        </is>
      </c>
      <c r="J647" s="5" t="inlineStr">
        <is>
          <t>15</t>
        </is>
      </c>
      <c r="K647" s="5" t="n">
        <v>1520</v>
      </c>
      <c r="L647" s="5" t="inlineStr">
        <is>
          <t>TX</t>
        </is>
      </c>
      <c r="M647" s="5" t="inlineStr">
        <is>
          <t>level 3 funding</t>
        </is>
      </c>
      <c r="N647" s="5" t="inlineStr">
        <is>
          <t>Renewal</t>
        </is>
      </c>
      <c r="O647" s="19" t="n">
        <v>1.49</v>
      </c>
      <c r="P647" s="20" t="n">
        <v>7500</v>
      </c>
      <c r="Q647" s="20" t="n">
        <v>1050</v>
      </c>
      <c r="R647" s="20" t="n">
        <v>11175</v>
      </c>
      <c r="S647" s="20" t="n">
        <v>8131.17</v>
      </c>
      <c r="T647" s="20" t="n">
        <v>3043.83</v>
      </c>
      <c r="U647" s="21" t="n">
        <v>0.727621476510067</v>
      </c>
      <c r="V647" s="22" t="n">
        <v>2.951</v>
      </c>
      <c r="W647" s="17" t="n">
        <v>0</v>
      </c>
      <c r="X647" s="17" t="n">
        <v>29</v>
      </c>
      <c r="Y647" s="20" t="n">
        <v>24710.48</v>
      </c>
      <c r="Z647" s="21" t="n">
        <v>0.1055</v>
      </c>
      <c r="AA647" s="16" t="n">
        <v>45289</v>
      </c>
      <c r="AB647" s="5">
        <f>IF(V647="","",IF(V647&lt;12,"Months","Weeks"))</f>
        <v/>
      </c>
      <c r="AC647" s="5">
        <f>IF(AB647="","",IF(AB647="Months","Daily","Weekly"))</f>
        <v/>
      </c>
      <c r="AD647" s="17">
        <f>IF(V647="","",IF(AC647="Daily",V647*Controls!$B$13,V647))</f>
        <v/>
      </c>
      <c r="AE647" s="17">
        <f>IF(V647="","",IF(AC647="Daily",V647*Controls!$B$13,V647*Controls!$B$12))</f>
        <v/>
      </c>
      <c r="AF647" s="17">
        <f>IF(OR(E647="",F647=""),"",F647-E647)</f>
        <v/>
      </c>
      <c r="AG647" s="17">
        <f>IF(OR(E647="",F647=""),"",NETWORKDAYS(E647,F647,Ref!$F$4:$F$47))</f>
        <v/>
      </c>
      <c r="AH647" s="39">
        <f>IF(IFERROR(VLOOKUP(D647,Controls!$A$25:$D$35,2,FALSE()),"No")="Yes",1,0)</f>
        <v/>
      </c>
      <c r="AI647" s="39">
        <f>IF(IFERROR(VLOOKUP(D647,Controls!$A$25:$D$35,3,FALSE()),"No")="Yes",1,0)</f>
        <v/>
      </c>
      <c r="AJ647" s="39">
        <f>IF(IFERROR(VLOOKUP(D647,Controls!$A$25:$D$35,4,FALSE()),"No")="Yes",1,0)</f>
        <v/>
      </c>
      <c r="AK647" s="96">
        <f>IF(AND($E647&gt;=Controls!$B$5,$E647&lt;=Controls!$B$6,OR(Controls!$E$9&lt;&gt;"Y",$BE647=1)),1,0)</f>
        <v/>
      </c>
      <c r="AL647" s="39">
        <f>1</f>
        <v/>
      </c>
      <c r="AM647" s="20">
        <f>S647-P647</f>
        <v/>
      </c>
      <c r="AN647" s="20">
        <f>IF(AH647=1,MAX(0,P647-S647),0)</f>
        <v/>
      </c>
      <c r="AO647" s="21">
        <f>IFERROR(S647/P647,"")</f>
        <v/>
      </c>
      <c r="AP647" s="22">
        <f>IF(Y647="","",P647/Y647)</f>
        <v/>
      </c>
      <c r="AQ647" s="39">
        <f>IF(Y647="",0,1)</f>
        <v/>
      </c>
      <c r="AR647" s="39">
        <f>IF(S647&lt;=0,1,0)</f>
        <v/>
      </c>
      <c r="AS647" s="17">
        <f>IF(AH647=1,AG647,"")</f>
        <v/>
      </c>
      <c r="AT647" s="17">
        <f>IF(AND(AH647=0,AJ647=1),AG647,"")</f>
        <v/>
      </c>
      <c r="AU647" s="5">
        <f>IF(P647&lt;10000,"Under $10K",IF(P647&lt;20000,"$10-20K",IF(P647&lt;30000,"$20-30K",IF(P647&lt;50000,"$30-50K",IF(P647&lt;100000,"$50-100K","$100K+")))))</f>
        <v/>
      </c>
      <c r="AV647" s="5">
        <f>IF(O647&lt;=1.35,"1.35 and under",IF(O647&lt;=1.42,"1.36-1.42",IF(O647&lt;=1.45,"1.43-1.45",IF(O647&lt;1.49,"1.46-1.48",IF(O647&lt;=1.49,"1.49","Above 1.49")))))</f>
        <v/>
      </c>
      <c r="AW647" s="5">
        <f>IF(AE647="","",IF(AE647&lt;60,"Under 60",IF(AE647&lt;90,"60-89",IF(AE647&lt;120,"90-119",IF(AE647&lt;150,"120-149","150+")))))</f>
        <v/>
      </c>
      <c r="AX647" s="5">
        <f>IF(AP647="","No revenue data",IF(AP647&lt;0.15,"Under 0.15x",IF(AP647&lt;0.3,"0.15-0.30x",IF(AP647&lt;0.5,"0.30-0.50x",IF(AP647&lt;1,"0.50-1.00x","1.00x+")))))</f>
        <v/>
      </c>
      <c r="AY647" s="5">
        <f>IF(J647="","No SIC",IFERROR(VLOOKUP(J647,Ref!$A$4:$C$67,2,FALSE()),"Unclassified"))</f>
        <v/>
      </c>
      <c r="AZ647" s="5">
        <f>IF(E647="","",TEXT(E647,"YYYY")&amp;"-Q"&amp;ROUNDUP(MONTH(E647)/3,0))</f>
        <v/>
      </c>
      <c r="BA647" s="5">
        <f>IF(E647="","",TEXT(E647,"YYYY-MM"))</f>
        <v/>
      </c>
      <c r="BB647" s="5">
        <f>IF(E647="","",TEXT(E647,"YYYY"))</f>
        <v/>
      </c>
      <c r="BC647" s="92">
        <f>IF($E647="","",NETWORKDAYS($E647,Controls!$B$9,Ref!$F$4:$F$47))</f>
        <v/>
      </c>
      <c r="BD647" s="92">
        <f>IF(OR($AH647=1,$AJ647=1),1,0)</f>
        <v/>
      </c>
      <c r="BE647" s="95">
        <f>IF(OR($BD647=1,AND($AE647&lt;&gt;"",$BC647&gt;=Controls!$B$10*$AE647)),1,0)</f>
        <v/>
      </c>
    </row>
    <row r="648" ht="15.75" customHeight="1" s="79">
      <c r="A648" s="5" t="inlineStr">
        <is>
          <t>5674178899</t>
        </is>
      </c>
      <c r="B648" s="5" t="inlineStr">
        <is>
          <t>DLW Remodeling</t>
        </is>
      </c>
      <c r="C648" s="5" t="inlineStr">
        <is>
          <t>DL Woolfolk Group LLC</t>
        </is>
      </c>
      <c r="D648" s="5" t="inlineStr">
        <is>
          <t>Lowered Payments</t>
        </is>
      </c>
      <c r="E648" s="16" t="n">
        <v>46073</v>
      </c>
      <c r="F648" s="16" t="n">
        <v>46248</v>
      </c>
      <c r="G648" s="17" t="n">
        <v>3</v>
      </c>
      <c r="H648" s="5" t="inlineStr">
        <is>
          <t>1521</t>
        </is>
      </c>
      <c r="I648" s="5" t="inlineStr">
        <is>
          <t>Residential Remodelers</t>
        </is>
      </c>
      <c r="J648" s="5" t="inlineStr">
        <is>
          <t>15</t>
        </is>
      </c>
      <c r="K648" s="5" t="n">
        <v>1520</v>
      </c>
      <c r="L648" s="5" t="inlineStr">
        <is>
          <t>CO</t>
        </is>
      </c>
      <c r="M648" s="5" t="inlineStr">
        <is>
          <t>Ballicci</t>
        </is>
      </c>
      <c r="N648" s="5" t="inlineStr">
        <is>
          <t>New Deal</t>
        </is>
      </c>
      <c r="O648" s="19" t="n">
        <v>1.49</v>
      </c>
      <c r="P648" s="20" t="n">
        <v>15000</v>
      </c>
      <c r="Q648" s="20" t="n">
        <v>2100</v>
      </c>
      <c r="R648" s="20" t="n">
        <v>22350</v>
      </c>
      <c r="S648" s="20" t="n">
        <v>8155.05</v>
      </c>
      <c r="T648" s="20" t="n">
        <v>14194.95</v>
      </c>
      <c r="U648" s="21" t="n">
        <v>0.364879194630873</v>
      </c>
      <c r="V648" s="22" t="n">
        <v>3.279</v>
      </c>
      <c r="W648" s="17" t="n">
        <v>5</v>
      </c>
      <c r="X648" s="17" t="n">
        <v>17</v>
      </c>
      <c r="Y648" s="20" t="n">
        <v>90501.10000000001</v>
      </c>
      <c r="Z648" s="21" t="n">
        <v>0.0519</v>
      </c>
      <c r="AA648" s="16" t="n">
        <v>45057</v>
      </c>
      <c r="AB648" s="5">
        <f>IF(V648="","",IF(V648&lt;12,"Months","Weeks"))</f>
        <v/>
      </c>
      <c r="AC648" s="5">
        <f>IF(AB648="","",IF(AB648="Months","Daily","Weekly"))</f>
        <v/>
      </c>
      <c r="AD648" s="17">
        <f>IF(V648="","",IF(AC648="Daily",V648*Controls!$B$13,V648))</f>
        <v/>
      </c>
      <c r="AE648" s="17">
        <f>IF(V648="","",IF(AC648="Daily",V648*Controls!$B$13,V648*Controls!$B$12))</f>
        <v/>
      </c>
      <c r="AF648" s="17">
        <f>IF(OR(E648="",F648=""),"",F648-E648)</f>
        <v/>
      </c>
      <c r="AG648" s="17">
        <f>IF(OR(E648="",F648=""),"",NETWORKDAYS(E648,F648,Ref!$F$4:$F$47))</f>
        <v/>
      </c>
      <c r="AH648" s="39">
        <f>IF(IFERROR(VLOOKUP(D648,Controls!$A$25:$D$35,2,FALSE()),"No")="Yes",1,0)</f>
        <v/>
      </c>
      <c r="AI648" s="39">
        <f>IF(IFERROR(VLOOKUP(D648,Controls!$A$25:$D$35,3,FALSE()),"No")="Yes",1,0)</f>
        <v/>
      </c>
      <c r="AJ648" s="39">
        <f>IF(IFERROR(VLOOKUP(D648,Controls!$A$25:$D$35,4,FALSE()),"No")="Yes",1,0)</f>
        <v/>
      </c>
      <c r="AK648" s="96">
        <f>IF(AND($E648&gt;=Controls!$B$5,$E648&lt;=Controls!$B$6,OR(Controls!$E$9&lt;&gt;"Y",$BE648=1)),1,0)</f>
        <v/>
      </c>
      <c r="AL648" s="39">
        <f>1</f>
        <v/>
      </c>
      <c r="AM648" s="20">
        <f>S648-P648</f>
        <v/>
      </c>
      <c r="AN648" s="20">
        <f>IF(AH648=1,MAX(0,P648-S648),0)</f>
        <v/>
      </c>
      <c r="AO648" s="21">
        <f>IFERROR(S648/P648,"")</f>
        <v/>
      </c>
      <c r="AP648" s="22">
        <f>IF(Y648="","",P648/Y648)</f>
        <v/>
      </c>
      <c r="AQ648" s="39">
        <f>IF(Y648="",0,1)</f>
        <v/>
      </c>
      <c r="AR648" s="39">
        <f>IF(S648&lt;=0,1,0)</f>
        <v/>
      </c>
      <c r="AS648" s="17">
        <f>IF(AH648=1,AG648,"")</f>
        <v/>
      </c>
      <c r="AT648" s="17">
        <f>IF(AND(AH648=0,AJ648=1),AG648,"")</f>
        <v/>
      </c>
      <c r="AU648" s="5">
        <f>IF(P648&lt;10000,"Under $10K",IF(P648&lt;20000,"$10-20K",IF(P648&lt;30000,"$20-30K",IF(P648&lt;50000,"$30-50K",IF(P648&lt;100000,"$50-100K","$100K+")))))</f>
        <v/>
      </c>
      <c r="AV648" s="5">
        <f>IF(O648&lt;=1.35,"1.35 and under",IF(O648&lt;=1.42,"1.36-1.42",IF(O648&lt;=1.45,"1.43-1.45",IF(O648&lt;1.49,"1.46-1.48",IF(O648&lt;=1.49,"1.49","Above 1.49")))))</f>
        <v/>
      </c>
      <c r="AW648" s="5">
        <f>IF(AE648="","",IF(AE648&lt;60,"Under 60",IF(AE648&lt;90,"60-89",IF(AE648&lt;120,"90-119",IF(AE648&lt;150,"120-149","150+")))))</f>
        <v/>
      </c>
      <c r="AX648" s="5">
        <f>IF(AP648="","No revenue data",IF(AP648&lt;0.15,"Under 0.15x",IF(AP648&lt;0.3,"0.15-0.30x",IF(AP648&lt;0.5,"0.30-0.50x",IF(AP648&lt;1,"0.50-1.00x","1.00x+")))))</f>
        <v/>
      </c>
      <c r="AY648" s="5">
        <f>IF(J648="","No SIC",IFERROR(VLOOKUP(J648,Ref!$A$4:$C$67,2,FALSE()),"Unclassified"))</f>
        <v/>
      </c>
      <c r="AZ648" s="5">
        <f>IF(E648="","",TEXT(E648,"YYYY")&amp;"-Q"&amp;ROUNDUP(MONTH(E648)/3,0))</f>
        <v/>
      </c>
      <c r="BA648" s="5">
        <f>IF(E648="","",TEXT(E648,"YYYY-MM"))</f>
        <v/>
      </c>
      <c r="BB648" s="5">
        <f>IF(E648="","",TEXT(E648,"YYYY"))</f>
        <v/>
      </c>
      <c r="BC648" s="92">
        <f>IF($E648="","",NETWORKDAYS($E648,Controls!$B$9,Ref!$F$4:$F$47))</f>
        <v/>
      </c>
      <c r="BD648" s="92">
        <f>IF(OR($AH648=1,$AJ648=1),1,0)</f>
        <v/>
      </c>
      <c r="BE648" s="95">
        <f>IF(OR($BD648=1,AND($AE648&lt;&gt;"",$BC648&gt;=Controls!$B$10*$AE648)),1,0)</f>
        <v/>
      </c>
    </row>
    <row r="649" ht="15.75" customHeight="1" s="79">
      <c r="A649" s="5" t="inlineStr">
        <is>
          <t>5674178958</t>
        </is>
      </c>
      <c r="B649" s="5" t="inlineStr">
        <is>
          <t>C&amp;G Services Systems LLC</t>
        </is>
      </c>
      <c r="C649" s="5" t="inlineStr">
        <is>
          <t>C&amp;G Services Systems LLC</t>
        </is>
      </c>
      <c r="D649" s="5" t="inlineStr">
        <is>
          <t>Open</t>
        </is>
      </c>
      <c r="E649" s="16" t="n">
        <v>46076</v>
      </c>
      <c r="F649" s="16" t="n">
        <v>46241</v>
      </c>
      <c r="G649" s="17" t="n">
        <v>3</v>
      </c>
      <c r="H649" s="5" t="inlineStr">
        <is>
          <t>4213</t>
        </is>
      </c>
      <c r="I649" s="5" t="inlineStr">
        <is>
          <t>Specialized Freight (Except Used Goods) Trucking, Long Distance</t>
        </is>
      </c>
      <c r="J649" s="5" t="inlineStr">
        <is>
          <t>42</t>
        </is>
      </c>
      <c r="K649" s="5" t="n">
        <v>4789</v>
      </c>
      <c r="L649" s="5" t="inlineStr">
        <is>
          <t>FL</t>
        </is>
      </c>
      <c r="M649" s="5" t="inlineStr">
        <is>
          <t>Fundwell</t>
        </is>
      </c>
      <c r="N649" s="5" t="inlineStr">
        <is>
          <t>Renewal</t>
        </is>
      </c>
      <c r="O649" s="19" t="n">
        <v>1.38</v>
      </c>
      <c r="P649" s="20" t="n">
        <v>15000</v>
      </c>
      <c r="Q649" s="20" t="n">
        <v>1800</v>
      </c>
      <c r="R649" s="20" t="n">
        <v>20700</v>
      </c>
      <c r="S649" s="20" t="n">
        <v>15851.8</v>
      </c>
      <c r="T649" s="20" t="n">
        <v>4848.2</v>
      </c>
      <c r="U649" s="21" t="n">
        <v>0.765787439613527</v>
      </c>
      <c r="V649" s="22" t="n">
        <v>20</v>
      </c>
      <c r="W649" s="17" t="n">
        <v>19</v>
      </c>
      <c r="X649" s="17" t="n">
        <v>3</v>
      </c>
      <c r="Y649" s="20" t="n">
        <v>24929.12</v>
      </c>
      <c r="Z649" s="21" t="n">
        <v>0.1661</v>
      </c>
      <c r="AA649" s="16" t="n">
        <v>44149</v>
      </c>
      <c r="AB649" s="5">
        <f>IF(V649="","",IF(V649&lt;12,"Months","Weeks"))</f>
        <v/>
      </c>
      <c r="AC649" s="5">
        <f>IF(AB649="","",IF(AB649="Months","Daily","Weekly"))</f>
        <v/>
      </c>
      <c r="AD649" s="17">
        <f>IF(V649="","",IF(AC649="Daily",V649*Controls!$B$13,V649))</f>
        <v/>
      </c>
      <c r="AE649" s="17">
        <f>IF(V649="","",IF(AC649="Daily",V649*Controls!$B$13,V649*Controls!$B$12))</f>
        <v/>
      </c>
      <c r="AF649" s="17">
        <f>IF(OR(E649="",F649=""),"",F649-E649)</f>
        <v/>
      </c>
      <c r="AG649" s="17">
        <f>IF(OR(E649="",F649=""),"",NETWORKDAYS(E649,F649,Ref!$F$4:$F$47))</f>
        <v/>
      </c>
      <c r="AH649" s="39">
        <f>IF(IFERROR(VLOOKUP(D649,Controls!$A$25:$D$35,2,FALSE()),"No")="Yes",1,0)</f>
        <v/>
      </c>
      <c r="AI649" s="39">
        <f>IF(IFERROR(VLOOKUP(D649,Controls!$A$25:$D$35,3,FALSE()),"No")="Yes",1,0)</f>
        <v/>
      </c>
      <c r="AJ649" s="39">
        <f>IF(IFERROR(VLOOKUP(D649,Controls!$A$25:$D$35,4,FALSE()),"No")="Yes",1,0)</f>
        <v/>
      </c>
      <c r="AK649" s="96">
        <f>IF(AND($E649&gt;=Controls!$B$5,$E649&lt;=Controls!$B$6,OR(Controls!$E$9&lt;&gt;"Y",$BE649=1)),1,0)</f>
        <v/>
      </c>
      <c r="AL649" s="39">
        <f>1</f>
        <v/>
      </c>
      <c r="AM649" s="20">
        <f>S649-P649</f>
        <v/>
      </c>
      <c r="AN649" s="20">
        <f>IF(AH649=1,MAX(0,P649-S649),0)</f>
        <v/>
      </c>
      <c r="AO649" s="21">
        <f>IFERROR(S649/P649,"")</f>
        <v/>
      </c>
      <c r="AP649" s="22">
        <f>IF(Y649="","",P649/Y649)</f>
        <v/>
      </c>
      <c r="AQ649" s="39">
        <f>IF(Y649="",0,1)</f>
        <v/>
      </c>
      <c r="AR649" s="39">
        <f>IF(S649&lt;=0,1,0)</f>
        <v/>
      </c>
      <c r="AS649" s="17">
        <f>IF(AH649=1,AG649,"")</f>
        <v/>
      </c>
      <c r="AT649" s="17">
        <f>IF(AND(AH649=0,AJ649=1),AG649,"")</f>
        <v/>
      </c>
      <c r="AU649" s="5">
        <f>IF(P649&lt;10000,"Under $10K",IF(P649&lt;20000,"$10-20K",IF(P649&lt;30000,"$20-30K",IF(P649&lt;50000,"$30-50K",IF(P649&lt;100000,"$50-100K","$100K+")))))</f>
        <v/>
      </c>
      <c r="AV649" s="5">
        <f>IF(O649&lt;=1.35,"1.35 and under",IF(O649&lt;=1.42,"1.36-1.42",IF(O649&lt;=1.45,"1.43-1.45",IF(O649&lt;1.49,"1.46-1.48",IF(O649&lt;=1.49,"1.49","Above 1.49")))))</f>
        <v/>
      </c>
      <c r="AW649" s="5">
        <f>IF(AE649="","",IF(AE649&lt;60,"Under 60",IF(AE649&lt;90,"60-89",IF(AE649&lt;120,"90-119",IF(AE649&lt;150,"120-149","150+")))))</f>
        <v/>
      </c>
      <c r="AX649" s="5">
        <f>IF(AP649="","No revenue data",IF(AP649&lt;0.15,"Under 0.15x",IF(AP649&lt;0.3,"0.15-0.30x",IF(AP649&lt;0.5,"0.30-0.50x",IF(AP649&lt;1,"0.50-1.00x","1.00x+")))))</f>
        <v/>
      </c>
      <c r="AY649" s="5">
        <f>IF(J649="","No SIC",IFERROR(VLOOKUP(J649,Ref!$A$4:$C$67,2,FALSE()),"Unclassified"))</f>
        <v/>
      </c>
      <c r="AZ649" s="5">
        <f>IF(E649="","",TEXT(E649,"YYYY")&amp;"-Q"&amp;ROUNDUP(MONTH(E649)/3,0))</f>
        <v/>
      </c>
      <c r="BA649" s="5">
        <f>IF(E649="","",TEXT(E649,"YYYY-MM"))</f>
        <v/>
      </c>
      <c r="BB649" s="5">
        <f>IF(E649="","",TEXT(E649,"YYYY"))</f>
        <v/>
      </c>
      <c r="BC649" s="92">
        <f>IF($E649="","",NETWORKDAYS($E649,Controls!$B$9,Ref!$F$4:$F$47))</f>
        <v/>
      </c>
      <c r="BD649" s="92">
        <f>IF(OR($AH649=1,$AJ649=1),1,0)</f>
        <v/>
      </c>
      <c r="BE649" s="95">
        <f>IF(OR($BD649=1,AND($AE649&lt;&gt;"",$BC649&gt;=Controls!$B$10*$AE649)),1,0)</f>
        <v/>
      </c>
    </row>
    <row r="650" ht="15.75" customHeight="1" s="79">
      <c r="A650" s="5" t="inlineStr">
        <is>
          <t>5674178970</t>
        </is>
      </c>
      <c r="B650" s="5" t="inlineStr">
        <is>
          <t>SST Brands</t>
        </is>
      </c>
      <c r="C650" s="5" t="inlineStr">
        <is>
          <t>Heads Up Headcare LLC</t>
        </is>
      </c>
      <c r="D650" s="5" t="inlineStr">
        <is>
          <t>Closed</t>
        </is>
      </c>
      <c r="E650" s="16" t="n">
        <v>46076</v>
      </c>
      <c r="F650" s="16" t="n">
        <v>46203</v>
      </c>
      <c r="G650" s="17" t="n">
        <v>3</v>
      </c>
      <c r="H650" s="5" t="inlineStr">
        <is>
          <t>5999</t>
        </is>
      </c>
      <c r="I650" s="5" t="inlineStr">
        <is>
          <t>All Other Health and Personal Care Stores</t>
        </is>
      </c>
      <c r="J650" s="5" t="inlineStr">
        <is>
          <t>59</t>
        </is>
      </c>
      <c r="K650" s="5" t="n">
        <v>5999</v>
      </c>
      <c r="L650" s="5" t="inlineStr">
        <is>
          <t>NJ</t>
        </is>
      </c>
      <c r="M650" s="5" t="inlineStr">
        <is>
          <t>YM ventures</t>
        </is>
      </c>
      <c r="N650" s="5" t="inlineStr">
        <is>
          <t>New Deal</t>
        </is>
      </c>
      <c r="O650" s="19" t="n">
        <v>1.4</v>
      </c>
      <c r="P650" s="20" t="n">
        <v>150000</v>
      </c>
      <c r="Q650" s="20" t="n">
        <v>15750</v>
      </c>
      <c r="R650" s="20" t="n">
        <v>210000</v>
      </c>
      <c r="S650" s="20" t="n">
        <v>210000</v>
      </c>
      <c r="T650" s="20" t="n">
        <v>0</v>
      </c>
      <c r="U650" s="21" t="n">
        <v>1</v>
      </c>
      <c r="V650" s="22" t="n">
        <v>40</v>
      </c>
      <c r="W650" s="17" t="n">
        <v>50</v>
      </c>
      <c r="X650" s="17" t="n">
        <v>0</v>
      </c>
      <c r="Y650" s="20" t="n">
        <v>299687.41</v>
      </c>
      <c r="Z650" s="21" t="n">
        <v>0.0701</v>
      </c>
      <c r="AA650" s="16" t="n">
        <v>40087</v>
      </c>
      <c r="AB650" s="5">
        <f>IF(V650="","",IF(V650&lt;12,"Months","Weeks"))</f>
        <v/>
      </c>
      <c r="AC650" s="5">
        <f>IF(AB650="","",IF(AB650="Months","Daily","Weekly"))</f>
        <v/>
      </c>
      <c r="AD650" s="17">
        <f>IF(V650="","",IF(AC650="Daily",V650*Controls!$B$13,V650))</f>
        <v/>
      </c>
      <c r="AE650" s="17">
        <f>IF(V650="","",IF(AC650="Daily",V650*Controls!$B$13,V650*Controls!$B$12))</f>
        <v/>
      </c>
      <c r="AF650" s="17">
        <f>IF(OR(E650="",F650=""),"",F650-E650)</f>
        <v/>
      </c>
      <c r="AG650" s="17">
        <f>IF(OR(E650="",F650=""),"",NETWORKDAYS(E650,F650,Ref!$F$4:$F$47))</f>
        <v/>
      </c>
      <c r="AH650" s="39">
        <f>IF(IFERROR(VLOOKUP(D650,Controls!$A$25:$D$35,2,FALSE()),"No")="Yes",1,0)</f>
        <v/>
      </c>
      <c r="AI650" s="39">
        <f>IF(IFERROR(VLOOKUP(D650,Controls!$A$25:$D$35,3,FALSE()),"No")="Yes",1,0)</f>
        <v/>
      </c>
      <c r="AJ650" s="39">
        <f>IF(IFERROR(VLOOKUP(D650,Controls!$A$25:$D$35,4,FALSE()),"No")="Yes",1,0)</f>
        <v/>
      </c>
      <c r="AK650" s="96">
        <f>IF(AND($E650&gt;=Controls!$B$5,$E650&lt;=Controls!$B$6,OR(Controls!$E$9&lt;&gt;"Y",$BE650=1)),1,0)</f>
        <v/>
      </c>
      <c r="AL650" s="39">
        <f>1</f>
        <v/>
      </c>
      <c r="AM650" s="20">
        <f>S650-P650</f>
        <v/>
      </c>
      <c r="AN650" s="20">
        <f>IF(AH650=1,MAX(0,P650-S650),0)</f>
        <v/>
      </c>
      <c r="AO650" s="21">
        <f>IFERROR(S650/P650,"")</f>
        <v/>
      </c>
      <c r="AP650" s="22">
        <f>IF(Y650="","",P650/Y650)</f>
        <v/>
      </c>
      <c r="AQ650" s="39">
        <f>IF(Y650="",0,1)</f>
        <v/>
      </c>
      <c r="AR650" s="39">
        <f>IF(S650&lt;=0,1,0)</f>
        <v/>
      </c>
      <c r="AS650" s="17">
        <f>IF(AH650=1,AG650,"")</f>
        <v/>
      </c>
      <c r="AT650" s="17">
        <f>IF(AND(AH650=0,AJ650=1),AG650,"")</f>
        <v/>
      </c>
      <c r="AU650" s="5">
        <f>IF(P650&lt;10000,"Under $10K",IF(P650&lt;20000,"$10-20K",IF(P650&lt;30000,"$20-30K",IF(P650&lt;50000,"$30-50K",IF(P650&lt;100000,"$50-100K","$100K+")))))</f>
        <v/>
      </c>
      <c r="AV650" s="5">
        <f>IF(O650&lt;=1.35,"1.35 and under",IF(O650&lt;=1.42,"1.36-1.42",IF(O650&lt;=1.45,"1.43-1.45",IF(O650&lt;1.49,"1.46-1.48",IF(O650&lt;=1.49,"1.49","Above 1.49")))))</f>
        <v/>
      </c>
      <c r="AW650" s="5">
        <f>IF(AE650="","",IF(AE650&lt;60,"Under 60",IF(AE650&lt;90,"60-89",IF(AE650&lt;120,"90-119",IF(AE650&lt;150,"120-149","150+")))))</f>
        <v/>
      </c>
      <c r="AX650" s="5">
        <f>IF(AP650="","No revenue data",IF(AP650&lt;0.15,"Under 0.15x",IF(AP650&lt;0.3,"0.15-0.30x",IF(AP650&lt;0.5,"0.30-0.50x",IF(AP650&lt;1,"0.50-1.00x","1.00x+")))))</f>
        <v/>
      </c>
      <c r="AY650" s="5">
        <f>IF(J650="","No SIC",IFERROR(VLOOKUP(J650,Ref!$A$4:$C$67,2,FALSE()),"Unclassified"))</f>
        <v/>
      </c>
      <c r="AZ650" s="5">
        <f>IF(E650="","",TEXT(E650,"YYYY")&amp;"-Q"&amp;ROUNDUP(MONTH(E650)/3,0))</f>
        <v/>
      </c>
      <c r="BA650" s="5">
        <f>IF(E650="","",TEXT(E650,"YYYY-MM"))</f>
        <v/>
      </c>
      <c r="BB650" s="5">
        <f>IF(E650="","",TEXT(E650,"YYYY"))</f>
        <v/>
      </c>
      <c r="BC650" s="92">
        <f>IF($E650="","",NETWORKDAYS($E650,Controls!$B$9,Ref!$F$4:$F$47))</f>
        <v/>
      </c>
      <c r="BD650" s="92">
        <f>IF(OR($AH650=1,$AJ650=1),1,0)</f>
        <v/>
      </c>
      <c r="BE650" s="95">
        <f>IF(OR($BD650=1,AND($AE650&lt;&gt;"",$BC650&gt;=Controls!$B$10*$AE650)),1,0)</f>
        <v/>
      </c>
    </row>
    <row r="651" ht="15.75" customHeight="1" s="79">
      <c r="A651" s="5" t="inlineStr">
        <is>
          <t>5674178988</t>
        </is>
      </c>
      <c r="B651" s="5" t="inlineStr">
        <is>
          <t>PRESTIGE CARE PLLC</t>
        </is>
      </c>
      <c r="C651" s="5" t="inlineStr">
        <is>
          <t>PRESTIGE CARE PLLC</t>
        </is>
      </c>
      <c r="D651" s="5" t="inlineStr">
        <is>
          <t>Legal</t>
        </is>
      </c>
      <c r="E651" s="16" t="n">
        <v>46077</v>
      </c>
      <c r="F651" s="16" t="n">
        <v>46161</v>
      </c>
      <c r="G651" s="17" t="n">
        <v>3</v>
      </c>
      <c r="H651" s="5" t="inlineStr">
        <is>
          <t>8082</t>
        </is>
      </c>
      <c r="I651" s="5" t="inlineStr">
        <is>
          <t>Home Health Care Services</t>
        </is>
      </c>
      <c r="J651" s="5" t="inlineStr">
        <is>
          <t>80</t>
        </is>
      </c>
      <c r="K651" s="5" t="n">
        <v>8099</v>
      </c>
      <c r="L651" s="5" t="inlineStr">
        <is>
          <t>AR</t>
        </is>
      </c>
      <c r="M651" s="5" t="inlineStr">
        <is>
          <t>United Secured Capital 8</t>
        </is>
      </c>
      <c r="N651" s="5" t="inlineStr">
        <is>
          <t>Renewal</t>
        </is>
      </c>
      <c r="O651" s="19" t="n">
        <v>1.49</v>
      </c>
      <c r="P651" s="20" t="n">
        <v>47000</v>
      </c>
      <c r="Q651" s="20" t="n">
        <v>6580</v>
      </c>
      <c r="R651" s="20" t="n">
        <v>70030</v>
      </c>
      <c r="S651" s="20" t="n">
        <v>6129.06</v>
      </c>
      <c r="T651" s="20" t="n">
        <v>63900.94</v>
      </c>
      <c r="U651" s="21" t="n">
        <v>0.0875204912180494</v>
      </c>
      <c r="V651" s="22" t="n">
        <v>3.934</v>
      </c>
      <c r="W651" s="17" t="n">
        <v>105</v>
      </c>
      <c r="X651" s="17" t="n">
        <v>37</v>
      </c>
      <c r="Y651" s="20" t="n">
        <v>123266.6</v>
      </c>
      <c r="Z651" s="21" t="n">
        <v>0.1509</v>
      </c>
      <c r="AA651" s="16" t="n">
        <v>45386</v>
      </c>
      <c r="AB651" s="5">
        <f>IF(V651="","",IF(V651&lt;12,"Months","Weeks"))</f>
        <v/>
      </c>
      <c r="AC651" s="5">
        <f>IF(AB651="","",IF(AB651="Months","Daily","Weekly"))</f>
        <v/>
      </c>
      <c r="AD651" s="17">
        <f>IF(V651="","",IF(AC651="Daily",V651*Controls!$B$13,V651))</f>
        <v/>
      </c>
      <c r="AE651" s="17">
        <f>IF(V651="","",IF(AC651="Daily",V651*Controls!$B$13,V651*Controls!$B$12))</f>
        <v/>
      </c>
      <c r="AF651" s="17">
        <f>IF(OR(E651="",F651=""),"",F651-E651)</f>
        <v/>
      </c>
      <c r="AG651" s="17">
        <f>IF(OR(E651="",F651=""),"",NETWORKDAYS(E651,F651,Ref!$F$4:$F$47))</f>
        <v/>
      </c>
      <c r="AH651" s="39">
        <f>IF(IFERROR(VLOOKUP(D651,Controls!$A$25:$D$35,2,FALSE()),"No")="Yes",1,0)</f>
        <v/>
      </c>
      <c r="AI651" s="39">
        <f>IF(IFERROR(VLOOKUP(D651,Controls!$A$25:$D$35,3,FALSE()),"No")="Yes",1,0)</f>
        <v/>
      </c>
      <c r="AJ651" s="39">
        <f>IF(IFERROR(VLOOKUP(D651,Controls!$A$25:$D$35,4,FALSE()),"No")="Yes",1,0)</f>
        <v/>
      </c>
      <c r="AK651" s="96">
        <f>IF(AND($E651&gt;=Controls!$B$5,$E651&lt;=Controls!$B$6,OR(Controls!$E$9&lt;&gt;"Y",$BE651=1)),1,0)</f>
        <v/>
      </c>
      <c r="AL651" s="39">
        <f>1</f>
        <v/>
      </c>
      <c r="AM651" s="20">
        <f>S651-P651</f>
        <v/>
      </c>
      <c r="AN651" s="20">
        <f>IF(AH651=1,MAX(0,P651-S651),0)</f>
        <v/>
      </c>
      <c r="AO651" s="21">
        <f>IFERROR(S651/P651,"")</f>
        <v/>
      </c>
      <c r="AP651" s="22">
        <f>IF(Y651="","",P651/Y651)</f>
        <v/>
      </c>
      <c r="AQ651" s="39">
        <f>IF(Y651="",0,1)</f>
        <v/>
      </c>
      <c r="AR651" s="39">
        <f>IF(S651&lt;=0,1,0)</f>
        <v/>
      </c>
      <c r="AS651" s="17">
        <f>IF(AH651=1,AG651,"")</f>
        <v/>
      </c>
      <c r="AT651" s="17">
        <f>IF(AND(AH651=0,AJ651=1),AG651,"")</f>
        <v/>
      </c>
      <c r="AU651" s="5">
        <f>IF(P651&lt;10000,"Under $10K",IF(P651&lt;20000,"$10-20K",IF(P651&lt;30000,"$20-30K",IF(P651&lt;50000,"$30-50K",IF(P651&lt;100000,"$50-100K","$100K+")))))</f>
        <v/>
      </c>
      <c r="AV651" s="5">
        <f>IF(O651&lt;=1.35,"1.35 and under",IF(O651&lt;=1.42,"1.36-1.42",IF(O651&lt;=1.45,"1.43-1.45",IF(O651&lt;1.49,"1.46-1.48",IF(O651&lt;=1.49,"1.49","Above 1.49")))))</f>
        <v/>
      </c>
      <c r="AW651" s="5">
        <f>IF(AE651="","",IF(AE651&lt;60,"Under 60",IF(AE651&lt;90,"60-89",IF(AE651&lt;120,"90-119",IF(AE651&lt;150,"120-149","150+")))))</f>
        <v/>
      </c>
      <c r="AX651" s="5">
        <f>IF(AP651="","No revenue data",IF(AP651&lt;0.15,"Under 0.15x",IF(AP651&lt;0.3,"0.15-0.30x",IF(AP651&lt;0.5,"0.30-0.50x",IF(AP651&lt;1,"0.50-1.00x","1.00x+")))))</f>
        <v/>
      </c>
      <c r="AY651" s="5">
        <f>IF(J651="","No SIC",IFERROR(VLOOKUP(J651,Ref!$A$4:$C$67,2,FALSE()),"Unclassified"))</f>
        <v/>
      </c>
      <c r="AZ651" s="5">
        <f>IF(E651="","",TEXT(E651,"YYYY")&amp;"-Q"&amp;ROUNDUP(MONTH(E651)/3,0))</f>
        <v/>
      </c>
      <c r="BA651" s="5">
        <f>IF(E651="","",TEXT(E651,"YYYY-MM"))</f>
        <v/>
      </c>
      <c r="BB651" s="5">
        <f>IF(E651="","",TEXT(E651,"YYYY"))</f>
        <v/>
      </c>
      <c r="BC651" s="92">
        <f>IF($E651="","",NETWORKDAYS($E651,Controls!$B$9,Ref!$F$4:$F$47))</f>
        <v/>
      </c>
      <c r="BD651" s="92">
        <f>IF(OR($AH651=1,$AJ651=1),1,0)</f>
        <v/>
      </c>
      <c r="BE651" s="95">
        <f>IF(OR($BD651=1,AND($AE651&lt;&gt;"",$BC651&gt;=Controls!$B$10*$AE651)),1,0)</f>
        <v/>
      </c>
    </row>
    <row r="652" ht="15.75" customHeight="1" s="79">
      <c r="A652" s="5" t="inlineStr">
        <is>
          <t>5674179033</t>
        </is>
      </c>
      <c r="B652" s="5" t="inlineStr">
        <is>
          <t>Hatmaker Holdings LLC</t>
        </is>
      </c>
      <c r="C652" s="5" t="inlineStr">
        <is>
          <t>Hatmaker Holdings LLC</t>
        </is>
      </c>
      <c r="D652" s="5" t="inlineStr">
        <is>
          <t>Closed</t>
        </is>
      </c>
      <c r="E652" s="16" t="n">
        <v>46077</v>
      </c>
      <c r="F652" s="16" t="n">
        <v>46168</v>
      </c>
      <c r="G652" s="17" t="n">
        <v>3</v>
      </c>
      <c r="H652" s="5" t="inlineStr">
        <is>
          <t>1521</t>
        </is>
      </c>
      <c r="I652" s="5" t="inlineStr">
        <is>
          <t>New Single-Family Housing Construction (Except For-Sale Builders)</t>
        </is>
      </c>
      <c r="J652" s="5" t="inlineStr">
        <is>
          <t>15</t>
        </is>
      </c>
      <c r="K652" s="5" t="n">
        <v>1520</v>
      </c>
      <c r="L652" s="5" t="inlineStr">
        <is>
          <t>TN</t>
        </is>
      </c>
      <c r="M652" s="5" t="inlineStr">
        <is>
          <t>Ballicci</t>
        </is>
      </c>
      <c r="N652" s="5" t="inlineStr">
        <is>
          <t>New Deal</t>
        </is>
      </c>
      <c r="O652" s="19" t="n">
        <v>1.49</v>
      </c>
      <c r="P652" s="20" t="n">
        <v>25000</v>
      </c>
      <c r="Q652" s="20" t="n">
        <v>3500</v>
      </c>
      <c r="R652" s="20" t="n">
        <v>37250</v>
      </c>
      <c r="S652" s="20" t="n">
        <v>37250</v>
      </c>
      <c r="T652" s="20" t="n">
        <v>0</v>
      </c>
      <c r="U652" s="21" t="n">
        <v>1</v>
      </c>
      <c r="V652" s="22" t="n">
        <v>3.279</v>
      </c>
      <c r="W652" s="17" t="n">
        <v>85</v>
      </c>
      <c r="X652" s="17" t="n">
        <v>12</v>
      </c>
      <c r="Y652" s="20" t="n">
        <v>60000</v>
      </c>
      <c r="Z652" s="21" t="n">
        <v>0.0978</v>
      </c>
      <c r="AA652" s="16" t="n">
        <v>37215</v>
      </c>
      <c r="AB652" s="5">
        <f>IF(V652="","",IF(V652&lt;12,"Months","Weeks"))</f>
        <v/>
      </c>
      <c r="AC652" s="5">
        <f>IF(AB652="","",IF(AB652="Months","Daily","Weekly"))</f>
        <v/>
      </c>
      <c r="AD652" s="17">
        <f>IF(V652="","",IF(AC652="Daily",V652*Controls!$B$13,V652))</f>
        <v/>
      </c>
      <c r="AE652" s="17">
        <f>IF(V652="","",IF(AC652="Daily",V652*Controls!$B$13,V652*Controls!$B$12))</f>
        <v/>
      </c>
      <c r="AF652" s="17">
        <f>IF(OR(E652="",F652=""),"",F652-E652)</f>
        <v/>
      </c>
      <c r="AG652" s="17">
        <f>IF(OR(E652="",F652=""),"",NETWORKDAYS(E652,F652,Ref!$F$4:$F$47))</f>
        <v/>
      </c>
      <c r="AH652" s="39">
        <f>IF(IFERROR(VLOOKUP(D652,Controls!$A$25:$D$35,2,FALSE()),"No")="Yes",1,0)</f>
        <v/>
      </c>
      <c r="AI652" s="39">
        <f>IF(IFERROR(VLOOKUP(D652,Controls!$A$25:$D$35,3,FALSE()),"No")="Yes",1,0)</f>
        <v/>
      </c>
      <c r="AJ652" s="39">
        <f>IF(IFERROR(VLOOKUP(D652,Controls!$A$25:$D$35,4,FALSE()),"No")="Yes",1,0)</f>
        <v/>
      </c>
      <c r="AK652" s="96">
        <f>IF(AND($E652&gt;=Controls!$B$5,$E652&lt;=Controls!$B$6,OR(Controls!$E$9&lt;&gt;"Y",$BE652=1)),1,0)</f>
        <v/>
      </c>
      <c r="AL652" s="39">
        <f>1</f>
        <v/>
      </c>
      <c r="AM652" s="20">
        <f>S652-P652</f>
        <v/>
      </c>
      <c r="AN652" s="20">
        <f>IF(AH652=1,MAX(0,P652-S652),0)</f>
        <v/>
      </c>
      <c r="AO652" s="21">
        <f>IFERROR(S652/P652,"")</f>
        <v/>
      </c>
      <c r="AP652" s="22">
        <f>IF(Y652="","",P652/Y652)</f>
        <v/>
      </c>
      <c r="AQ652" s="39">
        <f>IF(Y652="",0,1)</f>
        <v/>
      </c>
      <c r="AR652" s="39">
        <f>IF(S652&lt;=0,1,0)</f>
        <v/>
      </c>
      <c r="AS652" s="17">
        <f>IF(AH652=1,AG652,"")</f>
        <v/>
      </c>
      <c r="AT652" s="17">
        <f>IF(AND(AH652=0,AJ652=1),AG652,"")</f>
        <v/>
      </c>
      <c r="AU652" s="5">
        <f>IF(P652&lt;10000,"Under $10K",IF(P652&lt;20000,"$10-20K",IF(P652&lt;30000,"$20-30K",IF(P652&lt;50000,"$30-50K",IF(P652&lt;100000,"$50-100K","$100K+")))))</f>
        <v/>
      </c>
      <c r="AV652" s="5">
        <f>IF(O652&lt;=1.35,"1.35 and under",IF(O652&lt;=1.42,"1.36-1.42",IF(O652&lt;=1.45,"1.43-1.45",IF(O652&lt;1.49,"1.46-1.48",IF(O652&lt;=1.49,"1.49","Above 1.49")))))</f>
        <v/>
      </c>
      <c r="AW652" s="5">
        <f>IF(AE652="","",IF(AE652&lt;60,"Under 60",IF(AE652&lt;90,"60-89",IF(AE652&lt;120,"90-119",IF(AE652&lt;150,"120-149","150+")))))</f>
        <v/>
      </c>
      <c r="AX652" s="5">
        <f>IF(AP652="","No revenue data",IF(AP652&lt;0.15,"Under 0.15x",IF(AP652&lt;0.3,"0.15-0.30x",IF(AP652&lt;0.5,"0.30-0.50x",IF(AP652&lt;1,"0.50-1.00x","1.00x+")))))</f>
        <v/>
      </c>
      <c r="AY652" s="5">
        <f>IF(J652="","No SIC",IFERROR(VLOOKUP(J652,Ref!$A$4:$C$67,2,FALSE()),"Unclassified"))</f>
        <v/>
      </c>
      <c r="AZ652" s="5">
        <f>IF(E652="","",TEXT(E652,"YYYY")&amp;"-Q"&amp;ROUNDUP(MONTH(E652)/3,0))</f>
        <v/>
      </c>
      <c r="BA652" s="5">
        <f>IF(E652="","",TEXT(E652,"YYYY-MM"))</f>
        <v/>
      </c>
      <c r="BB652" s="5">
        <f>IF(E652="","",TEXT(E652,"YYYY"))</f>
        <v/>
      </c>
      <c r="BC652" s="92">
        <f>IF($E652="","",NETWORKDAYS($E652,Controls!$B$9,Ref!$F$4:$F$47))</f>
        <v/>
      </c>
      <c r="BD652" s="92">
        <f>IF(OR($AH652=1,$AJ652=1),1,0)</f>
        <v/>
      </c>
      <c r="BE652" s="95">
        <f>IF(OR($BD652=1,AND($AE652&lt;&gt;"",$BC652&gt;=Controls!$B$10*$AE652)),1,0)</f>
        <v/>
      </c>
    </row>
    <row r="653" ht="15.75" customHeight="1" s="79">
      <c r="A653" s="5" t="inlineStr">
        <is>
          <t>5674179054</t>
        </is>
      </c>
      <c r="B653" s="5" t="inlineStr">
        <is>
          <t>GREENMART DESIGN &amp; LANDSCAPE LLC</t>
        </is>
      </c>
      <c r="C653" s="5" t="inlineStr">
        <is>
          <t>GREENMART DESIGN &amp; LANDSCAPE LLC</t>
        </is>
      </c>
      <c r="D653" s="5" t="inlineStr">
        <is>
          <t>Lowered Payments</t>
        </is>
      </c>
      <c r="E653" s="16" t="n">
        <v>46078</v>
      </c>
      <c r="F653" s="16" t="n">
        <v>46248</v>
      </c>
      <c r="G653" s="17" t="n">
        <v>3</v>
      </c>
      <c r="H653" s="5" t="inlineStr">
        <is>
          <t>5541</t>
        </is>
      </c>
      <c r="I653" s="5" t="inlineStr">
        <is>
          <t>Gasoline Stations with Convenience Stores</t>
        </is>
      </c>
      <c r="J653" s="5" t="inlineStr">
        <is>
          <t>55</t>
        </is>
      </c>
      <c r="K653" s="5" t="n">
        <v>5541</v>
      </c>
      <c r="L653" s="5" t="inlineStr">
        <is>
          <t>AZ</t>
        </is>
      </c>
      <c r="M653" s="5" t="inlineStr">
        <is>
          <t>legacy funding llc</t>
        </is>
      </c>
      <c r="N653" s="5" t="inlineStr">
        <is>
          <t>New Deal</t>
        </is>
      </c>
      <c r="O653" s="19" t="n">
        <v>1.49</v>
      </c>
      <c r="P653" s="20" t="n">
        <v>25000</v>
      </c>
      <c r="Q653" s="20" t="n">
        <v>3500</v>
      </c>
      <c r="R653" s="20" t="n">
        <v>37250</v>
      </c>
      <c r="S653" s="20" t="n">
        <v>12149.15</v>
      </c>
      <c r="T653" s="20" t="n">
        <v>25100.85</v>
      </c>
      <c r="U653" s="21" t="n">
        <v>0.326151677852349</v>
      </c>
      <c r="V653" s="22" t="n">
        <v>24</v>
      </c>
      <c r="W653" s="17" t="n">
        <v>5</v>
      </c>
      <c r="X653" s="17" t="n">
        <v>16</v>
      </c>
      <c r="Y653" s="20" t="n">
        <v>198696.28</v>
      </c>
      <c r="Z653" s="21" t="n">
        <v>0.0312</v>
      </c>
      <c r="AA653" s="5" t="n"/>
      <c r="AB653" s="5">
        <f>IF(V653="","",IF(V653&lt;12,"Months","Weeks"))</f>
        <v/>
      </c>
      <c r="AC653" s="5">
        <f>IF(AB653="","",IF(AB653="Months","Daily","Weekly"))</f>
        <v/>
      </c>
      <c r="AD653" s="17">
        <f>IF(V653="","",IF(AC653="Daily",V653*Controls!$B$13,V653))</f>
        <v/>
      </c>
      <c r="AE653" s="17">
        <f>IF(V653="","",IF(AC653="Daily",V653*Controls!$B$13,V653*Controls!$B$12))</f>
        <v/>
      </c>
      <c r="AF653" s="17">
        <f>IF(OR(E653="",F653=""),"",F653-E653)</f>
        <v/>
      </c>
      <c r="AG653" s="17">
        <f>IF(OR(E653="",F653=""),"",NETWORKDAYS(E653,F653,Ref!$F$4:$F$47))</f>
        <v/>
      </c>
      <c r="AH653" s="39">
        <f>IF(IFERROR(VLOOKUP(D653,Controls!$A$25:$D$35,2,FALSE()),"No")="Yes",1,0)</f>
        <v/>
      </c>
      <c r="AI653" s="39">
        <f>IF(IFERROR(VLOOKUP(D653,Controls!$A$25:$D$35,3,FALSE()),"No")="Yes",1,0)</f>
        <v/>
      </c>
      <c r="AJ653" s="39">
        <f>IF(IFERROR(VLOOKUP(D653,Controls!$A$25:$D$35,4,FALSE()),"No")="Yes",1,0)</f>
        <v/>
      </c>
      <c r="AK653" s="96">
        <f>IF(AND($E653&gt;=Controls!$B$5,$E653&lt;=Controls!$B$6,OR(Controls!$E$9&lt;&gt;"Y",$BE653=1)),1,0)</f>
        <v/>
      </c>
      <c r="AL653" s="39">
        <f>1</f>
        <v/>
      </c>
      <c r="AM653" s="20">
        <f>S653-P653</f>
        <v/>
      </c>
      <c r="AN653" s="20">
        <f>IF(AH653=1,MAX(0,P653-S653),0)</f>
        <v/>
      </c>
      <c r="AO653" s="21">
        <f>IFERROR(S653/P653,"")</f>
        <v/>
      </c>
      <c r="AP653" s="22">
        <f>IF(Y653="","",P653/Y653)</f>
        <v/>
      </c>
      <c r="AQ653" s="39">
        <f>IF(Y653="",0,1)</f>
        <v/>
      </c>
      <c r="AR653" s="39">
        <f>IF(S653&lt;=0,1,0)</f>
        <v/>
      </c>
      <c r="AS653" s="17">
        <f>IF(AH653=1,AG653,"")</f>
        <v/>
      </c>
      <c r="AT653" s="17">
        <f>IF(AND(AH653=0,AJ653=1),AG653,"")</f>
        <v/>
      </c>
      <c r="AU653" s="5">
        <f>IF(P653&lt;10000,"Under $10K",IF(P653&lt;20000,"$10-20K",IF(P653&lt;30000,"$20-30K",IF(P653&lt;50000,"$30-50K",IF(P653&lt;100000,"$50-100K","$100K+")))))</f>
        <v/>
      </c>
      <c r="AV653" s="5">
        <f>IF(O653&lt;=1.35,"1.35 and under",IF(O653&lt;=1.42,"1.36-1.42",IF(O653&lt;=1.45,"1.43-1.45",IF(O653&lt;1.49,"1.46-1.48",IF(O653&lt;=1.49,"1.49","Above 1.49")))))</f>
        <v/>
      </c>
      <c r="AW653" s="5">
        <f>IF(AE653="","",IF(AE653&lt;60,"Under 60",IF(AE653&lt;90,"60-89",IF(AE653&lt;120,"90-119",IF(AE653&lt;150,"120-149","150+")))))</f>
        <v/>
      </c>
      <c r="AX653" s="5">
        <f>IF(AP653="","No revenue data",IF(AP653&lt;0.15,"Under 0.15x",IF(AP653&lt;0.3,"0.15-0.30x",IF(AP653&lt;0.5,"0.30-0.50x",IF(AP653&lt;1,"0.50-1.00x","1.00x+")))))</f>
        <v/>
      </c>
      <c r="AY653" s="5">
        <f>IF(J653="","No SIC",IFERROR(VLOOKUP(J653,Ref!$A$4:$C$67,2,FALSE()),"Unclassified"))</f>
        <v/>
      </c>
      <c r="AZ653" s="5">
        <f>IF(E653="","",TEXT(E653,"YYYY")&amp;"-Q"&amp;ROUNDUP(MONTH(E653)/3,0))</f>
        <v/>
      </c>
      <c r="BA653" s="5">
        <f>IF(E653="","",TEXT(E653,"YYYY-MM"))</f>
        <v/>
      </c>
      <c r="BB653" s="5">
        <f>IF(E653="","",TEXT(E653,"YYYY"))</f>
        <v/>
      </c>
      <c r="BC653" s="92">
        <f>IF($E653="","",NETWORKDAYS($E653,Controls!$B$9,Ref!$F$4:$F$47))</f>
        <v/>
      </c>
      <c r="BD653" s="92">
        <f>IF(OR($AH653=1,$AJ653=1),1,0)</f>
        <v/>
      </c>
      <c r="BE653" s="95">
        <f>IF(OR($BD653=1,AND($AE653&lt;&gt;"",$BC653&gt;=Controls!$B$10*$AE653)),1,0)</f>
        <v/>
      </c>
    </row>
    <row r="654" ht="15.75" customHeight="1" s="79">
      <c r="A654" s="5" t="inlineStr">
        <is>
          <t>5674179089</t>
        </is>
      </c>
      <c r="B654" s="5" t="inlineStr">
        <is>
          <t>JT LLC RENOVATIONS LLC</t>
        </is>
      </c>
      <c r="C654" s="5" t="inlineStr">
        <is>
          <t>JT LLC RENOVATIONS LLC</t>
        </is>
      </c>
      <c r="D654" s="5" t="inlineStr">
        <is>
          <t>Open</t>
        </is>
      </c>
      <c r="E654" s="16" t="n">
        <v>46078</v>
      </c>
      <c r="F654" s="16" t="n">
        <v>46253</v>
      </c>
      <c r="G654" s="17" t="n">
        <v>3</v>
      </c>
      <c r="H654" s="5" t="inlineStr">
        <is>
          <t>1521</t>
        </is>
      </c>
      <c r="I654" s="5" t="inlineStr">
        <is>
          <t>Residential Remodelers</t>
        </is>
      </c>
      <c r="J654" s="5" t="inlineStr">
        <is>
          <t>15</t>
        </is>
      </c>
      <c r="K654" s="5" t="n">
        <v>1799</v>
      </c>
      <c r="L654" s="5" t="inlineStr">
        <is>
          <t>TN</t>
        </is>
      </c>
      <c r="M654" s="5" t="inlineStr">
        <is>
          <t>Ballicci</t>
        </is>
      </c>
      <c r="N654" s="5" t="inlineStr">
        <is>
          <t>New Deal</t>
        </is>
      </c>
      <c r="O654" s="19" t="n">
        <v>1.49</v>
      </c>
      <c r="P654" s="20" t="n">
        <v>25000</v>
      </c>
      <c r="Q654" s="20" t="n">
        <v>3500</v>
      </c>
      <c r="R654" s="20" t="n">
        <v>37250</v>
      </c>
      <c r="S654" s="20" t="n">
        <v>34691.91</v>
      </c>
      <c r="T654" s="20" t="n">
        <v>2558.09</v>
      </c>
      <c r="U654" s="21" t="n">
        <v>0.93132644295302</v>
      </c>
      <c r="V654" s="22" t="n">
        <v>4.262</v>
      </c>
      <c r="W654" s="17" t="n">
        <v>0</v>
      </c>
      <c r="X654" s="17" t="n">
        <v>3</v>
      </c>
      <c r="Y654" s="20" t="n">
        <v>76118.22</v>
      </c>
      <c r="Z654" s="21" t="n">
        <v>0.0791</v>
      </c>
      <c r="AA654" s="16" t="n">
        <v>44571</v>
      </c>
      <c r="AB654" s="5">
        <f>IF(V654="","",IF(V654&lt;12,"Months","Weeks"))</f>
        <v/>
      </c>
      <c r="AC654" s="5">
        <f>IF(AB654="","",IF(AB654="Months","Daily","Weekly"))</f>
        <v/>
      </c>
      <c r="AD654" s="17">
        <f>IF(V654="","",IF(AC654="Daily",V654*Controls!$B$13,V654))</f>
        <v/>
      </c>
      <c r="AE654" s="17">
        <f>IF(V654="","",IF(AC654="Daily",V654*Controls!$B$13,V654*Controls!$B$12))</f>
        <v/>
      </c>
      <c r="AF654" s="17">
        <f>IF(OR(E654="",F654=""),"",F654-E654)</f>
        <v/>
      </c>
      <c r="AG654" s="17">
        <f>IF(OR(E654="",F654=""),"",NETWORKDAYS(E654,F654,Ref!$F$4:$F$47))</f>
        <v/>
      </c>
      <c r="AH654" s="39">
        <f>IF(IFERROR(VLOOKUP(D654,Controls!$A$25:$D$35,2,FALSE()),"No")="Yes",1,0)</f>
        <v/>
      </c>
      <c r="AI654" s="39">
        <f>IF(IFERROR(VLOOKUP(D654,Controls!$A$25:$D$35,3,FALSE()),"No")="Yes",1,0)</f>
        <v/>
      </c>
      <c r="AJ654" s="39">
        <f>IF(IFERROR(VLOOKUP(D654,Controls!$A$25:$D$35,4,FALSE()),"No")="Yes",1,0)</f>
        <v/>
      </c>
      <c r="AK654" s="96">
        <f>IF(AND($E654&gt;=Controls!$B$5,$E654&lt;=Controls!$B$6,OR(Controls!$E$9&lt;&gt;"Y",$BE654=1)),1,0)</f>
        <v/>
      </c>
      <c r="AL654" s="39">
        <f>1</f>
        <v/>
      </c>
      <c r="AM654" s="20">
        <f>S654-P654</f>
        <v/>
      </c>
      <c r="AN654" s="20">
        <f>IF(AH654=1,MAX(0,P654-S654),0)</f>
        <v/>
      </c>
      <c r="AO654" s="21">
        <f>IFERROR(S654/P654,"")</f>
        <v/>
      </c>
      <c r="AP654" s="22">
        <f>IF(Y654="","",P654/Y654)</f>
        <v/>
      </c>
      <c r="AQ654" s="39">
        <f>IF(Y654="",0,1)</f>
        <v/>
      </c>
      <c r="AR654" s="39">
        <f>IF(S654&lt;=0,1,0)</f>
        <v/>
      </c>
      <c r="AS654" s="17">
        <f>IF(AH654=1,AG654,"")</f>
        <v/>
      </c>
      <c r="AT654" s="17">
        <f>IF(AND(AH654=0,AJ654=1),AG654,"")</f>
        <v/>
      </c>
      <c r="AU654" s="5">
        <f>IF(P654&lt;10000,"Under $10K",IF(P654&lt;20000,"$10-20K",IF(P654&lt;30000,"$20-30K",IF(P654&lt;50000,"$30-50K",IF(P654&lt;100000,"$50-100K","$100K+")))))</f>
        <v/>
      </c>
      <c r="AV654" s="5">
        <f>IF(O654&lt;=1.35,"1.35 and under",IF(O654&lt;=1.42,"1.36-1.42",IF(O654&lt;=1.45,"1.43-1.45",IF(O654&lt;1.49,"1.46-1.48",IF(O654&lt;=1.49,"1.49","Above 1.49")))))</f>
        <v/>
      </c>
      <c r="AW654" s="5">
        <f>IF(AE654="","",IF(AE654&lt;60,"Under 60",IF(AE654&lt;90,"60-89",IF(AE654&lt;120,"90-119",IF(AE654&lt;150,"120-149","150+")))))</f>
        <v/>
      </c>
      <c r="AX654" s="5">
        <f>IF(AP654="","No revenue data",IF(AP654&lt;0.15,"Under 0.15x",IF(AP654&lt;0.3,"0.15-0.30x",IF(AP654&lt;0.5,"0.30-0.50x",IF(AP654&lt;1,"0.50-1.00x","1.00x+")))))</f>
        <v/>
      </c>
      <c r="AY654" s="5">
        <f>IF(J654="","No SIC",IFERROR(VLOOKUP(J654,Ref!$A$4:$C$67,2,FALSE()),"Unclassified"))</f>
        <v/>
      </c>
      <c r="AZ654" s="5">
        <f>IF(E654="","",TEXT(E654,"YYYY")&amp;"-Q"&amp;ROUNDUP(MONTH(E654)/3,0))</f>
        <v/>
      </c>
      <c r="BA654" s="5">
        <f>IF(E654="","",TEXT(E654,"YYYY-MM"))</f>
        <v/>
      </c>
      <c r="BB654" s="5">
        <f>IF(E654="","",TEXT(E654,"YYYY"))</f>
        <v/>
      </c>
      <c r="BC654" s="92">
        <f>IF($E654="","",NETWORKDAYS($E654,Controls!$B$9,Ref!$F$4:$F$47))</f>
        <v/>
      </c>
      <c r="BD654" s="92">
        <f>IF(OR($AH654=1,$AJ654=1),1,0)</f>
        <v/>
      </c>
      <c r="BE654" s="95">
        <f>IF(OR($BD654=1,AND($AE654&lt;&gt;"",$BC654&gt;=Controls!$B$10*$AE654)),1,0)</f>
        <v/>
      </c>
    </row>
    <row r="655" ht="15.75" customHeight="1" s="79">
      <c r="A655" s="5" t="inlineStr">
        <is>
          <t>5674179094</t>
        </is>
      </c>
      <c r="B655" s="5" t="inlineStr">
        <is>
          <t>EL TACO LOCO AL VAPOR II,</t>
        </is>
      </c>
      <c r="C655" s="5" t="inlineStr">
        <is>
          <t>EL TACO LOCO AL VAPOR II,</t>
        </is>
      </c>
      <c r="D655" s="5" t="inlineStr">
        <is>
          <t>Closed</t>
        </is>
      </c>
      <c r="E655" s="16" t="n">
        <v>46078</v>
      </c>
      <c r="F655" s="16" t="n">
        <v>46155</v>
      </c>
      <c r="G655" s="17" t="n">
        <v>3</v>
      </c>
      <c r="H655" s="5" t="inlineStr">
        <is>
          <t>5812</t>
        </is>
      </c>
      <c r="I655" s="5" t="inlineStr">
        <is>
          <t>Snack and Nonalcoholic Beverage Bars</t>
        </is>
      </c>
      <c r="J655" s="5" t="inlineStr">
        <is>
          <t>58</t>
        </is>
      </c>
      <c r="K655" s="5" t="n">
        <v>5812</v>
      </c>
      <c r="L655" s="5" t="inlineStr">
        <is>
          <t>TX</t>
        </is>
      </c>
      <c r="M655" s="5" t="inlineStr">
        <is>
          <t>Westwood</t>
        </is>
      </c>
      <c r="N655" s="5" t="inlineStr">
        <is>
          <t>Renewal</t>
        </is>
      </c>
      <c r="O655" s="19" t="n">
        <v>1.49</v>
      </c>
      <c r="P655" s="20" t="n">
        <v>25000</v>
      </c>
      <c r="Q655" s="20" t="n">
        <v>3500</v>
      </c>
      <c r="R655" s="20" t="n">
        <v>37250</v>
      </c>
      <c r="S655" s="20" t="n">
        <v>37250</v>
      </c>
      <c r="T655" s="20" t="n">
        <v>0</v>
      </c>
      <c r="U655" s="21" t="n">
        <v>1</v>
      </c>
      <c r="V655" s="22" t="n">
        <v>3.934</v>
      </c>
      <c r="W655" s="17" t="n">
        <v>98</v>
      </c>
      <c r="X655" s="17" t="n">
        <v>0</v>
      </c>
      <c r="Y655" s="20" t="n">
        <v>35000</v>
      </c>
      <c r="Z655" s="21" t="n">
        <v>0.1863</v>
      </c>
      <c r="AA655" s="5" t="n"/>
      <c r="AB655" s="5">
        <f>IF(V655="","",IF(V655&lt;12,"Months","Weeks"))</f>
        <v/>
      </c>
      <c r="AC655" s="5">
        <f>IF(AB655="","",IF(AB655="Months","Daily","Weekly"))</f>
        <v/>
      </c>
      <c r="AD655" s="17">
        <f>IF(V655="","",IF(AC655="Daily",V655*Controls!$B$13,V655))</f>
        <v/>
      </c>
      <c r="AE655" s="17">
        <f>IF(V655="","",IF(AC655="Daily",V655*Controls!$B$13,V655*Controls!$B$12))</f>
        <v/>
      </c>
      <c r="AF655" s="17">
        <f>IF(OR(E655="",F655=""),"",F655-E655)</f>
        <v/>
      </c>
      <c r="AG655" s="17">
        <f>IF(OR(E655="",F655=""),"",NETWORKDAYS(E655,F655,Ref!$F$4:$F$47))</f>
        <v/>
      </c>
      <c r="AH655" s="39">
        <f>IF(IFERROR(VLOOKUP(D655,Controls!$A$25:$D$35,2,FALSE()),"No")="Yes",1,0)</f>
        <v/>
      </c>
      <c r="AI655" s="39">
        <f>IF(IFERROR(VLOOKUP(D655,Controls!$A$25:$D$35,3,FALSE()),"No")="Yes",1,0)</f>
        <v/>
      </c>
      <c r="AJ655" s="39">
        <f>IF(IFERROR(VLOOKUP(D655,Controls!$A$25:$D$35,4,FALSE()),"No")="Yes",1,0)</f>
        <v/>
      </c>
      <c r="AK655" s="96">
        <f>IF(AND($E655&gt;=Controls!$B$5,$E655&lt;=Controls!$B$6,OR(Controls!$E$9&lt;&gt;"Y",$BE655=1)),1,0)</f>
        <v/>
      </c>
      <c r="AL655" s="39">
        <f>1</f>
        <v/>
      </c>
      <c r="AM655" s="20">
        <f>S655-P655</f>
        <v/>
      </c>
      <c r="AN655" s="20">
        <f>IF(AH655=1,MAX(0,P655-S655),0)</f>
        <v/>
      </c>
      <c r="AO655" s="21">
        <f>IFERROR(S655/P655,"")</f>
        <v/>
      </c>
      <c r="AP655" s="22">
        <f>IF(Y655="","",P655/Y655)</f>
        <v/>
      </c>
      <c r="AQ655" s="39">
        <f>IF(Y655="",0,1)</f>
        <v/>
      </c>
      <c r="AR655" s="39">
        <f>IF(S655&lt;=0,1,0)</f>
        <v/>
      </c>
      <c r="AS655" s="17">
        <f>IF(AH655=1,AG655,"")</f>
        <v/>
      </c>
      <c r="AT655" s="17">
        <f>IF(AND(AH655=0,AJ655=1),AG655,"")</f>
        <v/>
      </c>
      <c r="AU655" s="5">
        <f>IF(P655&lt;10000,"Under $10K",IF(P655&lt;20000,"$10-20K",IF(P655&lt;30000,"$20-30K",IF(P655&lt;50000,"$30-50K",IF(P655&lt;100000,"$50-100K","$100K+")))))</f>
        <v/>
      </c>
      <c r="AV655" s="5">
        <f>IF(O655&lt;=1.35,"1.35 and under",IF(O655&lt;=1.42,"1.36-1.42",IF(O655&lt;=1.45,"1.43-1.45",IF(O655&lt;1.49,"1.46-1.48",IF(O655&lt;=1.49,"1.49","Above 1.49")))))</f>
        <v/>
      </c>
      <c r="AW655" s="5">
        <f>IF(AE655="","",IF(AE655&lt;60,"Under 60",IF(AE655&lt;90,"60-89",IF(AE655&lt;120,"90-119",IF(AE655&lt;150,"120-149","150+")))))</f>
        <v/>
      </c>
      <c r="AX655" s="5">
        <f>IF(AP655="","No revenue data",IF(AP655&lt;0.15,"Under 0.15x",IF(AP655&lt;0.3,"0.15-0.30x",IF(AP655&lt;0.5,"0.30-0.50x",IF(AP655&lt;1,"0.50-1.00x","1.00x+")))))</f>
        <v/>
      </c>
      <c r="AY655" s="5">
        <f>IF(J655="","No SIC",IFERROR(VLOOKUP(J655,Ref!$A$4:$C$67,2,FALSE()),"Unclassified"))</f>
        <v/>
      </c>
      <c r="AZ655" s="5">
        <f>IF(E655="","",TEXT(E655,"YYYY")&amp;"-Q"&amp;ROUNDUP(MONTH(E655)/3,0))</f>
        <v/>
      </c>
      <c r="BA655" s="5">
        <f>IF(E655="","",TEXT(E655,"YYYY-MM"))</f>
        <v/>
      </c>
      <c r="BB655" s="5">
        <f>IF(E655="","",TEXT(E655,"YYYY"))</f>
        <v/>
      </c>
      <c r="BC655" s="92">
        <f>IF($E655="","",NETWORKDAYS($E655,Controls!$B$9,Ref!$F$4:$F$47))</f>
        <v/>
      </c>
      <c r="BD655" s="92">
        <f>IF(OR($AH655=1,$AJ655=1),1,0)</f>
        <v/>
      </c>
      <c r="BE655" s="95">
        <f>IF(OR($BD655=1,AND($AE655&lt;&gt;"",$BC655&gt;=Controls!$B$10*$AE655)),1,0)</f>
        <v/>
      </c>
    </row>
    <row r="656" ht="15.75" customHeight="1" s="79">
      <c r="A656" s="5" t="inlineStr">
        <is>
          <t>5674179109</t>
        </is>
      </c>
      <c r="B656" s="5" t="inlineStr">
        <is>
          <t>MANASSES HENRY FURNITURE</t>
        </is>
      </c>
      <c r="C656" s="5" t="inlineStr">
        <is>
          <t>MANASSES HENRY FURNITURE</t>
        </is>
      </c>
      <c r="D656" s="5" t="inlineStr">
        <is>
          <t>Legal</t>
        </is>
      </c>
      <c r="E656" s="16" t="n">
        <v>46078</v>
      </c>
      <c r="F656" s="16" t="n">
        <v>46115</v>
      </c>
      <c r="G656" s="17" t="n">
        <v>3</v>
      </c>
      <c r="H656" s="5" t="inlineStr">
        <is>
          <t>2521</t>
        </is>
      </c>
      <c r="I656" s="5" t="inlineStr">
        <is>
          <t>Wood Office Furniture Mfg.</t>
        </is>
      </c>
      <c r="J656" s="5" t="inlineStr">
        <is>
          <t>25</t>
        </is>
      </c>
      <c r="K656" s="5" t="n">
        <v>5719</v>
      </c>
      <c r="L656" s="5" t="inlineStr">
        <is>
          <t>IN</t>
        </is>
      </c>
      <c r="M656" s="5" t="inlineStr">
        <is>
          <t>Shield Funding</t>
        </is>
      </c>
      <c r="N656" s="5" t="inlineStr">
        <is>
          <t>Renewal</t>
        </is>
      </c>
      <c r="O656" s="19" t="n">
        <v>1.41</v>
      </c>
      <c r="P656" s="20" t="n">
        <v>50000</v>
      </c>
      <c r="Q656" s="20" t="n">
        <v>0</v>
      </c>
      <c r="R656" s="20" t="n">
        <v>70500</v>
      </c>
      <c r="S656" s="20" t="n">
        <v>2958.02</v>
      </c>
      <c r="T656" s="20" t="n">
        <v>67541.98</v>
      </c>
      <c r="U656" s="21" t="n">
        <v>0.0419577304964539</v>
      </c>
      <c r="V656" s="22" t="n">
        <v>36</v>
      </c>
      <c r="W656" s="17" t="n">
        <v>154</v>
      </c>
      <c r="X656" s="17" t="n">
        <v>3</v>
      </c>
      <c r="Y656" s="20" t="n">
        <v>56713.1</v>
      </c>
      <c r="Z656" s="21" t="n">
        <v>0.1381</v>
      </c>
      <c r="AA656" s="16" t="n">
        <v>42308</v>
      </c>
      <c r="AB656" s="5">
        <f>IF(V656="","",IF(V656&lt;12,"Months","Weeks"))</f>
        <v/>
      </c>
      <c r="AC656" s="5">
        <f>IF(AB656="","",IF(AB656="Months","Daily","Weekly"))</f>
        <v/>
      </c>
      <c r="AD656" s="17">
        <f>IF(V656="","",IF(AC656="Daily",V656*Controls!$B$13,V656))</f>
        <v/>
      </c>
      <c r="AE656" s="17">
        <f>IF(V656="","",IF(AC656="Daily",V656*Controls!$B$13,V656*Controls!$B$12))</f>
        <v/>
      </c>
      <c r="AF656" s="17">
        <f>IF(OR(E656="",F656=""),"",F656-E656)</f>
        <v/>
      </c>
      <c r="AG656" s="17">
        <f>IF(OR(E656="",F656=""),"",NETWORKDAYS(E656,F656,Ref!$F$4:$F$47))</f>
        <v/>
      </c>
      <c r="AH656" s="39">
        <f>IF(IFERROR(VLOOKUP(D656,Controls!$A$25:$D$35,2,FALSE()),"No")="Yes",1,0)</f>
        <v/>
      </c>
      <c r="AI656" s="39">
        <f>IF(IFERROR(VLOOKUP(D656,Controls!$A$25:$D$35,3,FALSE()),"No")="Yes",1,0)</f>
        <v/>
      </c>
      <c r="AJ656" s="39">
        <f>IF(IFERROR(VLOOKUP(D656,Controls!$A$25:$D$35,4,FALSE()),"No")="Yes",1,0)</f>
        <v/>
      </c>
      <c r="AK656" s="96">
        <f>IF(AND($E656&gt;=Controls!$B$5,$E656&lt;=Controls!$B$6,OR(Controls!$E$9&lt;&gt;"Y",$BE656=1)),1,0)</f>
        <v/>
      </c>
      <c r="AL656" s="39">
        <f>1</f>
        <v/>
      </c>
      <c r="AM656" s="20">
        <f>S656-P656</f>
        <v/>
      </c>
      <c r="AN656" s="20">
        <f>IF(AH656=1,MAX(0,P656-S656),0)</f>
        <v/>
      </c>
      <c r="AO656" s="21">
        <f>IFERROR(S656/P656,"")</f>
        <v/>
      </c>
      <c r="AP656" s="22">
        <f>IF(Y656="","",P656/Y656)</f>
        <v/>
      </c>
      <c r="AQ656" s="39">
        <f>IF(Y656="",0,1)</f>
        <v/>
      </c>
      <c r="AR656" s="39">
        <f>IF(S656&lt;=0,1,0)</f>
        <v/>
      </c>
      <c r="AS656" s="17">
        <f>IF(AH656=1,AG656,"")</f>
        <v/>
      </c>
      <c r="AT656" s="17">
        <f>IF(AND(AH656=0,AJ656=1),AG656,"")</f>
        <v/>
      </c>
      <c r="AU656" s="5">
        <f>IF(P656&lt;10000,"Under $10K",IF(P656&lt;20000,"$10-20K",IF(P656&lt;30000,"$20-30K",IF(P656&lt;50000,"$30-50K",IF(P656&lt;100000,"$50-100K","$100K+")))))</f>
        <v/>
      </c>
      <c r="AV656" s="5">
        <f>IF(O656&lt;=1.35,"1.35 and under",IF(O656&lt;=1.42,"1.36-1.42",IF(O656&lt;=1.45,"1.43-1.45",IF(O656&lt;1.49,"1.46-1.48",IF(O656&lt;=1.49,"1.49","Above 1.49")))))</f>
        <v/>
      </c>
      <c r="AW656" s="5">
        <f>IF(AE656="","",IF(AE656&lt;60,"Under 60",IF(AE656&lt;90,"60-89",IF(AE656&lt;120,"90-119",IF(AE656&lt;150,"120-149","150+")))))</f>
        <v/>
      </c>
      <c r="AX656" s="5">
        <f>IF(AP656="","No revenue data",IF(AP656&lt;0.15,"Under 0.15x",IF(AP656&lt;0.3,"0.15-0.30x",IF(AP656&lt;0.5,"0.30-0.50x",IF(AP656&lt;1,"0.50-1.00x","1.00x+")))))</f>
        <v/>
      </c>
      <c r="AY656" s="5">
        <f>IF(J656="","No SIC",IFERROR(VLOOKUP(J656,Ref!$A$4:$C$67,2,FALSE()),"Unclassified"))</f>
        <v/>
      </c>
      <c r="AZ656" s="5">
        <f>IF(E656="","",TEXT(E656,"YYYY")&amp;"-Q"&amp;ROUNDUP(MONTH(E656)/3,0))</f>
        <v/>
      </c>
      <c r="BA656" s="5">
        <f>IF(E656="","",TEXT(E656,"YYYY-MM"))</f>
        <v/>
      </c>
      <c r="BB656" s="5">
        <f>IF(E656="","",TEXT(E656,"YYYY"))</f>
        <v/>
      </c>
      <c r="BC656" s="92">
        <f>IF($E656="","",NETWORKDAYS($E656,Controls!$B$9,Ref!$F$4:$F$47))</f>
        <v/>
      </c>
      <c r="BD656" s="92">
        <f>IF(OR($AH656=1,$AJ656=1),1,0)</f>
        <v/>
      </c>
      <c r="BE656" s="95">
        <f>IF(OR($BD656=1,AND($AE656&lt;&gt;"",$BC656&gt;=Controls!$B$10*$AE656)),1,0)</f>
        <v/>
      </c>
    </row>
    <row r="657" ht="15.75" customHeight="1" s="79">
      <c r="A657" s="5" t="inlineStr">
        <is>
          <t>5674179123</t>
        </is>
      </c>
      <c r="B657" s="5" t="inlineStr">
        <is>
          <t>MICA WASTE &amp; RECYCLING LLC</t>
        </is>
      </c>
      <c r="C657" s="5" t="inlineStr">
        <is>
          <t>MICA WASTE &amp; RECYCLING LLC</t>
        </is>
      </c>
      <c r="D657" s="5" t="inlineStr">
        <is>
          <t>Written-Off</t>
        </is>
      </c>
      <c r="E657" s="16" t="n">
        <v>46078</v>
      </c>
      <c r="F657" s="16" t="n">
        <v>46146</v>
      </c>
      <c r="G657" s="17" t="n">
        <v>3</v>
      </c>
      <c r="H657" s="5" t="inlineStr">
        <is>
          <t>9511</t>
        </is>
      </c>
      <c r="I657" s="5" t="inlineStr">
        <is>
          <t>Administration of Air and Water Resource and Solid Waste Management Programs</t>
        </is>
      </c>
      <c r="J657" s="5" t="inlineStr">
        <is>
          <t>95</t>
        </is>
      </c>
      <c r="K657" s="5" t="n">
        <v>9399</v>
      </c>
      <c r="L657" s="5" t="inlineStr">
        <is>
          <t>TX</t>
        </is>
      </c>
      <c r="M657" s="5" t="inlineStr">
        <is>
          <t>United Secured Capital 8</t>
        </is>
      </c>
      <c r="N657" s="5" t="inlineStr">
        <is>
          <t>New Deal</t>
        </is>
      </c>
      <c r="O657" s="19" t="n">
        <v>1.49</v>
      </c>
      <c r="P657" s="20" t="n">
        <v>17500</v>
      </c>
      <c r="Q657" s="20" t="n">
        <v>0</v>
      </c>
      <c r="R657" s="20" t="n">
        <v>26075</v>
      </c>
      <c r="S657" s="20" t="n">
        <v>18992.6</v>
      </c>
      <c r="T657" s="20" t="n">
        <v>7082.4</v>
      </c>
      <c r="U657" s="21" t="n">
        <v>0.728383509108341</v>
      </c>
      <c r="V657" s="22" t="n">
        <v>22</v>
      </c>
      <c r="W657" s="17" t="n">
        <v>107</v>
      </c>
      <c r="X657" s="17" t="n">
        <v>2</v>
      </c>
      <c r="Y657" s="20" t="n">
        <v>82623.64</v>
      </c>
      <c r="Z657" s="21" t="n">
        <v>0.0574</v>
      </c>
      <c r="AA657" s="16" t="n">
        <v>46078</v>
      </c>
      <c r="AB657" s="5">
        <f>IF(V657="","",IF(V657&lt;12,"Months","Weeks"))</f>
        <v/>
      </c>
      <c r="AC657" s="5">
        <f>IF(AB657="","",IF(AB657="Months","Daily","Weekly"))</f>
        <v/>
      </c>
      <c r="AD657" s="17">
        <f>IF(V657="","",IF(AC657="Daily",V657*Controls!$B$13,V657))</f>
        <v/>
      </c>
      <c r="AE657" s="17">
        <f>IF(V657="","",IF(AC657="Daily",V657*Controls!$B$13,V657*Controls!$B$12))</f>
        <v/>
      </c>
      <c r="AF657" s="17">
        <f>IF(OR(E657="",F657=""),"",F657-E657)</f>
        <v/>
      </c>
      <c r="AG657" s="17">
        <f>IF(OR(E657="",F657=""),"",NETWORKDAYS(E657,F657,Ref!$F$4:$F$47))</f>
        <v/>
      </c>
      <c r="AH657" s="39">
        <f>IF(IFERROR(VLOOKUP(D657,Controls!$A$25:$D$35,2,FALSE()),"No")="Yes",1,0)</f>
        <v/>
      </c>
      <c r="AI657" s="39">
        <f>IF(IFERROR(VLOOKUP(D657,Controls!$A$25:$D$35,3,FALSE()),"No")="Yes",1,0)</f>
        <v/>
      </c>
      <c r="AJ657" s="39">
        <f>IF(IFERROR(VLOOKUP(D657,Controls!$A$25:$D$35,4,FALSE()),"No")="Yes",1,0)</f>
        <v/>
      </c>
      <c r="AK657" s="96">
        <f>IF(AND($E657&gt;=Controls!$B$5,$E657&lt;=Controls!$B$6,OR(Controls!$E$9&lt;&gt;"Y",$BE657=1)),1,0)</f>
        <v/>
      </c>
      <c r="AL657" s="39">
        <f>1</f>
        <v/>
      </c>
      <c r="AM657" s="20">
        <f>S657-P657</f>
        <v/>
      </c>
      <c r="AN657" s="20">
        <f>IF(AH657=1,MAX(0,P657-S657),0)</f>
        <v/>
      </c>
      <c r="AO657" s="21">
        <f>IFERROR(S657/P657,"")</f>
        <v/>
      </c>
      <c r="AP657" s="22">
        <f>IF(Y657="","",P657/Y657)</f>
        <v/>
      </c>
      <c r="AQ657" s="39">
        <f>IF(Y657="",0,1)</f>
        <v/>
      </c>
      <c r="AR657" s="39">
        <f>IF(S657&lt;=0,1,0)</f>
        <v/>
      </c>
      <c r="AS657" s="17">
        <f>IF(AH657=1,AG657,"")</f>
        <v/>
      </c>
      <c r="AT657" s="17">
        <f>IF(AND(AH657=0,AJ657=1),AG657,"")</f>
        <v/>
      </c>
      <c r="AU657" s="5">
        <f>IF(P657&lt;10000,"Under $10K",IF(P657&lt;20000,"$10-20K",IF(P657&lt;30000,"$20-30K",IF(P657&lt;50000,"$30-50K",IF(P657&lt;100000,"$50-100K","$100K+")))))</f>
        <v/>
      </c>
      <c r="AV657" s="5">
        <f>IF(O657&lt;=1.35,"1.35 and under",IF(O657&lt;=1.42,"1.36-1.42",IF(O657&lt;=1.45,"1.43-1.45",IF(O657&lt;1.49,"1.46-1.48",IF(O657&lt;=1.49,"1.49","Above 1.49")))))</f>
        <v/>
      </c>
      <c r="AW657" s="5">
        <f>IF(AE657="","",IF(AE657&lt;60,"Under 60",IF(AE657&lt;90,"60-89",IF(AE657&lt;120,"90-119",IF(AE657&lt;150,"120-149","150+")))))</f>
        <v/>
      </c>
      <c r="AX657" s="5">
        <f>IF(AP657="","No revenue data",IF(AP657&lt;0.15,"Under 0.15x",IF(AP657&lt;0.3,"0.15-0.30x",IF(AP657&lt;0.5,"0.30-0.50x",IF(AP657&lt;1,"0.50-1.00x","1.00x+")))))</f>
        <v/>
      </c>
      <c r="AY657" s="5">
        <f>IF(J657="","No SIC",IFERROR(VLOOKUP(J657,Ref!$A$4:$C$67,2,FALSE()),"Unclassified"))</f>
        <v/>
      </c>
      <c r="AZ657" s="5">
        <f>IF(E657="","",TEXT(E657,"YYYY")&amp;"-Q"&amp;ROUNDUP(MONTH(E657)/3,0))</f>
        <v/>
      </c>
      <c r="BA657" s="5">
        <f>IF(E657="","",TEXT(E657,"YYYY-MM"))</f>
        <v/>
      </c>
      <c r="BB657" s="5">
        <f>IF(E657="","",TEXT(E657,"YYYY"))</f>
        <v/>
      </c>
      <c r="BC657" s="92">
        <f>IF($E657="","",NETWORKDAYS($E657,Controls!$B$9,Ref!$F$4:$F$47))</f>
        <v/>
      </c>
      <c r="BD657" s="92">
        <f>IF(OR($AH657=1,$AJ657=1),1,0)</f>
        <v/>
      </c>
      <c r="BE657" s="95">
        <f>IF(OR($BD657=1,AND($AE657&lt;&gt;"",$BC657&gt;=Controls!$B$10*$AE657)),1,0)</f>
        <v/>
      </c>
    </row>
    <row r="658" ht="15.75" customHeight="1" s="79">
      <c r="A658" s="5" t="inlineStr">
        <is>
          <t>5674179183</t>
        </is>
      </c>
      <c r="B658" s="5" t="inlineStr">
        <is>
          <t>ALPHA 3 MASONRY &amp; REMODEL</t>
        </is>
      </c>
      <c r="C658" s="5" t="inlineStr">
        <is>
          <t>ALPHA 3 MASONRY &amp; REMODEL LLC</t>
        </is>
      </c>
      <c r="D658" s="5" t="inlineStr">
        <is>
          <t>Closed</t>
        </is>
      </c>
      <c r="E658" s="16" t="n">
        <v>46079</v>
      </c>
      <c r="F658" s="16" t="n">
        <v>46157</v>
      </c>
      <c r="G658" s="17" t="n">
        <v>2</v>
      </c>
      <c r="H658" s="5" t="inlineStr">
        <is>
          <t>1521</t>
        </is>
      </c>
      <c r="I658" s="5" t="inlineStr">
        <is>
          <t>New Single-Family Housing Construction (Except For-Sale Builders)</t>
        </is>
      </c>
      <c r="J658" s="5" t="inlineStr">
        <is>
          <t>15</t>
        </is>
      </c>
      <c r="K658" s="5" t="n">
        <v>1520</v>
      </c>
      <c r="L658" s="5" t="inlineStr">
        <is>
          <t>AZ</t>
        </is>
      </c>
      <c r="M658" s="5" t="inlineStr">
        <is>
          <t>FIMACAP INC</t>
        </is>
      </c>
      <c r="N658" s="5" t="inlineStr">
        <is>
          <t>Renewal</t>
        </is>
      </c>
      <c r="O658" s="19" t="n">
        <v>1.49</v>
      </c>
      <c r="P658" s="20" t="n">
        <v>25000</v>
      </c>
      <c r="Q658" s="20" t="n">
        <v>3500</v>
      </c>
      <c r="R658" s="20" t="n">
        <v>37250</v>
      </c>
      <c r="S658" s="20" t="n">
        <v>37250</v>
      </c>
      <c r="T658" s="20" t="n">
        <v>0</v>
      </c>
      <c r="U658" s="21" t="n">
        <v>1</v>
      </c>
      <c r="V658" s="22" t="n">
        <v>24</v>
      </c>
      <c r="W658" s="17" t="n">
        <v>96</v>
      </c>
      <c r="X658" s="17" t="n">
        <v>1</v>
      </c>
      <c r="Y658" s="20" t="n">
        <v>123628.7</v>
      </c>
      <c r="Z658" s="21" t="n">
        <v>0.0502</v>
      </c>
      <c r="AA658" s="16" t="n">
        <v>44562</v>
      </c>
      <c r="AB658" s="5">
        <f>IF(V658="","",IF(V658&lt;12,"Months","Weeks"))</f>
        <v/>
      </c>
      <c r="AC658" s="5">
        <f>IF(AB658="","",IF(AB658="Months","Daily","Weekly"))</f>
        <v/>
      </c>
      <c r="AD658" s="17">
        <f>IF(V658="","",IF(AC658="Daily",V658*Controls!$B$13,V658))</f>
        <v/>
      </c>
      <c r="AE658" s="17">
        <f>IF(V658="","",IF(AC658="Daily",V658*Controls!$B$13,V658*Controls!$B$12))</f>
        <v/>
      </c>
      <c r="AF658" s="17">
        <f>IF(OR(E658="",F658=""),"",F658-E658)</f>
        <v/>
      </c>
      <c r="AG658" s="17">
        <f>IF(OR(E658="",F658=""),"",NETWORKDAYS(E658,F658,Ref!$F$4:$F$47))</f>
        <v/>
      </c>
      <c r="AH658" s="39">
        <f>IF(IFERROR(VLOOKUP(D658,Controls!$A$25:$D$35,2,FALSE()),"No")="Yes",1,0)</f>
        <v/>
      </c>
      <c r="AI658" s="39">
        <f>IF(IFERROR(VLOOKUP(D658,Controls!$A$25:$D$35,3,FALSE()),"No")="Yes",1,0)</f>
        <v/>
      </c>
      <c r="AJ658" s="39">
        <f>IF(IFERROR(VLOOKUP(D658,Controls!$A$25:$D$35,4,FALSE()),"No")="Yes",1,0)</f>
        <v/>
      </c>
      <c r="AK658" s="96">
        <f>IF(AND($E658&gt;=Controls!$B$5,$E658&lt;=Controls!$B$6,OR(Controls!$E$9&lt;&gt;"Y",$BE658=1)),1,0)</f>
        <v/>
      </c>
      <c r="AL658" s="39">
        <f>1</f>
        <v/>
      </c>
      <c r="AM658" s="20">
        <f>S658-P658</f>
        <v/>
      </c>
      <c r="AN658" s="20">
        <f>IF(AH658=1,MAX(0,P658-S658),0)</f>
        <v/>
      </c>
      <c r="AO658" s="21">
        <f>IFERROR(S658/P658,"")</f>
        <v/>
      </c>
      <c r="AP658" s="22">
        <f>IF(Y658="","",P658/Y658)</f>
        <v/>
      </c>
      <c r="AQ658" s="39">
        <f>IF(Y658="",0,1)</f>
        <v/>
      </c>
      <c r="AR658" s="39">
        <f>IF(S658&lt;=0,1,0)</f>
        <v/>
      </c>
      <c r="AS658" s="17">
        <f>IF(AH658=1,AG658,"")</f>
        <v/>
      </c>
      <c r="AT658" s="17">
        <f>IF(AND(AH658=0,AJ658=1),AG658,"")</f>
        <v/>
      </c>
      <c r="AU658" s="5">
        <f>IF(P658&lt;10000,"Under $10K",IF(P658&lt;20000,"$10-20K",IF(P658&lt;30000,"$20-30K",IF(P658&lt;50000,"$30-50K",IF(P658&lt;100000,"$50-100K","$100K+")))))</f>
        <v/>
      </c>
      <c r="AV658" s="5">
        <f>IF(O658&lt;=1.35,"1.35 and under",IF(O658&lt;=1.42,"1.36-1.42",IF(O658&lt;=1.45,"1.43-1.45",IF(O658&lt;1.49,"1.46-1.48",IF(O658&lt;=1.49,"1.49","Above 1.49")))))</f>
        <v/>
      </c>
      <c r="AW658" s="5">
        <f>IF(AE658="","",IF(AE658&lt;60,"Under 60",IF(AE658&lt;90,"60-89",IF(AE658&lt;120,"90-119",IF(AE658&lt;150,"120-149","150+")))))</f>
        <v/>
      </c>
      <c r="AX658" s="5">
        <f>IF(AP658="","No revenue data",IF(AP658&lt;0.15,"Under 0.15x",IF(AP658&lt;0.3,"0.15-0.30x",IF(AP658&lt;0.5,"0.30-0.50x",IF(AP658&lt;1,"0.50-1.00x","1.00x+")))))</f>
        <v/>
      </c>
      <c r="AY658" s="5">
        <f>IF(J658="","No SIC",IFERROR(VLOOKUP(J658,Ref!$A$4:$C$67,2,FALSE()),"Unclassified"))</f>
        <v/>
      </c>
      <c r="AZ658" s="5">
        <f>IF(E658="","",TEXT(E658,"YYYY")&amp;"-Q"&amp;ROUNDUP(MONTH(E658)/3,0))</f>
        <v/>
      </c>
      <c r="BA658" s="5">
        <f>IF(E658="","",TEXT(E658,"YYYY-MM"))</f>
        <v/>
      </c>
      <c r="BB658" s="5">
        <f>IF(E658="","",TEXT(E658,"YYYY"))</f>
        <v/>
      </c>
      <c r="BC658" s="92">
        <f>IF($E658="","",NETWORKDAYS($E658,Controls!$B$9,Ref!$F$4:$F$47))</f>
        <v/>
      </c>
      <c r="BD658" s="92">
        <f>IF(OR($AH658=1,$AJ658=1),1,0)</f>
        <v/>
      </c>
      <c r="BE658" s="95">
        <f>IF(OR($BD658=1,AND($AE658&lt;&gt;"",$BC658&gt;=Controls!$B$10*$AE658)),1,0)</f>
        <v/>
      </c>
    </row>
    <row r="659" ht="15.75" customHeight="1" s="79">
      <c r="A659" s="5" t="inlineStr">
        <is>
          <t>5674179187</t>
        </is>
      </c>
      <c r="B659" s="5" t="inlineStr">
        <is>
          <t>SC GROUP LLC</t>
        </is>
      </c>
      <c r="C659" s="5" t="inlineStr">
        <is>
          <t>SC GROUP LLC</t>
        </is>
      </c>
      <c r="D659" s="5" t="inlineStr">
        <is>
          <t>Closed</t>
        </is>
      </c>
      <c r="E659" s="16" t="n">
        <v>46079</v>
      </c>
      <c r="F659" s="16" t="n">
        <v>46161</v>
      </c>
      <c r="G659" s="17" t="n">
        <v>2</v>
      </c>
      <c r="H659" s="5" t="inlineStr">
        <is>
          <t>7629</t>
        </is>
      </c>
      <c r="I659" s="5" t="inlineStr">
        <is>
          <t>Consumer Electronics Repair and Maintenance</t>
        </is>
      </c>
      <c r="J659" s="5" t="inlineStr">
        <is>
          <t>76</t>
        </is>
      </c>
      <c r="K659" s="5" t="n">
        <v>7629</v>
      </c>
      <c r="L659" s="5" t="inlineStr">
        <is>
          <t>NJ</t>
        </is>
      </c>
      <c r="M659" s="5" t="inlineStr">
        <is>
          <t>level 3 funding</t>
        </is>
      </c>
      <c r="N659" s="5" t="inlineStr">
        <is>
          <t>Renewal</t>
        </is>
      </c>
      <c r="O659" s="19" t="n">
        <v>1.47</v>
      </c>
      <c r="P659" s="20" t="n">
        <v>12000</v>
      </c>
      <c r="Q659" s="20" t="n">
        <v>1560</v>
      </c>
      <c r="R659" s="20" t="n">
        <v>17640</v>
      </c>
      <c r="S659" s="20" t="n">
        <v>17640</v>
      </c>
      <c r="T659" s="20" t="n">
        <v>0</v>
      </c>
      <c r="U659" s="21" t="n">
        <v>1</v>
      </c>
      <c r="V659" s="22" t="n">
        <v>2.951</v>
      </c>
      <c r="W659" s="17" t="n">
        <v>92</v>
      </c>
      <c r="X659" s="17" t="n">
        <v>0</v>
      </c>
      <c r="Y659" s="20" t="n">
        <v>38306.63</v>
      </c>
      <c r="Z659" s="21" t="n">
        <v>0.1074</v>
      </c>
      <c r="AA659" s="16" t="n">
        <v>43374</v>
      </c>
      <c r="AB659" s="5">
        <f>IF(V659="","",IF(V659&lt;12,"Months","Weeks"))</f>
        <v/>
      </c>
      <c r="AC659" s="5">
        <f>IF(AB659="","",IF(AB659="Months","Daily","Weekly"))</f>
        <v/>
      </c>
      <c r="AD659" s="17">
        <f>IF(V659="","",IF(AC659="Daily",V659*Controls!$B$13,V659))</f>
        <v/>
      </c>
      <c r="AE659" s="17">
        <f>IF(V659="","",IF(AC659="Daily",V659*Controls!$B$13,V659*Controls!$B$12))</f>
        <v/>
      </c>
      <c r="AF659" s="17">
        <f>IF(OR(E659="",F659=""),"",F659-E659)</f>
        <v/>
      </c>
      <c r="AG659" s="17">
        <f>IF(OR(E659="",F659=""),"",NETWORKDAYS(E659,F659,Ref!$F$4:$F$47))</f>
        <v/>
      </c>
      <c r="AH659" s="39">
        <f>IF(IFERROR(VLOOKUP(D659,Controls!$A$25:$D$35,2,FALSE()),"No")="Yes",1,0)</f>
        <v/>
      </c>
      <c r="AI659" s="39">
        <f>IF(IFERROR(VLOOKUP(D659,Controls!$A$25:$D$35,3,FALSE()),"No")="Yes",1,0)</f>
        <v/>
      </c>
      <c r="AJ659" s="39">
        <f>IF(IFERROR(VLOOKUP(D659,Controls!$A$25:$D$35,4,FALSE()),"No")="Yes",1,0)</f>
        <v/>
      </c>
      <c r="AK659" s="96">
        <f>IF(AND($E659&gt;=Controls!$B$5,$E659&lt;=Controls!$B$6,OR(Controls!$E$9&lt;&gt;"Y",$BE659=1)),1,0)</f>
        <v/>
      </c>
      <c r="AL659" s="39">
        <f>1</f>
        <v/>
      </c>
      <c r="AM659" s="20">
        <f>S659-P659</f>
        <v/>
      </c>
      <c r="AN659" s="20">
        <f>IF(AH659=1,MAX(0,P659-S659),0)</f>
        <v/>
      </c>
      <c r="AO659" s="21">
        <f>IFERROR(S659/P659,"")</f>
        <v/>
      </c>
      <c r="AP659" s="22">
        <f>IF(Y659="","",P659/Y659)</f>
        <v/>
      </c>
      <c r="AQ659" s="39">
        <f>IF(Y659="",0,1)</f>
        <v/>
      </c>
      <c r="AR659" s="39">
        <f>IF(S659&lt;=0,1,0)</f>
        <v/>
      </c>
      <c r="AS659" s="17">
        <f>IF(AH659=1,AG659,"")</f>
        <v/>
      </c>
      <c r="AT659" s="17">
        <f>IF(AND(AH659=0,AJ659=1),AG659,"")</f>
        <v/>
      </c>
      <c r="AU659" s="5">
        <f>IF(P659&lt;10000,"Under $10K",IF(P659&lt;20000,"$10-20K",IF(P659&lt;30000,"$20-30K",IF(P659&lt;50000,"$30-50K",IF(P659&lt;100000,"$50-100K","$100K+")))))</f>
        <v/>
      </c>
      <c r="AV659" s="5">
        <f>IF(O659&lt;=1.35,"1.35 and under",IF(O659&lt;=1.42,"1.36-1.42",IF(O659&lt;=1.45,"1.43-1.45",IF(O659&lt;1.49,"1.46-1.48",IF(O659&lt;=1.49,"1.49","Above 1.49")))))</f>
        <v/>
      </c>
      <c r="AW659" s="5">
        <f>IF(AE659="","",IF(AE659&lt;60,"Under 60",IF(AE659&lt;90,"60-89",IF(AE659&lt;120,"90-119",IF(AE659&lt;150,"120-149","150+")))))</f>
        <v/>
      </c>
      <c r="AX659" s="5">
        <f>IF(AP659="","No revenue data",IF(AP659&lt;0.15,"Under 0.15x",IF(AP659&lt;0.3,"0.15-0.30x",IF(AP659&lt;0.5,"0.30-0.50x",IF(AP659&lt;1,"0.50-1.00x","1.00x+")))))</f>
        <v/>
      </c>
      <c r="AY659" s="5">
        <f>IF(J659="","No SIC",IFERROR(VLOOKUP(J659,Ref!$A$4:$C$67,2,FALSE()),"Unclassified"))</f>
        <v/>
      </c>
      <c r="AZ659" s="5">
        <f>IF(E659="","",TEXT(E659,"YYYY")&amp;"-Q"&amp;ROUNDUP(MONTH(E659)/3,0))</f>
        <v/>
      </c>
      <c r="BA659" s="5">
        <f>IF(E659="","",TEXT(E659,"YYYY-MM"))</f>
        <v/>
      </c>
      <c r="BB659" s="5">
        <f>IF(E659="","",TEXT(E659,"YYYY"))</f>
        <v/>
      </c>
      <c r="BC659" s="92">
        <f>IF($E659="","",NETWORKDAYS($E659,Controls!$B$9,Ref!$F$4:$F$47))</f>
        <v/>
      </c>
      <c r="BD659" s="92">
        <f>IF(OR($AH659=1,$AJ659=1),1,0)</f>
        <v/>
      </c>
      <c r="BE659" s="95">
        <f>IF(OR($BD659=1,AND($AE659&lt;&gt;"",$BC659&gt;=Controls!$B$10*$AE659)),1,0)</f>
        <v/>
      </c>
    </row>
    <row r="660" ht="15.75" customHeight="1" s="79">
      <c r="A660" s="5" t="inlineStr">
        <is>
          <t>5674179218</t>
        </is>
      </c>
      <c r="B660" s="5" t="inlineStr">
        <is>
          <t>Rodeo 29 Bar &amp; Grill</t>
        </is>
      </c>
      <c r="C660" s="5" t="inlineStr">
        <is>
          <t>Rodeo 29 Bar &amp; Grill</t>
        </is>
      </c>
      <c r="D660" s="5" t="inlineStr">
        <is>
          <t>Closed</t>
        </is>
      </c>
      <c r="E660" s="16" t="n">
        <v>46079</v>
      </c>
      <c r="F660" s="16" t="n">
        <v>46224</v>
      </c>
      <c r="G660" s="17" t="n">
        <v>3</v>
      </c>
      <c r="H660" s="5" t="inlineStr">
        <is>
          <t>5812</t>
        </is>
      </c>
      <c r="I660" s="5" t="inlineStr">
        <is>
          <t>Snack and Nonalcoholic Beverage Bars</t>
        </is>
      </c>
      <c r="J660" s="5" t="inlineStr">
        <is>
          <t>58</t>
        </is>
      </c>
      <c r="K660" s="5" t="n">
        <v>5812</v>
      </c>
      <c r="L660" s="5" t="inlineStr">
        <is>
          <t>IL</t>
        </is>
      </c>
      <c r="M660" s="5" t="inlineStr">
        <is>
          <t>Ballicci</t>
        </is>
      </c>
      <c r="N660" s="5" t="inlineStr">
        <is>
          <t>Renewal</t>
        </is>
      </c>
      <c r="O660" s="19" t="n">
        <v>1.49</v>
      </c>
      <c r="P660" s="20" t="n">
        <v>40000</v>
      </c>
      <c r="Q660" s="20" t="n">
        <v>5600</v>
      </c>
      <c r="R660" s="20" t="n">
        <v>59600</v>
      </c>
      <c r="S660" s="20" t="n">
        <v>59600</v>
      </c>
      <c r="T660" s="20" t="n">
        <v>0</v>
      </c>
      <c r="U660" s="21" t="n">
        <v>1</v>
      </c>
      <c r="V660" s="22" t="n">
        <v>4.59</v>
      </c>
      <c r="W660" s="17" t="n">
        <v>29</v>
      </c>
      <c r="X660" s="17" t="n">
        <v>4</v>
      </c>
      <c r="Y660" s="20" t="n">
        <v>51003.83</v>
      </c>
      <c r="Z660" s="21" t="n">
        <v>0.1753</v>
      </c>
      <c r="AA660" s="16" t="n">
        <v>45344</v>
      </c>
      <c r="AB660" s="5">
        <f>IF(V660="","",IF(V660&lt;12,"Months","Weeks"))</f>
        <v/>
      </c>
      <c r="AC660" s="5">
        <f>IF(AB660="","",IF(AB660="Months","Daily","Weekly"))</f>
        <v/>
      </c>
      <c r="AD660" s="17">
        <f>IF(V660="","",IF(AC660="Daily",V660*Controls!$B$13,V660))</f>
        <v/>
      </c>
      <c r="AE660" s="17">
        <f>IF(V660="","",IF(AC660="Daily",V660*Controls!$B$13,V660*Controls!$B$12))</f>
        <v/>
      </c>
      <c r="AF660" s="17">
        <f>IF(OR(E660="",F660=""),"",F660-E660)</f>
        <v/>
      </c>
      <c r="AG660" s="17">
        <f>IF(OR(E660="",F660=""),"",NETWORKDAYS(E660,F660,Ref!$F$4:$F$47))</f>
        <v/>
      </c>
      <c r="AH660" s="39">
        <f>IF(IFERROR(VLOOKUP(D660,Controls!$A$25:$D$35,2,FALSE()),"No")="Yes",1,0)</f>
        <v/>
      </c>
      <c r="AI660" s="39">
        <f>IF(IFERROR(VLOOKUP(D660,Controls!$A$25:$D$35,3,FALSE()),"No")="Yes",1,0)</f>
        <v/>
      </c>
      <c r="AJ660" s="39">
        <f>IF(IFERROR(VLOOKUP(D660,Controls!$A$25:$D$35,4,FALSE()),"No")="Yes",1,0)</f>
        <v/>
      </c>
      <c r="AK660" s="96">
        <f>IF(AND($E660&gt;=Controls!$B$5,$E660&lt;=Controls!$B$6,OR(Controls!$E$9&lt;&gt;"Y",$BE660=1)),1,0)</f>
        <v/>
      </c>
      <c r="AL660" s="39">
        <f>1</f>
        <v/>
      </c>
      <c r="AM660" s="20">
        <f>S660-P660</f>
        <v/>
      </c>
      <c r="AN660" s="20">
        <f>IF(AH660=1,MAX(0,P660-S660),0)</f>
        <v/>
      </c>
      <c r="AO660" s="21">
        <f>IFERROR(S660/P660,"")</f>
        <v/>
      </c>
      <c r="AP660" s="22">
        <f>IF(Y660="","",P660/Y660)</f>
        <v/>
      </c>
      <c r="AQ660" s="39">
        <f>IF(Y660="",0,1)</f>
        <v/>
      </c>
      <c r="AR660" s="39">
        <f>IF(S660&lt;=0,1,0)</f>
        <v/>
      </c>
      <c r="AS660" s="17">
        <f>IF(AH660=1,AG660,"")</f>
        <v/>
      </c>
      <c r="AT660" s="17">
        <f>IF(AND(AH660=0,AJ660=1),AG660,"")</f>
        <v/>
      </c>
      <c r="AU660" s="5">
        <f>IF(P660&lt;10000,"Under $10K",IF(P660&lt;20000,"$10-20K",IF(P660&lt;30000,"$20-30K",IF(P660&lt;50000,"$30-50K",IF(P660&lt;100000,"$50-100K","$100K+")))))</f>
        <v/>
      </c>
      <c r="AV660" s="5">
        <f>IF(O660&lt;=1.35,"1.35 and under",IF(O660&lt;=1.42,"1.36-1.42",IF(O660&lt;=1.45,"1.43-1.45",IF(O660&lt;1.49,"1.46-1.48",IF(O660&lt;=1.49,"1.49","Above 1.49")))))</f>
        <v/>
      </c>
      <c r="AW660" s="5">
        <f>IF(AE660="","",IF(AE660&lt;60,"Under 60",IF(AE660&lt;90,"60-89",IF(AE660&lt;120,"90-119",IF(AE660&lt;150,"120-149","150+")))))</f>
        <v/>
      </c>
      <c r="AX660" s="5">
        <f>IF(AP660="","No revenue data",IF(AP660&lt;0.15,"Under 0.15x",IF(AP660&lt;0.3,"0.15-0.30x",IF(AP660&lt;0.5,"0.30-0.50x",IF(AP660&lt;1,"0.50-1.00x","1.00x+")))))</f>
        <v/>
      </c>
      <c r="AY660" s="5">
        <f>IF(J660="","No SIC",IFERROR(VLOOKUP(J660,Ref!$A$4:$C$67,2,FALSE()),"Unclassified"))</f>
        <v/>
      </c>
      <c r="AZ660" s="5">
        <f>IF(E660="","",TEXT(E660,"YYYY")&amp;"-Q"&amp;ROUNDUP(MONTH(E660)/3,0))</f>
        <v/>
      </c>
      <c r="BA660" s="5">
        <f>IF(E660="","",TEXT(E660,"YYYY-MM"))</f>
        <v/>
      </c>
      <c r="BB660" s="5">
        <f>IF(E660="","",TEXT(E660,"YYYY"))</f>
        <v/>
      </c>
      <c r="BC660" s="92">
        <f>IF($E660="","",NETWORKDAYS($E660,Controls!$B$9,Ref!$F$4:$F$47))</f>
        <v/>
      </c>
      <c r="BD660" s="92">
        <f>IF(OR($AH660=1,$AJ660=1),1,0)</f>
        <v/>
      </c>
      <c r="BE660" s="95">
        <f>IF(OR($BD660=1,AND($AE660&lt;&gt;"",$BC660&gt;=Controls!$B$10*$AE660)),1,0)</f>
        <v/>
      </c>
    </row>
    <row r="661" ht="15.75" customHeight="1" s="79">
      <c r="A661" s="5" t="inlineStr">
        <is>
          <t>5674179253</t>
        </is>
      </c>
      <c r="B661" s="5" t="inlineStr">
        <is>
          <t>WESTBROOK AUTOMOTIVE</t>
        </is>
      </c>
      <c r="C661" s="5" t="inlineStr">
        <is>
          <t>WESTBROOK AUTOMOTIVE, INC.</t>
        </is>
      </c>
      <c r="D661" s="5" t="inlineStr">
        <is>
          <t>Closed</t>
        </is>
      </c>
      <c r="E661" s="16" t="n">
        <v>46080</v>
      </c>
      <c r="F661" s="16" t="n">
        <v>46142</v>
      </c>
      <c r="G661" s="17" t="n">
        <v>3</v>
      </c>
      <c r="H661" s="5" t="inlineStr">
        <is>
          <t>5599</t>
        </is>
      </c>
      <c r="I661" s="5" t="inlineStr">
        <is>
          <t>Motorcycle, ATV, and All Other Motor Vehicle Dealers</t>
        </is>
      </c>
      <c r="J661" s="5" t="inlineStr">
        <is>
          <t>55</t>
        </is>
      </c>
      <c r="K661" s="5" t="n">
        <v>5599</v>
      </c>
      <c r="L661" s="5" t="inlineStr">
        <is>
          <t>TN</t>
        </is>
      </c>
      <c r="M661" s="5" t="inlineStr">
        <is>
          <t>United Secured Capital 8</t>
        </is>
      </c>
      <c r="N661" s="5" t="inlineStr">
        <is>
          <t>New Deal</t>
        </is>
      </c>
      <c r="O661" s="19" t="n">
        <v>1.49</v>
      </c>
      <c r="P661" s="20" t="n">
        <v>10000</v>
      </c>
      <c r="Q661" s="20" t="n">
        <v>1400</v>
      </c>
      <c r="R661" s="20" t="n">
        <v>14900</v>
      </c>
      <c r="S661" s="20" t="n">
        <v>14900</v>
      </c>
      <c r="T661" s="20" t="n">
        <v>0</v>
      </c>
      <c r="U661" s="21" t="n">
        <v>1</v>
      </c>
      <c r="V661" s="22" t="n">
        <v>14</v>
      </c>
      <c r="W661" s="17" t="n">
        <v>111</v>
      </c>
      <c r="X661" s="17" t="n">
        <v>0</v>
      </c>
      <c r="Y661" s="20" t="n">
        <v>67518.91</v>
      </c>
      <c r="Z661" s="21" t="n">
        <v>0.331</v>
      </c>
      <c r="AA661" s="16" t="n">
        <v>45247</v>
      </c>
      <c r="AB661" s="5">
        <f>IF(V661="","",IF(V661&lt;12,"Months","Weeks"))</f>
        <v/>
      </c>
      <c r="AC661" s="5">
        <f>IF(AB661="","",IF(AB661="Months","Daily","Weekly"))</f>
        <v/>
      </c>
      <c r="AD661" s="17">
        <f>IF(V661="","",IF(AC661="Daily",V661*Controls!$B$13,V661))</f>
        <v/>
      </c>
      <c r="AE661" s="17">
        <f>IF(V661="","",IF(AC661="Daily",V661*Controls!$B$13,V661*Controls!$B$12))</f>
        <v/>
      </c>
      <c r="AF661" s="17">
        <f>IF(OR(E661="",F661=""),"",F661-E661)</f>
        <v/>
      </c>
      <c r="AG661" s="17">
        <f>IF(OR(E661="",F661=""),"",NETWORKDAYS(E661,F661,Ref!$F$4:$F$47))</f>
        <v/>
      </c>
      <c r="AH661" s="39">
        <f>IF(IFERROR(VLOOKUP(D661,Controls!$A$25:$D$35,2,FALSE()),"No")="Yes",1,0)</f>
        <v/>
      </c>
      <c r="AI661" s="39">
        <f>IF(IFERROR(VLOOKUP(D661,Controls!$A$25:$D$35,3,FALSE()),"No")="Yes",1,0)</f>
        <v/>
      </c>
      <c r="AJ661" s="39">
        <f>IF(IFERROR(VLOOKUP(D661,Controls!$A$25:$D$35,4,FALSE()),"No")="Yes",1,0)</f>
        <v/>
      </c>
      <c r="AK661" s="96">
        <f>IF(AND($E661&gt;=Controls!$B$5,$E661&lt;=Controls!$B$6,OR(Controls!$E$9&lt;&gt;"Y",$BE661=1)),1,0)</f>
        <v/>
      </c>
      <c r="AL661" s="39">
        <f>1</f>
        <v/>
      </c>
      <c r="AM661" s="20">
        <f>S661-P661</f>
        <v/>
      </c>
      <c r="AN661" s="20">
        <f>IF(AH661=1,MAX(0,P661-S661),0)</f>
        <v/>
      </c>
      <c r="AO661" s="21">
        <f>IFERROR(S661/P661,"")</f>
        <v/>
      </c>
      <c r="AP661" s="22">
        <f>IF(Y661="","",P661/Y661)</f>
        <v/>
      </c>
      <c r="AQ661" s="39">
        <f>IF(Y661="",0,1)</f>
        <v/>
      </c>
      <c r="AR661" s="39">
        <f>IF(S661&lt;=0,1,0)</f>
        <v/>
      </c>
      <c r="AS661" s="17">
        <f>IF(AH661=1,AG661,"")</f>
        <v/>
      </c>
      <c r="AT661" s="17">
        <f>IF(AND(AH661=0,AJ661=1),AG661,"")</f>
        <v/>
      </c>
      <c r="AU661" s="5">
        <f>IF(P661&lt;10000,"Under $10K",IF(P661&lt;20000,"$10-20K",IF(P661&lt;30000,"$20-30K",IF(P661&lt;50000,"$30-50K",IF(P661&lt;100000,"$50-100K","$100K+")))))</f>
        <v/>
      </c>
      <c r="AV661" s="5">
        <f>IF(O661&lt;=1.35,"1.35 and under",IF(O661&lt;=1.42,"1.36-1.42",IF(O661&lt;=1.45,"1.43-1.45",IF(O661&lt;1.49,"1.46-1.48",IF(O661&lt;=1.49,"1.49","Above 1.49")))))</f>
        <v/>
      </c>
      <c r="AW661" s="5">
        <f>IF(AE661="","",IF(AE661&lt;60,"Under 60",IF(AE661&lt;90,"60-89",IF(AE661&lt;120,"90-119",IF(AE661&lt;150,"120-149","150+")))))</f>
        <v/>
      </c>
      <c r="AX661" s="5">
        <f>IF(AP661="","No revenue data",IF(AP661&lt;0.15,"Under 0.15x",IF(AP661&lt;0.3,"0.15-0.30x",IF(AP661&lt;0.5,"0.30-0.50x",IF(AP661&lt;1,"0.50-1.00x","1.00x+")))))</f>
        <v/>
      </c>
      <c r="AY661" s="5">
        <f>IF(J661="","No SIC",IFERROR(VLOOKUP(J661,Ref!$A$4:$C$67,2,FALSE()),"Unclassified"))</f>
        <v/>
      </c>
      <c r="AZ661" s="5">
        <f>IF(E661="","",TEXT(E661,"YYYY")&amp;"-Q"&amp;ROUNDUP(MONTH(E661)/3,0))</f>
        <v/>
      </c>
      <c r="BA661" s="5">
        <f>IF(E661="","",TEXT(E661,"YYYY-MM"))</f>
        <v/>
      </c>
      <c r="BB661" s="5">
        <f>IF(E661="","",TEXT(E661,"YYYY"))</f>
        <v/>
      </c>
      <c r="BC661" s="92">
        <f>IF($E661="","",NETWORKDAYS($E661,Controls!$B$9,Ref!$F$4:$F$47))</f>
        <v/>
      </c>
      <c r="BD661" s="92">
        <f>IF(OR($AH661=1,$AJ661=1),1,0)</f>
        <v/>
      </c>
      <c r="BE661" s="95">
        <f>IF(OR($BD661=1,AND($AE661&lt;&gt;"",$BC661&gt;=Controls!$B$10*$AE661)),1,0)</f>
        <v/>
      </c>
    </row>
    <row r="662" ht="15.75" customHeight="1" s="79">
      <c r="A662" s="5" t="inlineStr">
        <is>
          <t>5674179297</t>
        </is>
      </c>
      <c r="B662" s="5" t="inlineStr">
        <is>
          <t>Smile with care Dental of Colorado</t>
        </is>
      </c>
      <c r="C662" s="5" t="inlineStr">
        <is>
          <t>Smile with Care dental of Colorado</t>
        </is>
      </c>
      <c r="D662" s="5" t="inlineStr">
        <is>
          <t>In House Collection</t>
        </is>
      </c>
      <c r="E662" s="16" t="n">
        <v>46080</v>
      </c>
      <c r="F662" s="16" t="n">
        <v>46203</v>
      </c>
      <c r="G662" s="17" t="n">
        <v>2</v>
      </c>
      <c r="H662" s="5" t="inlineStr">
        <is>
          <t>8021</t>
        </is>
      </c>
      <c r="I662" s="5" t="inlineStr">
        <is>
          <t>Offices of Dentists</t>
        </is>
      </c>
      <c r="J662" s="5" t="inlineStr">
        <is>
          <t>80</t>
        </is>
      </c>
      <c r="K662" s="5" t="n">
        <v>8021</v>
      </c>
      <c r="L662" s="5" t="inlineStr">
        <is>
          <t>CO</t>
        </is>
      </c>
      <c r="M662" s="5" t="inlineStr">
        <is>
          <t>Ballicci</t>
        </is>
      </c>
      <c r="N662" s="5" t="inlineStr">
        <is>
          <t>New Deal</t>
        </is>
      </c>
      <c r="O662" s="19" t="n">
        <v>1.49</v>
      </c>
      <c r="P662" s="20" t="n">
        <v>20000</v>
      </c>
      <c r="Q662" s="20" t="n">
        <v>2800</v>
      </c>
      <c r="R662" s="20" t="n">
        <v>29800</v>
      </c>
      <c r="S662" s="20" t="n">
        <v>12213.4</v>
      </c>
      <c r="T662" s="20" t="n">
        <v>17586.6</v>
      </c>
      <c r="U662" s="21" t="n">
        <v>0.409845637583893</v>
      </c>
      <c r="V662" s="22" t="n">
        <v>3.279</v>
      </c>
      <c r="W662" s="17" t="n">
        <v>50</v>
      </c>
      <c r="X662" s="17" t="n">
        <v>38</v>
      </c>
      <c r="Y662" s="20" t="n">
        <v>22205.75</v>
      </c>
      <c r="Z662" s="21" t="n">
        <v>0.2818</v>
      </c>
      <c r="AA662" s="16" t="n">
        <v>44211</v>
      </c>
      <c r="AB662" s="5">
        <f>IF(V662="","",IF(V662&lt;12,"Months","Weeks"))</f>
        <v/>
      </c>
      <c r="AC662" s="5">
        <f>IF(AB662="","",IF(AB662="Months","Daily","Weekly"))</f>
        <v/>
      </c>
      <c r="AD662" s="17">
        <f>IF(V662="","",IF(AC662="Daily",V662*Controls!$B$13,V662))</f>
        <v/>
      </c>
      <c r="AE662" s="17">
        <f>IF(V662="","",IF(AC662="Daily",V662*Controls!$B$13,V662*Controls!$B$12))</f>
        <v/>
      </c>
      <c r="AF662" s="17">
        <f>IF(OR(E662="",F662=""),"",F662-E662)</f>
        <v/>
      </c>
      <c r="AG662" s="17">
        <f>IF(OR(E662="",F662=""),"",NETWORKDAYS(E662,F662,Ref!$F$4:$F$47))</f>
        <v/>
      </c>
      <c r="AH662" s="39">
        <f>IF(IFERROR(VLOOKUP(D662,Controls!$A$25:$D$35,2,FALSE()),"No")="Yes",1,0)</f>
        <v/>
      </c>
      <c r="AI662" s="39">
        <f>IF(IFERROR(VLOOKUP(D662,Controls!$A$25:$D$35,3,FALSE()),"No")="Yes",1,0)</f>
        <v/>
      </c>
      <c r="AJ662" s="39">
        <f>IF(IFERROR(VLOOKUP(D662,Controls!$A$25:$D$35,4,FALSE()),"No")="Yes",1,0)</f>
        <v/>
      </c>
      <c r="AK662" s="96">
        <f>IF(AND($E662&gt;=Controls!$B$5,$E662&lt;=Controls!$B$6,OR(Controls!$E$9&lt;&gt;"Y",$BE662=1)),1,0)</f>
        <v/>
      </c>
      <c r="AL662" s="39">
        <f>1</f>
        <v/>
      </c>
      <c r="AM662" s="20">
        <f>S662-P662</f>
        <v/>
      </c>
      <c r="AN662" s="20">
        <f>IF(AH662=1,MAX(0,P662-S662),0)</f>
        <v/>
      </c>
      <c r="AO662" s="21">
        <f>IFERROR(S662/P662,"")</f>
        <v/>
      </c>
      <c r="AP662" s="22">
        <f>IF(Y662="","",P662/Y662)</f>
        <v/>
      </c>
      <c r="AQ662" s="39">
        <f>IF(Y662="",0,1)</f>
        <v/>
      </c>
      <c r="AR662" s="39">
        <f>IF(S662&lt;=0,1,0)</f>
        <v/>
      </c>
      <c r="AS662" s="17">
        <f>IF(AH662=1,AG662,"")</f>
        <v/>
      </c>
      <c r="AT662" s="17">
        <f>IF(AND(AH662=0,AJ662=1),AG662,"")</f>
        <v/>
      </c>
      <c r="AU662" s="5">
        <f>IF(P662&lt;10000,"Under $10K",IF(P662&lt;20000,"$10-20K",IF(P662&lt;30000,"$20-30K",IF(P662&lt;50000,"$30-50K",IF(P662&lt;100000,"$50-100K","$100K+")))))</f>
        <v/>
      </c>
      <c r="AV662" s="5">
        <f>IF(O662&lt;=1.35,"1.35 and under",IF(O662&lt;=1.42,"1.36-1.42",IF(O662&lt;=1.45,"1.43-1.45",IF(O662&lt;1.49,"1.46-1.48",IF(O662&lt;=1.49,"1.49","Above 1.49")))))</f>
        <v/>
      </c>
      <c r="AW662" s="5">
        <f>IF(AE662="","",IF(AE662&lt;60,"Under 60",IF(AE662&lt;90,"60-89",IF(AE662&lt;120,"90-119",IF(AE662&lt;150,"120-149","150+")))))</f>
        <v/>
      </c>
      <c r="AX662" s="5">
        <f>IF(AP662="","No revenue data",IF(AP662&lt;0.15,"Under 0.15x",IF(AP662&lt;0.3,"0.15-0.30x",IF(AP662&lt;0.5,"0.30-0.50x",IF(AP662&lt;1,"0.50-1.00x","1.00x+")))))</f>
        <v/>
      </c>
      <c r="AY662" s="5">
        <f>IF(J662="","No SIC",IFERROR(VLOOKUP(J662,Ref!$A$4:$C$67,2,FALSE()),"Unclassified"))</f>
        <v/>
      </c>
      <c r="AZ662" s="5">
        <f>IF(E662="","",TEXT(E662,"YYYY")&amp;"-Q"&amp;ROUNDUP(MONTH(E662)/3,0))</f>
        <v/>
      </c>
      <c r="BA662" s="5">
        <f>IF(E662="","",TEXT(E662,"YYYY-MM"))</f>
        <v/>
      </c>
      <c r="BB662" s="5">
        <f>IF(E662="","",TEXT(E662,"YYYY"))</f>
        <v/>
      </c>
      <c r="BC662" s="92">
        <f>IF($E662="","",NETWORKDAYS($E662,Controls!$B$9,Ref!$F$4:$F$47))</f>
        <v/>
      </c>
      <c r="BD662" s="92">
        <f>IF(OR($AH662=1,$AJ662=1),1,0)</f>
        <v/>
      </c>
      <c r="BE662" s="95">
        <f>IF(OR($BD662=1,AND($AE662&lt;&gt;"",$BC662&gt;=Controls!$B$10*$AE662)),1,0)</f>
        <v/>
      </c>
    </row>
    <row r="663" ht="15.75" customHeight="1" s="79">
      <c r="A663" s="5" t="inlineStr">
        <is>
          <t>5674179304</t>
        </is>
      </c>
      <c r="B663" s="5" t="inlineStr">
        <is>
          <t>Lewisville Holding, LLC</t>
        </is>
      </c>
      <c r="C663" s="5" t="inlineStr">
        <is>
          <t>Lewisville Holding, LLC</t>
        </is>
      </c>
      <c r="D663" s="5" t="inlineStr">
        <is>
          <t>Open</t>
        </is>
      </c>
      <c r="E663" s="16" t="n">
        <v>46080</v>
      </c>
      <c r="F663" s="16" t="n">
        <v>46253</v>
      </c>
      <c r="G663" s="17" t="n">
        <v>2</v>
      </c>
      <c r="H663" s="5" t="inlineStr">
        <is>
          <t>7359</t>
        </is>
      </c>
      <c r="I663" s="5" t="inlineStr">
        <is>
          <t>General Rental Centers</t>
        </is>
      </c>
      <c r="J663" s="5" t="inlineStr">
        <is>
          <t>73</t>
        </is>
      </c>
      <c r="K663" s="5" t="n">
        <v>7394</v>
      </c>
      <c r="L663" s="5" t="inlineStr">
        <is>
          <t>AR</t>
        </is>
      </c>
      <c r="M663" s="5" t="inlineStr">
        <is>
          <t>Vanguard Equities</t>
        </is>
      </c>
      <c r="N663" s="5" t="inlineStr">
        <is>
          <t>New Deal</t>
        </is>
      </c>
      <c r="O663" s="19" t="n">
        <v>1.49</v>
      </c>
      <c r="P663" s="20" t="n">
        <v>25000</v>
      </c>
      <c r="Q663" s="20" t="n">
        <v>3500</v>
      </c>
      <c r="R663" s="20" t="n">
        <v>37250</v>
      </c>
      <c r="S663" s="20" t="n">
        <v>19557.96</v>
      </c>
      <c r="T663" s="20" t="n">
        <v>17692.04</v>
      </c>
      <c r="U663" s="21" t="n">
        <v>0.525045906040269</v>
      </c>
      <c r="V663" s="22" t="n">
        <v>24</v>
      </c>
      <c r="W663" s="17" t="n">
        <v>0</v>
      </c>
      <c r="X663" s="17" t="n">
        <v>13</v>
      </c>
      <c r="Y663" s="20" t="n">
        <v>68365.47</v>
      </c>
      <c r="Z663" s="21" t="n">
        <v>0.4768</v>
      </c>
      <c r="AA663" s="16" t="n">
        <v>43132</v>
      </c>
      <c r="AB663" s="5">
        <f>IF(V663="","",IF(V663&lt;12,"Months","Weeks"))</f>
        <v/>
      </c>
      <c r="AC663" s="5">
        <f>IF(AB663="","",IF(AB663="Months","Daily","Weekly"))</f>
        <v/>
      </c>
      <c r="AD663" s="17">
        <f>IF(V663="","",IF(AC663="Daily",V663*Controls!$B$13,V663))</f>
        <v/>
      </c>
      <c r="AE663" s="17">
        <f>IF(V663="","",IF(AC663="Daily",V663*Controls!$B$13,V663*Controls!$B$12))</f>
        <v/>
      </c>
      <c r="AF663" s="17">
        <f>IF(OR(E663="",F663=""),"",F663-E663)</f>
        <v/>
      </c>
      <c r="AG663" s="17">
        <f>IF(OR(E663="",F663=""),"",NETWORKDAYS(E663,F663,Ref!$F$4:$F$47))</f>
        <v/>
      </c>
      <c r="AH663" s="39">
        <f>IF(IFERROR(VLOOKUP(D663,Controls!$A$25:$D$35,2,FALSE()),"No")="Yes",1,0)</f>
        <v/>
      </c>
      <c r="AI663" s="39">
        <f>IF(IFERROR(VLOOKUP(D663,Controls!$A$25:$D$35,3,FALSE()),"No")="Yes",1,0)</f>
        <v/>
      </c>
      <c r="AJ663" s="39">
        <f>IF(IFERROR(VLOOKUP(D663,Controls!$A$25:$D$35,4,FALSE()),"No")="Yes",1,0)</f>
        <v/>
      </c>
      <c r="AK663" s="96">
        <f>IF(AND($E663&gt;=Controls!$B$5,$E663&lt;=Controls!$B$6,OR(Controls!$E$9&lt;&gt;"Y",$BE663=1)),1,0)</f>
        <v/>
      </c>
      <c r="AL663" s="39">
        <f>1</f>
        <v/>
      </c>
      <c r="AM663" s="20">
        <f>S663-P663</f>
        <v/>
      </c>
      <c r="AN663" s="20">
        <f>IF(AH663=1,MAX(0,P663-S663),0)</f>
        <v/>
      </c>
      <c r="AO663" s="21">
        <f>IFERROR(S663/P663,"")</f>
        <v/>
      </c>
      <c r="AP663" s="22">
        <f>IF(Y663="","",P663/Y663)</f>
        <v/>
      </c>
      <c r="AQ663" s="39">
        <f>IF(Y663="",0,1)</f>
        <v/>
      </c>
      <c r="AR663" s="39">
        <f>IF(S663&lt;=0,1,0)</f>
        <v/>
      </c>
      <c r="AS663" s="17">
        <f>IF(AH663=1,AG663,"")</f>
        <v/>
      </c>
      <c r="AT663" s="17">
        <f>IF(AND(AH663=0,AJ663=1),AG663,"")</f>
        <v/>
      </c>
      <c r="AU663" s="5">
        <f>IF(P663&lt;10000,"Under $10K",IF(P663&lt;20000,"$10-20K",IF(P663&lt;30000,"$20-30K",IF(P663&lt;50000,"$30-50K",IF(P663&lt;100000,"$50-100K","$100K+")))))</f>
        <v/>
      </c>
      <c r="AV663" s="5">
        <f>IF(O663&lt;=1.35,"1.35 and under",IF(O663&lt;=1.42,"1.36-1.42",IF(O663&lt;=1.45,"1.43-1.45",IF(O663&lt;1.49,"1.46-1.48",IF(O663&lt;=1.49,"1.49","Above 1.49")))))</f>
        <v/>
      </c>
      <c r="AW663" s="5">
        <f>IF(AE663="","",IF(AE663&lt;60,"Under 60",IF(AE663&lt;90,"60-89",IF(AE663&lt;120,"90-119",IF(AE663&lt;150,"120-149","150+")))))</f>
        <v/>
      </c>
      <c r="AX663" s="5">
        <f>IF(AP663="","No revenue data",IF(AP663&lt;0.15,"Under 0.15x",IF(AP663&lt;0.3,"0.15-0.30x",IF(AP663&lt;0.5,"0.30-0.50x",IF(AP663&lt;1,"0.50-1.00x","1.00x+")))))</f>
        <v/>
      </c>
      <c r="AY663" s="5">
        <f>IF(J663="","No SIC",IFERROR(VLOOKUP(J663,Ref!$A$4:$C$67,2,FALSE()),"Unclassified"))</f>
        <v/>
      </c>
      <c r="AZ663" s="5">
        <f>IF(E663="","",TEXT(E663,"YYYY")&amp;"-Q"&amp;ROUNDUP(MONTH(E663)/3,0))</f>
        <v/>
      </c>
      <c r="BA663" s="5">
        <f>IF(E663="","",TEXT(E663,"YYYY-MM"))</f>
        <v/>
      </c>
      <c r="BB663" s="5">
        <f>IF(E663="","",TEXT(E663,"YYYY"))</f>
        <v/>
      </c>
      <c r="BC663" s="92">
        <f>IF($E663="","",NETWORKDAYS($E663,Controls!$B$9,Ref!$F$4:$F$47))</f>
        <v/>
      </c>
      <c r="BD663" s="92">
        <f>IF(OR($AH663=1,$AJ663=1),1,0)</f>
        <v/>
      </c>
      <c r="BE663" s="95">
        <f>IF(OR($BD663=1,AND($AE663&lt;&gt;"",$BC663&gt;=Controls!$B$10*$AE663)),1,0)</f>
        <v/>
      </c>
    </row>
    <row r="664" ht="15.75" customHeight="1" s="79">
      <c r="A664" s="5" t="inlineStr">
        <is>
          <t>5674179307</t>
        </is>
      </c>
      <c r="B664" s="5" t="inlineStr">
        <is>
          <t>TAN LOC DBA THINH AN KITCHEN &amp; TOFU</t>
        </is>
      </c>
      <c r="C664" s="5" t="inlineStr">
        <is>
          <t>TAN LOC LLC</t>
        </is>
      </c>
      <c r="D664" s="5" t="inlineStr">
        <is>
          <t>Legal</t>
        </is>
      </c>
      <c r="E664" s="16" t="n">
        <v>46080</v>
      </c>
      <c r="F664" s="16" t="n">
        <v>46147</v>
      </c>
      <c r="G664" s="17" t="n">
        <v>1</v>
      </c>
      <c r="H664" s="5" t="inlineStr">
        <is>
          <t>5812</t>
        </is>
      </c>
      <c r="I664" s="5" t="inlineStr">
        <is>
          <t>Snack and Nonalcoholic Beverage Bars</t>
        </is>
      </c>
      <c r="J664" s="5" t="inlineStr">
        <is>
          <t>58</t>
        </is>
      </c>
      <c r="K664" s="5" t="n">
        <v>5812</v>
      </c>
      <c r="L664" s="5" t="inlineStr">
        <is>
          <t>FL</t>
        </is>
      </c>
      <c r="M664" s="5" t="inlineStr">
        <is>
          <t>DIRECT CAPITAL SOURCE, INC.</t>
        </is>
      </c>
      <c r="N664" s="5" t="inlineStr">
        <is>
          <t>New Deal</t>
        </is>
      </c>
      <c r="O664" s="19" t="n">
        <v>1.49</v>
      </c>
      <c r="P664" s="20" t="n">
        <v>120000</v>
      </c>
      <c r="Q664" s="20" t="n">
        <v>16800</v>
      </c>
      <c r="R664" s="20" t="n">
        <v>178800</v>
      </c>
      <c r="S664" s="20" t="n">
        <v>62547.24</v>
      </c>
      <c r="T664" s="20" t="n">
        <v>116252.76</v>
      </c>
      <c r="U664" s="21" t="n">
        <v>0.34981677852349</v>
      </c>
      <c r="V664" s="22" t="n">
        <v>3.934</v>
      </c>
      <c r="W664" s="17" t="n">
        <v>113</v>
      </c>
      <c r="X664" s="17" t="n">
        <v>7</v>
      </c>
      <c r="Y664" s="20" t="n">
        <v>355147.84</v>
      </c>
      <c r="Z664" s="21" t="n">
        <v>0.08119999999999999</v>
      </c>
      <c r="AA664" s="16" t="n">
        <v>44473</v>
      </c>
      <c r="AB664" s="5">
        <f>IF(V664="","",IF(V664&lt;12,"Months","Weeks"))</f>
        <v/>
      </c>
      <c r="AC664" s="5">
        <f>IF(AB664="","",IF(AB664="Months","Daily","Weekly"))</f>
        <v/>
      </c>
      <c r="AD664" s="17">
        <f>IF(V664="","",IF(AC664="Daily",V664*Controls!$B$13,V664))</f>
        <v/>
      </c>
      <c r="AE664" s="17">
        <f>IF(V664="","",IF(AC664="Daily",V664*Controls!$B$13,V664*Controls!$B$12))</f>
        <v/>
      </c>
      <c r="AF664" s="17">
        <f>IF(OR(E664="",F664=""),"",F664-E664)</f>
        <v/>
      </c>
      <c r="AG664" s="17">
        <f>IF(OR(E664="",F664=""),"",NETWORKDAYS(E664,F664,Ref!$F$4:$F$47))</f>
        <v/>
      </c>
      <c r="AH664" s="39">
        <f>IF(IFERROR(VLOOKUP(D664,Controls!$A$25:$D$35,2,FALSE()),"No")="Yes",1,0)</f>
        <v/>
      </c>
      <c r="AI664" s="39">
        <f>IF(IFERROR(VLOOKUP(D664,Controls!$A$25:$D$35,3,FALSE()),"No")="Yes",1,0)</f>
        <v/>
      </c>
      <c r="AJ664" s="39">
        <f>IF(IFERROR(VLOOKUP(D664,Controls!$A$25:$D$35,4,FALSE()),"No")="Yes",1,0)</f>
        <v/>
      </c>
      <c r="AK664" s="96">
        <f>IF(AND($E664&gt;=Controls!$B$5,$E664&lt;=Controls!$B$6,OR(Controls!$E$9&lt;&gt;"Y",$BE664=1)),1,0)</f>
        <v/>
      </c>
      <c r="AL664" s="39">
        <f>1</f>
        <v/>
      </c>
      <c r="AM664" s="20">
        <f>S664-P664</f>
        <v/>
      </c>
      <c r="AN664" s="20">
        <f>IF(AH664=1,MAX(0,P664-S664),0)</f>
        <v/>
      </c>
      <c r="AO664" s="21">
        <f>IFERROR(S664/P664,"")</f>
        <v/>
      </c>
      <c r="AP664" s="22">
        <f>IF(Y664="","",P664/Y664)</f>
        <v/>
      </c>
      <c r="AQ664" s="39">
        <f>IF(Y664="",0,1)</f>
        <v/>
      </c>
      <c r="AR664" s="39">
        <f>IF(S664&lt;=0,1,0)</f>
        <v/>
      </c>
      <c r="AS664" s="17">
        <f>IF(AH664=1,AG664,"")</f>
        <v/>
      </c>
      <c r="AT664" s="17">
        <f>IF(AND(AH664=0,AJ664=1),AG664,"")</f>
        <v/>
      </c>
      <c r="AU664" s="5">
        <f>IF(P664&lt;10000,"Under $10K",IF(P664&lt;20000,"$10-20K",IF(P664&lt;30000,"$20-30K",IF(P664&lt;50000,"$30-50K",IF(P664&lt;100000,"$50-100K","$100K+")))))</f>
        <v/>
      </c>
      <c r="AV664" s="5">
        <f>IF(O664&lt;=1.35,"1.35 and under",IF(O664&lt;=1.42,"1.36-1.42",IF(O664&lt;=1.45,"1.43-1.45",IF(O664&lt;1.49,"1.46-1.48",IF(O664&lt;=1.49,"1.49","Above 1.49")))))</f>
        <v/>
      </c>
      <c r="AW664" s="5">
        <f>IF(AE664="","",IF(AE664&lt;60,"Under 60",IF(AE664&lt;90,"60-89",IF(AE664&lt;120,"90-119",IF(AE664&lt;150,"120-149","150+")))))</f>
        <v/>
      </c>
      <c r="AX664" s="5">
        <f>IF(AP664="","No revenue data",IF(AP664&lt;0.15,"Under 0.15x",IF(AP664&lt;0.3,"0.15-0.30x",IF(AP664&lt;0.5,"0.30-0.50x",IF(AP664&lt;1,"0.50-1.00x","1.00x+")))))</f>
        <v/>
      </c>
      <c r="AY664" s="5">
        <f>IF(J664="","No SIC",IFERROR(VLOOKUP(J664,Ref!$A$4:$C$67,2,FALSE()),"Unclassified"))</f>
        <v/>
      </c>
      <c r="AZ664" s="5">
        <f>IF(E664="","",TEXT(E664,"YYYY")&amp;"-Q"&amp;ROUNDUP(MONTH(E664)/3,0))</f>
        <v/>
      </c>
      <c r="BA664" s="5">
        <f>IF(E664="","",TEXT(E664,"YYYY-MM"))</f>
        <v/>
      </c>
      <c r="BB664" s="5">
        <f>IF(E664="","",TEXT(E664,"YYYY"))</f>
        <v/>
      </c>
      <c r="BC664" s="92">
        <f>IF($E664="","",NETWORKDAYS($E664,Controls!$B$9,Ref!$F$4:$F$47))</f>
        <v/>
      </c>
      <c r="BD664" s="92">
        <f>IF(OR($AH664=1,$AJ664=1),1,0)</f>
        <v/>
      </c>
      <c r="BE664" s="95">
        <f>IF(OR($BD664=1,AND($AE664&lt;&gt;"",$BC664&gt;=Controls!$B$10*$AE664)),1,0)</f>
        <v/>
      </c>
    </row>
    <row r="665" ht="15.75" customHeight="1" s="79">
      <c r="A665" s="5" t="inlineStr">
        <is>
          <t>5674179309</t>
        </is>
      </c>
      <c r="B665" s="5" t="inlineStr">
        <is>
          <t>A.A. Law Movers inc</t>
        </is>
      </c>
      <c r="C665" s="5" t="inlineStr">
        <is>
          <t>A.A. Law Movers inc</t>
        </is>
      </c>
      <c r="D665" s="5" t="inlineStr">
        <is>
          <t>In House Collection</t>
        </is>
      </c>
      <c r="E665" s="16" t="n">
        <v>46080</v>
      </c>
      <c r="F665" s="16" t="n">
        <v>46248</v>
      </c>
      <c r="G665" s="17" t="n">
        <v>2</v>
      </c>
      <c r="H665" s="5" t="inlineStr">
        <is>
          <t>4212</t>
        </is>
      </c>
      <c r="I665" s="5" t="inlineStr">
        <is>
          <t>Specialized Freight (Except Used Goods) Trucking, Local</t>
        </is>
      </c>
      <c r="J665" s="5" t="inlineStr">
        <is>
          <t>42</t>
        </is>
      </c>
      <c r="K665" s="5" t="n">
        <v>1799</v>
      </c>
      <c r="L665" s="5" t="inlineStr">
        <is>
          <t>NJ</t>
        </is>
      </c>
      <c r="M665" s="5" t="inlineStr">
        <is>
          <t>Ballicci</t>
        </is>
      </c>
      <c r="N665" s="5" t="inlineStr">
        <is>
          <t>New Deal</t>
        </is>
      </c>
      <c r="O665" s="19" t="n">
        <v>1.49</v>
      </c>
      <c r="P665" s="20" t="n">
        <v>30000</v>
      </c>
      <c r="Q665" s="20" t="n">
        <v>4200</v>
      </c>
      <c r="R665" s="20" t="n">
        <v>44700</v>
      </c>
      <c r="S665" s="20" t="n">
        <v>5585.64</v>
      </c>
      <c r="T665" s="20" t="n">
        <v>39114.36</v>
      </c>
      <c r="U665" s="21" t="n">
        <v>0.124958389261745</v>
      </c>
      <c r="V665" s="22" t="n">
        <v>24</v>
      </c>
      <c r="W665" s="17" t="n">
        <v>152</v>
      </c>
      <c r="X665" s="17" t="n">
        <v>21</v>
      </c>
      <c r="Y665" s="20" t="n">
        <v>46379.6</v>
      </c>
      <c r="Z665" s="21" t="n">
        <v>0.0993</v>
      </c>
      <c r="AA665" s="16" t="n">
        <v>39817</v>
      </c>
      <c r="AB665" s="5">
        <f>IF(V665="","",IF(V665&lt;12,"Months","Weeks"))</f>
        <v/>
      </c>
      <c r="AC665" s="5">
        <f>IF(AB665="","",IF(AB665="Months","Daily","Weekly"))</f>
        <v/>
      </c>
      <c r="AD665" s="17">
        <f>IF(V665="","",IF(AC665="Daily",V665*Controls!$B$13,V665))</f>
        <v/>
      </c>
      <c r="AE665" s="17">
        <f>IF(V665="","",IF(AC665="Daily",V665*Controls!$B$13,V665*Controls!$B$12))</f>
        <v/>
      </c>
      <c r="AF665" s="17">
        <f>IF(OR(E665="",F665=""),"",F665-E665)</f>
        <v/>
      </c>
      <c r="AG665" s="17">
        <f>IF(OR(E665="",F665=""),"",NETWORKDAYS(E665,F665,Ref!$F$4:$F$47))</f>
        <v/>
      </c>
      <c r="AH665" s="39">
        <f>IF(IFERROR(VLOOKUP(D665,Controls!$A$25:$D$35,2,FALSE()),"No")="Yes",1,0)</f>
        <v/>
      </c>
      <c r="AI665" s="39">
        <f>IF(IFERROR(VLOOKUP(D665,Controls!$A$25:$D$35,3,FALSE()),"No")="Yes",1,0)</f>
        <v/>
      </c>
      <c r="AJ665" s="39">
        <f>IF(IFERROR(VLOOKUP(D665,Controls!$A$25:$D$35,4,FALSE()),"No")="Yes",1,0)</f>
        <v/>
      </c>
      <c r="AK665" s="96">
        <f>IF(AND($E665&gt;=Controls!$B$5,$E665&lt;=Controls!$B$6,OR(Controls!$E$9&lt;&gt;"Y",$BE665=1)),1,0)</f>
        <v/>
      </c>
      <c r="AL665" s="39">
        <f>1</f>
        <v/>
      </c>
      <c r="AM665" s="20">
        <f>S665-P665</f>
        <v/>
      </c>
      <c r="AN665" s="20">
        <f>IF(AH665=1,MAX(0,P665-S665),0)</f>
        <v/>
      </c>
      <c r="AO665" s="21">
        <f>IFERROR(S665/P665,"")</f>
        <v/>
      </c>
      <c r="AP665" s="22">
        <f>IF(Y665="","",P665/Y665)</f>
        <v/>
      </c>
      <c r="AQ665" s="39">
        <f>IF(Y665="",0,1)</f>
        <v/>
      </c>
      <c r="AR665" s="39">
        <f>IF(S665&lt;=0,1,0)</f>
        <v/>
      </c>
      <c r="AS665" s="17">
        <f>IF(AH665=1,AG665,"")</f>
        <v/>
      </c>
      <c r="AT665" s="17">
        <f>IF(AND(AH665=0,AJ665=1),AG665,"")</f>
        <v/>
      </c>
      <c r="AU665" s="5">
        <f>IF(P665&lt;10000,"Under $10K",IF(P665&lt;20000,"$10-20K",IF(P665&lt;30000,"$20-30K",IF(P665&lt;50000,"$30-50K",IF(P665&lt;100000,"$50-100K","$100K+")))))</f>
        <v/>
      </c>
      <c r="AV665" s="5">
        <f>IF(O665&lt;=1.35,"1.35 and under",IF(O665&lt;=1.42,"1.36-1.42",IF(O665&lt;=1.45,"1.43-1.45",IF(O665&lt;1.49,"1.46-1.48",IF(O665&lt;=1.49,"1.49","Above 1.49")))))</f>
        <v/>
      </c>
      <c r="AW665" s="5">
        <f>IF(AE665="","",IF(AE665&lt;60,"Under 60",IF(AE665&lt;90,"60-89",IF(AE665&lt;120,"90-119",IF(AE665&lt;150,"120-149","150+")))))</f>
        <v/>
      </c>
      <c r="AX665" s="5">
        <f>IF(AP665="","No revenue data",IF(AP665&lt;0.15,"Under 0.15x",IF(AP665&lt;0.3,"0.15-0.30x",IF(AP665&lt;0.5,"0.30-0.50x",IF(AP665&lt;1,"0.50-1.00x","1.00x+")))))</f>
        <v/>
      </c>
      <c r="AY665" s="5">
        <f>IF(J665="","No SIC",IFERROR(VLOOKUP(J665,Ref!$A$4:$C$67,2,FALSE()),"Unclassified"))</f>
        <v/>
      </c>
      <c r="AZ665" s="5">
        <f>IF(E665="","",TEXT(E665,"YYYY")&amp;"-Q"&amp;ROUNDUP(MONTH(E665)/3,0))</f>
        <v/>
      </c>
      <c r="BA665" s="5">
        <f>IF(E665="","",TEXT(E665,"YYYY-MM"))</f>
        <v/>
      </c>
      <c r="BB665" s="5">
        <f>IF(E665="","",TEXT(E665,"YYYY"))</f>
        <v/>
      </c>
      <c r="BC665" s="92">
        <f>IF($E665="","",NETWORKDAYS($E665,Controls!$B$9,Ref!$F$4:$F$47))</f>
        <v/>
      </c>
      <c r="BD665" s="92">
        <f>IF(OR($AH665=1,$AJ665=1),1,0)</f>
        <v/>
      </c>
      <c r="BE665" s="95">
        <f>IF(OR($BD665=1,AND($AE665&lt;&gt;"",$BC665&gt;=Controls!$B$10*$AE665)),1,0)</f>
        <v/>
      </c>
    </row>
    <row r="666" ht="15.75" customHeight="1" s="79">
      <c r="A666" s="5" t="inlineStr">
        <is>
          <t>5674179322</t>
        </is>
      </c>
      <c r="B666" s="5" t="inlineStr">
        <is>
          <t>SBC Xicato Corporation</t>
        </is>
      </c>
      <c r="C666" s="5" t="inlineStr">
        <is>
          <t>SBC Xicato Corporation</t>
        </is>
      </c>
      <c r="D666" s="5" t="inlineStr">
        <is>
          <t>Closed</t>
        </is>
      </c>
      <c r="E666" s="16" t="n">
        <v>46080</v>
      </c>
      <c r="F666" s="16" t="n">
        <v>46199</v>
      </c>
      <c r="G666" s="17" t="n">
        <v>3</v>
      </c>
      <c r="H666" s="5" t="inlineStr">
        <is>
          <t>3648</t>
        </is>
      </c>
      <c r="I666" s="5" t="inlineStr">
        <is>
          <t>Other Lighting Equipment Mfg.</t>
        </is>
      </c>
      <c r="J666" s="5" t="inlineStr">
        <is>
          <t>36</t>
        </is>
      </c>
      <c r="K666" s="5" t="n">
        <v>5065</v>
      </c>
      <c r="L666" s="5" t="inlineStr">
        <is>
          <t>CA</t>
        </is>
      </c>
      <c r="M666" s="5" t="inlineStr">
        <is>
          <t>Upwise capital</t>
        </is>
      </c>
      <c r="N666" s="5" t="inlineStr">
        <is>
          <t>New Deal</t>
        </is>
      </c>
      <c r="O666" s="19" t="n">
        <v>1.39</v>
      </c>
      <c r="P666" s="20" t="n">
        <v>25000</v>
      </c>
      <c r="Q666" s="20" t="n">
        <v>2250</v>
      </c>
      <c r="R666" s="20" t="n">
        <v>34750</v>
      </c>
      <c r="S666" s="20" t="n">
        <v>34750</v>
      </c>
      <c r="T666" s="20" t="n">
        <v>0</v>
      </c>
      <c r="U666" s="21" t="n">
        <v>1</v>
      </c>
      <c r="V666" s="22" t="n">
        <v>35</v>
      </c>
      <c r="W666" s="17" t="n">
        <v>54</v>
      </c>
      <c r="X666" s="17" t="n">
        <v>0</v>
      </c>
      <c r="Y666" s="20" t="n">
        <v>151277.94</v>
      </c>
      <c r="Z666" s="21" t="n">
        <v>0.0263</v>
      </c>
      <c r="AA666" s="16" t="n">
        <v>44733</v>
      </c>
      <c r="AB666" s="5">
        <f>IF(V666="","",IF(V666&lt;12,"Months","Weeks"))</f>
        <v/>
      </c>
      <c r="AC666" s="5">
        <f>IF(AB666="","",IF(AB666="Months","Daily","Weekly"))</f>
        <v/>
      </c>
      <c r="AD666" s="17">
        <f>IF(V666="","",IF(AC666="Daily",V666*Controls!$B$13,V666))</f>
        <v/>
      </c>
      <c r="AE666" s="17">
        <f>IF(V666="","",IF(AC666="Daily",V666*Controls!$B$13,V666*Controls!$B$12))</f>
        <v/>
      </c>
      <c r="AF666" s="17">
        <f>IF(OR(E666="",F666=""),"",F666-E666)</f>
        <v/>
      </c>
      <c r="AG666" s="17">
        <f>IF(OR(E666="",F666=""),"",NETWORKDAYS(E666,F666,Ref!$F$4:$F$47))</f>
        <v/>
      </c>
      <c r="AH666" s="39">
        <f>IF(IFERROR(VLOOKUP(D666,Controls!$A$25:$D$35,2,FALSE()),"No")="Yes",1,0)</f>
        <v/>
      </c>
      <c r="AI666" s="39">
        <f>IF(IFERROR(VLOOKUP(D666,Controls!$A$25:$D$35,3,FALSE()),"No")="Yes",1,0)</f>
        <v/>
      </c>
      <c r="AJ666" s="39">
        <f>IF(IFERROR(VLOOKUP(D666,Controls!$A$25:$D$35,4,FALSE()),"No")="Yes",1,0)</f>
        <v/>
      </c>
      <c r="AK666" s="96">
        <f>IF(AND($E666&gt;=Controls!$B$5,$E666&lt;=Controls!$B$6,OR(Controls!$E$9&lt;&gt;"Y",$BE666=1)),1,0)</f>
        <v/>
      </c>
      <c r="AL666" s="39">
        <f>1</f>
        <v/>
      </c>
      <c r="AM666" s="20">
        <f>S666-P666</f>
        <v/>
      </c>
      <c r="AN666" s="20">
        <f>IF(AH666=1,MAX(0,P666-S666),0)</f>
        <v/>
      </c>
      <c r="AO666" s="21">
        <f>IFERROR(S666/P666,"")</f>
        <v/>
      </c>
      <c r="AP666" s="22">
        <f>IF(Y666="","",P666/Y666)</f>
        <v/>
      </c>
      <c r="AQ666" s="39">
        <f>IF(Y666="",0,1)</f>
        <v/>
      </c>
      <c r="AR666" s="39">
        <f>IF(S666&lt;=0,1,0)</f>
        <v/>
      </c>
      <c r="AS666" s="17">
        <f>IF(AH666=1,AG666,"")</f>
        <v/>
      </c>
      <c r="AT666" s="17">
        <f>IF(AND(AH666=0,AJ666=1),AG666,"")</f>
        <v/>
      </c>
      <c r="AU666" s="5">
        <f>IF(P666&lt;10000,"Under $10K",IF(P666&lt;20000,"$10-20K",IF(P666&lt;30000,"$20-30K",IF(P666&lt;50000,"$30-50K",IF(P666&lt;100000,"$50-100K","$100K+")))))</f>
        <v/>
      </c>
      <c r="AV666" s="5">
        <f>IF(O666&lt;=1.35,"1.35 and under",IF(O666&lt;=1.42,"1.36-1.42",IF(O666&lt;=1.45,"1.43-1.45",IF(O666&lt;1.49,"1.46-1.48",IF(O666&lt;=1.49,"1.49","Above 1.49")))))</f>
        <v/>
      </c>
      <c r="AW666" s="5">
        <f>IF(AE666="","",IF(AE666&lt;60,"Under 60",IF(AE666&lt;90,"60-89",IF(AE666&lt;120,"90-119",IF(AE666&lt;150,"120-149","150+")))))</f>
        <v/>
      </c>
      <c r="AX666" s="5">
        <f>IF(AP666="","No revenue data",IF(AP666&lt;0.15,"Under 0.15x",IF(AP666&lt;0.3,"0.15-0.30x",IF(AP666&lt;0.5,"0.30-0.50x",IF(AP666&lt;1,"0.50-1.00x","1.00x+")))))</f>
        <v/>
      </c>
      <c r="AY666" s="5">
        <f>IF(J666="","No SIC",IFERROR(VLOOKUP(J666,Ref!$A$4:$C$67,2,FALSE()),"Unclassified"))</f>
        <v/>
      </c>
      <c r="AZ666" s="5">
        <f>IF(E666="","",TEXT(E666,"YYYY")&amp;"-Q"&amp;ROUNDUP(MONTH(E666)/3,0))</f>
        <v/>
      </c>
      <c r="BA666" s="5">
        <f>IF(E666="","",TEXT(E666,"YYYY-MM"))</f>
        <v/>
      </c>
      <c r="BB666" s="5">
        <f>IF(E666="","",TEXT(E666,"YYYY"))</f>
        <v/>
      </c>
      <c r="BC666" s="92">
        <f>IF($E666="","",NETWORKDAYS($E666,Controls!$B$9,Ref!$F$4:$F$47))</f>
        <v/>
      </c>
      <c r="BD666" s="92">
        <f>IF(OR($AH666=1,$AJ666=1),1,0)</f>
        <v/>
      </c>
      <c r="BE666" s="95">
        <f>IF(OR($BD666=1,AND($AE666&lt;&gt;"",$BC666&gt;=Controls!$B$10*$AE666)),1,0)</f>
        <v/>
      </c>
    </row>
    <row r="667" ht="15.75" customHeight="1" s="79">
      <c r="A667" s="5" t="inlineStr">
        <is>
          <t>5674179346</t>
        </is>
      </c>
      <c r="B667" s="5" t="inlineStr">
        <is>
          <t>MANNY HALLEY PRODUCTIONS, IMANI MEDIA GROUP</t>
        </is>
      </c>
      <c r="C667" s="5" t="inlineStr">
        <is>
          <t>A MANNY HALLEY PRODUCTIONS LLC</t>
        </is>
      </c>
      <c r="D667" s="5" t="inlineStr">
        <is>
          <t>Open</t>
        </is>
      </c>
      <c r="E667" s="16" t="n">
        <v>46083</v>
      </c>
      <c r="F667" s="16" t="n">
        <v>46192</v>
      </c>
      <c r="G667" s="17" t="n">
        <v>1</v>
      </c>
      <c r="H667" s="5" t="inlineStr">
        <is>
          <t>7819</t>
        </is>
      </c>
      <c r="I667" s="5" t="inlineStr">
        <is>
          <t>Teleproduction and Other Postproduction Services</t>
        </is>
      </c>
      <c r="J667" s="5" t="inlineStr">
        <is>
          <t>78</t>
        </is>
      </c>
      <c r="K667" s="5" t="n">
        <v>7829</v>
      </c>
      <c r="L667" s="5" t="inlineStr">
        <is>
          <t>CA</t>
        </is>
      </c>
      <c r="M667" s="5" t="inlineStr">
        <is>
          <t>National Business Capital</t>
        </is>
      </c>
      <c r="N667" s="5" t="inlineStr">
        <is>
          <t>New Deal</t>
        </is>
      </c>
      <c r="O667" s="19" t="n">
        <v>1.49</v>
      </c>
      <c r="P667" s="20" t="n">
        <v>100000</v>
      </c>
      <c r="Q667" s="20" t="n">
        <v>14000</v>
      </c>
      <c r="R667" s="20" t="n">
        <v>149000</v>
      </c>
      <c r="S667" s="20" t="n">
        <v>74555.25999999999</v>
      </c>
      <c r="T667" s="20" t="n">
        <v>74444.74000000001</v>
      </c>
      <c r="U667" s="21" t="n">
        <v>0.500370872483221</v>
      </c>
      <c r="V667" s="22" t="n">
        <v>26</v>
      </c>
      <c r="W667" s="17" t="n">
        <v>68</v>
      </c>
      <c r="X667" s="17" t="n">
        <v>3</v>
      </c>
      <c r="Y667" s="20" t="n">
        <v>2294006.51</v>
      </c>
      <c r="Z667" s="21" t="n">
        <v>0.01</v>
      </c>
      <c r="AA667" s="16" t="n">
        <v>36586</v>
      </c>
      <c r="AB667" s="5">
        <f>IF(V667="","",IF(V667&lt;12,"Months","Weeks"))</f>
        <v/>
      </c>
      <c r="AC667" s="5">
        <f>IF(AB667="","",IF(AB667="Months","Daily","Weekly"))</f>
        <v/>
      </c>
      <c r="AD667" s="17">
        <f>IF(V667="","",IF(AC667="Daily",V667*Controls!$B$13,V667))</f>
        <v/>
      </c>
      <c r="AE667" s="17">
        <f>IF(V667="","",IF(AC667="Daily",V667*Controls!$B$13,V667*Controls!$B$12))</f>
        <v/>
      </c>
      <c r="AF667" s="17">
        <f>IF(OR(E667="",F667=""),"",F667-E667)</f>
        <v/>
      </c>
      <c r="AG667" s="17">
        <f>IF(OR(E667="",F667=""),"",NETWORKDAYS(E667,F667,Ref!$F$4:$F$47))</f>
        <v/>
      </c>
      <c r="AH667" s="39">
        <f>IF(IFERROR(VLOOKUP(D667,Controls!$A$25:$D$35,2,FALSE()),"No")="Yes",1,0)</f>
        <v/>
      </c>
      <c r="AI667" s="39">
        <f>IF(IFERROR(VLOOKUP(D667,Controls!$A$25:$D$35,3,FALSE()),"No")="Yes",1,0)</f>
        <v/>
      </c>
      <c r="AJ667" s="39">
        <f>IF(IFERROR(VLOOKUP(D667,Controls!$A$25:$D$35,4,FALSE()),"No")="Yes",1,0)</f>
        <v/>
      </c>
      <c r="AK667" s="96">
        <f>IF(AND($E667&gt;=Controls!$B$5,$E667&lt;=Controls!$B$6,OR(Controls!$E$9&lt;&gt;"Y",$BE667=1)),1,0)</f>
        <v/>
      </c>
      <c r="AL667" s="39">
        <f>1</f>
        <v/>
      </c>
      <c r="AM667" s="20">
        <f>S667-P667</f>
        <v/>
      </c>
      <c r="AN667" s="20">
        <f>IF(AH667=1,MAX(0,P667-S667),0)</f>
        <v/>
      </c>
      <c r="AO667" s="21">
        <f>IFERROR(S667/P667,"")</f>
        <v/>
      </c>
      <c r="AP667" s="22">
        <f>IF(Y667="","",P667/Y667)</f>
        <v/>
      </c>
      <c r="AQ667" s="39">
        <f>IF(Y667="",0,1)</f>
        <v/>
      </c>
      <c r="AR667" s="39">
        <f>IF(S667&lt;=0,1,0)</f>
        <v/>
      </c>
      <c r="AS667" s="17">
        <f>IF(AH667=1,AG667,"")</f>
        <v/>
      </c>
      <c r="AT667" s="17">
        <f>IF(AND(AH667=0,AJ667=1),AG667,"")</f>
        <v/>
      </c>
      <c r="AU667" s="5">
        <f>IF(P667&lt;10000,"Under $10K",IF(P667&lt;20000,"$10-20K",IF(P667&lt;30000,"$20-30K",IF(P667&lt;50000,"$30-50K",IF(P667&lt;100000,"$50-100K","$100K+")))))</f>
        <v/>
      </c>
      <c r="AV667" s="5">
        <f>IF(O667&lt;=1.35,"1.35 and under",IF(O667&lt;=1.42,"1.36-1.42",IF(O667&lt;=1.45,"1.43-1.45",IF(O667&lt;1.49,"1.46-1.48",IF(O667&lt;=1.49,"1.49","Above 1.49")))))</f>
        <v/>
      </c>
      <c r="AW667" s="5">
        <f>IF(AE667="","",IF(AE667&lt;60,"Under 60",IF(AE667&lt;90,"60-89",IF(AE667&lt;120,"90-119",IF(AE667&lt;150,"120-149","150+")))))</f>
        <v/>
      </c>
      <c r="AX667" s="5">
        <f>IF(AP667="","No revenue data",IF(AP667&lt;0.15,"Under 0.15x",IF(AP667&lt;0.3,"0.15-0.30x",IF(AP667&lt;0.5,"0.30-0.50x",IF(AP667&lt;1,"0.50-1.00x","1.00x+")))))</f>
        <v/>
      </c>
      <c r="AY667" s="5">
        <f>IF(J667="","No SIC",IFERROR(VLOOKUP(J667,Ref!$A$4:$C$67,2,FALSE()),"Unclassified"))</f>
        <v/>
      </c>
      <c r="AZ667" s="5">
        <f>IF(E667="","",TEXT(E667,"YYYY")&amp;"-Q"&amp;ROUNDUP(MONTH(E667)/3,0))</f>
        <v/>
      </c>
      <c r="BA667" s="5">
        <f>IF(E667="","",TEXT(E667,"YYYY-MM"))</f>
        <v/>
      </c>
      <c r="BB667" s="5">
        <f>IF(E667="","",TEXT(E667,"YYYY"))</f>
        <v/>
      </c>
      <c r="BC667" s="92">
        <f>IF($E667="","",NETWORKDAYS($E667,Controls!$B$9,Ref!$F$4:$F$47))</f>
        <v/>
      </c>
      <c r="BD667" s="92">
        <f>IF(OR($AH667=1,$AJ667=1),1,0)</f>
        <v/>
      </c>
      <c r="BE667" s="95">
        <f>IF(OR($BD667=1,AND($AE667&lt;&gt;"",$BC667&gt;=Controls!$B$10*$AE667)),1,0)</f>
        <v/>
      </c>
    </row>
    <row r="668" ht="15.75" customHeight="1" s="79">
      <c r="A668" s="5" t="inlineStr">
        <is>
          <t>5674179360</t>
        </is>
      </c>
      <c r="B668" s="5" t="inlineStr">
        <is>
          <t>VENTURE V</t>
        </is>
      </c>
      <c r="C668" s="5" t="inlineStr">
        <is>
          <t>VENTURE V</t>
        </is>
      </c>
      <c r="D668" s="5" t="inlineStr">
        <is>
          <t>Legal</t>
        </is>
      </c>
      <c r="E668" s="16" t="n">
        <v>46083</v>
      </c>
      <c r="F668" s="16" t="n">
        <v>46219</v>
      </c>
      <c r="G668" s="17" t="n">
        <v>3</v>
      </c>
      <c r="H668" s="5" t="inlineStr">
        <is>
          <t>5999</t>
        </is>
      </c>
      <c r="I668" s="5" t="inlineStr">
        <is>
          <t>All Other Misc. Store Retailers (Except Tobacco Stores)</t>
        </is>
      </c>
      <c r="J668" s="5" t="inlineStr">
        <is>
          <t>59</t>
        </is>
      </c>
      <c r="K668" s="5" t="n">
        <v>5999</v>
      </c>
      <c r="L668" s="5" t="inlineStr">
        <is>
          <t>KY</t>
        </is>
      </c>
      <c r="M668" s="5" t="inlineStr">
        <is>
          <t>United Secured Capital 8</t>
        </is>
      </c>
      <c r="N668" s="5" t="inlineStr">
        <is>
          <t>Renewal</t>
        </is>
      </c>
      <c r="O668" s="19" t="n">
        <v>1.4</v>
      </c>
      <c r="P668" s="20" t="n">
        <v>30000</v>
      </c>
      <c r="Q668" s="20" t="n">
        <v>2850</v>
      </c>
      <c r="R668" s="20" t="n">
        <v>42000</v>
      </c>
      <c r="S668" s="20" t="n">
        <v>9690.360000000001</v>
      </c>
      <c r="T668" s="20" t="n">
        <v>32309.64</v>
      </c>
      <c r="U668" s="21" t="n">
        <v>0.230722857142857</v>
      </c>
      <c r="V668" s="22" t="n">
        <v>26</v>
      </c>
      <c r="W668" s="17" t="n">
        <v>104</v>
      </c>
      <c r="X668" s="17" t="n">
        <v>16</v>
      </c>
      <c r="Y668" s="20" t="n">
        <v>63273.55</v>
      </c>
      <c r="Z668" s="21" t="n">
        <v>0.1021</v>
      </c>
      <c r="AA668" s="16" t="n">
        <v>45686</v>
      </c>
      <c r="AB668" s="5">
        <f>IF(V668="","",IF(V668&lt;12,"Months","Weeks"))</f>
        <v/>
      </c>
      <c r="AC668" s="5">
        <f>IF(AB668="","",IF(AB668="Months","Daily","Weekly"))</f>
        <v/>
      </c>
      <c r="AD668" s="17">
        <f>IF(V668="","",IF(AC668="Daily",V668*Controls!$B$13,V668))</f>
        <v/>
      </c>
      <c r="AE668" s="17">
        <f>IF(V668="","",IF(AC668="Daily",V668*Controls!$B$13,V668*Controls!$B$12))</f>
        <v/>
      </c>
      <c r="AF668" s="17">
        <f>IF(OR(E668="",F668=""),"",F668-E668)</f>
        <v/>
      </c>
      <c r="AG668" s="17">
        <f>IF(OR(E668="",F668=""),"",NETWORKDAYS(E668,F668,Ref!$F$4:$F$47))</f>
        <v/>
      </c>
      <c r="AH668" s="39">
        <f>IF(IFERROR(VLOOKUP(D668,Controls!$A$25:$D$35,2,FALSE()),"No")="Yes",1,0)</f>
        <v/>
      </c>
      <c r="AI668" s="39">
        <f>IF(IFERROR(VLOOKUP(D668,Controls!$A$25:$D$35,3,FALSE()),"No")="Yes",1,0)</f>
        <v/>
      </c>
      <c r="AJ668" s="39">
        <f>IF(IFERROR(VLOOKUP(D668,Controls!$A$25:$D$35,4,FALSE()),"No")="Yes",1,0)</f>
        <v/>
      </c>
      <c r="AK668" s="96">
        <f>IF(AND($E668&gt;=Controls!$B$5,$E668&lt;=Controls!$B$6,OR(Controls!$E$9&lt;&gt;"Y",$BE668=1)),1,0)</f>
        <v/>
      </c>
      <c r="AL668" s="39">
        <f>1</f>
        <v/>
      </c>
      <c r="AM668" s="20">
        <f>S668-P668</f>
        <v/>
      </c>
      <c r="AN668" s="20">
        <f>IF(AH668=1,MAX(0,P668-S668),0)</f>
        <v/>
      </c>
      <c r="AO668" s="21">
        <f>IFERROR(S668/P668,"")</f>
        <v/>
      </c>
      <c r="AP668" s="22">
        <f>IF(Y668="","",P668/Y668)</f>
        <v/>
      </c>
      <c r="AQ668" s="39">
        <f>IF(Y668="",0,1)</f>
        <v/>
      </c>
      <c r="AR668" s="39">
        <f>IF(S668&lt;=0,1,0)</f>
        <v/>
      </c>
      <c r="AS668" s="17">
        <f>IF(AH668=1,AG668,"")</f>
        <v/>
      </c>
      <c r="AT668" s="17">
        <f>IF(AND(AH668=0,AJ668=1),AG668,"")</f>
        <v/>
      </c>
      <c r="AU668" s="5">
        <f>IF(P668&lt;10000,"Under $10K",IF(P668&lt;20000,"$10-20K",IF(P668&lt;30000,"$20-30K",IF(P668&lt;50000,"$30-50K",IF(P668&lt;100000,"$50-100K","$100K+")))))</f>
        <v/>
      </c>
      <c r="AV668" s="5">
        <f>IF(O668&lt;=1.35,"1.35 and under",IF(O668&lt;=1.42,"1.36-1.42",IF(O668&lt;=1.45,"1.43-1.45",IF(O668&lt;1.49,"1.46-1.48",IF(O668&lt;=1.49,"1.49","Above 1.49")))))</f>
        <v/>
      </c>
      <c r="AW668" s="5">
        <f>IF(AE668="","",IF(AE668&lt;60,"Under 60",IF(AE668&lt;90,"60-89",IF(AE668&lt;120,"90-119",IF(AE668&lt;150,"120-149","150+")))))</f>
        <v/>
      </c>
      <c r="AX668" s="5">
        <f>IF(AP668="","No revenue data",IF(AP668&lt;0.15,"Under 0.15x",IF(AP668&lt;0.3,"0.15-0.30x",IF(AP668&lt;0.5,"0.30-0.50x",IF(AP668&lt;1,"0.50-1.00x","1.00x+")))))</f>
        <v/>
      </c>
      <c r="AY668" s="5">
        <f>IF(J668="","No SIC",IFERROR(VLOOKUP(J668,Ref!$A$4:$C$67,2,FALSE()),"Unclassified"))</f>
        <v/>
      </c>
      <c r="AZ668" s="5">
        <f>IF(E668="","",TEXT(E668,"YYYY")&amp;"-Q"&amp;ROUNDUP(MONTH(E668)/3,0))</f>
        <v/>
      </c>
      <c r="BA668" s="5">
        <f>IF(E668="","",TEXT(E668,"YYYY-MM"))</f>
        <v/>
      </c>
      <c r="BB668" s="5">
        <f>IF(E668="","",TEXT(E668,"YYYY"))</f>
        <v/>
      </c>
      <c r="BC668" s="92">
        <f>IF($E668="","",NETWORKDAYS($E668,Controls!$B$9,Ref!$F$4:$F$47))</f>
        <v/>
      </c>
      <c r="BD668" s="92">
        <f>IF(OR($AH668=1,$AJ668=1),1,0)</f>
        <v/>
      </c>
      <c r="BE668" s="95">
        <f>IF(OR($BD668=1,AND($AE668&lt;&gt;"",$BC668&gt;=Controls!$B$10*$AE668)),1,0)</f>
        <v/>
      </c>
    </row>
    <row r="669" ht="15.75" customHeight="1" s="79">
      <c r="A669" s="5" t="inlineStr">
        <is>
          <t>5674179363</t>
        </is>
      </c>
      <c r="B669" s="5" t="inlineStr">
        <is>
          <t>Mully's Pub &amp; Patio</t>
        </is>
      </c>
      <c r="C669" s="5" t="inlineStr">
        <is>
          <t>Mulherin Hospitality LLC</t>
        </is>
      </c>
      <c r="D669" s="5" t="inlineStr">
        <is>
          <t>Closed</t>
        </is>
      </c>
      <c r="E669" s="16" t="n">
        <v>46083</v>
      </c>
      <c r="F669" s="16" t="n">
        <v>46168</v>
      </c>
      <c r="G669" s="17" t="n">
        <v>3</v>
      </c>
      <c r="H669" s="5" t="inlineStr">
        <is>
          <t>5812</t>
        </is>
      </c>
      <c r="I669" s="5" t="inlineStr">
        <is>
          <t>Snack and Nonalcoholic Beverage Bars</t>
        </is>
      </c>
      <c r="J669" s="5" t="inlineStr">
        <is>
          <t>58</t>
        </is>
      </c>
      <c r="K669" s="5" t="n">
        <v>5812</v>
      </c>
      <c r="L669" s="5" t="inlineStr">
        <is>
          <t>MO</t>
        </is>
      </c>
      <c r="M669" s="5" t="inlineStr">
        <is>
          <t>United Secured Capital 8</t>
        </is>
      </c>
      <c r="N669" s="5" t="inlineStr">
        <is>
          <t>New Deal</t>
        </is>
      </c>
      <c r="O669" s="19" t="n">
        <v>1.49</v>
      </c>
      <c r="P669" s="20" t="n">
        <v>15000</v>
      </c>
      <c r="Q669" s="20" t="n">
        <v>2100</v>
      </c>
      <c r="R669" s="20" t="n">
        <v>22350</v>
      </c>
      <c r="S669" s="20" t="n">
        <v>22350</v>
      </c>
      <c r="T669" s="20" t="n">
        <v>0</v>
      </c>
      <c r="U669" s="21" t="n">
        <v>1</v>
      </c>
      <c r="V669" s="22" t="n">
        <v>3.279</v>
      </c>
      <c r="W669" s="17" t="n">
        <v>85</v>
      </c>
      <c r="X669" s="17" t="n">
        <v>13</v>
      </c>
      <c r="Y669" s="20" t="n">
        <v>51525</v>
      </c>
      <c r="Z669" s="21" t="n">
        <v>0.0911</v>
      </c>
      <c r="AA669" s="16" t="n">
        <v>45597</v>
      </c>
      <c r="AB669" s="5">
        <f>IF(V669="","",IF(V669&lt;12,"Months","Weeks"))</f>
        <v/>
      </c>
      <c r="AC669" s="5">
        <f>IF(AB669="","",IF(AB669="Months","Daily","Weekly"))</f>
        <v/>
      </c>
      <c r="AD669" s="17">
        <f>IF(V669="","",IF(AC669="Daily",V669*Controls!$B$13,V669))</f>
        <v/>
      </c>
      <c r="AE669" s="17">
        <f>IF(V669="","",IF(AC669="Daily",V669*Controls!$B$13,V669*Controls!$B$12))</f>
        <v/>
      </c>
      <c r="AF669" s="17">
        <f>IF(OR(E669="",F669=""),"",F669-E669)</f>
        <v/>
      </c>
      <c r="AG669" s="17">
        <f>IF(OR(E669="",F669=""),"",NETWORKDAYS(E669,F669,Ref!$F$4:$F$47))</f>
        <v/>
      </c>
      <c r="AH669" s="39">
        <f>IF(IFERROR(VLOOKUP(D669,Controls!$A$25:$D$35,2,FALSE()),"No")="Yes",1,0)</f>
        <v/>
      </c>
      <c r="AI669" s="39">
        <f>IF(IFERROR(VLOOKUP(D669,Controls!$A$25:$D$35,3,FALSE()),"No")="Yes",1,0)</f>
        <v/>
      </c>
      <c r="AJ669" s="39">
        <f>IF(IFERROR(VLOOKUP(D669,Controls!$A$25:$D$35,4,FALSE()),"No")="Yes",1,0)</f>
        <v/>
      </c>
      <c r="AK669" s="96">
        <f>IF(AND($E669&gt;=Controls!$B$5,$E669&lt;=Controls!$B$6,OR(Controls!$E$9&lt;&gt;"Y",$BE669=1)),1,0)</f>
        <v/>
      </c>
      <c r="AL669" s="39">
        <f>1</f>
        <v/>
      </c>
      <c r="AM669" s="20">
        <f>S669-P669</f>
        <v/>
      </c>
      <c r="AN669" s="20">
        <f>IF(AH669=1,MAX(0,P669-S669),0)</f>
        <v/>
      </c>
      <c r="AO669" s="21">
        <f>IFERROR(S669/P669,"")</f>
        <v/>
      </c>
      <c r="AP669" s="22">
        <f>IF(Y669="","",P669/Y669)</f>
        <v/>
      </c>
      <c r="AQ669" s="39">
        <f>IF(Y669="",0,1)</f>
        <v/>
      </c>
      <c r="AR669" s="39">
        <f>IF(S669&lt;=0,1,0)</f>
        <v/>
      </c>
      <c r="AS669" s="17">
        <f>IF(AH669=1,AG669,"")</f>
        <v/>
      </c>
      <c r="AT669" s="17">
        <f>IF(AND(AH669=0,AJ669=1),AG669,"")</f>
        <v/>
      </c>
      <c r="AU669" s="5">
        <f>IF(P669&lt;10000,"Under $10K",IF(P669&lt;20000,"$10-20K",IF(P669&lt;30000,"$20-30K",IF(P669&lt;50000,"$30-50K",IF(P669&lt;100000,"$50-100K","$100K+")))))</f>
        <v/>
      </c>
      <c r="AV669" s="5">
        <f>IF(O669&lt;=1.35,"1.35 and under",IF(O669&lt;=1.42,"1.36-1.42",IF(O669&lt;=1.45,"1.43-1.45",IF(O669&lt;1.49,"1.46-1.48",IF(O669&lt;=1.49,"1.49","Above 1.49")))))</f>
        <v/>
      </c>
      <c r="AW669" s="5">
        <f>IF(AE669="","",IF(AE669&lt;60,"Under 60",IF(AE669&lt;90,"60-89",IF(AE669&lt;120,"90-119",IF(AE669&lt;150,"120-149","150+")))))</f>
        <v/>
      </c>
      <c r="AX669" s="5">
        <f>IF(AP669="","No revenue data",IF(AP669&lt;0.15,"Under 0.15x",IF(AP669&lt;0.3,"0.15-0.30x",IF(AP669&lt;0.5,"0.30-0.50x",IF(AP669&lt;1,"0.50-1.00x","1.00x+")))))</f>
        <v/>
      </c>
      <c r="AY669" s="5">
        <f>IF(J669="","No SIC",IFERROR(VLOOKUP(J669,Ref!$A$4:$C$67,2,FALSE()),"Unclassified"))</f>
        <v/>
      </c>
      <c r="AZ669" s="5">
        <f>IF(E669="","",TEXT(E669,"YYYY")&amp;"-Q"&amp;ROUNDUP(MONTH(E669)/3,0))</f>
        <v/>
      </c>
      <c r="BA669" s="5">
        <f>IF(E669="","",TEXT(E669,"YYYY-MM"))</f>
        <v/>
      </c>
      <c r="BB669" s="5">
        <f>IF(E669="","",TEXT(E669,"YYYY"))</f>
        <v/>
      </c>
      <c r="BC669" s="92">
        <f>IF($E669="","",NETWORKDAYS($E669,Controls!$B$9,Ref!$F$4:$F$47))</f>
        <v/>
      </c>
      <c r="BD669" s="92">
        <f>IF(OR($AH669=1,$AJ669=1),1,0)</f>
        <v/>
      </c>
      <c r="BE669" s="95">
        <f>IF(OR($BD669=1,AND($AE669&lt;&gt;"",$BC669&gt;=Controls!$B$10*$AE669)),1,0)</f>
        <v/>
      </c>
    </row>
    <row r="670" ht="15.75" customHeight="1" s="79">
      <c r="A670" s="5" t="inlineStr">
        <is>
          <t>5674179380</t>
        </is>
      </c>
      <c r="B670" s="5" t="inlineStr">
        <is>
          <t>CS CONSTRUCTORS LLC</t>
        </is>
      </c>
      <c r="C670" s="5" t="inlineStr">
        <is>
          <t>CS CONSTRUCTORS LLC</t>
        </is>
      </c>
      <c r="D670" s="5" t="inlineStr">
        <is>
          <t>Legal</t>
        </is>
      </c>
      <c r="E670" s="16" t="n">
        <v>46083</v>
      </c>
      <c r="F670" s="16" t="n">
        <v>46136</v>
      </c>
      <c r="G670" s="17" t="n">
        <v>3</v>
      </c>
      <c r="H670" s="5" t="inlineStr">
        <is>
          <t>1521</t>
        </is>
      </c>
      <c r="I670" s="5" t="inlineStr">
        <is>
          <t>Residential Remodelers</t>
        </is>
      </c>
      <c r="J670" s="5" t="inlineStr">
        <is>
          <t>15</t>
        </is>
      </c>
      <c r="K670" s="5" t="n">
        <v>1520</v>
      </c>
      <c r="L670" s="5" t="inlineStr">
        <is>
          <t>FL</t>
        </is>
      </c>
      <c r="M670" s="5" t="inlineStr">
        <is>
          <t>United Secured Capital 8</t>
        </is>
      </c>
      <c r="N670" s="5" t="inlineStr">
        <is>
          <t>New Deal</t>
        </is>
      </c>
      <c r="O670" s="19" t="n">
        <v>1.49</v>
      </c>
      <c r="P670" s="20" t="n">
        <v>25000</v>
      </c>
      <c r="Q670" s="20" t="n">
        <v>3500</v>
      </c>
      <c r="R670" s="20" t="n">
        <v>37250</v>
      </c>
      <c r="S670" s="20" t="n">
        <v>7455.12</v>
      </c>
      <c r="T670" s="20" t="n">
        <v>29794.88</v>
      </c>
      <c r="U670" s="21" t="n">
        <v>0.20013744966443</v>
      </c>
      <c r="V670" s="22" t="n">
        <v>20</v>
      </c>
      <c r="W670" s="17" t="n">
        <v>145</v>
      </c>
      <c r="X670" s="17" t="n">
        <v>4</v>
      </c>
      <c r="Y670" s="20" t="n">
        <v>304291.38</v>
      </c>
      <c r="Z670" s="21" t="n">
        <v>0.0245</v>
      </c>
      <c r="AA670" s="5" t="n"/>
      <c r="AB670" s="5">
        <f>IF(V670="","",IF(V670&lt;12,"Months","Weeks"))</f>
        <v/>
      </c>
      <c r="AC670" s="5">
        <f>IF(AB670="","",IF(AB670="Months","Daily","Weekly"))</f>
        <v/>
      </c>
      <c r="AD670" s="17">
        <f>IF(V670="","",IF(AC670="Daily",V670*Controls!$B$13,V670))</f>
        <v/>
      </c>
      <c r="AE670" s="17">
        <f>IF(V670="","",IF(AC670="Daily",V670*Controls!$B$13,V670*Controls!$B$12))</f>
        <v/>
      </c>
      <c r="AF670" s="17">
        <f>IF(OR(E670="",F670=""),"",F670-E670)</f>
        <v/>
      </c>
      <c r="AG670" s="17">
        <f>IF(OR(E670="",F670=""),"",NETWORKDAYS(E670,F670,Ref!$F$4:$F$47))</f>
        <v/>
      </c>
      <c r="AH670" s="39">
        <f>IF(IFERROR(VLOOKUP(D670,Controls!$A$25:$D$35,2,FALSE()),"No")="Yes",1,0)</f>
        <v/>
      </c>
      <c r="AI670" s="39">
        <f>IF(IFERROR(VLOOKUP(D670,Controls!$A$25:$D$35,3,FALSE()),"No")="Yes",1,0)</f>
        <v/>
      </c>
      <c r="AJ670" s="39">
        <f>IF(IFERROR(VLOOKUP(D670,Controls!$A$25:$D$35,4,FALSE()),"No")="Yes",1,0)</f>
        <v/>
      </c>
      <c r="AK670" s="96">
        <f>IF(AND($E670&gt;=Controls!$B$5,$E670&lt;=Controls!$B$6,OR(Controls!$E$9&lt;&gt;"Y",$BE670=1)),1,0)</f>
        <v/>
      </c>
      <c r="AL670" s="39">
        <f>1</f>
        <v/>
      </c>
      <c r="AM670" s="20">
        <f>S670-P670</f>
        <v/>
      </c>
      <c r="AN670" s="20">
        <f>IF(AH670=1,MAX(0,P670-S670),0)</f>
        <v/>
      </c>
      <c r="AO670" s="21">
        <f>IFERROR(S670/P670,"")</f>
        <v/>
      </c>
      <c r="AP670" s="22">
        <f>IF(Y670="","",P670/Y670)</f>
        <v/>
      </c>
      <c r="AQ670" s="39">
        <f>IF(Y670="",0,1)</f>
        <v/>
      </c>
      <c r="AR670" s="39">
        <f>IF(S670&lt;=0,1,0)</f>
        <v/>
      </c>
      <c r="AS670" s="17">
        <f>IF(AH670=1,AG670,"")</f>
        <v/>
      </c>
      <c r="AT670" s="17">
        <f>IF(AND(AH670=0,AJ670=1),AG670,"")</f>
        <v/>
      </c>
      <c r="AU670" s="5">
        <f>IF(P670&lt;10000,"Under $10K",IF(P670&lt;20000,"$10-20K",IF(P670&lt;30000,"$20-30K",IF(P670&lt;50000,"$30-50K",IF(P670&lt;100000,"$50-100K","$100K+")))))</f>
        <v/>
      </c>
      <c r="AV670" s="5">
        <f>IF(O670&lt;=1.35,"1.35 and under",IF(O670&lt;=1.42,"1.36-1.42",IF(O670&lt;=1.45,"1.43-1.45",IF(O670&lt;1.49,"1.46-1.48",IF(O670&lt;=1.49,"1.49","Above 1.49")))))</f>
        <v/>
      </c>
      <c r="AW670" s="5">
        <f>IF(AE670="","",IF(AE670&lt;60,"Under 60",IF(AE670&lt;90,"60-89",IF(AE670&lt;120,"90-119",IF(AE670&lt;150,"120-149","150+")))))</f>
        <v/>
      </c>
      <c r="AX670" s="5">
        <f>IF(AP670="","No revenue data",IF(AP670&lt;0.15,"Under 0.15x",IF(AP670&lt;0.3,"0.15-0.30x",IF(AP670&lt;0.5,"0.30-0.50x",IF(AP670&lt;1,"0.50-1.00x","1.00x+")))))</f>
        <v/>
      </c>
      <c r="AY670" s="5">
        <f>IF(J670="","No SIC",IFERROR(VLOOKUP(J670,Ref!$A$4:$C$67,2,FALSE()),"Unclassified"))</f>
        <v/>
      </c>
      <c r="AZ670" s="5">
        <f>IF(E670="","",TEXT(E670,"YYYY")&amp;"-Q"&amp;ROUNDUP(MONTH(E670)/3,0))</f>
        <v/>
      </c>
      <c r="BA670" s="5">
        <f>IF(E670="","",TEXT(E670,"YYYY-MM"))</f>
        <v/>
      </c>
      <c r="BB670" s="5">
        <f>IF(E670="","",TEXT(E670,"YYYY"))</f>
        <v/>
      </c>
      <c r="BC670" s="92">
        <f>IF($E670="","",NETWORKDAYS($E670,Controls!$B$9,Ref!$F$4:$F$47))</f>
        <v/>
      </c>
      <c r="BD670" s="92">
        <f>IF(OR($AH670=1,$AJ670=1),1,0)</f>
        <v/>
      </c>
      <c r="BE670" s="95">
        <f>IF(OR($BD670=1,AND($AE670&lt;&gt;"",$BC670&gt;=Controls!$B$10*$AE670)),1,0)</f>
        <v/>
      </c>
    </row>
    <row r="671" ht="15.75" customHeight="1" s="79">
      <c r="A671" s="5" t="inlineStr">
        <is>
          <t>5674179404</t>
        </is>
      </c>
      <c r="B671" s="5" t="inlineStr">
        <is>
          <t>K M Construction</t>
        </is>
      </c>
      <c r="C671" s="5" t="inlineStr">
        <is>
          <t>matthew page</t>
        </is>
      </c>
      <c r="D671" s="5" t="inlineStr">
        <is>
          <t>Legal</t>
        </is>
      </c>
      <c r="E671" s="16" t="n">
        <v>46083</v>
      </c>
      <c r="F671" s="16" t="n">
        <v>46164</v>
      </c>
      <c r="G671" s="17" t="n">
        <v>3</v>
      </c>
      <c r="H671" s="5" t="inlineStr">
        <is>
          <t>1521</t>
        </is>
      </c>
      <c r="I671" s="5" t="inlineStr">
        <is>
          <t>Residential Remodelers</t>
        </is>
      </c>
      <c r="J671" s="5" t="inlineStr">
        <is>
          <t>15</t>
        </is>
      </c>
      <c r="K671" s="5" t="n">
        <v>1520</v>
      </c>
      <c r="L671" s="5" t="inlineStr">
        <is>
          <t>IN</t>
        </is>
      </c>
      <c r="M671" s="5" t="inlineStr">
        <is>
          <t>The Funding Channel</t>
        </is>
      </c>
      <c r="N671" s="5" t="inlineStr">
        <is>
          <t>New Deal</t>
        </is>
      </c>
      <c r="O671" s="19" t="n">
        <v>1.49</v>
      </c>
      <c r="P671" s="20" t="n">
        <v>20000</v>
      </c>
      <c r="Q671" s="20" t="n">
        <v>2800</v>
      </c>
      <c r="R671" s="20" t="n">
        <v>29800</v>
      </c>
      <c r="S671" s="20" t="n">
        <v>9836.309999999999</v>
      </c>
      <c r="T671" s="20" t="n">
        <v>19963.69</v>
      </c>
      <c r="U671" s="21" t="n">
        <v>0.330077516778524</v>
      </c>
      <c r="V671" s="22" t="n">
        <v>3.279</v>
      </c>
      <c r="W671" s="17" t="n">
        <v>93</v>
      </c>
      <c r="X671" s="17" t="n">
        <v>14</v>
      </c>
      <c r="Y671" s="20" t="n">
        <v>70172.82000000001</v>
      </c>
      <c r="Z671" s="21" t="n">
        <v>0.0892</v>
      </c>
      <c r="AA671" s="5" t="n"/>
      <c r="AB671" s="5">
        <f>IF(V671="","",IF(V671&lt;12,"Months","Weeks"))</f>
        <v/>
      </c>
      <c r="AC671" s="5">
        <f>IF(AB671="","",IF(AB671="Months","Daily","Weekly"))</f>
        <v/>
      </c>
      <c r="AD671" s="17">
        <f>IF(V671="","",IF(AC671="Daily",V671*Controls!$B$13,V671))</f>
        <v/>
      </c>
      <c r="AE671" s="17">
        <f>IF(V671="","",IF(AC671="Daily",V671*Controls!$B$13,V671*Controls!$B$12))</f>
        <v/>
      </c>
      <c r="AF671" s="17">
        <f>IF(OR(E671="",F671=""),"",F671-E671)</f>
        <v/>
      </c>
      <c r="AG671" s="17">
        <f>IF(OR(E671="",F671=""),"",NETWORKDAYS(E671,F671,Ref!$F$4:$F$47))</f>
        <v/>
      </c>
      <c r="AH671" s="39">
        <f>IF(IFERROR(VLOOKUP(D671,Controls!$A$25:$D$35,2,FALSE()),"No")="Yes",1,0)</f>
        <v/>
      </c>
      <c r="AI671" s="39">
        <f>IF(IFERROR(VLOOKUP(D671,Controls!$A$25:$D$35,3,FALSE()),"No")="Yes",1,0)</f>
        <v/>
      </c>
      <c r="AJ671" s="39">
        <f>IF(IFERROR(VLOOKUP(D671,Controls!$A$25:$D$35,4,FALSE()),"No")="Yes",1,0)</f>
        <v/>
      </c>
      <c r="AK671" s="96">
        <f>IF(AND($E671&gt;=Controls!$B$5,$E671&lt;=Controls!$B$6,OR(Controls!$E$9&lt;&gt;"Y",$BE671=1)),1,0)</f>
        <v/>
      </c>
      <c r="AL671" s="39">
        <f>1</f>
        <v/>
      </c>
      <c r="AM671" s="20">
        <f>S671-P671</f>
        <v/>
      </c>
      <c r="AN671" s="20">
        <f>IF(AH671=1,MAX(0,P671-S671),0)</f>
        <v/>
      </c>
      <c r="AO671" s="21">
        <f>IFERROR(S671/P671,"")</f>
        <v/>
      </c>
      <c r="AP671" s="22">
        <f>IF(Y671="","",P671/Y671)</f>
        <v/>
      </c>
      <c r="AQ671" s="39">
        <f>IF(Y671="",0,1)</f>
        <v/>
      </c>
      <c r="AR671" s="39">
        <f>IF(S671&lt;=0,1,0)</f>
        <v/>
      </c>
      <c r="AS671" s="17">
        <f>IF(AH671=1,AG671,"")</f>
        <v/>
      </c>
      <c r="AT671" s="17">
        <f>IF(AND(AH671=0,AJ671=1),AG671,"")</f>
        <v/>
      </c>
      <c r="AU671" s="5">
        <f>IF(P671&lt;10000,"Under $10K",IF(P671&lt;20000,"$10-20K",IF(P671&lt;30000,"$20-30K",IF(P671&lt;50000,"$30-50K",IF(P671&lt;100000,"$50-100K","$100K+")))))</f>
        <v/>
      </c>
      <c r="AV671" s="5">
        <f>IF(O671&lt;=1.35,"1.35 and under",IF(O671&lt;=1.42,"1.36-1.42",IF(O671&lt;=1.45,"1.43-1.45",IF(O671&lt;1.49,"1.46-1.48",IF(O671&lt;=1.49,"1.49","Above 1.49")))))</f>
        <v/>
      </c>
      <c r="AW671" s="5">
        <f>IF(AE671="","",IF(AE671&lt;60,"Under 60",IF(AE671&lt;90,"60-89",IF(AE671&lt;120,"90-119",IF(AE671&lt;150,"120-149","150+")))))</f>
        <v/>
      </c>
      <c r="AX671" s="5">
        <f>IF(AP671="","No revenue data",IF(AP671&lt;0.15,"Under 0.15x",IF(AP671&lt;0.3,"0.15-0.30x",IF(AP671&lt;0.5,"0.30-0.50x",IF(AP671&lt;1,"0.50-1.00x","1.00x+")))))</f>
        <v/>
      </c>
      <c r="AY671" s="5">
        <f>IF(J671="","No SIC",IFERROR(VLOOKUP(J671,Ref!$A$4:$C$67,2,FALSE()),"Unclassified"))</f>
        <v/>
      </c>
      <c r="AZ671" s="5">
        <f>IF(E671="","",TEXT(E671,"YYYY")&amp;"-Q"&amp;ROUNDUP(MONTH(E671)/3,0))</f>
        <v/>
      </c>
      <c r="BA671" s="5">
        <f>IF(E671="","",TEXT(E671,"YYYY-MM"))</f>
        <v/>
      </c>
      <c r="BB671" s="5">
        <f>IF(E671="","",TEXT(E671,"YYYY"))</f>
        <v/>
      </c>
      <c r="BC671" s="92">
        <f>IF($E671="","",NETWORKDAYS($E671,Controls!$B$9,Ref!$F$4:$F$47))</f>
        <v/>
      </c>
      <c r="BD671" s="92">
        <f>IF(OR($AH671=1,$AJ671=1),1,0)</f>
        <v/>
      </c>
      <c r="BE671" s="95">
        <f>IF(OR($BD671=1,AND($AE671&lt;&gt;"",$BC671&gt;=Controls!$B$10*$AE671)),1,0)</f>
        <v/>
      </c>
    </row>
    <row r="672" ht="15.75" customHeight="1" s="79">
      <c r="A672" s="5" t="inlineStr">
        <is>
          <t>5674179410</t>
        </is>
      </c>
      <c r="B672" s="5" t="inlineStr">
        <is>
          <t>COASTAL PIER AND BOATHOUSE</t>
        </is>
      </c>
      <c r="C672" s="5" t="inlineStr">
        <is>
          <t>Coastal Pier And Boathouse, LLC</t>
        </is>
      </c>
      <c r="D672" s="5" t="inlineStr">
        <is>
          <t>Open</t>
        </is>
      </c>
      <c r="E672" s="16" t="n">
        <v>46083</v>
      </c>
      <c r="F672" s="16" t="n">
        <v>46251</v>
      </c>
      <c r="G672" s="17" t="n">
        <v>3</v>
      </c>
      <c r="H672" s="5" t="inlineStr">
        <is>
          <t>4491</t>
        </is>
      </c>
      <c r="I672" s="5" t="inlineStr">
        <is>
          <t>Marine Cargo Handling</t>
        </is>
      </c>
      <c r="J672" s="5" t="inlineStr">
        <is>
          <t>44</t>
        </is>
      </c>
      <c r="K672" s="5" t="n">
        <v>4468</v>
      </c>
      <c r="L672" s="5" t="inlineStr">
        <is>
          <t>TX</t>
        </is>
      </c>
      <c r="M672" s="5" t="inlineStr">
        <is>
          <t>Fundwell</t>
        </is>
      </c>
      <c r="N672" s="5" t="inlineStr">
        <is>
          <t>New Deal</t>
        </is>
      </c>
      <c r="O672" s="19" t="n">
        <v>1.33</v>
      </c>
      <c r="P672" s="20" t="n">
        <v>40000</v>
      </c>
      <c r="Q672" s="20" t="n">
        <v>2400</v>
      </c>
      <c r="R672" s="20" t="n">
        <v>53200</v>
      </c>
      <c r="S672" s="20" t="n">
        <v>32860.17</v>
      </c>
      <c r="T672" s="20" t="n">
        <v>20339.83</v>
      </c>
      <c r="U672" s="21" t="n">
        <v>0.617672368421053</v>
      </c>
      <c r="V672" s="22" t="n">
        <v>34</v>
      </c>
      <c r="W672" s="17" t="n">
        <v>2</v>
      </c>
      <c r="X672" s="17" t="n">
        <v>3</v>
      </c>
      <c r="Y672" s="20" t="n">
        <v>85000</v>
      </c>
      <c r="Z672" s="21" t="n">
        <v>0.0521</v>
      </c>
      <c r="AA672" s="16" t="n">
        <v>44602</v>
      </c>
      <c r="AB672" s="5">
        <f>IF(V672="","",IF(V672&lt;12,"Months","Weeks"))</f>
        <v/>
      </c>
      <c r="AC672" s="5">
        <f>IF(AB672="","",IF(AB672="Months","Daily","Weekly"))</f>
        <v/>
      </c>
      <c r="AD672" s="17">
        <f>IF(V672="","",IF(AC672="Daily",V672*Controls!$B$13,V672))</f>
        <v/>
      </c>
      <c r="AE672" s="17">
        <f>IF(V672="","",IF(AC672="Daily",V672*Controls!$B$13,V672*Controls!$B$12))</f>
        <v/>
      </c>
      <c r="AF672" s="17">
        <f>IF(OR(E672="",F672=""),"",F672-E672)</f>
        <v/>
      </c>
      <c r="AG672" s="17">
        <f>IF(OR(E672="",F672=""),"",NETWORKDAYS(E672,F672,Ref!$F$4:$F$47))</f>
        <v/>
      </c>
      <c r="AH672" s="39">
        <f>IF(IFERROR(VLOOKUP(D672,Controls!$A$25:$D$35,2,FALSE()),"No")="Yes",1,0)</f>
        <v/>
      </c>
      <c r="AI672" s="39">
        <f>IF(IFERROR(VLOOKUP(D672,Controls!$A$25:$D$35,3,FALSE()),"No")="Yes",1,0)</f>
        <v/>
      </c>
      <c r="AJ672" s="39">
        <f>IF(IFERROR(VLOOKUP(D672,Controls!$A$25:$D$35,4,FALSE()),"No")="Yes",1,0)</f>
        <v/>
      </c>
      <c r="AK672" s="96">
        <f>IF(AND($E672&gt;=Controls!$B$5,$E672&lt;=Controls!$B$6,OR(Controls!$E$9&lt;&gt;"Y",$BE672=1)),1,0)</f>
        <v/>
      </c>
      <c r="AL672" s="39">
        <f>1</f>
        <v/>
      </c>
      <c r="AM672" s="20">
        <f>S672-P672</f>
        <v/>
      </c>
      <c r="AN672" s="20">
        <f>IF(AH672=1,MAX(0,P672-S672),0)</f>
        <v/>
      </c>
      <c r="AO672" s="21">
        <f>IFERROR(S672/P672,"")</f>
        <v/>
      </c>
      <c r="AP672" s="22">
        <f>IF(Y672="","",P672/Y672)</f>
        <v/>
      </c>
      <c r="AQ672" s="39">
        <f>IF(Y672="",0,1)</f>
        <v/>
      </c>
      <c r="AR672" s="39">
        <f>IF(S672&lt;=0,1,0)</f>
        <v/>
      </c>
      <c r="AS672" s="17">
        <f>IF(AH672=1,AG672,"")</f>
        <v/>
      </c>
      <c r="AT672" s="17">
        <f>IF(AND(AH672=0,AJ672=1),AG672,"")</f>
        <v/>
      </c>
      <c r="AU672" s="5">
        <f>IF(P672&lt;10000,"Under $10K",IF(P672&lt;20000,"$10-20K",IF(P672&lt;30000,"$20-30K",IF(P672&lt;50000,"$30-50K",IF(P672&lt;100000,"$50-100K","$100K+")))))</f>
        <v/>
      </c>
      <c r="AV672" s="5">
        <f>IF(O672&lt;=1.35,"1.35 and under",IF(O672&lt;=1.42,"1.36-1.42",IF(O672&lt;=1.45,"1.43-1.45",IF(O672&lt;1.49,"1.46-1.48",IF(O672&lt;=1.49,"1.49","Above 1.49")))))</f>
        <v/>
      </c>
      <c r="AW672" s="5">
        <f>IF(AE672="","",IF(AE672&lt;60,"Under 60",IF(AE672&lt;90,"60-89",IF(AE672&lt;120,"90-119",IF(AE672&lt;150,"120-149","150+")))))</f>
        <v/>
      </c>
      <c r="AX672" s="5">
        <f>IF(AP672="","No revenue data",IF(AP672&lt;0.15,"Under 0.15x",IF(AP672&lt;0.3,"0.15-0.30x",IF(AP672&lt;0.5,"0.30-0.50x",IF(AP672&lt;1,"0.50-1.00x","1.00x+")))))</f>
        <v/>
      </c>
      <c r="AY672" s="5">
        <f>IF(J672="","No SIC",IFERROR(VLOOKUP(J672,Ref!$A$4:$C$67,2,FALSE()),"Unclassified"))</f>
        <v/>
      </c>
      <c r="AZ672" s="5">
        <f>IF(E672="","",TEXT(E672,"YYYY")&amp;"-Q"&amp;ROUNDUP(MONTH(E672)/3,0))</f>
        <v/>
      </c>
      <c r="BA672" s="5">
        <f>IF(E672="","",TEXT(E672,"YYYY-MM"))</f>
        <v/>
      </c>
      <c r="BB672" s="5">
        <f>IF(E672="","",TEXT(E672,"YYYY"))</f>
        <v/>
      </c>
      <c r="BC672" s="92">
        <f>IF($E672="","",NETWORKDAYS($E672,Controls!$B$9,Ref!$F$4:$F$47))</f>
        <v/>
      </c>
      <c r="BD672" s="92">
        <f>IF(OR($AH672=1,$AJ672=1),1,0)</f>
        <v/>
      </c>
      <c r="BE672" s="95">
        <f>IF(OR($BD672=1,AND($AE672&lt;&gt;"",$BC672&gt;=Controls!$B$10*$AE672)),1,0)</f>
        <v/>
      </c>
    </row>
    <row r="673" ht="15.75" customHeight="1" s="79">
      <c r="A673" s="5" t="inlineStr">
        <is>
          <t>5674179424</t>
        </is>
      </c>
      <c r="B673" s="5" t="inlineStr">
        <is>
          <t>Wee Thrive Pediatric Therapy Group, Inc</t>
        </is>
      </c>
      <c r="C673" s="5" t="inlineStr">
        <is>
          <t>Wee Thrive Pediatric Therapy Group, Inc</t>
        </is>
      </c>
      <c r="D673" s="5" t="inlineStr">
        <is>
          <t>Written-Off</t>
        </is>
      </c>
      <c r="E673" s="16" t="n">
        <v>46084</v>
      </c>
      <c r="F673" s="16" t="n">
        <v>46233</v>
      </c>
      <c r="G673" s="17" t="n">
        <v>2</v>
      </c>
      <c r="H673" s="5" t="inlineStr">
        <is>
          <t>8011</t>
        </is>
      </c>
      <c r="I673" s="5" t="inlineStr">
        <is>
          <t>Freestanding Ambulatory Surgical and Emergency Centers</t>
        </is>
      </c>
      <c r="J673" s="5" t="inlineStr">
        <is>
          <t>80</t>
        </is>
      </c>
      <c r="K673" s="5" t="n">
        <v>8011</v>
      </c>
      <c r="L673" s="5" t="inlineStr">
        <is>
          <t>CA</t>
        </is>
      </c>
      <c r="M673" s="5" t="inlineStr">
        <is>
          <t>Fundwell</t>
        </is>
      </c>
      <c r="N673" s="5" t="inlineStr">
        <is>
          <t>New Deal</t>
        </is>
      </c>
      <c r="O673" s="19" t="n">
        <v>1.39</v>
      </c>
      <c r="P673" s="20" t="n">
        <v>20000</v>
      </c>
      <c r="Q673" s="20" t="n">
        <v>2600</v>
      </c>
      <c r="R673" s="20" t="n">
        <v>27800</v>
      </c>
      <c r="S673" s="20" t="n">
        <v>16365.67</v>
      </c>
      <c r="T673" s="20" t="n">
        <v>11434.33</v>
      </c>
      <c r="U673" s="21" t="n">
        <v>0.588693165467626</v>
      </c>
      <c r="V673" s="22" t="n">
        <v>40</v>
      </c>
      <c r="W673" s="17" t="n">
        <v>20</v>
      </c>
      <c r="X673" s="17" t="n">
        <v>1</v>
      </c>
      <c r="Y673" s="20" t="n">
        <v>96495.78999999999</v>
      </c>
      <c r="Z673" s="21" t="n">
        <v>0.0288</v>
      </c>
      <c r="AA673" s="16" t="n">
        <v>42619</v>
      </c>
      <c r="AB673" s="5">
        <f>IF(V673="","",IF(V673&lt;12,"Months","Weeks"))</f>
        <v/>
      </c>
      <c r="AC673" s="5">
        <f>IF(AB673="","",IF(AB673="Months","Daily","Weekly"))</f>
        <v/>
      </c>
      <c r="AD673" s="17">
        <f>IF(V673="","",IF(AC673="Daily",V673*Controls!$B$13,V673))</f>
        <v/>
      </c>
      <c r="AE673" s="17">
        <f>IF(V673="","",IF(AC673="Daily",V673*Controls!$B$13,V673*Controls!$B$12))</f>
        <v/>
      </c>
      <c r="AF673" s="17">
        <f>IF(OR(E673="",F673=""),"",F673-E673)</f>
        <v/>
      </c>
      <c r="AG673" s="17">
        <f>IF(OR(E673="",F673=""),"",NETWORKDAYS(E673,F673,Ref!$F$4:$F$47))</f>
        <v/>
      </c>
      <c r="AH673" s="39">
        <f>IF(IFERROR(VLOOKUP(D673,Controls!$A$25:$D$35,2,FALSE()),"No")="Yes",1,0)</f>
        <v/>
      </c>
      <c r="AI673" s="39">
        <f>IF(IFERROR(VLOOKUP(D673,Controls!$A$25:$D$35,3,FALSE()),"No")="Yes",1,0)</f>
        <v/>
      </c>
      <c r="AJ673" s="39">
        <f>IF(IFERROR(VLOOKUP(D673,Controls!$A$25:$D$35,4,FALSE()),"No")="Yes",1,0)</f>
        <v/>
      </c>
      <c r="AK673" s="96">
        <f>IF(AND($E673&gt;=Controls!$B$5,$E673&lt;=Controls!$B$6,OR(Controls!$E$9&lt;&gt;"Y",$BE673=1)),1,0)</f>
        <v/>
      </c>
      <c r="AL673" s="39">
        <f>1</f>
        <v/>
      </c>
      <c r="AM673" s="20">
        <f>S673-P673</f>
        <v/>
      </c>
      <c r="AN673" s="20">
        <f>IF(AH673=1,MAX(0,P673-S673),0)</f>
        <v/>
      </c>
      <c r="AO673" s="21">
        <f>IFERROR(S673/P673,"")</f>
        <v/>
      </c>
      <c r="AP673" s="22">
        <f>IF(Y673="","",P673/Y673)</f>
        <v/>
      </c>
      <c r="AQ673" s="39">
        <f>IF(Y673="",0,1)</f>
        <v/>
      </c>
      <c r="AR673" s="39">
        <f>IF(S673&lt;=0,1,0)</f>
        <v/>
      </c>
      <c r="AS673" s="17">
        <f>IF(AH673=1,AG673,"")</f>
        <v/>
      </c>
      <c r="AT673" s="17">
        <f>IF(AND(AH673=0,AJ673=1),AG673,"")</f>
        <v/>
      </c>
      <c r="AU673" s="5">
        <f>IF(P673&lt;10000,"Under $10K",IF(P673&lt;20000,"$10-20K",IF(P673&lt;30000,"$20-30K",IF(P673&lt;50000,"$30-50K",IF(P673&lt;100000,"$50-100K","$100K+")))))</f>
        <v/>
      </c>
      <c r="AV673" s="5">
        <f>IF(O673&lt;=1.35,"1.35 and under",IF(O673&lt;=1.42,"1.36-1.42",IF(O673&lt;=1.45,"1.43-1.45",IF(O673&lt;1.49,"1.46-1.48",IF(O673&lt;=1.49,"1.49","Above 1.49")))))</f>
        <v/>
      </c>
      <c r="AW673" s="5">
        <f>IF(AE673="","",IF(AE673&lt;60,"Under 60",IF(AE673&lt;90,"60-89",IF(AE673&lt;120,"90-119",IF(AE673&lt;150,"120-149","150+")))))</f>
        <v/>
      </c>
      <c r="AX673" s="5">
        <f>IF(AP673="","No revenue data",IF(AP673&lt;0.15,"Under 0.15x",IF(AP673&lt;0.3,"0.15-0.30x",IF(AP673&lt;0.5,"0.30-0.50x",IF(AP673&lt;1,"0.50-1.00x","1.00x+")))))</f>
        <v/>
      </c>
      <c r="AY673" s="5">
        <f>IF(J673="","No SIC",IFERROR(VLOOKUP(J673,Ref!$A$4:$C$67,2,FALSE()),"Unclassified"))</f>
        <v/>
      </c>
      <c r="AZ673" s="5">
        <f>IF(E673="","",TEXT(E673,"YYYY")&amp;"-Q"&amp;ROUNDUP(MONTH(E673)/3,0))</f>
        <v/>
      </c>
      <c r="BA673" s="5">
        <f>IF(E673="","",TEXT(E673,"YYYY-MM"))</f>
        <v/>
      </c>
      <c r="BB673" s="5">
        <f>IF(E673="","",TEXT(E673,"YYYY"))</f>
        <v/>
      </c>
      <c r="BC673" s="92">
        <f>IF($E673="","",NETWORKDAYS($E673,Controls!$B$9,Ref!$F$4:$F$47))</f>
        <v/>
      </c>
      <c r="BD673" s="92">
        <f>IF(OR($AH673=1,$AJ673=1),1,0)</f>
        <v/>
      </c>
      <c r="BE673" s="95">
        <f>IF(OR($BD673=1,AND($AE673&lt;&gt;"",$BC673&gt;=Controls!$B$10*$AE673)),1,0)</f>
        <v/>
      </c>
    </row>
    <row r="674" ht="15.75" customHeight="1" s="79">
      <c r="A674" s="5" t="inlineStr">
        <is>
          <t>5674179429</t>
        </is>
      </c>
      <c r="B674" s="5" t="inlineStr">
        <is>
          <t>WATER RESTORATION, INC.</t>
        </is>
      </c>
      <c r="C674" s="5" t="inlineStr">
        <is>
          <t>WATER RESTORATION, INC.</t>
        </is>
      </c>
      <c r="D674" s="5" t="inlineStr">
        <is>
          <t>Open</t>
        </is>
      </c>
      <c r="E674" s="16" t="n">
        <v>46084</v>
      </c>
      <c r="F674" s="16" t="n">
        <v>46248</v>
      </c>
      <c r="G674" s="17" t="n">
        <v>3</v>
      </c>
      <c r="H674" s="5" t="inlineStr">
        <is>
          <t>1623</t>
        </is>
      </c>
      <c r="I674" s="5" t="inlineStr">
        <is>
          <t>Water and Sewer Line and Related Structures Construction</t>
        </is>
      </c>
      <c r="J674" s="5" t="inlineStr">
        <is>
          <t>16</t>
        </is>
      </c>
      <c r="K674" s="5" t="n">
        <v>4900</v>
      </c>
      <c r="L674" s="5" t="inlineStr">
        <is>
          <t>CA</t>
        </is>
      </c>
      <c r="M674" s="5" t="inlineStr">
        <is>
          <t>United Secured Capital 8</t>
        </is>
      </c>
      <c r="N674" s="5" t="inlineStr">
        <is>
          <t>New Deal</t>
        </is>
      </c>
      <c r="O674" s="19" t="n">
        <v>1.49</v>
      </c>
      <c r="P674" s="20" t="n">
        <v>20000</v>
      </c>
      <c r="Q674" s="20" t="n">
        <v>2800</v>
      </c>
      <c r="R674" s="20" t="n">
        <v>29800</v>
      </c>
      <c r="S674" s="20" t="n">
        <v>10469.37</v>
      </c>
      <c r="T674" s="20" t="n">
        <v>19330.63</v>
      </c>
      <c r="U674" s="21" t="n">
        <v>0.351321140939597</v>
      </c>
      <c r="V674" s="22" t="n">
        <v>20</v>
      </c>
      <c r="W674" s="17" t="n">
        <v>5</v>
      </c>
      <c r="X674" s="17" t="n">
        <v>1</v>
      </c>
      <c r="Y674" s="20" t="n">
        <v>37198.13</v>
      </c>
      <c r="Z674" s="21" t="n">
        <v>0.1602</v>
      </c>
      <c r="AA674" s="16" t="n">
        <v>43105</v>
      </c>
      <c r="AB674" s="5">
        <f>IF(V674="","",IF(V674&lt;12,"Months","Weeks"))</f>
        <v/>
      </c>
      <c r="AC674" s="5">
        <f>IF(AB674="","",IF(AB674="Months","Daily","Weekly"))</f>
        <v/>
      </c>
      <c r="AD674" s="17">
        <f>IF(V674="","",IF(AC674="Daily",V674*Controls!$B$13,V674))</f>
        <v/>
      </c>
      <c r="AE674" s="17">
        <f>IF(V674="","",IF(AC674="Daily",V674*Controls!$B$13,V674*Controls!$B$12))</f>
        <v/>
      </c>
      <c r="AF674" s="17">
        <f>IF(OR(E674="",F674=""),"",F674-E674)</f>
        <v/>
      </c>
      <c r="AG674" s="17">
        <f>IF(OR(E674="",F674=""),"",NETWORKDAYS(E674,F674,Ref!$F$4:$F$47))</f>
        <v/>
      </c>
      <c r="AH674" s="39">
        <f>IF(IFERROR(VLOOKUP(D674,Controls!$A$25:$D$35,2,FALSE()),"No")="Yes",1,0)</f>
        <v/>
      </c>
      <c r="AI674" s="39">
        <f>IF(IFERROR(VLOOKUP(D674,Controls!$A$25:$D$35,3,FALSE()),"No")="Yes",1,0)</f>
        <v/>
      </c>
      <c r="AJ674" s="39">
        <f>IF(IFERROR(VLOOKUP(D674,Controls!$A$25:$D$35,4,FALSE()),"No")="Yes",1,0)</f>
        <v/>
      </c>
      <c r="AK674" s="96">
        <f>IF(AND($E674&gt;=Controls!$B$5,$E674&lt;=Controls!$B$6,OR(Controls!$E$9&lt;&gt;"Y",$BE674=1)),1,0)</f>
        <v/>
      </c>
      <c r="AL674" s="39">
        <f>1</f>
        <v/>
      </c>
      <c r="AM674" s="20">
        <f>S674-P674</f>
        <v/>
      </c>
      <c r="AN674" s="20">
        <f>IF(AH674=1,MAX(0,P674-S674),0)</f>
        <v/>
      </c>
      <c r="AO674" s="21">
        <f>IFERROR(S674/P674,"")</f>
        <v/>
      </c>
      <c r="AP674" s="22">
        <f>IF(Y674="","",P674/Y674)</f>
        <v/>
      </c>
      <c r="AQ674" s="39">
        <f>IF(Y674="",0,1)</f>
        <v/>
      </c>
      <c r="AR674" s="39">
        <f>IF(S674&lt;=0,1,0)</f>
        <v/>
      </c>
      <c r="AS674" s="17">
        <f>IF(AH674=1,AG674,"")</f>
        <v/>
      </c>
      <c r="AT674" s="17">
        <f>IF(AND(AH674=0,AJ674=1),AG674,"")</f>
        <v/>
      </c>
      <c r="AU674" s="5">
        <f>IF(P674&lt;10000,"Under $10K",IF(P674&lt;20000,"$10-20K",IF(P674&lt;30000,"$20-30K",IF(P674&lt;50000,"$30-50K",IF(P674&lt;100000,"$50-100K","$100K+")))))</f>
        <v/>
      </c>
      <c r="AV674" s="5">
        <f>IF(O674&lt;=1.35,"1.35 and under",IF(O674&lt;=1.42,"1.36-1.42",IF(O674&lt;=1.45,"1.43-1.45",IF(O674&lt;1.49,"1.46-1.48",IF(O674&lt;=1.49,"1.49","Above 1.49")))))</f>
        <v/>
      </c>
      <c r="AW674" s="5">
        <f>IF(AE674="","",IF(AE674&lt;60,"Under 60",IF(AE674&lt;90,"60-89",IF(AE674&lt;120,"90-119",IF(AE674&lt;150,"120-149","150+")))))</f>
        <v/>
      </c>
      <c r="AX674" s="5">
        <f>IF(AP674="","No revenue data",IF(AP674&lt;0.15,"Under 0.15x",IF(AP674&lt;0.3,"0.15-0.30x",IF(AP674&lt;0.5,"0.30-0.50x",IF(AP674&lt;1,"0.50-1.00x","1.00x+")))))</f>
        <v/>
      </c>
      <c r="AY674" s="5">
        <f>IF(J674="","No SIC",IFERROR(VLOOKUP(J674,Ref!$A$4:$C$67,2,FALSE()),"Unclassified"))</f>
        <v/>
      </c>
      <c r="AZ674" s="5">
        <f>IF(E674="","",TEXT(E674,"YYYY")&amp;"-Q"&amp;ROUNDUP(MONTH(E674)/3,0))</f>
        <v/>
      </c>
      <c r="BA674" s="5">
        <f>IF(E674="","",TEXT(E674,"YYYY-MM"))</f>
        <v/>
      </c>
      <c r="BB674" s="5">
        <f>IF(E674="","",TEXT(E674,"YYYY"))</f>
        <v/>
      </c>
      <c r="BC674" s="92">
        <f>IF($E674="","",NETWORKDAYS($E674,Controls!$B$9,Ref!$F$4:$F$47))</f>
        <v/>
      </c>
      <c r="BD674" s="92">
        <f>IF(OR($AH674=1,$AJ674=1),1,0)</f>
        <v/>
      </c>
      <c r="BE674" s="95">
        <f>IF(OR($BD674=1,AND($AE674&lt;&gt;"",$BC674&gt;=Controls!$B$10*$AE674)),1,0)</f>
        <v/>
      </c>
    </row>
    <row r="675" ht="15.75" customHeight="1" s="79">
      <c r="A675" s="5" t="inlineStr">
        <is>
          <t>5674179447</t>
        </is>
      </c>
      <c r="B675" s="5" t="inlineStr">
        <is>
          <t>Apex Autoworx llc</t>
        </is>
      </c>
      <c r="C675" s="5" t="inlineStr">
        <is>
          <t>Apex Autoworx llc</t>
        </is>
      </c>
      <c r="D675" s="5" t="inlineStr">
        <is>
          <t>Open</t>
        </is>
      </c>
      <c r="E675" s="16" t="n">
        <v>46084</v>
      </c>
      <c r="F675" s="16" t="n">
        <v>46252</v>
      </c>
      <c r="G675" s="17" t="n">
        <v>2</v>
      </c>
      <c r="H675" s="5" t="inlineStr">
        <is>
          <t>7532</t>
        </is>
      </c>
      <c r="I675" s="5" t="inlineStr">
        <is>
          <t>Automotive Body, Paint, and Interior Repair and Maintenance</t>
        </is>
      </c>
      <c r="J675" s="5" t="inlineStr">
        <is>
          <t>75</t>
        </is>
      </c>
      <c r="K675" s="5" t="n">
        <v>7531</v>
      </c>
      <c r="L675" s="5" t="inlineStr">
        <is>
          <t>OH</t>
        </is>
      </c>
      <c r="M675" s="5" t="inlineStr">
        <is>
          <t>Fundwell</t>
        </is>
      </c>
      <c r="N675" s="5" t="inlineStr">
        <is>
          <t>New Deal</t>
        </is>
      </c>
      <c r="O675" s="19" t="n">
        <v>1.42</v>
      </c>
      <c r="P675" s="20" t="n">
        <v>20000</v>
      </c>
      <c r="Q675" s="20" t="n">
        <v>2800</v>
      </c>
      <c r="R675" s="20" t="n">
        <v>28400</v>
      </c>
      <c r="S675" s="20" t="n">
        <v>16570.47</v>
      </c>
      <c r="T675" s="20" t="n">
        <v>11829.53</v>
      </c>
      <c r="U675" s="21" t="n">
        <v>0.583467253521127</v>
      </c>
      <c r="V675" s="22" t="n">
        <v>36</v>
      </c>
      <c r="W675" s="17" t="n">
        <v>1</v>
      </c>
      <c r="X675" s="17" t="n">
        <v>3</v>
      </c>
      <c r="Y675" s="20" t="n">
        <v>16194.43</v>
      </c>
      <c r="Z675" s="21" t="n">
        <v>0.1949</v>
      </c>
      <c r="AA675" s="16" t="n">
        <v>45580</v>
      </c>
      <c r="AB675" s="5">
        <f>IF(V675="","",IF(V675&lt;12,"Months","Weeks"))</f>
        <v/>
      </c>
      <c r="AC675" s="5">
        <f>IF(AB675="","",IF(AB675="Months","Daily","Weekly"))</f>
        <v/>
      </c>
      <c r="AD675" s="17">
        <f>IF(V675="","",IF(AC675="Daily",V675*Controls!$B$13,V675))</f>
        <v/>
      </c>
      <c r="AE675" s="17">
        <f>IF(V675="","",IF(AC675="Daily",V675*Controls!$B$13,V675*Controls!$B$12))</f>
        <v/>
      </c>
      <c r="AF675" s="17">
        <f>IF(OR(E675="",F675=""),"",F675-E675)</f>
        <v/>
      </c>
      <c r="AG675" s="17">
        <f>IF(OR(E675="",F675=""),"",NETWORKDAYS(E675,F675,Ref!$F$4:$F$47))</f>
        <v/>
      </c>
      <c r="AH675" s="39">
        <f>IF(IFERROR(VLOOKUP(D675,Controls!$A$25:$D$35,2,FALSE()),"No")="Yes",1,0)</f>
        <v/>
      </c>
      <c r="AI675" s="39">
        <f>IF(IFERROR(VLOOKUP(D675,Controls!$A$25:$D$35,3,FALSE()),"No")="Yes",1,0)</f>
        <v/>
      </c>
      <c r="AJ675" s="39">
        <f>IF(IFERROR(VLOOKUP(D675,Controls!$A$25:$D$35,4,FALSE()),"No")="Yes",1,0)</f>
        <v/>
      </c>
      <c r="AK675" s="96">
        <f>IF(AND($E675&gt;=Controls!$B$5,$E675&lt;=Controls!$B$6,OR(Controls!$E$9&lt;&gt;"Y",$BE675=1)),1,0)</f>
        <v/>
      </c>
      <c r="AL675" s="39">
        <f>1</f>
        <v/>
      </c>
      <c r="AM675" s="20">
        <f>S675-P675</f>
        <v/>
      </c>
      <c r="AN675" s="20">
        <f>IF(AH675=1,MAX(0,P675-S675),0)</f>
        <v/>
      </c>
      <c r="AO675" s="21">
        <f>IFERROR(S675/P675,"")</f>
        <v/>
      </c>
      <c r="AP675" s="22">
        <f>IF(Y675="","",P675/Y675)</f>
        <v/>
      </c>
      <c r="AQ675" s="39">
        <f>IF(Y675="",0,1)</f>
        <v/>
      </c>
      <c r="AR675" s="39">
        <f>IF(S675&lt;=0,1,0)</f>
        <v/>
      </c>
      <c r="AS675" s="17">
        <f>IF(AH675=1,AG675,"")</f>
        <v/>
      </c>
      <c r="AT675" s="17">
        <f>IF(AND(AH675=0,AJ675=1),AG675,"")</f>
        <v/>
      </c>
      <c r="AU675" s="5">
        <f>IF(P675&lt;10000,"Under $10K",IF(P675&lt;20000,"$10-20K",IF(P675&lt;30000,"$20-30K",IF(P675&lt;50000,"$30-50K",IF(P675&lt;100000,"$50-100K","$100K+")))))</f>
        <v/>
      </c>
      <c r="AV675" s="5">
        <f>IF(O675&lt;=1.35,"1.35 and under",IF(O675&lt;=1.42,"1.36-1.42",IF(O675&lt;=1.45,"1.43-1.45",IF(O675&lt;1.49,"1.46-1.48",IF(O675&lt;=1.49,"1.49","Above 1.49")))))</f>
        <v/>
      </c>
      <c r="AW675" s="5">
        <f>IF(AE675="","",IF(AE675&lt;60,"Under 60",IF(AE675&lt;90,"60-89",IF(AE675&lt;120,"90-119",IF(AE675&lt;150,"120-149","150+")))))</f>
        <v/>
      </c>
      <c r="AX675" s="5">
        <f>IF(AP675="","No revenue data",IF(AP675&lt;0.15,"Under 0.15x",IF(AP675&lt;0.3,"0.15-0.30x",IF(AP675&lt;0.5,"0.30-0.50x",IF(AP675&lt;1,"0.50-1.00x","1.00x+")))))</f>
        <v/>
      </c>
      <c r="AY675" s="5">
        <f>IF(J675="","No SIC",IFERROR(VLOOKUP(J675,Ref!$A$4:$C$67,2,FALSE()),"Unclassified"))</f>
        <v/>
      </c>
      <c r="AZ675" s="5">
        <f>IF(E675="","",TEXT(E675,"YYYY")&amp;"-Q"&amp;ROUNDUP(MONTH(E675)/3,0))</f>
        <v/>
      </c>
      <c r="BA675" s="5">
        <f>IF(E675="","",TEXT(E675,"YYYY-MM"))</f>
        <v/>
      </c>
      <c r="BB675" s="5">
        <f>IF(E675="","",TEXT(E675,"YYYY"))</f>
        <v/>
      </c>
      <c r="BC675" s="92">
        <f>IF($E675="","",NETWORKDAYS($E675,Controls!$B$9,Ref!$F$4:$F$47))</f>
        <v/>
      </c>
      <c r="BD675" s="92">
        <f>IF(OR($AH675=1,$AJ675=1),1,0)</f>
        <v/>
      </c>
      <c r="BE675" s="95">
        <f>IF(OR($BD675=1,AND($AE675&lt;&gt;"",$BC675&gt;=Controls!$B$10*$AE675)),1,0)</f>
        <v/>
      </c>
    </row>
    <row r="676" ht="15.75" customHeight="1" s="79">
      <c r="A676" s="5" t="inlineStr">
        <is>
          <t>5674179507</t>
        </is>
      </c>
      <c r="B676" s="5" t="inlineStr">
        <is>
          <t>METAL AND MATH LLC</t>
        </is>
      </c>
      <c r="C676" s="5" t="inlineStr">
        <is>
          <t>METAL AND MATH LLC</t>
        </is>
      </c>
      <c r="D676" s="5" t="inlineStr">
        <is>
          <t>Closed</t>
        </is>
      </c>
      <c r="E676" s="16" t="n">
        <v>46085</v>
      </c>
      <c r="F676" s="16" t="n">
        <v>46168</v>
      </c>
      <c r="G676" s="17" t="n">
        <v>3</v>
      </c>
      <c r="H676" s="5" t="inlineStr">
        <is>
          <t>1761</t>
        </is>
      </c>
      <c r="I676" s="5" t="inlineStr">
        <is>
          <t>Siding Contractors</t>
        </is>
      </c>
      <c r="J676" s="5" t="inlineStr">
        <is>
          <t>17</t>
        </is>
      </c>
      <c r="K676" s="5" t="n">
        <v>1761</v>
      </c>
      <c r="L676" s="5" t="inlineStr">
        <is>
          <t>KY</t>
        </is>
      </c>
      <c r="M676" s="5" t="inlineStr">
        <is>
          <t>United Secured Capital 8</t>
        </is>
      </c>
      <c r="N676" s="5" t="inlineStr">
        <is>
          <t>New Deal</t>
        </is>
      </c>
      <c r="O676" s="19" t="n">
        <v>1.49</v>
      </c>
      <c r="P676" s="20" t="n">
        <v>15000</v>
      </c>
      <c r="Q676" s="20" t="n">
        <v>2100</v>
      </c>
      <c r="R676" s="20" t="n">
        <v>22350</v>
      </c>
      <c r="S676" s="20" t="n">
        <v>22350</v>
      </c>
      <c r="T676" s="20" t="n">
        <v>0</v>
      </c>
      <c r="U676" s="21" t="n">
        <v>1</v>
      </c>
      <c r="V676" s="22" t="n">
        <v>20</v>
      </c>
      <c r="W676" s="17" t="n">
        <v>85</v>
      </c>
      <c r="X676" s="17" t="n">
        <v>2</v>
      </c>
      <c r="Y676" s="20" t="n">
        <v>65000</v>
      </c>
      <c r="Z676" s="21" t="n">
        <v>0.0993</v>
      </c>
      <c r="AA676" s="5" t="n"/>
      <c r="AB676" s="5">
        <f>IF(V676="","",IF(V676&lt;12,"Months","Weeks"))</f>
        <v/>
      </c>
      <c r="AC676" s="5">
        <f>IF(AB676="","",IF(AB676="Months","Daily","Weekly"))</f>
        <v/>
      </c>
      <c r="AD676" s="17">
        <f>IF(V676="","",IF(AC676="Daily",V676*Controls!$B$13,V676))</f>
        <v/>
      </c>
      <c r="AE676" s="17">
        <f>IF(V676="","",IF(AC676="Daily",V676*Controls!$B$13,V676*Controls!$B$12))</f>
        <v/>
      </c>
      <c r="AF676" s="17">
        <f>IF(OR(E676="",F676=""),"",F676-E676)</f>
        <v/>
      </c>
      <c r="AG676" s="17">
        <f>IF(OR(E676="",F676=""),"",NETWORKDAYS(E676,F676,Ref!$F$4:$F$47))</f>
        <v/>
      </c>
      <c r="AH676" s="39">
        <f>IF(IFERROR(VLOOKUP(D676,Controls!$A$25:$D$35,2,FALSE()),"No")="Yes",1,0)</f>
        <v/>
      </c>
      <c r="AI676" s="39">
        <f>IF(IFERROR(VLOOKUP(D676,Controls!$A$25:$D$35,3,FALSE()),"No")="Yes",1,0)</f>
        <v/>
      </c>
      <c r="AJ676" s="39">
        <f>IF(IFERROR(VLOOKUP(D676,Controls!$A$25:$D$35,4,FALSE()),"No")="Yes",1,0)</f>
        <v/>
      </c>
      <c r="AK676" s="96">
        <f>IF(AND($E676&gt;=Controls!$B$5,$E676&lt;=Controls!$B$6,OR(Controls!$E$9&lt;&gt;"Y",$BE676=1)),1,0)</f>
        <v/>
      </c>
      <c r="AL676" s="39">
        <f>1</f>
        <v/>
      </c>
      <c r="AM676" s="20">
        <f>S676-P676</f>
        <v/>
      </c>
      <c r="AN676" s="20">
        <f>IF(AH676=1,MAX(0,P676-S676),0)</f>
        <v/>
      </c>
      <c r="AO676" s="21">
        <f>IFERROR(S676/P676,"")</f>
        <v/>
      </c>
      <c r="AP676" s="22">
        <f>IF(Y676="","",P676/Y676)</f>
        <v/>
      </c>
      <c r="AQ676" s="39">
        <f>IF(Y676="",0,1)</f>
        <v/>
      </c>
      <c r="AR676" s="39">
        <f>IF(S676&lt;=0,1,0)</f>
        <v/>
      </c>
      <c r="AS676" s="17">
        <f>IF(AH676=1,AG676,"")</f>
        <v/>
      </c>
      <c r="AT676" s="17">
        <f>IF(AND(AH676=0,AJ676=1),AG676,"")</f>
        <v/>
      </c>
      <c r="AU676" s="5">
        <f>IF(P676&lt;10000,"Under $10K",IF(P676&lt;20000,"$10-20K",IF(P676&lt;30000,"$20-30K",IF(P676&lt;50000,"$30-50K",IF(P676&lt;100000,"$50-100K","$100K+")))))</f>
        <v/>
      </c>
      <c r="AV676" s="5">
        <f>IF(O676&lt;=1.35,"1.35 and under",IF(O676&lt;=1.42,"1.36-1.42",IF(O676&lt;=1.45,"1.43-1.45",IF(O676&lt;1.49,"1.46-1.48",IF(O676&lt;=1.49,"1.49","Above 1.49")))))</f>
        <v/>
      </c>
      <c r="AW676" s="5">
        <f>IF(AE676="","",IF(AE676&lt;60,"Under 60",IF(AE676&lt;90,"60-89",IF(AE676&lt;120,"90-119",IF(AE676&lt;150,"120-149","150+")))))</f>
        <v/>
      </c>
      <c r="AX676" s="5">
        <f>IF(AP676="","No revenue data",IF(AP676&lt;0.15,"Under 0.15x",IF(AP676&lt;0.3,"0.15-0.30x",IF(AP676&lt;0.5,"0.30-0.50x",IF(AP676&lt;1,"0.50-1.00x","1.00x+")))))</f>
        <v/>
      </c>
      <c r="AY676" s="5">
        <f>IF(J676="","No SIC",IFERROR(VLOOKUP(J676,Ref!$A$4:$C$67,2,FALSE()),"Unclassified"))</f>
        <v/>
      </c>
      <c r="AZ676" s="5">
        <f>IF(E676="","",TEXT(E676,"YYYY")&amp;"-Q"&amp;ROUNDUP(MONTH(E676)/3,0))</f>
        <v/>
      </c>
      <c r="BA676" s="5">
        <f>IF(E676="","",TEXT(E676,"YYYY-MM"))</f>
        <v/>
      </c>
      <c r="BB676" s="5">
        <f>IF(E676="","",TEXT(E676,"YYYY"))</f>
        <v/>
      </c>
      <c r="BC676" s="92">
        <f>IF($E676="","",NETWORKDAYS($E676,Controls!$B$9,Ref!$F$4:$F$47))</f>
        <v/>
      </c>
      <c r="BD676" s="92">
        <f>IF(OR($AH676=1,$AJ676=1),1,0)</f>
        <v/>
      </c>
      <c r="BE676" s="95">
        <f>IF(OR($BD676=1,AND($AE676&lt;&gt;"",$BC676&gt;=Controls!$B$10*$AE676)),1,0)</f>
        <v/>
      </c>
    </row>
    <row r="677" ht="15.75" customHeight="1" s="79">
      <c r="A677" s="5" t="inlineStr">
        <is>
          <t>5674179535</t>
        </is>
      </c>
      <c r="B677" s="5" t="inlineStr">
        <is>
          <t>KICHI &amp; LEON LLC</t>
        </is>
      </c>
      <c r="C677" s="5" t="inlineStr">
        <is>
          <t>KICHI &amp; LEON LLC</t>
        </is>
      </c>
      <c r="D677" s="5" t="inlineStr">
        <is>
          <t>Legal</t>
        </is>
      </c>
      <c r="E677" s="16" t="n">
        <v>46085</v>
      </c>
      <c r="F677" s="16" t="n">
        <v>46162</v>
      </c>
      <c r="G677" s="17" t="n">
        <v>2</v>
      </c>
      <c r="H677" s="5" t="inlineStr">
        <is>
          <t>5399</t>
        </is>
      </c>
      <c r="I677" s="5" t="inlineStr">
        <is>
          <t>All Other General Merchandise Stores</t>
        </is>
      </c>
      <c r="J677" s="5" t="inlineStr">
        <is>
          <t>53</t>
        </is>
      </c>
      <c r="K677" s="5" t="n">
        <v>5399</v>
      </c>
      <c r="L677" s="5" t="inlineStr">
        <is>
          <t>FL</t>
        </is>
      </c>
      <c r="M677" s="5" t="inlineStr">
        <is>
          <t>Ballicci</t>
        </is>
      </c>
      <c r="N677" s="5" t="inlineStr">
        <is>
          <t>New Deal</t>
        </is>
      </c>
      <c r="O677" s="19" t="n">
        <v>1.49</v>
      </c>
      <c r="P677" s="20" t="n">
        <v>35000</v>
      </c>
      <c r="Q677" s="20" t="n">
        <v>4900</v>
      </c>
      <c r="R677" s="20" t="n">
        <v>52150</v>
      </c>
      <c r="S677" s="20" t="n">
        <v>12594.99</v>
      </c>
      <c r="T677" s="20" t="n">
        <v>39555.01</v>
      </c>
      <c r="U677" s="21" t="n">
        <v>0.241514669223394</v>
      </c>
      <c r="V677" s="22" t="n">
        <v>3.934</v>
      </c>
      <c r="W677" s="17" t="n">
        <v>99</v>
      </c>
      <c r="X677" s="17" t="n">
        <v>27</v>
      </c>
      <c r="Y677" s="20" t="n">
        <v>154586.63</v>
      </c>
      <c r="Z677" s="21" t="n">
        <v>0.059</v>
      </c>
      <c r="AA677" s="16" t="n">
        <v>44317</v>
      </c>
      <c r="AB677" s="5">
        <f>IF(V677="","",IF(V677&lt;12,"Months","Weeks"))</f>
        <v/>
      </c>
      <c r="AC677" s="5">
        <f>IF(AB677="","",IF(AB677="Months","Daily","Weekly"))</f>
        <v/>
      </c>
      <c r="AD677" s="17">
        <f>IF(V677="","",IF(AC677="Daily",V677*Controls!$B$13,V677))</f>
        <v/>
      </c>
      <c r="AE677" s="17">
        <f>IF(V677="","",IF(AC677="Daily",V677*Controls!$B$13,V677*Controls!$B$12))</f>
        <v/>
      </c>
      <c r="AF677" s="17">
        <f>IF(OR(E677="",F677=""),"",F677-E677)</f>
        <v/>
      </c>
      <c r="AG677" s="17">
        <f>IF(OR(E677="",F677=""),"",NETWORKDAYS(E677,F677,Ref!$F$4:$F$47))</f>
        <v/>
      </c>
      <c r="AH677" s="39">
        <f>IF(IFERROR(VLOOKUP(D677,Controls!$A$25:$D$35,2,FALSE()),"No")="Yes",1,0)</f>
        <v/>
      </c>
      <c r="AI677" s="39">
        <f>IF(IFERROR(VLOOKUP(D677,Controls!$A$25:$D$35,3,FALSE()),"No")="Yes",1,0)</f>
        <v/>
      </c>
      <c r="AJ677" s="39">
        <f>IF(IFERROR(VLOOKUP(D677,Controls!$A$25:$D$35,4,FALSE()),"No")="Yes",1,0)</f>
        <v/>
      </c>
      <c r="AK677" s="96">
        <f>IF(AND($E677&gt;=Controls!$B$5,$E677&lt;=Controls!$B$6,OR(Controls!$E$9&lt;&gt;"Y",$BE677=1)),1,0)</f>
        <v/>
      </c>
      <c r="AL677" s="39">
        <f>1</f>
        <v/>
      </c>
      <c r="AM677" s="20">
        <f>S677-P677</f>
        <v/>
      </c>
      <c r="AN677" s="20">
        <f>IF(AH677=1,MAX(0,P677-S677),0)</f>
        <v/>
      </c>
      <c r="AO677" s="21">
        <f>IFERROR(S677/P677,"")</f>
        <v/>
      </c>
      <c r="AP677" s="22">
        <f>IF(Y677="","",P677/Y677)</f>
        <v/>
      </c>
      <c r="AQ677" s="39">
        <f>IF(Y677="",0,1)</f>
        <v/>
      </c>
      <c r="AR677" s="39">
        <f>IF(S677&lt;=0,1,0)</f>
        <v/>
      </c>
      <c r="AS677" s="17">
        <f>IF(AH677=1,AG677,"")</f>
        <v/>
      </c>
      <c r="AT677" s="17">
        <f>IF(AND(AH677=0,AJ677=1),AG677,"")</f>
        <v/>
      </c>
      <c r="AU677" s="5">
        <f>IF(P677&lt;10000,"Under $10K",IF(P677&lt;20000,"$10-20K",IF(P677&lt;30000,"$20-30K",IF(P677&lt;50000,"$30-50K",IF(P677&lt;100000,"$50-100K","$100K+")))))</f>
        <v/>
      </c>
      <c r="AV677" s="5">
        <f>IF(O677&lt;=1.35,"1.35 and under",IF(O677&lt;=1.42,"1.36-1.42",IF(O677&lt;=1.45,"1.43-1.45",IF(O677&lt;1.49,"1.46-1.48",IF(O677&lt;=1.49,"1.49","Above 1.49")))))</f>
        <v/>
      </c>
      <c r="AW677" s="5">
        <f>IF(AE677="","",IF(AE677&lt;60,"Under 60",IF(AE677&lt;90,"60-89",IF(AE677&lt;120,"90-119",IF(AE677&lt;150,"120-149","150+")))))</f>
        <v/>
      </c>
      <c r="AX677" s="5">
        <f>IF(AP677="","No revenue data",IF(AP677&lt;0.15,"Under 0.15x",IF(AP677&lt;0.3,"0.15-0.30x",IF(AP677&lt;0.5,"0.30-0.50x",IF(AP677&lt;1,"0.50-1.00x","1.00x+")))))</f>
        <v/>
      </c>
      <c r="AY677" s="5">
        <f>IF(J677="","No SIC",IFERROR(VLOOKUP(J677,Ref!$A$4:$C$67,2,FALSE()),"Unclassified"))</f>
        <v/>
      </c>
      <c r="AZ677" s="5">
        <f>IF(E677="","",TEXT(E677,"YYYY")&amp;"-Q"&amp;ROUNDUP(MONTH(E677)/3,0))</f>
        <v/>
      </c>
      <c r="BA677" s="5">
        <f>IF(E677="","",TEXT(E677,"YYYY-MM"))</f>
        <v/>
      </c>
      <c r="BB677" s="5">
        <f>IF(E677="","",TEXT(E677,"YYYY"))</f>
        <v/>
      </c>
      <c r="BC677" s="92">
        <f>IF($E677="","",NETWORKDAYS($E677,Controls!$B$9,Ref!$F$4:$F$47))</f>
        <v/>
      </c>
      <c r="BD677" s="92">
        <f>IF(OR($AH677=1,$AJ677=1),1,0)</f>
        <v/>
      </c>
      <c r="BE677" s="95">
        <f>IF(OR($BD677=1,AND($AE677&lt;&gt;"",$BC677&gt;=Controls!$B$10*$AE677)),1,0)</f>
        <v/>
      </c>
    </row>
    <row r="678" ht="15.75" customHeight="1" s="79">
      <c r="A678" s="5" t="inlineStr">
        <is>
          <t>5674179543</t>
        </is>
      </c>
      <c r="B678" s="5" t="inlineStr">
        <is>
          <t>Lion Chef Africa LLC</t>
        </is>
      </c>
      <c r="C678" s="5" t="inlineStr">
        <is>
          <t>Lion Chef Africa LLC</t>
        </is>
      </c>
      <c r="D678" s="5" t="inlineStr">
        <is>
          <t>Legal</t>
        </is>
      </c>
      <c r="E678" s="16" t="n">
        <v>46085</v>
      </c>
      <c r="F678" s="16" t="n">
        <v>46119</v>
      </c>
      <c r="G678" s="17" t="n">
        <v>3</v>
      </c>
      <c r="H678" s="5" t="inlineStr">
        <is>
          <t>5812</t>
        </is>
      </c>
      <c r="I678" s="5" t="inlineStr">
        <is>
          <t>Snack and Nonalcoholic Beverage Bars</t>
        </is>
      </c>
      <c r="J678" s="5" t="inlineStr">
        <is>
          <t>58</t>
        </is>
      </c>
      <c r="K678" s="5" t="n">
        <v>5812</v>
      </c>
      <c r="L678" s="5" t="inlineStr">
        <is>
          <t>WA</t>
        </is>
      </c>
      <c r="M678" s="5" t="inlineStr">
        <is>
          <t>TRUSTFI</t>
        </is>
      </c>
      <c r="N678" s="5" t="inlineStr">
        <is>
          <t>New Deal</t>
        </is>
      </c>
      <c r="O678" s="19" t="n">
        <v>1.49</v>
      </c>
      <c r="P678" s="20" t="n">
        <v>15000</v>
      </c>
      <c r="Q678" s="20" t="n">
        <v>0</v>
      </c>
      <c r="R678" s="20" t="n">
        <v>22350</v>
      </c>
      <c r="S678" s="20" t="n">
        <v>5215.77</v>
      </c>
      <c r="T678" s="20" t="n">
        <v>17134.23</v>
      </c>
      <c r="U678" s="21" t="n">
        <v>0.233367785234899</v>
      </c>
      <c r="V678" s="22" t="n">
        <v>2.951</v>
      </c>
      <c r="W678" s="17" t="n">
        <v>140</v>
      </c>
      <c r="X678" s="17" t="n">
        <v>3</v>
      </c>
      <c r="Y678" s="20" t="n">
        <v>27846.81</v>
      </c>
      <c r="Z678" s="21" t="n">
        <v>0.1873</v>
      </c>
      <c r="AA678" s="16" t="n">
        <v>45231</v>
      </c>
      <c r="AB678" s="5">
        <f>IF(V678="","",IF(V678&lt;12,"Months","Weeks"))</f>
        <v/>
      </c>
      <c r="AC678" s="5">
        <f>IF(AB678="","",IF(AB678="Months","Daily","Weekly"))</f>
        <v/>
      </c>
      <c r="AD678" s="17">
        <f>IF(V678="","",IF(AC678="Daily",V678*Controls!$B$13,V678))</f>
        <v/>
      </c>
      <c r="AE678" s="17">
        <f>IF(V678="","",IF(AC678="Daily",V678*Controls!$B$13,V678*Controls!$B$12))</f>
        <v/>
      </c>
      <c r="AF678" s="17">
        <f>IF(OR(E678="",F678=""),"",F678-E678)</f>
        <v/>
      </c>
      <c r="AG678" s="17">
        <f>IF(OR(E678="",F678=""),"",NETWORKDAYS(E678,F678,Ref!$F$4:$F$47))</f>
        <v/>
      </c>
      <c r="AH678" s="39">
        <f>IF(IFERROR(VLOOKUP(D678,Controls!$A$25:$D$35,2,FALSE()),"No")="Yes",1,0)</f>
        <v/>
      </c>
      <c r="AI678" s="39">
        <f>IF(IFERROR(VLOOKUP(D678,Controls!$A$25:$D$35,3,FALSE()),"No")="Yes",1,0)</f>
        <v/>
      </c>
      <c r="AJ678" s="39">
        <f>IF(IFERROR(VLOOKUP(D678,Controls!$A$25:$D$35,4,FALSE()),"No")="Yes",1,0)</f>
        <v/>
      </c>
      <c r="AK678" s="96">
        <f>IF(AND($E678&gt;=Controls!$B$5,$E678&lt;=Controls!$B$6,OR(Controls!$E$9&lt;&gt;"Y",$BE678=1)),1,0)</f>
        <v/>
      </c>
      <c r="AL678" s="39">
        <f>1</f>
        <v/>
      </c>
      <c r="AM678" s="20">
        <f>S678-P678</f>
        <v/>
      </c>
      <c r="AN678" s="20">
        <f>IF(AH678=1,MAX(0,P678-S678),0)</f>
        <v/>
      </c>
      <c r="AO678" s="21">
        <f>IFERROR(S678/P678,"")</f>
        <v/>
      </c>
      <c r="AP678" s="22">
        <f>IF(Y678="","",P678/Y678)</f>
        <v/>
      </c>
      <c r="AQ678" s="39">
        <f>IF(Y678="",0,1)</f>
        <v/>
      </c>
      <c r="AR678" s="39">
        <f>IF(S678&lt;=0,1,0)</f>
        <v/>
      </c>
      <c r="AS678" s="17">
        <f>IF(AH678=1,AG678,"")</f>
        <v/>
      </c>
      <c r="AT678" s="17">
        <f>IF(AND(AH678=0,AJ678=1),AG678,"")</f>
        <v/>
      </c>
      <c r="AU678" s="5">
        <f>IF(P678&lt;10000,"Under $10K",IF(P678&lt;20000,"$10-20K",IF(P678&lt;30000,"$20-30K",IF(P678&lt;50000,"$30-50K",IF(P678&lt;100000,"$50-100K","$100K+")))))</f>
        <v/>
      </c>
      <c r="AV678" s="5">
        <f>IF(O678&lt;=1.35,"1.35 and under",IF(O678&lt;=1.42,"1.36-1.42",IF(O678&lt;=1.45,"1.43-1.45",IF(O678&lt;1.49,"1.46-1.48",IF(O678&lt;=1.49,"1.49","Above 1.49")))))</f>
        <v/>
      </c>
      <c r="AW678" s="5">
        <f>IF(AE678="","",IF(AE678&lt;60,"Under 60",IF(AE678&lt;90,"60-89",IF(AE678&lt;120,"90-119",IF(AE678&lt;150,"120-149","150+")))))</f>
        <v/>
      </c>
      <c r="AX678" s="5">
        <f>IF(AP678="","No revenue data",IF(AP678&lt;0.15,"Under 0.15x",IF(AP678&lt;0.3,"0.15-0.30x",IF(AP678&lt;0.5,"0.30-0.50x",IF(AP678&lt;1,"0.50-1.00x","1.00x+")))))</f>
        <v/>
      </c>
      <c r="AY678" s="5">
        <f>IF(J678="","No SIC",IFERROR(VLOOKUP(J678,Ref!$A$4:$C$67,2,FALSE()),"Unclassified"))</f>
        <v/>
      </c>
      <c r="AZ678" s="5">
        <f>IF(E678="","",TEXT(E678,"YYYY")&amp;"-Q"&amp;ROUNDUP(MONTH(E678)/3,0))</f>
        <v/>
      </c>
      <c r="BA678" s="5">
        <f>IF(E678="","",TEXT(E678,"YYYY-MM"))</f>
        <v/>
      </c>
      <c r="BB678" s="5">
        <f>IF(E678="","",TEXT(E678,"YYYY"))</f>
        <v/>
      </c>
      <c r="BC678" s="92">
        <f>IF($E678="","",NETWORKDAYS($E678,Controls!$B$9,Ref!$F$4:$F$47))</f>
        <v/>
      </c>
      <c r="BD678" s="92">
        <f>IF(OR($AH678=1,$AJ678=1),1,0)</f>
        <v/>
      </c>
      <c r="BE678" s="95">
        <f>IF(OR($BD678=1,AND($AE678&lt;&gt;"",$BC678&gt;=Controls!$B$10*$AE678)),1,0)</f>
        <v/>
      </c>
    </row>
    <row r="679" ht="15.75" customHeight="1" s="79">
      <c r="A679" s="5" t="inlineStr">
        <is>
          <t>5674179580</t>
        </is>
      </c>
      <c r="B679" s="5" t="inlineStr">
        <is>
          <t>WIN ICE LLC</t>
        </is>
      </c>
      <c r="C679" s="5" t="inlineStr">
        <is>
          <t>WIN ICE LLC</t>
        </is>
      </c>
      <c r="D679" s="5" t="inlineStr">
        <is>
          <t>Closed</t>
        </is>
      </c>
      <c r="E679" s="16" t="n">
        <v>46086</v>
      </c>
      <c r="F679" s="16" t="n">
        <v>46176</v>
      </c>
      <c r="G679" s="17" t="n">
        <v>3</v>
      </c>
      <c r="H679" s="5" t="inlineStr">
        <is>
          <t>5399</t>
        </is>
      </c>
      <c r="I679" s="5" t="inlineStr">
        <is>
          <t>All Other General Merchandise Stores</t>
        </is>
      </c>
      <c r="J679" s="5" t="inlineStr">
        <is>
          <t>53</t>
        </is>
      </c>
      <c r="K679" s="5" t="n">
        <v>5399</v>
      </c>
      <c r="L679" s="5" t="inlineStr">
        <is>
          <t>TX</t>
        </is>
      </c>
      <c r="M679" s="5" t="inlineStr">
        <is>
          <t>United Secured Capital 8</t>
        </is>
      </c>
      <c r="N679" s="5" t="inlineStr">
        <is>
          <t>New Deal</t>
        </is>
      </c>
      <c r="O679" s="19" t="n">
        <v>1.49</v>
      </c>
      <c r="P679" s="20" t="n">
        <v>10000</v>
      </c>
      <c r="Q679" s="20" t="n">
        <v>1400</v>
      </c>
      <c r="R679" s="20" t="n">
        <v>14900</v>
      </c>
      <c r="S679" s="20" t="n">
        <v>14900</v>
      </c>
      <c r="T679" s="20" t="n">
        <v>0</v>
      </c>
      <c r="U679" s="21" t="n">
        <v>1</v>
      </c>
      <c r="V679" s="22" t="n">
        <v>2.623</v>
      </c>
      <c r="W679" s="17" t="n">
        <v>78</v>
      </c>
      <c r="X679" s="17" t="n">
        <v>0</v>
      </c>
      <c r="Y679" s="20" t="n">
        <v>68415.85000000001</v>
      </c>
      <c r="Z679" s="21" t="n">
        <v>0.0428</v>
      </c>
      <c r="AA679" s="16" t="n">
        <v>39882</v>
      </c>
      <c r="AB679" s="5">
        <f>IF(V679="","",IF(V679&lt;12,"Months","Weeks"))</f>
        <v/>
      </c>
      <c r="AC679" s="5">
        <f>IF(AB679="","",IF(AB679="Months","Daily","Weekly"))</f>
        <v/>
      </c>
      <c r="AD679" s="17">
        <f>IF(V679="","",IF(AC679="Daily",V679*Controls!$B$13,V679))</f>
        <v/>
      </c>
      <c r="AE679" s="17">
        <f>IF(V679="","",IF(AC679="Daily",V679*Controls!$B$13,V679*Controls!$B$12))</f>
        <v/>
      </c>
      <c r="AF679" s="17">
        <f>IF(OR(E679="",F679=""),"",F679-E679)</f>
        <v/>
      </c>
      <c r="AG679" s="17">
        <f>IF(OR(E679="",F679=""),"",NETWORKDAYS(E679,F679,Ref!$F$4:$F$47))</f>
        <v/>
      </c>
      <c r="AH679" s="39">
        <f>IF(IFERROR(VLOOKUP(D679,Controls!$A$25:$D$35,2,FALSE()),"No")="Yes",1,0)</f>
        <v/>
      </c>
      <c r="AI679" s="39">
        <f>IF(IFERROR(VLOOKUP(D679,Controls!$A$25:$D$35,3,FALSE()),"No")="Yes",1,0)</f>
        <v/>
      </c>
      <c r="AJ679" s="39">
        <f>IF(IFERROR(VLOOKUP(D679,Controls!$A$25:$D$35,4,FALSE()),"No")="Yes",1,0)</f>
        <v/>
      </c>
      <c r="AK679" s="96">
        <f>IF(AND($E679&gt;=Controls!$B$5,$E679&lt;=Controls!$B$6,OR(Controls!$E$9&lt;&gt;"Y",$BE679=1)),1,0)</f>
        <v/>
      </c>
      <c r="AL679" s="39">
        <f>1</f>
        <v/>
      </c>
      <c r="AM679" s="20">
        <f>S679-P679</f>
        <v/>
      </c>
      <c r="AN679" s="20">
        <f>IF(AH679=1,MAX(0,P679-S679),0)</f>
        <v/>
      </c>
      <c r="AO679" s="21">
        <f>IFERROR(S679/P679,"")</f>
        <v/>
      </c>
      <c r="AP679" s="22">
        <f>IF(Y679="","",P679/Y679)</f>
        <v/>
      </c>
      <c r="AQ679" s="39">
        <f>IF(Y679="",0,1)</f>
        <v/>
      </c>
      <c r="AR679" s="39">
        <f>IF(S679&lt;=0,1,0)</f>
        <v/>
      </c>
      <c r="AS679" s="17">
        <f>IF(AH679=1,AG679,"")</f>
        <v/>
      </c>
      <c r="AT679" s="17">
        <f>IF(AND(AH679=0,AJ679=1),AG679,"")</f>
        <v/>
      </c>
      <c r="AU679" s="5">
        <f>IF(P679&lt;10000,"Under $10K",IF(P679&lt;20000,"$10-20K",IF(P679&lt;30000,"$20-30K",IF(P679&lt;50000,"$30-50K",IF(P679&lt;100000,"$50-100K","$100K+")))))</f>
        <v/>
      </c>
      <c r="AV679" s="5">
        <f>IF(O679&lt;=1.35,"1.35 and under",IF(O679&lt;=1.42,"1.36-1.42",IF(O679&lt;=1.45,"1.43-1.45",IF(O679&lt;1.49,"1.46-1.48",IF(O679&lt;=1.49,"1.49","Above 1.49")))))</f>
        <v/>
      </c>
      <c r="AW679" s="5">
        <f>IF(AE679="","",IF(AE679&lt;60,"Under 60",IF(AE679&lt;90,"60-89",IF(AE679&lt;120,"90-119",IF(AE679&lt;150,"120-149","150+")))))</f>
        <v/>
      </c>
      <c r="AX679" s="5">
        <f>IF(AP679="","No revenue data",IF(AP679&lt;0.15,"Under 0.15x",IF(AP679&lt;0.3,"0.15-0.30x",IF(AP679&lt;0.5,"0.30-0.50x",IF(AP679&lt;1,"0.50-1.00x","1.00x+")))))</f>
        <v/>
      </c>
      <c r="AY679" s="5">
        <f>IF(J679="","No SIC",IFERROR(VLOOKUP(J679,Ref!$A$4:$C$67,2,FALSE()),"Unclassified"))</f>
        <v/>
      </c>
      <c r="AZ679" s="5">
        <f>IF(E679="","",TEXT(E679,"YYYY")&amp;"-Q"&amp;ROUNDUP(MONTH(E679)/3,0))</f>
        <v/>
      </c>
      <c r="BA679" s="5">
        <f>IF(E679="","",TEXT(E679,"YYYY-MM"))</f>
        <v/>
      </c>
      <c r="BB679" s="5">
        <f>IF(E679="","",TEXT(E679,"YYYY"))</f>
        <v/>
      </c>
      <c r="BC679" s="92">
        <f>IF($E679="","",NETWORKDAYS($E679,Controls!$B$9,Ref!$F$4:$F$47))</f>
        <v/>
      </c>
      <c r="BD679" s="92">
        <f>IF(OR($AH679=1,$AJ679=1),1,0)</f>
        <v/>
      </c>
      <c r="BE679" s="95">
        <f>IF(OR($BD679=1,AND($AE679&lt;&gt;"",$BC679&gt;=Controls!$B$10*$AE679)),1,0)</f>
        <v/>
      </c>
    </row>
    <row r="680" ht="15.75" customHeight="1" s="79">
      <c r="A680" s="5" t="inlineStr">
        <is>
          <t>5674179592</t>
        </is>
      </c>
      <c r="B680" s="5" t="inlineStr">
        <is>
          <t>Line-x Of Santa Maria</t>
        </is>
      </c>
      <c r="C680" s="5" t="inlineStr">
        <is>
          <t>LINE-X OF SANTA MARIA</t>
        </is>
      </c>
      <c r="D680" s="5" t="inlineStr">
        <is>
          <t>Closed</t>
        </is>
      </c>
      <c r="E680" s="16" t="n">
        <v>46086</v>
      </c>
      <c r="F680" s="16" t="n">
        <v>46195</v>
      </c>
      <c r="G680" s="17" t="n">
        <v>2</v>
      </c>
      <c r="H680" s="5" t="inlineStr">
        <is>
          <t>5399</t>
        </is>
      </c>
      <c r="I680" s="5" t="inlineStr">
        <is>
          <t>All Other General Merchandise Stores</t>
        </is>
      </c>
      <c r="J680" s="5" t="inlineStr">
        <is>
          <t>53</t>
        </is>
      </c>
      <c r="K680" s="5" t="n">
        <v>5399</v>
      </c>
      <c r="L680" s="5" t="inlineStr">
        <is>
          <t>CA</t>
        </is>
      </c>
      <c r="M680" s="5" t="inlineStr">
        <is>
          <t>Ballicci</t>
        </is>
      </c>
      <c r="N680" s="5" t="inlineStr">
        <is>
          <t>New Deal</t>
        </is>
      </c>
      <c r="O680" s="19" t="n">
        <v>1.49</v>
      </c>
      <c r="P680" s="20" t="n">
        <v>15000</v>
      </c>
      <c r="Q680" s="20" t="n">
        <v>2100</v>
      </c>
      <c r="R680" s="20" t="n">
        <v>22350</v>
      </c>
      <c r="S680" s="20" t="n">
        <v>22350</v>
      </c>
      <c r="T680" s="20" t="n">
        <v>0</v>
      </c>
      <c r="U680" s="21" t="n">
        <v>1</v>
      </c>
      <c r="V680" s="22" t="n">
        <v>2.951</v>
      </c>
      <c r="W680" s="17" t="n">
        <v>58</v>
      </c>
      <c r="X680" s="17" t="n">
        <v>14</v>
      </c>
      <c r="Y680" s="20" t="n">
        <v>33197.73</v>
      </c>
      <c r="Z680" s="21" t="n">
        <v>0.1571</v>
      </c>
      <c r="AA680" s="16" t="n">
        <v>36911</v>
      </c>
      <c r="AB680" s="5">
        <f>IF(V680="","",IF(V680&lt;12,"Months","Weeks"))</f>
        <v/>
      </c>
      <c r="AC680" s="5">
        <f>IF(AB680="","",IF(AB680="Months","Daily","Weekly"))</f>
        <v/>
      </c>
      <c r="AD680" s="17">
        <f>IF(V680="","",IF(AC680="Daily",V680*Controls!$B$13,V680))</f>
        <v/>
      </c>
      <c r="AE680" s="17">
        <f>IF(V680="","",IF(AC680="Daily",V680*Controls!$B$13,V680*Controls!$B$12))</f>
        <v/>
      </c>
      <c r="AF680" s="17">
        <f>IF(OR(E680="",F680=""),"",F680-E680)</f>
        <v/>
      </c>
      <c r="AG680" s="17">
        <f>IF(OR(E680="",F680=""),"",NETWORKDAYS(E680,F680,Ref!$F$4:$F$47))</f>
        <v/>
      </c>
      <c r="AH680" s="39">
        <f>IF(IFERROR(VLOOKUP(D680,Controls!$A$25:$D$35,2,FALSE()),"No")="Yes",1,0)</f>
        <v/>
      </c>
      <c r="AI680" s="39">
        <f>IF(IFERROR(VLOOKUP(D680,Controls!$A$25:$D$35,3,FALSE()),"No")="Yes",1,0)</f>
        <v/>
      </c>
      <c r="AJ680" s="39">
        <f>IF(IFERROR(VLOOKUP(D680,Controls!$A$25:$D$35,4,FALSE()),"No")="Yes",1,0)</f>
        <v/>
      </c>
      <c r="AK680" s="96">
        <f>IF(AND($E680&gt;=Controls!$B$5,$E680&lt;=Controls!$B$6,OR(Controls!$E$9&lt;&gt;"Y",$BE680=1)),1,0)</f>
        <v/>
      </c>
      <c r="AL680" s="39">
        <f>1</f>
        <v/>
      </c>
      <c r="AM680" s="20">
        <f>S680-P680</f>
        <v/>
      </c>
      <c r="AN680" s="20">
        <f>IF(AH680=1,MAX(0,P680-S680),0)</f>
        <v/>
      </c>
      <c r="AO680" s="21">
        <f>IFERROR(S680/P680,"")</f>
        <v/>
      </c>
      <c r="AP680" s="22">
        <f>IF(Y680="","",P680/Y680)</f>
        <v/>
      </c>
      <c r="AQ680" s="39">
        <f>IF(Y680="",0,1)</f>
        <v/>
      </c>
      <c r="AR680" s="39">
        <f>IF(S680&lt;=0,1,0)</f>
        <v/>
      </c>
      <c r="AS680" s="17">
        <f>IF(AH680=1,AG680,"")</f>
        <v/>
      </c>
      <c r="AT680" s="17">
        <f>IF(AND(AH680=0,AJ680=1),AG680,"")</f>
        <v/>
      </c>
      <c r="AU680" s="5">
        <f>IF(P680&lt;10000,"Under $10K",IF(P680&lt;20000,"$10-20K",IF(P680&lt;30000,"$20-30K",IF(P680&lt;50000,"$30-50K",IF(P680&lt;100000,"$50-100K","$100K+")))))</f>
        <v/>
      </c>
      <c r="AV680" s="5">
        <f>IF(O680&lt;=1.35,"1.35 and under",IF(O680&lt;=1.42,"1.36-1.42",IF(O680&lt;=1.45,"1.43-1.45",IF(O680&lt;1.49,"1.46-1.48",IF(O680&lt;=1.49,"1.49","Above 1.49")))))</f>
        <v/>
      </c>
      <c r="AW680" s="5">
        <f>IF(AE680="","",IF(AE680&lt;60,"Under 60",IF(AE680&lt;90,"60-89",IF(AE680&lt;120,"90-119",IF(AE680&lt;150,"120-149","150+")))))</f>
        <v/>
      </c>
      <c r="AX680" s="5">
        <f>IF(AP680="","No revenue data",IF(AP680&lt;0.15,"Under 0.15x",IF(AP680&lt;0.3,"0.15-0.30x",IF(AP680&lt;0.5,"0.30-0.50x",IF(AP680&lt;1,"0.50-1.00x","1.00x+")))))</f>
        <v/>
      </c>
      <c r="AY680" s="5">
        <f>IF(J680="","No SIC",IFERROR(VLOOKUP(J680,Ref!$A$4:$C$67,2,FALSE()),"Unclassified"))</f>
        <v/>
      </c>
      <c r="AZ680" s="5">
        <f>IF(E680="","",TEXT(E680,"YYYY")&amp;"-Q"&amp;ROUNDUP(MONTH(E680)/3,0))</f>
        <v/>
      </c>
      <c r="BA680" s="5">
        <f>IF(E680="","",TEXT(E680,"YYYY-MM"))</f>
        <v/>
      </c>
      <c r="BB680" s="5">
        <f>IF(E680="","",TEXT(E680,"YYYY"))</f>
        <v/>
      </c>
      <c r="BC680" s="92">
        <f>IF($E680="","",NETWORKDAYS($E680,Controls!$B$9,Ref!$F$4:$F$47))</f>
        <v/>
      </c>
      <c r="BD680" s="92">
        <f>IF(OR($AH680=1,$AJ680=1),1,0)</f>
        <v/>
      </c>
      <c r="BE680" s="95">
        <f>IF(OR($BD680=1,AND($AE680&lt;&gt;"",$BC680&gt;=Controls!$B$10*$AE680)),1,0)</f>
        <v/>
      </c>
    </row>
    <row r="681" ht="15.75" customHeight="1" s="79">
      <c r="A681" s="5" t="inlineStr">
        <is>
          <t>5674179602</t>
        </is>
      </c>
      <c r="B681" s="5" t="inlineStr">
        <is>
          <t>Candy Apple Agency</t>
        </is>
      </c>
      <c r="C681" s="5" t="inlineStr">
        <is>
          <t>Candy ent LLC</t>
        </is>
      </c>
      <c r="D681" s="5" t="inlineStr">
        <is>
          <t>Legal</t>
        </is>
      </c>
      <c r="E681" s="16" t="n">
        <v>46086</v>
      </c>
      <c r="F681" s="16" t="n">
        <v>46122</v>
      </c>
      <c r="G681" s="17" t="n">
        <v>3</v>
      </c>
      <c r="H681" s="5" t="inlineStr">
        <is>
          <t>7922</t>
        </is>
      </c>
      <c r="I681" s="5" t="inlineStr">
        <is>
          <t>Theater Cos. and Dinner Theaters</t>
        </is>
      </c>
      <c r="J681" s="5" t="inlineStr">
        <is>
          <t>79</t>
        </is>
      </c>
      <c r="K681" s="5" t="n">
        <v>7922</v>
      </c>
      <c r="L681" s="5" t="inlineStr">
        <is>
          <t>FL</t>
        </is>
      </c>
      <c r="M681" s="5" t="inlineStr">
        <is>
          <t>Merchant Advance Now</t>
        </is>
      </c>
      <c r="N681" s="5" t="inlineStr">
        <is>
          <t>New Deal</t>
        </is>
      </c>
      <c r="O681" s="19" t="n">
        <v>1.49</v>
      </c>
      <c r="P681" s="20" t="n">
        <v>10000</v>
      </c>
      <c r="Q681" s="20" t="n">
        <v>0</v>
      </c>
      <c r="R681" s="20" t="n">
        <v>14900</v>
      </c>
      <c r="S681" s="20" t="n">
        <v>1725</v>
      </c>
      <c r="T681" s="20" t="n">
        <v>13175</v>
      </c>
      <c r="U681" s="21" t="n">
        <v>0.115771812080537</v>
      </c>
      <c r="V681" s="22" t="n">
        <v>26</v>
      </c>
      <c r="W681" s="17" t="n">
        <v>145</v>
      </c>
      <c r="X681" s="17" t="n">
        <v>2</v>
      </c>
      <c r="Y681" s="20" t="n">
        <v>91002.14999999999</v>
      </c>
      <c r="Z681" s="21" t="n">
        <v>0.0253</v>
      </c>
      <c r="AA681" s="5" t="n"/>
      <c r="AB681" s="5">
        <f>IF(V681="","",IF(V681&lt;12,"Months","Weeks"))</f>
        <v/>
      </c>
      <c r="AC681" s="5">
        <f>IF(AB681="","",IF(AB681="Months","Daily","Weekly"))</f>
        <v/>
      </c>
      <c r="AD681" s="17">
        <f>IF(V681="","",IF(AC681="Daily",V681*Controls!$B$13,V681))</f>
        <v/>
      </c>
      <c r="AE681" s="17">
        <f>IF(V681="","",IF(AC681="Daily",V681*Controls!$B$13,V681*Controls!$B$12))</f>
        <v/>
      </c>
      <c r="AF681" s="17">
        <f>IF(OR(E681="",F681=""),"",F681-E681)</f>
        <v/>
      </c>
      <c r="AG681" s="17">
        <f>IF(OR(E681="",F681=""),"",NETWORKDAYS(E681,F681,Ref!$F$4:$F$47))</f>
        <v/>
      </c>
      <c r="AH681" s="39">
        <f>IF(IFERROR(VLOOKUP(D681,Controls!$A$25:$D$35,2,FALSE()),"No")="Yes",1,0)</f>
        <v/>
      </c>
      <c r="AI681" s="39">
        <f>IF(IFERROR(VLOOKUP(D681,Controls!$A$25:$D$35,3,FALSE()),"No")="Yes",1,0)</f>
        <v/>
      </c>
      <c r="AJ681" s="39">
        <f>IF(IFERROR(VLOOKUP(D681,Controls!$A$25:$D$35,4,FALSE()),"No")="Yes",1,0)</f>
        <v/>
      </c>
      <c r="AK681" s="96">
        <f>IF(AND($E681&gt;=Controls!$B$5,$E681&lt;=Controls!$B$6,OR(Controls!$E$9&lt;&gt;"Y",$BE681=1)),1,0)</f>
        <v/>
      </c>
      <c r="AL681" s="39">
        <f>1</f>
        <v/>
      </c>
      <c r="AM681" s="20">
        <f>S681-P681</f>
        <v/>
      </c>
      <c r="AN681" s="20">
        <f>IF(AH681=1,MAX(0,P681-S681),0)</f>
        <v/>
      </c>
      <c r="AO681" s="21">
        <f>IFERROR(S681/P681,"")</f>
        <v/>
      </c>
      <c r="AP681" s="22">
        <f>IF(Y681="","",P681/Y681)</f>
        <v/>
      </c>
      <c r="AQ681" s="39">
        <f>IF(Y681="",0,1)</f>
        <v/>
      </c>
      <c r="AR681" s="39">
        <f>IF(S681&lt;=0,1,0)</f>
        <v/>
      </c>
      <c r="AS681" s="17">
        <f>IF(AH681=1,AG681,"")</f>
        <v/>
      </c>
      <c r="AT681" s="17">
        <f>IF(AND(AH681=0,AJ681=1),AG681,"")</f>
        <v/>
      </c>
      <c r="AU681" s="5">
        <f>IF(P681&lt;10000,"Under $10K",IF(P681&lt;20000,"$10-20K",IF(P681&lt;30000,"$20-30K",IF(P681&lt;50000,"$30-50K",IF(P681&lt;100000,"$50-100K","$100K+")))))</f>
        <v/>
      </c>
      <c r="AV681" s="5">
        <f>IF(O681&lt;=1.35,"1.35 and under",IF(O681&lt;=1.42,"1.36-1.42",IF(O681&lt;=1.45,"1.43-1.45",IF(O681&lt;1.49,"1.46-1.48",IF(O681&lt;=1.49,"1.49","Above 1.49")))))</f>
        <v/>
      </c>
      <c r="AW681" s="5">
        <f>IF(AE681="","",IF(AE681&lt;60,"Under 60",IF(AE681&lt;90,"60-89",IF(AE681&lt;120,"90-119",IF(AE681&lt;150,"120-149","150+")))))</f>
        <v/>
      </c>
      <c r="AX681" s="5">
        <f>IF(AP681="","No revenue data",IF(AP681&lt;0.15,"Under 0.15x",IF(AP681&lt;0.3,"0.15-0.30x",IF(AP681&lt;0.5,"0.30-0.50x",IF(AP681&lt;1,"0.50-1.00x","1.00x+")))))</f>
        <v/>
      </c>
      <c r="AY681" s="5">
        <f>IF(J681="","No SIC",IFERROR(VLOOKUP(J681,Ref!$A$4:$C$67,2,FALSE()),"Unclassified"))</f>
        <v/>
      </c>
      <c r="AZ681" s="5">
        <f>IF(E681="","",TEXT(E681,"YYYY")&amp;"-Q"&amp;ROUNDUP(MONTH(E681)/3,0))</f>
        <v/>
      </c>
      <c r="BA681" s="5">
        <f>IF(E681="","",TEXT(E681,"YYYY-MM"))</f>
        <v/>
      </c>
      <c r="BB681" s="5">
        <f>IF(E681="","",TEXT(E681,"YYYY"))</f>
        <v/>
      </c>
      <c r="BC681" s="92">
        <f>IF($E681="","",NETWORKDAYS($E681,Controls!$B$9,Ref!$F$4:$F$47))</f>
        <v/>
      </c>
      <c r="BD681" s="92">
        <f>IF(OR($AH681=1,$AJ681=1),1,0)</f>
        <v/>
      </c>
      <c r="BE681" s="95">
        <f>IF(OR($BD681=1,AND($AE681&lt;&gt;"",$BC681&gt;=Controls!$B$10*$AE681)),1,0)</f>
        <v/>
      </c>
    </row>
    <row r="682" ht="15.75" customHeight="1" s="79">
      <c r="A682" s="5" t="inlineStr">
        <is>
          <t>5674179613</t>
        </is>
      </c>
      <c r="B682" s="5" t="inlineStr">
        <is>
          <t>RON KING LLC</t>
        </is>
      </c>
      <c r="C682" s="5" t="inlineStr">
        <is>
          <t>RON KING LLC</t>
        </is>
      </c>
      <c r="D682" s="5" t="inlineStr">
        <is>
          <t>Open</t>
        </is>
      </c>
      <c r="E682" s="16" t="n">
        <v>46086</v>
      </c>
      <c r="F682" s="16" t="n">
        <v>46253</v>
      </c>
      <c r="G682" s="17" t="n">
        <v>3</v>
      </c>
      <c r="H682" s="5" t="inlineStr">
        <is>
          <t>1521</t>
        </is>
      </c>
      <c r="I682" s="5" t="inlineStr">
        <is>
          <t>Residential Remodelers</t>
        </is>
      </c>
      <c r="J682" s="5" t="inlineStr">
        <is>
          <t>15</t>
        </is>
      </c>
      <c r="K682" s="5" t="n">
        <v>1520</v>
      </c>
      <c r="L682" s="5" t="inlineStr">
        <is>
          <t>TX</t>
        </is>
      </c>
      <c r="M682" s="5" t="inlineStr">
        <is>
          <t>Westwood</t>
        </is>
      </c>
      <c r="N682" s="5" t="inlineStr">
        <is>
          <t>Renewal</t>
        </is>
      </c>
      <c r="O682" s="19" t="n">
        <v>1.49</v>
      </c>
      <c r="P682" s="20" t="n">
        <v>55000</v>
      </c>
      <c r="Q682" s="20" t="n">
        <v>7700</v>
      </c>
      <c r="R682" s="20" t="n">
        <v>81950</v>
      </c>
      <c r="S682" s="20" t="n">
        <v>63934.65</v>
      </c>
      <c r="T682" s="20" t="n">
        <v>18015.35</v>
      </c>
      <c r="U682" s="21" t="n">
        <v>0.780166564978646</v>
      </c>
      <c r="V682" s="22" t="n">
        <v>4.918</v>
      </c>
      <c r="W682" s="17" t="n">
        <v>0</v>
      </c>
      <c r="X682" s="17" t="n">
        <v>0</v>
      </c>
      <c r="Y682" s="20" t="n">
        <v>54257.4</v>
      </c>
      <c r="Z682" s="21" t="n">
        <v>0.2115</v>
      </c>
      <c r="AA682" s="16" t="n">
        <v>43910</v>
      </c>
      <c r="AB682" s="5">
        <f>IF(V682="","",IF(V682&lt;12,"Months","Weeks"))</f>
        <v/>
      </c>
      <c r="AC682" s="5">
        <f>IF(AB682="","",IF(AB682="Months","Daily","Weekly"))</f>
        <v/>
      </c>
      <c r="AD682" s="17">
        <f>IF(V682="","",IF(AC682="Daily",V682*Controls!$B$13,V682))</f>
        <v/>
      </c>
      <c r="AE682" s="17">
        <f>IF(V682="","",IF(AC682="Daily",V682*Controls!$B$13,V682*Controls!$B$12))</f>
        <v/>
      </c>
      <c r="AF682" s="17">
        <f>IF(OR(E682="",F682=""),"",F682-E682)</f>
        <v/>
      </c>
      <c r="AG682" s="17">
        <f>IF(OR(E682="",F682=""),"",NETWORKDAYS(E682,F682,Ref!$F$4:$F$47))</f>
        <v/>
      </c>
      <c r="AH682" s="39">
        <f>IF(IFERROR(VLOOKUP(D682,Controls!$A$25:$D$35,2,FALSE()),"No")="Yes",1,0)</f>
        <v/>
      </c>
      <c r="AI682" s="39">
        <f>IF(IFERROR(VLOOKUP(D682,Controls!$A$25:$D$35,3,FALSE()),"No")="Yes",1,0)</f>
        <v/>
      </c>
      <c r="AJ682" s="39">
        <f>IF(IFERROR(VLOOKUP(D682,Controls!$A$25:$D$35,4,FALSE()),"No")="Yes",1,0)</f>
        <v/>
      </c>
      <c r="AK682" s="96">
        <f>IF(AND($E682&gt;=Controls!$B$5,$E682&lt;=Controls!$B$6,OR(Controls!$E$9&lt;&gt;"Y",$BE682=1)),1,0)</f>
        <v/>
      </c>
      <c r="AL682" s="39">
        <f>1</f>
        <v/>
      </c>
      <c r="AM682" s="20">
        <f>S682-P682</f>
        <v/>
      </c>
      <c r="AN682" s="20">
        <f>IF(AH682=1,MAX(0,P682-S682),0)</f>
        <v/>
      </c>
      <c r="AO682" s="21">
        <f>IFERROR(S682/P682,"")</f>
        <v/>
      </c>
      <c r="AP682" s="22">
        <f>IF(Y682="","",P682/Y682)</f>
        <v/>
      </c>
      <c r="AQ682" s="39">
        <f>IF(Y682="",0,1)</f>
        <v/>
      </c>
      <c r="AR682" s="39">
        <f>IF(S682&lt;=0,1,0)</f>
        <v/>
      </c>
      <c r="AS682" s="17">
        <f>IF(AH682=1,AG682,"")</f>
        <v/>
      </c>
      <c r="AT682" s="17">
        <f>IF(AND(AH682=0,AJ682=1),AG682,"")</f>
        <v/>
      </c>
      <c r="AU682" s="5">
        <f>IF(P682&lt;10000,"Under $10K",IF(P682&lt;20000,"$10-20K",IF(P682&lt;30000,"$20-30K",IF(P682&lt;50000,"$30-50K",IF(P682&lt;100000,"$50-100K","$100K+")))))</f>
        <v/>
      </c>
      <c r="AV682" s="5">
        <f>IF(O682&lt;=1.35,"1.35 and under",IF(O682&lt;=1.42,"1.36-1.42",IF(O682&lt;=1.45,"1.43-1.45",IF(O682&lt;1.49,"1.46-1.48",IF(O682&lt;=1.49,"1.49","Above 1.49")))))</f>
        <v/>
      </c>
      <c r="AW682" s="5">
        <f>IF(AE682="","",IF(AE682&lt;60,"Under 60",IF(AE682&lt;90,"60-89",IF(AE682&lt;120,"90-119",IF(AE682&lt;150,"120-149","150+")))))</f>
        <v/>
      </c>
      <c r="AX682" s="5">
        <f>IF(AP682="","No revenue data",IF(AP682&lt;0.15,"Under 0.15x",IF(AP682&lt;0.3,"0.15-0.30x",IF(AP682&lt;0.5,"0.30-0.50x",IF(AP682&lt;1,"0.50-1.00x","1.00x+")))))</f>
        <v/>
      </c>
      <c r="AY682" s="5">
        <f>IF(J682="","No SIC",IFERROR(VLOOKUP(J682,Ref!$A$4:$C$67,2,FALSE()),"Unclassified"))</f>
        <v/>
      </c>
      <c r="AZ682" s="5">
        <f>IF(E682="","",TEXT(E682,"YYYY")&amp;"-Q"&amp;ROUNDUP(MONTH(E682)/3,0))</f>
        <v/>
      </c>
      <c r="BA682" s="5">
        <f>IF(E682="","",TEXT(E682,"YYYY-MM"))</f>
        <v/>
      </c>
      <c r="BB682" s="5">
        <f>IF(E682="","",TEXT(E682,"YYYY"))</f>
        <v/>
      </c>
      <c r="BC682" s="92">
        <f>IF($E682="","",NETWORKDAYS($E682,Controls!$B$9,Ref!$F$4:$F$47))</f>
        <v/>
      </c>
      <c r="BD682" s="92">
        <f>IF(OR($AH682=1,$AJ682=1),1,0)</f>
        <v/>
      </c>
      <c r="BE682" s="95">
        <f>IF(OR($BD682=1,AND($AE682&lt;&gt;"",$BC682&gt;=Controls!$B$10*$AE682)),1,0)</f>
        <v/>
      </c>
    </row>
    <row r="683" ht="15.75" customHeight="1" s="79">
      <c r="A683" s="5" t="inlineStr">
        <is>
          <t>5674179674</t>
        </is>
      </c>
      <c r="B683" s="5" t="inlineStr">
        <is>
          <t>Daurden Arts LLC</t>
        </is>
      </c>
      <c r="C683" s="5" t="inlineStr">
        <is>
          <t>Daurden Arts LLC</t>
        </is>
      </c>
      <c r="D683" s="5" t="inlineStr">
        <is>
          <t>Closed</t>
        </is>
      </c>
      <c r="E683" s="16" t="n">
        <v>46087</v>
      </c>
      <c r="F683" s="16" t="n">
        <v>46213</v>
      </c>
      <c r="G683" s="17" t="n">
        <v>2</v>
      </c>
      <c r="H683" s="5" t="inlineStr">
        <is>
          <t>7911</t>
        </is>
      </c>
      <c r="I683" s="5" t="inlineStr">
        <is>
          <t>All Other Amusement and Recreation Industries</t>
        </is>
      </c>
      <c r="J683" s="5" t="inlineStr">
        <is>
          <t>79</t>
        </is>
      </c>
      <c r="K683" s="5" t="n">
        <v>7911</v>
      </c>
      <c r="L683" s="5" t="inlineStr">
        <is>
          <t>CA</t>
        </is>
      </c>
      <c r="M683" s="5" t="inlineStr">
        <is>
          <t>Fundwell</t>
        </is>
      </c>
      <c r="N683" s="5" t="inlineStr">
        <is>
          <t>Renewal</t>
        </is>
      </c>
      <c r="O683" s="19" t="n">
        <v>1.46</v>
      </c>
      <c r="P683" s="20" t="n">
        <v>7500</v>
      </c>
      <c r="Q683" s="20" t="n">
        <v>1125</v>
      </c>
      <c r="R683" s="20" t="n">
        <v>10950</v>
      </c>
      <c r="S683" s="20" t="n">
        <v>10950</v>
      </c>
      <c r="T683" s="20" t="n">
        <v>0</v>
      </c>
      <c r="U683" s="21" t="n">
        <v>1</v>
      </c>
      <c r="V683" s="22" t="n">
        <v>2.951</v>
      </c>
      <c r="W683" s="17" t="n">
        <v>40</v>
      </c>
      <c r="X683" s="17" t="n">
        <v>0</v>
      </c>
      <c r="Y683" s="20" t="n">
        <v>18156.75</v>
      </c>
      <c r="Z683" s="21" t="n">
        <v>0.2517</v>
      </c>
      <c r="AA683" s="16" t="n">
        <v>40980</v>
      </c>
      <c r="AB683" s="5">
        <f>IF(V683="","",IF(V683&lt;12,"Months","Weeks"))</f>
        <v/>
      </c>
      <c r="AC683" s="5">
        <f>IF(AB683="","",IF(AB683="Months","Daily","Weekly"))</f>
        <v/>
      </c>
      <c r="AD683" s="17">
        <f>IF(V683="","",IF(AC683="Daily",V683*Controls!$B$13,V683))</f>
        <v/>
      </c>
      <c r="AE683" s="17">
        <f>IF(V683="","",IF(AC683="Daily",V683*Controls!$B$13,V683*Controls!$B$12))</f>
        <v/>
      </c>
      <c r="AF683" s="17">
        <f>IF(OR(E683="",F683=""),"",F683-E683)</f>
        <v/>
      </c>
      <c r="AG683" s="17">
        <f>IF(OR(E683="",F683=""),"",NETWORKDAYS(E683,F683,Ref!$F$4:$F$47))</f>
        <v/>
      </c>
      <c r="AH683" s="39">
        <f>IF(IFERROR(VLOOKUP(D683,Controls!$A$25:$D$35,2,FALSE()),"No")="Yes",1,0)</f>
        <v/>
      </c>
      <c r="AI683" s="39">
        <f>IF(IFERROR(VLOOKUP(D683,Controls!$A$25:$D$35,3,FALSE()),"No")="Yes",1,0)</f>
        <v/>
      </c>
      <c r="AJ683" s="39">
        <f>IF(IFERROR(VLOOKUP(D683,Controls!$A$25:$D$35,4,FALSE()),"No")="Yes",1,0)</f>
        <v/>
      </c>
      <c r="AK683" s="96">
        <f>IF(AND($E683&gt;=Controls!$B$5,$E683&lt;=Controls!$B$6,OR(Controls!$E$9&lt;&gt;"Y",$BE683=1)),1,0)</f>
        <v/>
      </c>
      <c r="AL683" s="39">
        <f>1</f>
        <v/>
      </c>
      <c r="AM683" s="20">
        <f>S683-P683</f>
        <v/>
      </c>
      <c r="AN683" s="20">
        <f>IF(AH683=1,MAX(0,P683-S683),0)</f>
        <v/>
      </c>
      <c r="AO683" s="21">
        <f>IFERROR(S683/P683,"")</f>
        <v/>
      </c>
      <c r="AP683" s="22">
        <f>IF(Y683="","",P683/Y683)</f>
        <v/>
      </c>
      <c r="AQ683" s="39">
        <f>IF(Y683="",0,1)</f>
        <v/>
      </c>
      <c r="AR683" s="39">
        <f>IF(S683&lt;=0,1,0)</f>
        <v/>
      </c>
      <c r="AS683" s="17">
        <f>IF(AH683=1,AG683,"")</f>
        <v/>
      </c>
      <c r="AT683" s="17">
        <f>IF(AND(AH683=0,AJ683=1),AG683,"")</f>
        <v/>
      </c>
      <c r="AU683" s="5">
        <f>IF(P683&lt;10000,"Under $10K",IF(P683&lt;20000,"$10-20K",IF(P683&lt;30000,"$20-30K",IF(P683&lt;50000,"$30-50K",IF(P683&lt;100000,"$50-100K","$100K+")))))</f>
        <v/>
      </c>
      <c r="AV683" s="5">
        <f>IF(O683&lt;=1.35,"1.35 and under",IF(O683&lt;=1.42,"1.36-1.42",IF(O683&lt;=1.45,"1.43-1.45",IF(O683&lt;1.49,"1.46-1.48",IF(O683&lt;=1.49,"1.49","Above 1.49")))))</f>
        <v/>
      </c>
      <c r="AW683" s="5">
        <f>IF(AE683="","",IF(AE683&lt;60,"Under 60",IF(AE683&lt;90,"60-89",IF(AE683&lt;120,"90-119",IF(AE683&lt;150,"120-149","150+")))))</f>
        <v/>
      </c>
      <c r="AX683" s="5">
        <f>IF(AP683="","No revenue data",IF(AP683&lt;0.15,"Under 0.15x",IF(AP683&lt;0.3,"0.15-0.30x",IF(AP683&lt;0.5,"0.30-0.50x",IF(AP683&lt;1,"0.50-1.00x","1.00x+")))))</f>
        <v/>
      </c>
      <c r="AY683" s="5">
        <f>IF(J683="","No SIC",IFERROR(VLOOKUP(J683,Ref!$A$4:$C$67,2,FALSE()),"Unclassified"))</f>
        <v/>
      </c>
      <c r="AZ683" s="5">
        <f>IF(E683="","",TEXT(E683,"YYYY")&amp;"-Q"&amp;ROUNDUP(MONTH(E683)/3,0))</f>
        <v/>
      </c>
      <c r="BA683" s="5">
        <f>IF(E683="","",TEXT(E683,"YYYY-MM"))</f>
        <v/>
      </c>
      <c r="BB683" s="5">
        <f>IF(E683="","",TEXT(E683,"YYYY"))</f>
        <v/>
      </c>
      <c r="BC683" s="92">
        <f>IF($E683="","",NETWORKDAYS($E683,Controls!$B$9,Ref!$F$4:$F$47))</f>
        <v/>
      </c>
      <c r="BD683" s="92">
        <f>IF(OR($AH683=1,$AJ683=1),1,0)</f>
        <v/>
      </c>
      <c r="BE683" s="95">
        <f>IF(OR($BD683=1,AND($AE683&lt;&gt;"",$BC683&gt;=Controls!$B$10*$AE683)),1,0)</f>
        <v/>
      </c>
    </row>
    <row r="684" ht="15.75" customHeight="1" s="79">
      <c r="A684" s="5" t="inlineStr">
        <is>
          <t>5674179702</t>
        </is>
      </c>
      <c r="B684" s="5" t="inlineStr">
        <is>
          <t>Creative Learning Child Development Minis</t>
        </is>
      </c>
      <c r="C684" s="5" t="inlineStr">
        <is>
          <t>Creative Learning Child Development Minis</t>
        </is>
      </c>
      <c r="D684" s="5" t="inlineStr">
        <is>
          <t>Open</t>
        </is>
      </c>
      <c r="E684" s="16" t="n">
        <v>46087</v>
      </c>
      <c r="F684" s="16" t="n">
        <v>46248</v>
      </c>
      <c r="G684" s="17" t="n">
        <v>3</v>
      </c>
      <c r="H684" s="5" t="inlineStr">
        <is>
          <t>8211</t>
        </is>
      </c>
      <c r="I684" s="5" t="inlineStr">
        <is>
          <t>Elementary and Secondary Schools</t>
        </is>
      </c>
      <c r="J684" s="5" t="inlineStr">
        <is>
          <t>82</t>
        </is>
      </c>
      <c r="K684" s="5" t="n">
        <v>8211</v>
      </c>
      <c r="L684" s="5" t="inlineStr">
        <is>
          <t>IN</t>
        </is>
      </c>
      <c r="M684" s="5" t="inlineStr">
        <is>
          <t>Westwood</t>
        </is>
      </c>
      <c r="N684" s="5" t="inlineStr">
        <is>
          <t>New Deal</t>
        </is>
      </c>
      <c r="O684" s="19" t="n">
        <v>1.49</v>
      </c>
      <c r="P684" s="20" t="n">
        <v>20000</v>
      </c>
      <c r="Q684" s="20" t="n">
        <v>2800</v>
      </c>
      <c r="R684" s="20" t="n">
        <v>29800</v>
      </c>
      <c r="S684" s="20" t="n">
        <v>20273.69</v>
      </c>
      <c r="T684" s="20" t="n">
        <v>9526.309999999999</v>
      </c>
      <c r="U684" s="21" t="n">
        <v>0.680325167785235</v>
      </c>
      <c r="V684" s="22" t="n">
        <v>25</v>
      </c>
      <c r="W684" s="17" t="n">
        <v>5</v>
      </c>
      <c r="X684" s="17" t="n">
        <v>6</v>
      </c>
      <c r="Y684" s="20" t="n">
        <v>62032.38</v>
      </c>
      <c r="Z684" s="21" t="n">
        <v>0.0769</v>
      </c>
      <c r="AA684" s="16" t="n">
        <v>44459</v>
      </c>
      <c r="AB684" s="5">
        <f>IF(V684="","",IF(V684&lt;12,"Months","Weeks"))</f>
        <v/>
      </c>
      <c r="AC684" s="5">
        <f>IF(AB684="","",IF(AB684="Months","Daily","Weekly"))</f>
        <v/>
      </c>
      <c r="AD684" s="17">
        <f>IF(V684="","",IF(AC684="Daily",V684*Controls!$B$13,V684))</f>
        <v/>
      </c>
      <c r="AE684" s="17">
        <f>IF(V684="","",IF(AC684="Daily",V684*Controls!$B$13,V684*Controls!$B$12))</f>
        <v/>
      </c>
      <c r="AF684" s="17">
        <f>IF(OR(E684="",F684=""),"",F684-E684)</f>
        <v/>
      </c>
      <c r="AG684" s="17">
        <f>IF(OR(E684="",F684=""),"",NETWORKDAYS(E684,F684,Ref!$F$4:$F$47))</f>
        <v/>
      </c>
      <c r="AH684" s="39">
        <f>IF(IFERROR(VLOOKUP(D684,Controls!$A$25:$D$35,2,FALSE()),"No")="Yes",1,0)</f>
        <v/>
      </c>
      <c r="AI684" s="39">
        <f>IF(IFERROR(VLOOKUP(D684,Controls!$A$25:$D$35,3,FALSE()),"No")="Yes",1,0)</f>
        <v/>
      </c>
      <c r="AJ684" s="39">
        <f>IF(IFERROR(VLOOKUP(D684,Controls!$A$25:$D$35,4,FALSE()),"No")="Yes",1,0)</f>
        <v/>
      </c>
      <c r="AK684" s="96">
        <f>IF(AND($E684&gt;=Controls!$B$5,$E684&lt;=Controls!$B$6,OR(Controls!$E$9&lt;&gt;"Y",$BE684=1)),1,0)</f>
        <v/>
      </c>
      <c r="AL684" s="39">
        <f>1</f>
        <v/>
      </c>
      <c r="AM684" s="20">
        <f>S684-P684</f>
        <v/>
      </c>
      <c r="AN684" s="20">
        <f>IF(AH684=1,MAX(0,P684-S684),0)</f>
        <v/>
      </c>
      <c r="AO684" s="21">
        <f>IFERROR(S684/P684,"")</f>
        <v/>
      </c>
      <c r="AP684" s="22">
        <f>IF(Y684="","",P684/Y684)</f>
        <v/>
      </c>
      <c r="AQ684" s="39">
        <f>IF(Y684="",0,1)</f>
        <v/>
      </c>
      <c r="AR684" s="39">
        <f>IF(S684&lt;=0,1,0)</f>
        <v/>
      </c>
      <c r="AS684" s="17">
        <f>IF(AH684=1,AG684,"")</f>
        <v/>
      </c>
      <c r="AT684" s="17">
        <f>IF(AND(AH684=0,AJ684=1),AG684,"")</f>
        <v/>
      </c>
      <c r="AU684" s="5">
        <f>IF(P684&lt;10000,"Under $10K",IF(P684&lt;20000,"$10-20K",IF(P684&lt;30000,"$20-30K",IF(P684&lt;50000,"$30-50K",IF(P684&lt;100000,"$50-100K","$100K+")))))</f>
        <v/>
      </c>
      <c r="AV684" s="5">
        <f>IF(O684&lt;=1.35,"1.35 and under",IF(O684&lt;=1.42,"1.36-1.42",IF(O684&lt;=1.45,"1.43-1.45",IF(O684&lt;1.49,"1.46-1.48",IF(O684&lt;=1.49,"1.49","Above 1.49")))))</f>
        <v/>
      </c>
      <c r="AW684" s="5">
        <f>IF(AE684="","",IF(AE684&lt;60,"Under 60",IF(AE684&lt;90,"60-89",IF(AE684&lt;120,"90-119",IF(AE684&lt;150,"120-149","150+")))))</f>
        <v/>
      </c>
      <c r="AX684" s="5">
        <f>IF(AP684="","No revenue data",IF(AP684&lt;0.15,"Under 0.15x",IF(AP684&lt;0.3,"0.15-0.30x",IF(AP684&lt;0.5,"0.30-0.50x",IF(AP684&lt;1,"0.50-1.00x","1.00x+")))))</f>
        <v/>
      </c>
      <c r="AY684" s="5">
        <f>IF(J684="","No SIC",IFERROR(VLOOKUP(J684,Ref!$A$4:$C$67,2,FALSE()),"Unclassified"))</f>
        <v/>
      </c>
      <c r="AZ684" s="5">
        <f>IF(E684="","",TEXT(E684,"YYYY")&amp;"-Q"&amp;ROUNDUP(MONTH(E684)/3,0))</f>
        <v/>
      </c>
      <c r="BA684" s="5">
        <f>IF(E684="","",TEXT(E684,"YYYY-MM"))</f>
        <v/>
      </c>
      <c r="BB684" s="5">
        <f>IF(E684="","",TEXT(E684,"YYYY"))</f>
        <v/>
      </c>
      <c r="BC684" s="92">
        <f>IF($E684="","",NETWORKDAYS($E684,Controls!$B$9,Ref!$F$4:$F$47))</f>
        <v/>
      </c>
      <c r="BD684" s="92">
        <f>IF(OR($AH684=1,$AJ684=1),1,0)</f>
        <v/>
      </c>
      <c r="BE684" s="95">
        <f>IF(OR($BD684=1,AND($AE684&lt;&gt;"",$BC684&gt;=Controls!$B$10*$AE684)),1,0)</f>
        <v/>
      </c>
    </row>
    <row r="685" ht="15.75" customHeight="1" s="79">
      <c r="A685" s="5" t="inlineStr">
        <is>
          <t>5674179722</t>
        </is>
      </c>
      <c r="B685" s="5" t="inlineStr">
        <is>
          <t>Shriyas Kitchen</t>
        </is>
      </c>
      <c r="C685" s="5" t="inlineStr">
        <is>
          <t>SILPA'S INTERNATIONAL FOODS LLC</t>
        </is>
      </c>
      <c r="D685" s="5" t="inlineStr">
        <is>
          <t>Closed</t>
        </is>
      </c>
      <c r="E685" s="16" t="n">
        <v>46087</v>
      </c>
      <c r="F685" s="16" t="n">
        <v>46199</v>
      </c>
      <c r="G685" s="17" t="n">
        <v>2</v>
      </c>
      <c r="H685" s="5" t="inlineStr">
        <is>
          <t>5812</t>
        </is>
      </c>
      <c r="I685" s="5" t="inlineStr">
        <is>
          <t>Snack and Nonalcoholic Beverage Bars</t>
        </is>
      </c>
      <c r="J685" s="5" t="inlineStr">
        <is>
          <t>58</t>
        </is>
      </c>
      <c r="K685" s="5" t="n">
        <v>5812</v>
      </c>
      <c r="L685" s="5" t="inlineStr">
        <is>
          <t>FL</t>
        </is>
      </c>
      <c r="M685" s="5" t="inlineStr">
        <is>
          <t>Fund Simple</t>
        </is>
      </c>
      <c r="N685" s="5" t="inlineStr">
        <is>
          <t>New Deal</t>
        </is>
      </c>
      <c r="O685" s="19" t="n">
        <v>1.49</v>
      </c>
      <c r="P685" s="20" t="n">
        <v>15000</v>
      </c>
      <c r="Q685" s="20" t="n">
        <v>2100</v>
      </c>
      <c r="R685" s="20" t="n">
        <v>22350</v>
      </c>
      <c r="S685" s="20" t="n">
        <v>22350</v>
      </c>
      <c r="T685" s="20" t="n">
        <v>0</v>
      </c>
      <c r="U685" s="21" t="n">
        <v>1</v>
      </c>
      <c r="V685" s="22" t="n">
        <v>24</v>
      </c>
      <c r="W685" s="17" t="n">
        <v>54</v>
      </c>
      <c r="X685" s="17" t="n">
        <v>1</v>
      </c>
      <c r="Y685" s="20" t="n">
        <v>61925.3</v>
      </c>
      <c r="Z685" s="21" t="n">
        <v>0.0602</v>
      </c>
      <c r="AA685" s="5" t="n"/>
      <c r="AB685" s="5">
        <f>IF(V685="","",IF(V685&lt;12,"Months","Weeks"))</f>
        <v/>
      </c>
      <c r="AC685" s="5">
        <f>IF(AB685="","",IF(AB685="Months","Daily","Weekly"))</f>
        <v/>
      </c>
      <c r="AD685" s="17">
        <f>IF(V685="","",IF(AC685="Daily",V685*Controls!$B$13,V685))</f>
        <v/>
      </c>
      <c r="AE685" s="17">
        <f>IF(V685="","",IF(AC685="Daily",V685*Controls!$B$13,V685*Controls!$B$12))</f>
        <v/>
      </c>
      <c r="AF685" s="17">
        <f>IF(OR(E685="",F685=""),"",F685-E685)</f>
        <v/>
      </c>
      <c r="AG685" s="17">
        <f>IF(OR(E685="",F685=""),"",NETWORKDAYS(E685,F685,Ref!$F$4:$F$47))</f>
        <v/>
      </c>
      <c r="AH685" s="39">
        <f>IF(IFERROR(VLOOKUP(D685,Controls!$A$25:$D$35,2,FALSE()),"No")="Yes",1,0)</f>
        <v/>
      </c>
      <c r="AI685" s="39">
        <f>IF(IFERROR(VLOOKUP(D685,Controls!$A$25:$D$35,3,FALSE()),"No")="Yes",1,0)</f>
        <v/>
      </c>
      <c r="AJ685" s="39">
        <f>IF(IFERROR(VLOOKUP(D685,Controls!$A$25:$D$35,4,FALSE()),"No")="Yes",1,0)</f>
        <v/>
      </c>
      <c r="AK685" s="96">
        <f>IF(AND($E685&gt;=Controls!$B$5,$E685&lt;=Controls!$B$6,OR(Controls!$E$9&lt;&gt;"Y",$BE685=1)),1,0)</f>
        <v/>
      </c>
      <c r="AL685" s="39">
        <f>1</f>
        <v/>
      </c>
      <c r="AM685" s="20">
        <f>S685-P685</f>
        <v/>
      </c>
      <c r="AN685" s="20">
        <f>IF(AH685=1,MAX(0,P685-S685),0)</f>
        <v/>
      </c>
      <c r="AO685" s="21">
        <f>IFERROR(S685/P685,"")</f>
        <v/>
      </c>
      <c r="AP685" s="22">
        <f>IF(Y685="","",P685/Y685)</f>
        <v/>
      </c>
      <c r="AQ685" s="39">
        <f>IF(Y685="",0,1)</f>
        <v/>
      </c>
      <c r="AR685" s="39">
        <f>IF(S685&lt;=0,1,0)</f>
        <v/>
      </c>
      <c r="AS685" s="17">
        <f>IF(AH685=1,AG685,"")</f>
        <v/>
      </c>
      <c r="AT685" s="17">
        <f>IF(AND(AH685=0,AJ685=1),AG685,"")</f>
        <v/>
      </c>
      <c r="AU685" s="5">
        <f>IF(P685&lt;10000,"Under $10K",IF(P685&lt;20000,"$10-20K",IF(P685&lt;30000,"$20-30K",IF(P685&lt;50000,"$30-50K",IF(P685&lt;100000,"$50-100K","$100K+")))))</f>
        <v/>
      </c>
      <c r="AV685" s="5">
        <f>IF(O685&lt;=1.35,"1.35 and under",IF(O685&lt;=1.42,"1.36-1.42",IF(O685&lt;=1.45,"1.43-1.45",IF(O685&lt;1.49,"1.46-1.48",IF(O685&lt;=1.49,"1.49","Above 1.49")))))</f>
        <v/>
      </c>
      <c r="AW685" s="5">
        <f>IF(AE685="","",IF(AE685&lt;60,"Under 60",IF(AE685&lt;90,"60-89",IF(AE685&lt;120,"90-119",IF(AE685&lt;150,"120-149","150+")))))</f>
        <v/>
      </c>
      <c r="AX685" s="5">
        <f>IF(AP685="","No revenue data",IF(AP685&lt;0.15,"Under 0.15x",IF(AP685&lt;0.3,"0.15-0.30x",IF(AP685&lt;0.5,"0.30-0.50x",IF(AP685&lt;1,"0.50-1.00x","1.00x+")))))</f>
        <v/>
      </c>
      <c r="AY685" s="5">
        <f>IF(J685="","No SIC",IFERROR(VLOOKUP(J685,Ref!$A$4:$C$67,2,FALSE()),"Unclassified"))</f>
        <v/>
      </c>
      <c r="AZ685" s="5">
        <f>IF(E685="","",TEXT(E685,"YYYY")&amp;"-Q"&amp;ROUNDUP(MONTH(E685)/3,0))</f>
        <v/>
      </c>
      <c r="BA685" s="5">
        <f>IF(E685="","",TEXT(E685,"YYYY-MM"))</f>
        <v/>
      </c>
      <c r="BB685" s="5">
        <f>IF(E685="","",TEXT(E685,"YYYY"))</f>
        <v/>
      </c>
      <c r="BC685" s="92">
        <f>IF($E685="","",NETWORKDAYS($E685,Controls!$B$9,Ref!$F$4:$F$47))</f>
        <v/>
      </c>
      <c r="BD685" s="92">
        <f>IF(OR($AH685=1,$AJ685=1),1,0)</f>
        <v/>
      </c>
      <c r="BE685" s="95">
        <f>IF(OR($BD685=1,AND($AE685&lt;&gt;"",$BC685&gt;=Controls!$B$10*$AE685)),1,0)</f>
        <v/>
      </c>
    </row>
    <row r="686" ht="15.75" customHeight="1" s="79">
      <c r="A686" s="5" t="inlineStr">
        <is>
          <t>5674179768</t>
        </is>
      </c>
      <c r="B686" s="5" t="inlineStr">
        <is>
          <t>FRESH LAND IMPORTS LLC</t>
        </is>
      </c>
      <c r="C686" s="5" t="inlineStr">
        <is>
          <t>FRESH LAND IMPORTS LLC</t>
        </is>
      </c>
      <c r="D686" s="5" t="inlineStr">
        <is>
          <t>Closed</t>
        </is>
      </c>
      <c r="E686" s="16" t="n">
        <v>46090</v>
      </c>
      <c r="F686" s="16" t="n">
        <v>46211</v>
      </c>
      <c r="G686" s="17" t="n">
        <v>2</v>
      </c>
      <c r="H686" s="5" t="inlineStr">
        <is>
          <t>5149</t>
        </is>
      </c>
      <c r="I686" s="5" t="inlineStr">
        <is>
          <t>Other Grocery and Related Products Merchant Wholesalers</t>
        </is>
      </c>
      <c r="J686" s="5" t="inlineStr">
        <is>
          <t>51</t>
        </is>
      </c>
      <c r="K686" s="5" t="n">
        <v>5411</v>
      </c>
      <c r="L686" s="5" t="inlineStr">
        <is>
          <t>IL</t>
        </is>
      </c>
      <c r="M686" s="5" t="inlineStr">
        <is>
          <t>Fundwell</t>
        </is>
      </c>
      <c r="N686" s="5" t="inlineStr">
        <is>
          <t>Renewal</t>
        </is>
      </c>
      <c r="O686" s="19" t="n">
        <v>1.46</v>
      </c>
      <c r="P686" s="20" t="n">
        <v>150000</v>
      </c>
      <c r="Q686" s="20" t="n">
        <v>22500</v>
      </c>
      <c r="R686" s="20" t="n">
        <v>219000</v>
      </c>
      <c r="S686" s="20" t="n">
        <v>219000</v>
      </c>
      <c r="T686" s="20" t="n">
        <v>0</v>
      </c>
      <c r="U686" s="21" t="n">
        <v>1</v>
      </c>
      <c r="V686" s="22" t="n">
        <v>38</v>
      </c>
      <c r="W686" s="17" t="n">
        <v>42</v>
      </c>
      <c r="X686" s="17" t="n">
        <v>0</v>
      </c>
      <c r="Y686" s="20" t="n">
        <v>356120.58</v>
      </c>
      <c r="Z686" s="21" t="n">
        <v>0.06469999999999999</v>
      </c>
      <c r="AA686" s="16" t="n">
        <v>43945</v>
      </c>
      <c r="AB686" s="5">
        <f>IF(V686="","",IF(V686&lt;12,"Months","Weeks"))</f>
        <v/>
      </c>
      <c r="AC686" s="5">
        <f>IF(AB686="","",IF(AB686="Months","Daily","Weekly"))</f>
        <v/>
      </c>
      <c r="AD686" s="17">
        <f>IF(V686="","",IF(AC686="Daily",V686*Controls!$B$13,V686))</f>
        <v/>
      </c>
      <c r="AE686" s="17">
        <f>IF(V686="","",IF(AC686="Daily",V686*Controls!$B$13,V686*Controls!$B$12))</f>
        <v/>
      </c>
      <c r="AF686" s="17">
        <f>IF(OR(E686="",F686=""),"",F686-E686)</f>
        <v/>
      </c>
      <c r="AG686" s="17">
        <f>IF(OR(E686="",F686=""),"",NETWORKDAYS(E686,F686,Ref!$F$4:$F$47))</f>
        <v/>
      </c>
      <c r="AH686" s="39">
        <f>IF(IFERROR(VLOOKUP(D686,Controls!$A$25:$D$35,2,FALSE()),"No")="Yes",1,0)</f>
        <v/>
      </c>
      <c r="AI686" s="39">
        <f>IF(IFERROR(VLOOKUP(D686,Controls!$A$25:$D$35,3,FALSE()),"No")="Yes",1,0)</f>
        <v/>
      </c>
      <c r="AJ686" s="39">
        <f>IF(IFERROR(VLOOKUP(D686,Controls!$A$25:$D$35,4,FALSE()),"No")="Yes",1,0)</f>
        <v/>
      </c>
      <c r="AK686" s="96">
        <f>IF(AND($E686&gt;=Controls!$B$5,$E686&lt;=Controls!$B$6,OR(Controls!$E$9&lt;&gt;"Y",$BE686=1)),1,0)</f>
        <v/>
      </c>
      <c r="AL686" s="39">
        <f>1</f>
        <v/>
      </c>
      <c r="AM686" s="20">
        <f>S686-P686</f>
        <v/>
      </c>
      <c r="AN686" s="20">
        <f>IF(AH686=1,MAX(0,P686-S686),0)</f>
        <v/>
      </c>
      <c r="AO686" s="21">
        <f>IFERROR(S686/P686,"")</f>
        <v/>
      </c>
      <c r="AP686" s="22">
        <f>IF(Y686="","",P686/Y686)</f>
        <v/>
      </c>
      <c r="AQ686" s="39">
        <f>IF(Y686="",0,1)</f>
        <v/>
      </c>
      <c r="AR686" s="39">
        <f>IF(S686&lt;=0,1,0)</f>
        <v/>
      </c>
      <c r="AS686" s="17">
        <f>IF(AH686=1,AG686,"")</f>
        <v/>
      </c>
      <c r="AT686" s="17">
        <f>IF(AND(AH686=0,AJ686=1),AG686,"")</f>
        <v/>
      </c>
      <c r="AU686" s="5">
        <f>IF(P686&lt;10000,"Under $10K",IF(P686&lt;20000,"$10-20K",IF(P686&lt;30000,"$20-30K",IF(P686&lt;50000,"$30-50K",IF(P686&lt;100000,"$50-100K","$100K+")))))</f>
        <v/>
      </c>
      <c r="AV686" s="5">
        <f>IF(O686&lt;=1.35,"1.35 and under",IF(O686&lt;=1.42,"1.36-1.42",IF(O686&lt;=1.45,"1.43-1.45",IF(O686&lt;1.49,"1.46-1.48",IF(O686&lt;=1.49,"1.49","Above 1.49")))))</f>
        <v/>
      </c>
      <c r="AW686" s="5">
        <f>IF(AE686="","",IF(AE686&lt;60,"Under 60",IF(AE686&lt;90,"60-89",IF(AE686&lt;120,"90-119",IF(AE686&lt;150,"120-149","150+")))))</f>
        <v/>
      </c>
      <c r="AX686" s="5">
        <f>IF(AP686="","No revenue data",IF(AP686&lt;0.15,"Under 0.15x",IF(AP686&lt;0.3,"0.15-0.30x",IF(AP686&lt;0.5,"0.30-0.50x",IF(AP686&lt;1,"0.50-1.00x","1.00x+")))))</f>
        <v/>
      </c>
      <c r="AY686" s="5">
        <f>IF(J686="","No SIC",IFERROR(VLOOKUP(J686,Ref!$A$4:$C$67,2,FALSE()),"Unclassified"))</f>
        <v/>
      </c>
      <c r="AZ686" s="5">
        <f>IF(E686="","",TEXT(E686,"YYYY")&amp;"-Q"&amp;ROUNDUP(MONTH(E686)/3,0))</f>
        <v/>
      </c>
      <c r="BA686" s="5">
        <f>IF(E686="","",TEXT(E686,"YYYY-MM"))</f>
        <v/>
      </c>
      <c r="BB686" s="5">
        <f>IF(E686="","",TEXT(E686,"YYYY"))</f>
        <v/>
      </c>
      <c r="BC686" s="92">
        <f>IF($E686="","",NETWORKDAYS($E686,Controls!$B$9,Ref!$F$4:$F$47))</f>
        <v/>
      </c>
      <c r="BD686" s="92">
        <f>IF(OR($AH686=1,$AJ686=1),1,0)</f>
        <v/>
      </c>
      <c r="BE686" s="95">
        <f>IF(OR($BD686=1,AND($AE686&lt;&gt;"",$BC686&gt;=Controls!$B$10*$AE686)),1,0)</f>
        <v/>
      </c>
    </row>
    <row r="687" ht="15.75" customHeight="1" s="79">
      <c r="A687" s="5" t="inlineStr">
        <is>
          <t>5674179778</t>
        </is>
      </c>
      <c r="B687" s="5" t="inlineStr">
        <is>
          <t>RAHAB ADULT FAMILY HOME LLC</t>
        </is>
      </c>
      <c r="C687" s="5" t="inlineStr">
        <is>
          <t>RAHAB ADULT FAMILY HOME LLC</t>
        </is>
      </c>
      <c r="D687" s="5" t="inlineStr">
        <is>
          <t>Legal</t>
        </is>
      </c>
      <c r="E687" s="16" t="n">
        <v>46090</v>
      </c>
      <c r="F687" s="16" t="n">
        <v>46141</v>
      </c>
      <c r="G687" s="17" t="n">
        <v>3</v>
      </c>
      <c r="H687" s="5" t="inlineStr">
        <is>
          <t>8361</t>
        </is>
      </c>
      <c r="I687" s="5" t="inlineStr">
        <is>
          <t>Other Residential Care Facilities</t>
        </is>
      </c>
      <c r="J687" s="5" t="inlineStr">
        <is>
          <t>83</t>
        </is>
      </c>
      <c r="K687" s="5" t="n">
        <v>8050</v>
      </c>
      <c r="L687" s="5" t="inlineStr">
        <is>
          <t>WA</t>
        </is>
      </c>
      <c r="M687" s="5" t="inlineStr">
        <is>
          <t>United Secured Capital 8</t>
        </is>
      </c>
      <c r="N687" s="5" t="inlineStr">
        <is>
          <t>New Deal</t>
        </is>
      </c>
      <c r="O687" s="19" t="n">
        <v>1.49</v>
      </c>
      <c r="P687" s="20" t="n">
        <v>25000</v>
      </c>
      <c r="Q687" s="20" t="n">
        <v>3500</v>
      </c>
      <c r="R687" s="20" t="n">
        <v>37250</v>
      </c>
      <c r="S687" s="20" t="n">
        <v>6702.84</v>
      </c>
      <c r="T687" s="20" t="n">
        <v>30547.16</v>
      </c>
      <c r="U687" s="21" t="n">
        <v>0.179942013422819</v>
      </c>
      <c r="V687" s="22" t="n">
        <v>3.279</v>
      </c>
      <c r="W687" s="17" t="n">
        <v>140</v>
      </c>
      <c r="X687" s="17" t="n">
        <v>17</v>
      </c>
      <c r="Y687" s="20" t="n">
        <v>80000</v>
      </c>
      <c r="Z687" s="21" t="n">
        <v>0.092</v>
      </c>
      <c r="AA687" s="16" t="n">
        <v>43838</v>
      </c>
      <c r="AB687" s="5">
        <f>IF(V687="","",IF(V687&lt;12,"Months","Weeks"))</f>
        <v/>
      </c>
      <c r="AC687" s="5">
        <f>IF(AB687="","",IF(AB687="Months","Daily","Weekly"))</f>
        <v/>
      </c>
      <c r="AD687" s="17">
        <f>IF(V687="","",IF(AC687="Daily",V687*Controls!$B$13,V687))</f>
        <v/>
      </c>
      <c r="AE687" s="17">
        <f>IF(V687="","",IF(AC687="Daily",V687*Controls!$B$13,V687*Controls!$B$12))</f>
        <v/>
      </c>
      <c r="AF687" s="17">
        <f>IF(OR(E687="",F687=""),"",F687-E687)</f>
        <v/>
      </c>
      <c r="AG687" s="17">
        <f>IF(OR(E687="",F687=""),"",NETWORKDAYS(E687,F687,Ref!$F$4:$F$47))</f>
        <v/>
      </c>
      <c r="AH687" s="39">
        <f>IF(IFERROR(VLOOKUP(D687,Controls!$A$25:$D$35,2,FALSE()),"No")="Yes",1,0)</f>
        <v/>
      </c>
      <c r="AI687" s="39">
        <f>IF(IFERROR(VLOOKUP(D687,Controls!$A$25:$D$35,3,FALSE()),"No")="Yes",1,0)</f>
        <v/>
      </c>
      <c r="AJ687" s="39">
        <f>IF(IFERROR(VLOOKUP(D687,Controls!$A$25:$D$35,4,FALSE()),"No")="Yes",1,0)</f>
        <v/>
      </c>
      <c r="AK687" s="96">
        <f>IF(AND($E687&gt;=Controls!$B$5,$E687&lt;=Controls!$B$6,OR(Controls!$E$9&lt;&gt;"Y",$BE687=1)),1,0)</f>
        <v/>
      </c>
      <c r="AL687" s="39">
        <f>1</f>
        <v/>
      </c>
      <c r="AM687" s="20">
        <f>S687-P687</f>
        <v/>
      </c>
      <c r="AN687" s="20">
        <f>IF(AH687=1,MAX(0,P687-S687),0)</f>
        <v/>
      </c>
      <c r="AO687" s="21">
        <f>IFERROR(S687/P687,"")</f>
        <v/>
      </c>
      <c r="AP687" s="22">
        <f>IF(Y687="","",P687/Y687)</f>
        <v/>
      </c>
      <c r="AQ687" s="39">
        <f>IF(Y687="",0,1)</f>
        <v/>
      </c>
      <c r="AR687" s="39">
        <f>IF(S687&lt;=0,1,0)</f>
        <v/>
      </c>
      <c r="AS687" s="17">
        <f>IF(AH687=1,AG687,"")</f>
        <v/>
      </c>
      <c r="AT687" s="17">
        <f>IF(AND(AH687=0,AJ687=1),AG687,"")</f>
        <v/>
      </c>
      <c r="AU687" s="5">
        <f>IF(P687&lt;10000,"Under $10K",IF(P687&lt;20000,"$10-20K",IF(P687&lt;30000,"$20-30K",IF(P687&lt;50000,"$30-50K",IF(P687&lt;100000,"$50-100K","$100K+")))))</f>
        <v/>
      </c>
      <c r="AV687" s="5">
        <f>IF(O687&lt;=1.35,"1.35 and under",IF(O687&lt;=1.42,"1.36-1.42",IF(O687&lt;=1.45,"1.43-1.45",IF(O687&lt;1.49,"1.46-1.48",IF(O687&lt;=1.49,"1.49","Above 1.49")))))</f>
        <v/>
      </c>
      <c r="AW687" s="5">
        <f>IF(AE687="","",IF(AE687&lt;60,"Under 60",IF(AE687&lt;90,"60-89",IF(AE687&lt;120,"90-119",IF(AE687&lt;150,"120-149","150+")))))</f>
        <v/>
      </c>
      <c r="AX687" s="5">
        <f>IF(AP687="","No revenue data",IF(AP687&lt;0.15,"Under 0.15x",IF(AP687&lt;0.3,"0.15-0.30x",IF(AP687&lt;0.5,"0.30-0.50x",IF(AP687&lt;1,"0.50-1.00x","1.00x+")))))</f>
        <v/>
      </c>
      <c r="AY687" s="5">
        <f>IF(J687="","No SIC",IFERROR(VLOOKUP(J687,Ref!$A$4:$C$67,2,FALSE()),"Unclassified"))</f>
        <v/>
      </c>
      <c r="AZ687" s="5">
        <f>IF(E687="","",TEXT(E687,"YYYY")&amp;"-Q"&amp;ROUNDUP(MONTH(E687)/3,0))</f>
        <v/>
      </c>
      <c r="BA687" s="5">
        <f>IF(E687="","",TEXT(E687,"YYYY-MM"))</f>
        <v/>
      </c>
      <c r="BB687" s="5">
        <f>IF(E687="","",TEXT(E687,"YYYY"))</f>
        <v/>
      </c>
      <c r="BC687" s="92">
        <f>IF($E687="","",NETWORKDAYS($E687,Controls!$B$9,Ref!$F$4:$F$47))</f>
        <v/>
      </c>
      <c r="BD687" s="92">
        <f>IF(OR($AH687=1,$AJ687=1),1,0)</f>
        <v/>
      </c>
      <c r="BE687" s="95">
        <f>IF(OR($BD687=1,AND($AE687&lt;&gt;"",$BC687&gt;=Controls!$B$10*$AE687)),1,0)</f>
        <v/>
      </c>
    </row>
    <row r="688" ht="15.75" customHeight="1" s="79">
      <c r="A688" s="5" t="inlineStr">
        <is>
          <t>5674179797</t>
        </is>
      </c>
      <c r="B688" s="5" t="inlineStr">
        <is>
          <t>DIGITAL ASCENSION GROUP</t>
        </is>
      </c>
      <c r="C688" s="5" t="inlineStr">
        <is>
          <t>DIGITAL ASCENSION GROUP LLC, DIGITAL FAMILY OFFICE LLC</t>
        </is>
      </c>
      <c r="D688" s="5" t="inlineStr">
        <is>
          <t>Open</t>
        </is>
      </c>
      <c r="E688" s="16" t="n">
        <v>46090</v>
      </c>
      <c r="F688" s="16" t="n">
        <v>46251</v>
      </c>
      <c r="G688" s="17" t="n">
        <v>2</v>
      </c>
      <c r="H688" s="5" t="inlineStr">
        <is>
          <t>6282</t>
        </is>
      </c>
      <c r="I688" s="5" t="inlineStr">
        <is>
          <t>Investment Advice</t>
        </is>
      </c>
      <c r="J688" s="5" t="inlineStr">
        <is>
          <t>62</t>
        </is>
      </c>
      <c r="K688" s="5" t="n">
        <v>7392</v>
      </c>
      <c r="L688" s="5" t="inlineStr">
        <is>
          <t>TX</t>
        </is>
      </c>
      <c r="M688" s="5" t="inlineStr">
        <is>
          <t>Can I Have Money</t>
        </is>
      </c>
      <c r="N688" s="5" t="inlineStr">
        <is>
          <t>New Deal</t>
        </is>
      </c>
      <c r="O688" s="19" t="n">
        <v>1.49</v>
      </c>
      <c r="P688" s="20" t="n">
        <v>85000</v>
      </c>
      <c r="Q688" s="20" t="n">
        <v>11900</v>
      </c>
      <c r="R688" s="20" t="n">
        <v>126650</v>
      </c>
      <c r="S688" s="20" t="n">
        <v>121842.96</v>
      </c>
      <c r="T688" s="20" t="n">
        <v>4807.03999999999</v>
      </c>
      <c r="U688" s="21" t="n">
        <v>0.962044690090802</v>
      </c>
      <c r="V688" s="22" t="n">
        <v>24</v>
      </c>
      <c r="W688" s="17" t="n">
        <v>2</v>
      </c>
      <c r="X688" s="17" t="n">
        <v>0</v>
      </c>
      <c r="Y688" s="20" t="n">
        <v>2561699.05</v>
      </c>
      <c r="Z688" s="21" t="n">
        <v>0.0123</v>
      </c>
      <c r="AA688" s="16" t="n">
        <v>45526</v>
      </c>
      <c r="AB688" s="5">
        <f>IF(V688="","",IF(V688&lt;12,"Months","Weeks"))</f>
        <v/>
      </c>
      <c r="AC688" s="5">
        <f>IF(AB688="","",IF(AB688="Months","Daily","Weekly"))</f>
        <v/>
      </c>
      <c r="AD688" s="17">
        <f>IF(V688="","",IF(AC688="Daily",V688*Controls!$B$13,V688))</f>
        <v/>
      </c>
      <c r="AE688" s="17">
        <f>IF(V688="","",IF(AC688="Daily",V688*Controls!$B$13,V688*Controls!$B$12))</f>
        <v/>
      </c>
      <c r="AF688" s="17">
        <f>IF(OR(E688="",F688=""),"",F688-E688)</f>
        <v/>
      </c>
      <c r="AG688" s="17">
        <f>IF(OR(E688="",F688=""),"",NETWORKDAYS(E688,F688,Ref!$F$4:$F$47))</f>
        <v/>
      </c>
      <c r="AH688" s="39">
        <f>IF(IFERROR(VLOOKUP(D688,Controls!$A$25:$D$35,2,FALSE()),"No")="Yes",1,0)</f>
        <v/>
      </c>
      <c r="AI688" s="39">
        <f>IF(IFERROR(VLOOKUP(D688,Controls!$A$25:$D$35,3,FALSE()),"No")="Yes",1,0)</f>
        <v/>
      </c>
      <c r="AJ688" s="39">
        <f>IF(IFERROR(VLOOKUP(D688,Controls!$A$25:$D$35,4,FALSE()),"No")="Yes",1,0)</f>
        <v/>
      </c>
      <c r="AK688" s="96">
        <f>IF(AND($E688&gt;=Controls!$B$5,$E688&lt;=Controls!$B$6,OR(Controls!$E$9&lt;&gt;"Y",$BE688=1)),1,0)</f>
        <v/>
      </c>
      <c r="AL688" s="39">
        <f>1</f>
        <v/>
      </c>
      <c r="AM688" s="20">
        <f>S688-P688</f>
        <v/>
      </c>
      <c r="AN688" s="20">
        <f>IF(AH688=1,MAX(0,P688-S688),0)</f>
        <v/>
      </c>
      <c r="AO688" s="21">
        <f>IFERROR(S688/P688,"")</f>
        <v/>
      </c>
      <c r="AP688" s="22">
        <f>IF(Y688="","",P688/Y688)</f>
        <v/>
      </c>
      <c r="AQ688" s="39">
        <f>IF(Y688="",0,1)</f>
        <v/>
      </c>
      <c r="AR688" s="39">
        <f>IF(S688&lt;=0,1,0)</f>
        <v/>
      </c>
      <c r="AS688" s="17">
        <f>IF(AH688=1,AG688,"")</f>
        <v/>
      </c>
      <c r="AT688" s="17">
        <f>IF(AND(AH688=0,AJ688=1),AG688,"")</f>
        <v/>
      </c>
      <c r="AU688" s="5">
        <f>IF(P688&lt;10000,"Under $10K",IF(P688&lt;20000,"$10-20K",IF(P688&lt;30000,"$20-30K",IF(P688&lt;50000,"$30-50K",IF(P688&lt;100000,"$50-100K","$100K+")))))</f>
        <v/>
      </c>
      <c r="AV688" s="5">
        <f>IF(O688&lt;=1.35,"1.35 and under",IF(O688&lt;=1.42,"1.36-1.42",IF(O688&lt;=1.45,"1.43-1.45",IF(O688&lt;1.49,"1.46-1.48",IF(O688&lt;=1.49,"1.49","Above 1.49")))))</f>
        <v/>
      </c>
      <c r="AW688" s="5">
        <f>IF(AE688="","",IF(AE688&lt;60,"Under 60",IF(AE688&lt;90,"60-89",IF(AE688&lt;120,"90-119",IF(AE688&lt;150,"120-149","150+")))))</f>
        <v/>
      </c>
      <c r="AX688" s="5">
        <f>IF(AP688="","No revenue data",IF(AP688&lt;0.15,"Under 0.15x",IF(AP688&lt;0.3,"0.15-0.30x",IF(AP688&lt;0.5,"0.30-0.50x",IF(AP688&lt;1,"0.50-1.00x","1.00x+")))))</f>
        <v/>
      </c>
      <c r="AY688" s="5">
        <f>IF(J688="","No SIC",IFERROR(VLOOKUP(J688,Ref!$A$4:$C$67,2,FALSE()),"Unclassified"))</f>
        <v/>
      </c>
      <c r="AZ688" s="5">
        <f>IF(E688="","",TEXT(E688,"YYYY")&amp;"-Q"&amp;ROUNDUP(MONTH(E688)/3,0))</f>
        <v/>
      </c>
      <c r="BA688" s="5">
        <f>IF(E688="","",TEXT(E688,"YYYY-MM"))</f>
        <v/>
      </c>
      <c r="BB688" s="5">
        <f>IF(E688="","",TEXT(E688,"YYYY"))</f>
        <v/>
      </c>
      <c r="BC688" s="92">
        <f>IF($E688="","",NETWORKDAYS($E688,Controls!$B$9,Ref!$F$4:$F$47))</f>
        <v/>
      </c>
      <c r="BD688" s="92">
        <f>IF(OR($AH688=1,$AJ688=1),1,0)</f>
        <v/>
      </c>
      <c r="BE688" s="95">
        <f>IF(OR($BD688=1,AND($AE688&lt;&gt;"",$BC688&gt;=Controls!$B$10*$AE688)),1,0)</f>
        <v/>
      </c>
    </row>
    <row r="689" ht="15.75" customHeight="1" s="79">
      <c r="A689" s="5" t="inlineStr">
        <is>
          <t>5674179826</t>
        </is>
      </c>
      <c r="B689" s="5" t="inlineStr">
        <is>
          <t>Hd Builders And Construction LLC</t>
        </is>
      </c>
      <c r="C689" s="5" t="inlineStr">
        <is>
          <t>Hd Builders And Construction LLC</t>
        </is>
      </c>
      <c r="D689" s="5" t="inlineStr">
        <is>
          <t>Closed</t>
        </is>
      </c>
      <c r="E689" s="16" t="n">
        <v>46090</v>
      </c>
      <c r="F689" s="16" t="n">
        <v>46212</v>
      </c>
      <c r="G689" s="17" t="n">
        <v>3</v>
      </c>
      <c r="H689" s="5" t="inlineStr">
        <is>
          <t>1521</t>
        </is>
      </c>
      <c r="I689" s="5" t="inlineStr">
        <is>
          <t>New Single-Family Housing Construction (Except For-Sale Builders)</t>
        </is>
      </c>
      <c r="J689" s="5" t="inlineStr">
        <is>
          <t>15</t>
        </is>
      </c>
      <c r="K689" s="5" t="n">
        <v>1520</v>
      </c>
      <c r="L689" s="5" t="inlineStr">
        <is>
          <t>NM</t>
        </is>
      </c>
      <c r="M689" s="5" t="inlineStr">
        <is>
          <t>AVON ADVANCE</t>
        </is>
      </c>
      <c r="N689" s="5" t="inlineStr">
        <is>
          <t>Renewal</t>
        </is>
      </c>
      <c r="O689" s="19" t="n">
        <v>1.49</v>
      </c>
      <c r="P689" s="20" t="n">
        <v>16000</v>
      </c>
      <c r="Q689" s="20" t="n">
        <v>2240</v>
      </c>
      <c r="R689" s="20" t="n">
        <v>23840</v>
      </c>
      <c r="S689" s="20" t="n">
        <v>23840</v>
      </c>
      <c r="T689" s="20" t="n">
        <v>0</v>
      </c>
      <c r="U689" s="21" t="n">
        <v>1</v>
      </c>
      <c r="V689" s="22" t="n">
        <v>3.279</v>
      </c>
      <c r="W689" s="17" t="n">
        <v>41</v>
      </c>
      <c r="X689" s="17" t="n">
        <v>0</v>
      </c>
      <c r="Y689" s="20" t="n">
        <v>50226.03</v>
      </c>
      <c r="Z689" s="21" t="n">
        <v>0.0997</v>
      </c>
      <c r="AA689" s="16" t="n">
        <v>44627</v>
      </c>
      <c r="AB689" s="5">
        <f>IF(V689="","",IF(V689&lt;12,"Months","Weeks"))</f>
        <v/>
      </c>
      <c r="AC689" s="5">
        <f>IF(AB689="","",IF(AB689="Months","Daily","Weekly"))</f>
        <v/>
      </c>
      <c r="AD689" s="17">
        <f>IF(V689="","",IF(AC689="Daily",V689*Controls!$B$13,V689))</f>
        <v/>
      </c>
      <c r="AE689" s="17">
        <f>IF(V689="","",IF(AC689="Daily",V689*Controls!$B$13,V689*Controls!$B$12))</f>
        <v/>
      </c>
      <c r="AF689" s="17">
        <f>IF(OR(E689="",F689=""),"",F689-E689)</f>
        <v/>
      </c>
      <c r="AG689" s="17">
        <f>IF(OR(E689="",F689=""),"",NETWORKDAYS(E689,F689,Ref!$F$4:$F$47))</f>
        <v/>
      </c>
      <c r="AH689" s="39">
        <f>IF(IFERROR(VLOOKUP(D689,Controls!$A$25:$D$35,2,FALSE()),"No")="Yes",1,0)</f>
        <v/>
      </c>
      <c r="AI689" s="39">
        <f>IF(IFERROR(VLOOKUP(D689,Controls!$A$25:$D$35,3,FALSE()),"No")="Yes",1,0)</f>
        <v/>
      </c>
      <c r="AJ689" s="39">
        <f>IF(IFERROR(VLOOKUP(D689,Controls!$A$25:$D$35,4,FALSE()),"No")="Yes",1,0)</f>
        <v/>
      </c>
      <c r="AK689" s="96">
        <f>IF(AND($E689&gt;=Controls!$B$5,$E689&lt;=Controls!$B$6,OR(Controls!$E$9&lt;&gt;"Y",$BE689=1)),1,0)</f>
        <v/>
      </c>
      <c r="AL689" s="39">
        <f>1</f>
        <v/>
      </c>
      <c r="AM689" s="20">
        <f>S689-P689</f>
        <v/>
      </c>
      <c r="AN689" s="20">
        <f>IF(AH689=1,MAX(0,P689-S689),0)</f>
        <v/>
      </c>
      <c r="AO689" s="21">
        <f>IFERROR(S689/P689,"")</f>
        <v/>
      </c>
      <c r="AP689" s="22">
        <f>IF(Y689="","",P689/Y689)</f>
        <v/>
      </c>
      <c r="AQ689" s="39">
        <f>IF(Y689="",0,1)</f>
        <v/>
      </c>
      <c r="AR689" s="39">
        <f>IF(S689&lt;=0,1,0)</f>
        <v/>
      </c>
      <c r="AS689" s="17">
        <f>IF(AH689=1,AG689,"")</f>
        <v/>
      </c>
      <c r="AT689" s="17">
        <f>IF(AND(AH689=0,AJ689=1),AG689,"")</f>
        <v/>
      </c>
      <c r="AU689" s="5">
        <f>IF(P689&lt;10000,"Under $10K",IF(P689&lt;20000,"$10-20K",IF(P689&lt;30000,"$20-30K",IF(P689&lt;50000,"$30-50K",IF(P689&lt;100000,"$50-100K","$100K+")))))</f>
        <v/>
      </c>
      <c r="AV689" s="5">
        <f>IF(O689&lt;=1.35,"1.35 and under",IF(O689&lt;=1.42,"1.36-1.42",IF(O689&lt;=1.45,"1.43-1.45",IF(O689&lt;1.49,"1.46-1.48",IF(O689&lt;=1.49,"1.49","Above 1.49")))))</f>
        <v/>
      </c>
      <c r="AW689" s="5">
        <f>IF(AE689="","",IF(AE689&lt;60,"Under 60",IF(AE689&lt;90,"60-89",IF(AE689&lt;120,"90-119",IF(AE689&lt;150,"120-149","150+")))))</f>
        <v/>
      </c>
      <c r="AX689" s="5">
        <f>IF(AP689="","No revenue data",IF(AP689&lt;0.15,"Under 0.15x",IF(AP689&lt;0.3,"0.15-0.30x",IF(AP689&lt;0.5,"0.30-0.50x",IF(AP689&lt;1,"0.50-1.00x","1.00x+")))))</f>
        <v/>
      </c>
      <c r="AY689" s="5">
        <f>IF(J689="","No SIC",IFERROR(VLOOKUP(J689,Ref!$A$4:$C$67,2,FALSE()),"Unclassified"))</f>
        <v/>
      </c>
      <c r="AZ689" s="5">
        <f>IF(E689="","",TEXT(E689,"YYYY")&amp;"-Q"&amp;ROUNDUP(MONTH(E689)/3,0))</f>
        <v/>
      </c>
      <c r="BA689" s="5">
        <f>IF(E689="","",TEXT(E689,"YYYY-MM"))</f>
        <v/>
      </c>
      <c r="BB689" s="5">
        <f>IF(E689="","",TEXT(E689,"YYYY"))</f>
        <v/>
      </c>
      <c r="BC689" s="92">
        <f>IF($E689="","",NETWORKDAYS($E689,Controls!$B$9,Ref!$F$4:$F$47))</f>
        <v/>
      </c>
      <c r="BD689" s="92">
        <f>IF(OR($AH689=1,$AJ689=1),1,0)</f>
        <v/>
      </c>
      <c r="BE689" s="95">
        <f>IF(OR($BD689=1,AND($AE689&lt;&gt;"",$BC689&gt;=Controls!$B$10*$AE689)),1,0)</f>
        <v/>
      </c>
    </row>
    <row r="690" ht="15.75" customHeight="1" s="79">
      <c r="A690" s="5" t="inlineStr">
        <is>
          <t>5674179847</t>
        </is>
      </c>
      <c r="B690" s="5" t="inlineStr">
        <is>
          <t>P&amp;PD WHOLESALE</t>
        </is>
      </c>
      <c r="C690" s="5" t="inlineStr">
        <is>
          <t>Pearls and paper dolls LLC</t>
        </is>
      </c>
      <c r="D690" s="5" t="inlineStr">
        <is>
          <t>Closed</t>
        </is>
      </c>
      <c r="E690" s="16" t="n">
        <v>46091</v>
      </c>
      <c r="F690" s="16" t="n">
        <v>46224</v>
      </c>
      <c r="G690" s="17" t="n">
        <v>2</v>
      </c>
      <c r="H690" s="5" t="inlineStr">
        <is>
          <t>5999</t>
        </is>
      </c>
      <c r="I690" s="5" t="inlineStr">
        <is>
          <t>All Other Health and Personal Care Stores</t>
        </is>
      </c>
      <c r="J690" s="5" t="inlineStr">
        <is>
          <t>59</t>
        </is>
      </c>
      <c r="K690" s="5" t="n">
        <v>5999</v>
      </c>
      <c r="L690" s="5" t="inlineStr">
        <is>
          <t>TX</t>
        </is>
      </c>
      <c r="M690" s="5" t="inlineStr">
        <is>
          <t>Fundwell</t>
        </is>
      </c>
      <c r="N690" s="5" t="inlineStr">
        <is>
          <t>New Deal</t>
        </is>
      </c>
      <c r="O690" s="19" t="n">
        <v>1.38</v>
      </c>
      <c r="P690" s="20" t="n">
        <v>20000</v>
      </c>
      <c r="Q690" s="20" t="n">
        <v>2400</v>
      </c>
      <c r="R690" s="20" t="n">
        <v>27600</v>
      </c>
      <c r="S690" s="20" t="n">
        <v>27600</v>
      </c>
      <c r="T690" s="20" t="n">
        <v>-3.63797880709171e-12</v>
      </c>
      <c r="U690" s="21" t="n">
        <v>1</v>
      </c>
      <c r="V690" s="22" t="n">
        <v>18</v>
      </c>
      <c r="W690" s="17" t="n">
        <v>29</v>
      </c>
      <c r="X690" s="17" t="n">
        <v>0</v>
      </c>
      <c r="Y690" s="20" t="n">
        <v>209846.36</v>
      </c>
      <c r="Z690" s="21" t="n">
        <v>0.0292</v>
      </c>
      <c r="AA690" s="16" t="n">
        <v>42522</v>
      </c>
      <c r="AB690" s="5">
        <f>IF(V690="","",IF(V690&lt;12,"Months","Weeks"))</f>
        <v/>
      </c>
      <c r="AC690" s="5">
        <f>IF(AB690="","",IF(AB690="Months","Daily","Weekly"))</f>
        <v/>
      </c>
      <c r="AD690" s="17">
        <f>IF(V690="","",IF(AC690="Daily",V690*Controls!$B$13,V690))</f>
        <v/>
      </c>
      <c r="AE690" s="17">
        <f>IF(V690="","",IF(AC690="Daily",V690*Controls!$B$13,V690*Controls!$B$12))</f>
        <v/>
      </c>
      <c r="AF690" s="17">
        <f>IF(OR(E690="",F690=""),"",F690-E690)</f>
        <v/>
      </c>
      <c r="AG690" s="17">
        <f>IF(OR(E690="",F690=""),"",NETWORKDAYS(E690,F690,Ref!$F$4:$F$47))</f>
        <v/>
      </c>
      <c r="AH690" s="39">
        <f>IF(IFERROR(VLOOKUP(D690,Controls!$A$25:$D$35,2,FALSE()),"No")="Yes",1,0)</f>
        <v/>
      </c>
      <c r="AI690" s="39">
        <f>IF(IFERROR(VLOOKUP(D690,Controls!$A$25:$D$35,3,FALSE()),"No")="Yes",1,0)</f>
        <v/>
      </c>
      <c r="AJ690" s="39">
        <f>IF(IFERROR(VLOOKUP(D690,Controls!$A$25:$D$35,4,FALSE()),"No")="Yes",1,0)</f>
        <v/>
      </c>
      <c r="AK690" s="96">
        <f>IF(AND($E690&gt;=Controls!$B$5,$E690&lt;=Controls!$B$6,OR(Controls!$E$9&lt;&gt;"Y",$BE690=1)),1,0)</f>
        <v/>
      </c>
      <c r="AL690" s="39">
        <f>1</f>
        <v/>
      </c>
      <c r="AM690" s="20">
        <f>S690-P690</f>
        <v/>
      </c>
      <c r="AN690" s="20">
        <f>IF(AH690=1,MAX(0,P690-S690),0)</f>
        <v/>
      </c>
      <c r="AO690" s="21">
        <f>IFERROR(S690/P690,"")</f>
        <v/>
      </c>
      <c r="AP690" s="22">
        <f>IF(Y690="","",P690/Y690)</f>
        <v/>
      </c>
      <c r="AQ690" s="39">
        <f>IF(Y690="",0,1)</f>
        <v/>
      </c>
      <c r="AR690" s="39">
        <f>IF(S690&lt;=0,1,0)</f>
        <v/>
      </c>
      <c r="AS690" s="17">
        <f>IF(AH690=1,AG690,"")</f>
        <v/>
      </c>
      <c r="AT690" s="17">
        <f>IF(AND(AH690=0,AJ690=1),AG690,"")</f>
        <v/>
      </c>
      <c r="AU690" s="5">
        <f>IF(P690&lt;10000,"Under $10K",IF(P690&lt;20000,"$10-20K",IF(P690&lt;30000,"$20-30K",IF(P690&lt;50000,"$30-50K",IF(P690&lt;100000,"$50-100K","$100K+")))))</f>
        <v/>
      </c>
      <c r="AV690" s="5">
        <f>IF(O690&lt;=1.35,"1.35 and under",IF(O690&lt;=1.42,"1.36-1.42",IF(O690&lt;=1.45,"1.43-1.45",IF(O690&lt;1.49,"1.46-1.48",IF(O690&lt;=1.49,"1.49","Above 1.49")))))</f>
        <v/>
      </c>
      <c r="AW690" s="5">
        <f>IF(AE690="","",IF(AE690&lt;60,"Under 60",IF(AE690&lt;90,"60-89",IF(AE690&lt;120,"90-119",IF(AE690&lt;150,"120-149","150+")))))</f>
        <v/>
      </c>
      <c r="AX690" s="5">
        <f>IF(AP690="","No revenue data",IF(AP690&lt;0.15,"Under 0.15x",IF(AP690&lt;0.3,"0.15-0.30x",IF(AP690&lt;0.5,"0.30-0.50x",IF(AP690&lt;1,"0.50-1.00x","1.00x+")))))</f>
        <v/>
      </c>
      <c r="AY690" s="5">
        <f>IF(J690="","No SIC",IFERROR(VLOOKUP(J690,Ref!$A$4:$C$67,2,FALSE()),"Unclassified"))</f>
        <v/>
      </c>
      <c r="AZ690" s="5">
        <f>IF(E690="","",TEXT(E690,"YYYY")&amp;"-Q"&amp;ROUNDUP(MONTH(E690)/3,0))</f>
        <v/>
      </c>
      <c r="BA690" s="5">
        <f>IF(E690="","",TEXT(E690,"YYYY-MM"))</f>
        <v/>
      </c>
      <c r="BB690" s="5">
        <f>IF(E690="","",TEXT(E690,"YYYY"))</f>
        <v/>
      </c>
      <c r="BC690" s="92">
        <f>IF($E690="","",NETWORKDAYS($E690,Controls!$B$9,Ref!$F$4:$F$47))</f>
        <v/>
      </c>
      <c r="BD690" s="92">
        <f>IF(OR($AH690=1,$AJ690=1),1,0)</f>
        <v/>
      </c>
      <c r="BE690" s="95">
        <f>IF(OR($BD690=1,AND($AE690&lt;&gt;"",$BC690&gt;=Controls!$B$10*$AE690)),1,0)</f>
        <v/>
      </c>
    </row>
    <row r="691" ht="15.75" customHeight="1" s="79">
      <c r="A691" s="5" t="inlineStr">
        <is>
          <t>5674179855</t>
        </is>
      </c>
      <c r="B691" s="5" t="inlineStr">
        <is>
          <t>LOW-COUNTRY INSURANCE SOLUTIONS</t>
        </is>
      </c>
      <c r="C691" s="5" t="inlineStr">
        <is>
          <t>FORREST S SMITH</t>
        </is>
      </c>
      <c r="D691" s="5" t="inlineStr">
        <is>
          <t>In House Collection</t>
        </is>
      </c>
      <c r="E691" s="16" t="n">
        <v>46091</v>
      </c>
      <c r="F691" s="16" t="n">
        <v>46233</v>
      </c>
      <c r="G691" s="17" t="n">
        <v>3</v>
      </c>
      <c r="H691" s="5" t="inlineStr">
        <is>
          <t>6411</t>
        </is>
      </c>
      <c r="I691" s="5" t="inlineStr">
        <is>
          <t>All Other Insurance Related Activities</t>
        </is>
      </c>
      <c r="J691" s="5" t="inlineStr">
        <is>
          <t>64</t>
        </is>
      </c>
      <c r="K691" s="5" t="n">
        <v>6399</v>
      </c>
      <c r="L691" s="5" t="inlineStr">
        <is>
          <t>SC</t>
        </is>
      </c>
      <c r="M691" s="5" t="inlineStr">
        <is>
          <t>United Secured Capital 8</t>
        </is>
      </c>
      <c r="N691" s="5" t="inlineStr">
        <is>
          <t>Renewal</t>
        </is>
      </c>
      <c r="O691" s="19" t="n">
        <v>1.49</v>
      </c>
      <c r="P691" s="20" t="n">
        <v>27000</v>
      </c>
      <c r="Q691" s="20" t="n">
        <v>3780</v>
      </c>
      <c r="R691" s="20" t="n">
        <v>40230</v>
      </c>
      <c r="S691" s="20" t="n">
        <v>21973.47</v>
      </c>
      <c r="T691" s="20" t="n">
        <v>18256.53</v>
      </c>
      <c r="U691" s="21" t="n">
        <v>0.546196122296794</v>
      </c>
      <c r="V691" s="22" t="n">
        <v>3.77</v>
      </c>
      <c r="W691" s="17" t="n">
        <v>35</v>
      </c>
      <c r="X691" s="17" t="n">
        <v>20</v>
      </c>
      <c r="Y691" s="20" t="n">
        <v>120000</v>
      </c>
      <c r="Z691" s="21" t="n">
        <v>0.1633</v>
      </c>
      <c r="AA691" s="16" t="n">
        <v>38325</v>
      </c>
      <c r="AB691" s="5">
        <f>IF(V691="","",IF(V691&lt;12,"Months","Weeks"))</f>
        <v/>
      </c>
      <c r="AC691" s="5">
        <f>IF(AB691="","",IF(AB691="Months","Daily","Weekly"))</f>
        <v/>
      </c>
      <c r="AD691" s="17">
        <f>IF(V691="","",IF(AC691="Daily",V691*Controls!$B$13,V691))</f>
        <v/>
      </c>
      <c r="AE691" s="17">
        <f>IF(V691="","",IF(AC691="Daily",V691*Controls!$B$13,V691*Controls!$B$12))</f>
        <v/>
      </c>
      <c r="AF691" s="17">
        <f>IF(OR(E691="",F691=""),"",F691-E691)</f>
        <v/>
      </c>
      <c r="AG691" s="17">
        <f>IF(OR(E691="",F691=""),"",NETWORKDAYS(E691,F691,Ref!$F$4:$F$47))</f>
        <v/>
      </c>
      <c r="AH691" s="39">
        <f>IF(IFERROR(VLOOKUP(D691,Controls!$A$25:$D$35,2,FALSE()),"No")="Yes",1,0)</f>
        <v/>
      </c>
      <c r="AI691" s="39">
        <f>IF(IFERROR(VLOOKUP(D691,Controls!$A$25:$D$35,3,FALSE()),"No")="Yes",1,0)</f>
        <v/>
      </c>
      <c r="AJ691" s="39">
        <f>IF(IFERROR(VLOOKUP(D691,Controls!$A$25:$D$35,4,FALSE()),"No")="Yes",1,0)</f>
        <v/>
      </c>
      <c r="AK691" s="96">
        <f>IF(AND($E691&gt;=Controls!$B$5,$E691&lt;=Controls!$B$6,OR(Controls!$E$9&lt;&gt;"Y",$BE691=1)),1,0)</f>
        <v/>
      </c>
      <c r="AL691" s="39">
        <f>1</f>
        <v/>
      </c>
      <c r="AM691" s="20">
        <f>S691-P691</f>
        <v/>
      </c>
      <c r="AN691" s="20">
        <f>IF(AH691=1,MAX(0,P691-S691),0)</f>
        <v/>
      </c>
      <c r="AO691" s="21">
        <f>IFERROR(S691/P691,"")</f>
        <v/>
      </c>
      <c r="AP691" s="22">
        <f>IF(Y691="","",P691/Y691)</f>
        <v/>
      </c>
      <c r="AQ691" s="39">
        <f>IF(Y691="",0,1)</f>
        <v/>
      </c>
      <c r="AR691" s="39">
        <f>IF(S691&lt;=0,1,0)</f>
        <v/>
      </c>
      <c r="AS691" s="17">
        <f>IF(AH691=1,AG691,"")</f>
        <v/>
      </c>
      <c r="AT691" s="17">
        <f>IF(AND(AH691=0,AJ691=1),AG691,"")</f>
        <v/>
      </c>
      <c r="AU691" s="5">
        <f>IF(P691&lt;10000,"Under $10K",IF(P691&lt;20000,"$10-20K",IF(P691&lt;30000,"$20-30K",IF(P691&lt;50000,"$30-50K",IF(P691&lt;100000,"$50-100K","$100K+")))))</f>
        <v/>
      </c>
      <c r="AV691" s="5">
        <f>IF(O691&lt;=1.35,"1.35 and under",IF(O691&lt;=1.42,"1.36-1.42",IF(O691&lt;=1.45,"1.43-1.45",IF(O691&lt;1.49,"1.46-1.48",IF(O691&lt;=1.49,"1.49","Above 1.49")))))</f>
        <v/>
      </c>
      <c r="AW691" s="5">
        <f>IF(AE691="","",IF(AE691&lt;60,"Under 60",IF(AE691&lt;90,"60-89",IF(AE691&lt;120,"90-119",IF(AE691&lt;150,"120-149","150+")))))</f>
        <v/>
      </c>
      <c r="AX691" s="5">
        <f>IF(AP691="","No revenue data",IF(AP691&lt;0.15,"Under 0.15x",IF(AP691&lt;0.3,"0.15-0.30x",IF(AP691&lt;0.5,"0.30-0.50x",IF(AP691&lt;1,"0.50-1.00x","1.00x+")))))</f>
        <v/>
      </c>
      <c r="AY691" s="5">
        <f>IF(J691="","No SIC",IFERROR(VLOOKUP(J691,Ref!$A$4:$C$67,2,FALSE()),"Unclassified"))</f>
        <v/>
      </c>
      <c r="AZ691" s="5">
        <f>IF(E691="","",TEXT(E691,"YYYY")&amp;"-Q"&amp;ROUNDUP(MONTH(E691)/3,0))</f>
        <v/>
      </c>
      <c r="BA691" s="5">
        <f>IF(E691="","",TEXT(E691,"YYYY-MM"))</f>
        <v/>
      </c>
      <c r="BB691" s="5">
        <f>IF(E691="","",TEXT(E691,"YYYY"))</f>
        <v/>
      </c>
      <c r="BC691" s="92">
        <f>IF($E691="","",NETWORKDAYS($E691,Controls!$B$9,Ref!$F$4:$F$47))</f>
        <v/>
      </c>
      <c r="BD691" s="92">
        <f>IF(OR($AH691=1,$AJ691=1),1,0)</f>
        <v/>
      </c>
      <c r="BE691" s="95">
        <f>IF(OR($BD691=1,AND($AE691&lt;&gt;"",$BC691&gt;=Controls!$B$10*$AE691)),1,0)</f>
        <v/>
      </c>
    </row>
    <row r="692" ht="15.75" customHeight="1" s="79">
      <c r="A692" s="5" t="inlineStr">
        <is>
          <t>5674179857</t>
        </is>
      </c>
      <c r="B692" s="5" t="inlineStr">
        <is>
          <t>Tennex Ventures LLC</t>
        </is>
      </c>
      <c r="C692" s="5" t="inlineStr">
        <is>
          <t>Tennex Ventures LLC</t>
        </is>
      </c>
      <c r="D692" s="5" t="inlineStr">
        <is>
          <t>Open</t>
        </is>
      </c>
      <c r="E692" s="16" t="n">
        <v>46091</v>
      </c>
      <c r="F692" s="16" t="n">
        <v>46248</v>
      </c>
      <c r="G692" s="17" t="n">
        <v>3</v>
      </c>
      <c r="H692" s="5" t="inlineStr">
        <is>
          <t>2879</t>
        </is>
      </c>
      <c r="I692" s="5" t="inlineStr">
        <is>
          <t>Pesticide and Other Agricultural Chemical Mfg.</t>
        </is>
      </c>
      <c r="J692" s="5" t="inlineStr">
        <is>
          <t>28</t>
        </is>
      </c>
      <c r="K692" s="5" t="n">
        <v>5969</v>
      </c>
      <c r="L692" s="5" t="inlineStr">
        <is>
          <t>NJ</t>
        </is>
      </c>
      <c r="M692" s="5" t="inlineStr">
        <is>
          <t>Ballicci</t>
        </is>
      </c>
      <c r="N692" s="5" t="inlineStr">
        <is>
          <t>New Deal</t>
        </is>
      </c>
      <c r="O692" s="19" t="n">
        <v>1.49</v>
      </c>
      <c r="P692" s="20" t="n">
        <v>40000</v>
      </c>
      <c r="Q692" s="20" t="n">
        <v>5600</v>
      </c>
      <c r="R692" s="20" t="n">
        <v>59600</v>
      </c>
      <c r="S692" s="20" t="n">
        <v>48920.31</v>
      </c>
      <c r="T692" s="20" t="n">
        <v>10679.69</v>
      </c>
      <c r="U692" s="21" t="n">
        <v>0.820810570469799</v>
      </c>
      <c r="V692" s="22" t="n">
        <v>28</v>
      </c>
      <c r="W692" s="17" t="n">
        <v>5</v>
      </c>
      <c r="X692" s="17" t="n">
        <v>0</v>
      </c>
      <c r="Y692" s="20" t="n">
        <v>157261.96</v>
      </c>
      <c r="Z692" s="21" t="n">
        <v>0.0541</v>
      </c>
      <c r="AA692" s="16" t="n">
        <v>44266</v>
      </c>
      <c r="AB692" s="5">
        <f>IF(V692="","",IF(V692&lt;12,"Months","Weeks"))</f>
        <v/>
      </c>
      <c r="AC692" s="5">
        <f>IF(AB692="","",IF(AB692="Months","Daily","Weekly"))</f>
        <v/>
      </c>
      <c r="AD692" s="17">
        <f>IF(V692="","",IF(AC692="Daily",V692*Controls!$B$13,V692))</f>
        <v/>
      </c>
      <c r="AE692" s="17">
        <f>IF(V692="","",IF(AC692="Daily",V692*Controls!$B$13,V692*Controls!$B$12))</f>
        <v/>
      </c>
      <c r="AF692" s="17">
        <f>IF(OR(E692="",F692=""),"",F692-E692)</f>
        <v/>
      </c>
      <c r="AG692" s="17">
        <f>IF(OR(E692="",F692=""),"",NETWORKDAYS(E692,F692,Ref!$F$4:$F$47))</f>
        <v/>
      </c>
      <c r="AH692" s="39">
        <f>IF(IFERROR(VLOOKUP(D692,Controls!$A$25:$D$35,2,FALSE()),"No")="Yes",1,0)</f>
        <v/>
      </c>
      <c r="AI692" s="39">
        <f>IF(IFERROR(VLOOKUP(D692,Controls!$A$25:$D$35,3,FALSE()),"No")="Yes",1,0)</f>
        <v/>
      </c>
      <c r="AJ692" s="39">
        <f>IF(IFERROR(VLOOKUP(D692,Controls!$A$25:$D$35,4,FALSE()),"No")="Yes",1,0)</f>
        <v/>
      </c>
      <c r="AK692" s="96">
        <f>IF(AND($E692&gt;=Controls!$B$5,$E692&lt;=Controls!$B$6,OR(Controls!$E$9&lt;&gt;"Y",$BE692=1)),1,0)</f>
        <v/>
      </c>
      <c r="AL692" s="39">
        <f>1</f>
        <v/>
      </c>
      <c r="AM692" s="20">
        <f>S692-P692</f>
        <v/>
      </c>
      <c r="AN692" s="20">
        <f>IF(AH692=1,MAX(0,P692-S692),0)</f>
        <v/>
      </c>
      <c r="AO692" s="21">
        <f>IFERROR(S692/P692,"")</f>
        <v/>
      </c>
      <c r="AP692" s="22">
        <f>IF(Y692="","",P692/Y692)</f>
        <v/>
      </c>
      <c r="AQ692" s="39">
        <f>IF(Y692="",0,1)</f>
        <v/>
      </c>
      <c r="AR692" s="39">
        <f>IF(S692&lt;=0,1,0)</f>
        <v/>
      </c>
      <c r="AS692" s="17">
        <f>IF(AH692=1,AG692,"")</f>
        <v/>
      </c>
      <c r="AT692" s="17">
        <f>IF(AND(AH692=0,AJ692=1),AG692,"")</f>
        <v/>
      </c>
      <c r="AU692" s="5">
        <f>IF(P692&lt;10000,"Under $10K",IF(P692&lt;20000,"$10-20K",IF(P692&lt;30000,"$20-30K",IF(P692&lt;50000,"$30-50K",IF(P692&lt;100000,"$50-100K","$100K+")))))</f>
        <v/>
      </c>
      <c r="AV692" s="5">
        <f>IF(O692&lt;=1.35,"1.35 and under",IF(O692&lt;=1.42,"1.36-1.42",IF(O692&lt;=1.45,"1.43-1.45",IF(O692&lt;1.49,"1.46-1.48",IF(O692&lt;=1.49,"1.49","Above 1.49")))))</f>
        <v/>
      </c>
      <c r="AW692" s="5">
        <f>IF(AE692="","",IF(AE692&lt;60,"Under 60",IF(AE692&lt;90,"60-89",IF(AE692&lt;120,"90-119",IF(AE692&lt;150,"120-149","150+")))))</f>
        <v/>
      </c>
      <c r="AX692" s="5">
        <f>IF(AP692="","No revenue data",IF(AP692&lt;0.15,"Under 0.15x",IF(AP692&lt;0.3,"0.15-0.30x",IF(AP692&lt;0.5,"0.30-0.50x",IF(AP692&lt;1,"0.50-1.00x","1.00x+")))))</f>
        <v/>
      </c>
      <c r="AY692" s="5">
        <f>IF(J692="","No SIC",IFERROR(VLOOKUP(J692,Ref!$A$4:$C$67,2,FALSE()),"Unclassified"))</f>
        <v/>
      </c>
      <c r="AZ692" s="5">
        <f>IF(E692="","",TEXT(E692,"YYYY")&amp;"-Q"&amp;ROUNDUP(MONTH(E692)/3,0))</f>
        <v/>
      </c>
      <c r="BA692" s="5">
        <f>IF(E692="","",TEXT(E692,"YYYY-MM"))</f>
        <v/>
      </c>
      <c r="BB692" s="5">
        <f>IF(E692="","",TEXT(E692,"YYYY"))</f>
        <v/>
      </c>
      <c r="BC692" s="92">
        <f>IF($E692="","",NETWORKDAYS($E692,Controls!$B$9,Ref!$F$4:$F$47))</f>
        <v/>
      </c>
      <c r="BD692" s="92">
        <f>IF(OR($AH692=1,$AJ692=1),1,0)</f>
        <v/>
      </c>
      <c r="BE692" s="95">
        <f>IF(OR($BD692=1,AND($AE692&lt;&gt;"",$BC692&gt;=Controls!$B$10*$AE692)),1,0)</f>
        <v/>
      </c>
    </row>
    <row r="693" ht="15.75" customHeight="1" s="79">
      <c r="A693" s="5" t="inlineStr">
        <is>
          <t>5674179864</t>
        </is>
      </c>
      <c r="B693" s="5" t="inlineStr">
        <is>
          <t>El Katracho Restaurant LLC</t>
        </is>
      </c>
      <c r="C693" s="5" t="inlineStr">
        <is>
          <t>El Katracho Restaurant LLC</t>
        </is>
      </c>
      <c r="D693" s="5" t="inlineStr">
        <is>
          <t>Open</t>
        </is>
      </c>
      <c r="E693" s="16" t="n">
        <v>46091</v>
      </c>
      <c r="F693" s="16" t="n">
        <v>46227</v>
      </c>
      <c r="G693" s="17" t="n">
        <v>3</v>
      </c>
      <c r="H693" s="5" t="inlineStr">
        <is>
          <t>5812</t>
        </is>
      </c>
      <c r="I693" s="5" t="inlineStr">
        <is>
          <t>Snack and Nonalcoholic Beverage Bars</t>
        </is>
      </c>
      <c r="J693" s="5" t="inlineStr">
        <is>
          <t>58</t>
        </is>
      </c>
      <c r="K693" s="5" t="n">
        <v>5812</v>
      </c>
      <c r="L693" s="5" t="inlineStr">
        <is>
          <t>TX</t>
        </is>
      </c>
      <c r="M693" s="5" t="inlineStr">
        <is>
          <t>Westwood</t>
        </is>
      </c>
      <c r="N693" s="5" t="inlineStr">
        <is>
          <t>New Deal</t>
        </is>
      </c>
      <c r="O693" s="19" t="n">
        <v>1.49</v>
      </c>
      <c r="P693" s="20" t="n">
        <v>40000</v>
      </c>
      <c r="Q693" s="20" t="n">
        <v>5600</v>
      </c>
      <c r="R693" s="20" t="n">
        <v>59600</v>
      </c>
      <c r="S693" s="20" t="n">
        <v>24211.59</v>
      </c>
      <c r="T693" s="20" t="n">
        <v>35388.41</v>
      </c>
      <c r="U693" s="21" t="n">
        <v>0.406234731543624</v>
      </c>
      <c r="V693" s="22" t="n">
        <v>32</v>
      </c>
      <c r="W693" s="17" t="n">
        <v>75</v>
      </c>
      <c r="X693" s="17" t="n">
        <v>7</v>
      </c>
      <c r="Y693" s="20" t="n">
        <v>205927.06</v>
      </c>
      <c r="Z693" s="21" t="n">
        <v>0.0853</v>
      </c>
      <c r="AA693" s="16" t="n">
        <v>45999</v>
      </c>
      <c r="AB693" s="5">
        <f>IF(V693="","",IF(V693&lt;12,"Months","Weeks"))</f>
        <v/>
      </c>
      <c r="AC693" s="5">
        <f>IF(AB693="","",IF(AB693="Months","Daily","Weekly"))</f>
        <v/>
      </c>
      <c r="AD693" s="17">
        <f>IF(V693="","",IF(AC693="Daily",V693*Controls!$B$13,V693))</f>
        <v/>
      </c>
      <c r="AE693" s="17">
        <f>IF(V693="","",IF(AC693="Daily",V693*Controls!$B$13,V693*Controls!$B$12))</f>
        <v/>
      </c>
      <c r="AF693" s="17">
        <f>IF(OR(E693="",F693=""),"",F693-E693)</f>
        <v/>
      </c>
      <c r="AG693" s="17">
        <f>IF(OR(E693="",F693=""),"",NETWORKDAYS(E693,F693,Ref!$F$4:$F$47))</f>
        <v/>
      </c>
      <c r="AH693" s="39">
        <f>IF(IFERROR(VLOOKUP(D693,Controls!$A$25:$D$35,2,FALSE()),"No")="Yes",1,0)</f>
        <v/>
      </c>
      <c r="AI693" s="39">
        <f>IF(IFERROR(VLOOKUP(D693,Controls!$A$25:$D$35,3,FALSE()),"No")="Yes",1,0)</f>
        <v/>
      </c>
      <c r="AJ693" s="39">
        <f>IF(IFERROR(VLOOKUP(D693,Controls!$A$25:$D$35,4,FALSE()),"No")="Yes",1,0)</f>
        <v/>
      </c>
      <c r="AK693" s="96">
        <f>IF(AND($E693&gt;=Controls!$B$5,$E693&lt;=Controls!$B$6,OR(Controls!$E$9&lt;&gt;"Y",$BE693=1)),1,0)</f>
        <v/>
      </c>
      <c r="AL693" s="39">
        <f>1</f>
        <v/>
      </c>
      <c r="AM693" s="20">
        <f>S693-P693</f>
        <v/>
      </c>
      <c r="AN693" s="20">
        <f>IF(AH693=1,MAX(0,P693-S693),0)</f>
        <v/>
      </c>
      <c r="AO693" s="21">
        <f>IFERROR(S693/P693,"")</f>
        <v/>
      </c>
      <c r="AP693" s="22">
        <f>IF(Y693="","",P693/Y693)</f>
        <v/>
      </c>
      <c r="AQ693" s="39">
        <f>IF(Y693="",0,1)</f>
        <v/>
      </c>
      <c r="AR693" s="39">
        <f>IF(S693&lt;=0,1,0)</f>
        <v/>
      </c>
      <c r="AS693" s="17">
        <f>IF(AH693=1,AG693,"")</f>
        <v/>
      </c>
      <c r="AT693" s="17">
        <f>IF(AND(AH693=0,AJ693=1),AG693,"")</f>
        <v/>
      </c>
      <c r="AU693" s="5">
        <f>IF(P693&lt;10000,"Under $10K",IF(P693&lt;20000,"$10-20K",IF(P693&lt;30000,"$20-30K",IF(P693&lt;50000,"$30-50K",IF(P693&lt;100000,"$50-100K","$100K+")))))</f>
        <v/>
      </c>
      <c r="AV693" s="5">
        <f>IF(O693&lt;=1.35,"1.35 and under",IF(O693&lt;=1.42,"1.36-1.42",IF(O693&lt;=1.45,"1.43-1.45",IF(O693&lt;1.49,"1.46-1.48",IF(O693&lt;=1.49,"1.49","Above 1.49")))))</f>
        <v/>
      </c>
      <c r="AW693" s="5">
        <f>IF(AE693="","",IF(AE693&lt;60,"Under 60",IF(AE693&lt;90,"60-89",IF(AE693&lt;120,"90-119",IF(AE693&lt;150,"120-149","150+")))))</f>
        <v/>
      </c>
      <c r="AX693" s="5">
        <f>IF(AP693="","No revenue data",IF(AP693&lt;0.15,"Under 0.15x",IF(AP693&lt;0.3,"0.15-0.30x",IF(AP693&lt;0.5,"0.30-0.50x",IF(AP693&lt;1,"0.50-1.00x","1.00x+")))))</f>
        <v/>
      </c>
      <c r="AY693" s="5">
        <f>IF(J693="","No SIC",IFERROR(VLOOKUP(J693,Ref!$A$4:$C$67,2,FALSE()),"Unclassified"))</f>
        <v/>
      </c>
      <c r="AZ693" s="5">
        <f>IF(E693="","",TEXT(E693,"YYYY")&amp;"-Q"&amp;ROUNDUP(MONTH(E693)/3,0))</f>
        <v/>
      </c>
      <c r="BA693" s="5">
        <f>IF(E693="","",TEXT(E693,"YYYY-MM"))</f>
        <v/>
      </c>
      <c r="BB693" s="5">
        <f>IF(E693="","",TEXT(E693,"YYYY"))</f>
        <v/>
      </c>
      <c r="BC693" s="92">
        <f>IF($E693="","",NETWORKDAYS($E693,Controls!$B$9,Ref!$F$4:$F$47))</f>
        <v/>
      </c>
      <c r="BD693" s="92">
        <f>IF(OR($AH693=1,$AJ693=1),1,0)</f>
        <v/>
      </c>
      <c r="BE693" s="95">
        <f>IF(OR($BD693=1,AND($AE693&lt;&gt;"",$BC693&gt;=Controls!$B$10*$AE693)),1,0)</f>
        <v/>
      </c>
    </row>
    <row r="694" ht="15.75" customHeight="1" s="79">
      <c r="A694" s="5" t="inlineStr">
        <is>
          <t>5674179865</t>
        </is>
      </c>
      <c r="B694" s="5" t="inlineStr">
        <is>
          <t>ORANGE TRANSPORTATION DBA ZIA M SHEIKH  SOLE MBR</t>
        </is>
      </c>
      <c r="C694" s="5" t="inlineStr">
        <is>
          <t>ORANGE TRANSPORTATION LLC</t>
        </is>
      </c>
      <c r="D694" s="5" t="inlineStr">
        <is>
          <t>Open</t>
        </is>
      </c>
      <c r="E694" s="16" t="n">
        <v>46091</v>
      </c>
      <c r="F694" s="16" t="n">
        <v>46247</v>
      </c>
      <c r="G694" s="17" t="n">
        <v>4</v>
      </c>
      <c r="H694" s="5" t="inlineStr">
        <is>
          <t>9661</t>
        </is>
      </c>
      <c r="I694" s="5" t="inlineStr">
        <is>
          <t>Space Research and Technology</t>
        </is>
      </c>
      <c r="J694" s="5" t="inlineStr">
        <is>
          <t>96</t>
        </is>
      </c>
      <c r="K694" s="5" t="n">
        <v>9399</v>
      </c>
      <c r="L694" s="5" t="inlineStr">
        <is>
          <t>TX</t>
        </is>
      </c>
      <c r="M694" s="5" t="inlineStr">
        <is>
          <t>United Secured Capital 8</t>
        </is>
      </c>
      <c r="N694" s="5" t="inlineStr">
        <is>
          <t>New Deal</t>
        </is>
      </c>
      <c r="O694" s="19" t="n">
        <v>1.45</v>
      </c>
      <c r="P694" s="20" t="n">
        <v>72000</v>
      </c>
      <c r="Q694" s="20" t="n">
        <v>8640</v>
      </c>
      <c r="R694" s="20" t="n">
        <v>104400</v>
      </c>
      <c r="S694" s="20" t="n">
        <v>88931.34</v>
      </c>
      <c r="T694" s="20" t="n">
        <v>15468.66</v>
      </c>
      <c r="U694" s="21" t="n">
        <v>0.85183275862069</v>
      </c>
      <c r="V694" s="22" t="n">
        <v>27</v>
      </c>
      <c r="W694" s="17" t="n">
        <v>6</v>
      </c>
      <c r="X694" s="17" t="n">
        <v>0</v>
      </c>
      <c r="Y694" s="20" t="n">
        <v>276183.97</v>
      </c>
      <c r="Z694" s="21" t="n">
        <v>0.056</v>
      </c>
      <c r="AA694" s="16" t="n">
        <v>44566</v>
      </c>
      <c r="AB694" s="5">
        <f>IF(V694="","",IF(V694&lt;12,"Months","Weeks"))</f>
        <v/>
      </c>
      <c r="AC694" s="5">
        <f>IF(AB694="","",IF(AB694="Months","Daily","Weekly"))</f>
        <v/>
      </c>
      <c r="AD694" s="17">
        <f>IF(V694="","",IF(AC694="Daily",V694*Controls!$B$13,V694))</f>
        <v/>
      </c>
      <c r="AE694" s="17">
        <f>IF(V694="","",IF(AC694="Daily",V694*Controls!$B$13,V694*Controls!$B$12))</f>
        <v/>
      </c>
      <c r="AF694" s="17">
        <f>IF(OR(E694="",F694=""),"",F694-E694)</f>
        <v/>
      </c>
      <c r="AG694" s="17">
        <f>IF(OR(E694="",F694=""),"",NETWORKDAYS(E694,F694,Ref!$F$4:$F$47))</f>
        <v/>
      </c>
      <c r="AH694" s="39">
        <f>IF(IFERROR(VLOOKUP(D694,Controls!$A$25:$D$35,2,FALSE()),"No")="Yes",1,0)</f>
        <v/>
      </c>
      <c r="AI694" s="39">
        <f>IF(IFERROR(VLOOKUP(D694,Controls!$A$25:$D$35,3,FALSE()),"No")="Yes",1,0)</f>
        <v/>
      </c>
      <c r="AJ694" s="39">
        <f>IF(IFERROR(VLOOKUP(D694,Controls!$A$25:$D$35,4,FALSE()),"No")="Yes",1,0)</f>
        <v/>
      </c>
      <c r="AK694" s="96">
        <f>IF(AND($E694&gt;=Controls!$B$5,$E694&lt;=Controls!$B$6,OR(Controls!$E$9&lt;&gt;"Y",$BE694=1)),1,0)</f>
        <v/>
      </c>
      <c r="AL694" s="39">
        <f>1</f>
        <v/>
      </c>
      <c r="AM694" s="20">
        <f>S694-P694</f>
        <v/>
      </c>
      <c r="AN694" s="20">
        <f>IF(AH694=1,MAX(0,P694-S694),0)</f>
        <v/>
      </c>
      <c r="AO694" s="21">
        <f>IFERROR(S694/P694,"")</f>
        <v/>
      </c>
      <c r="AP694" s="22">
        <f>IF(Y694="","",P694/Y694)</f>
        <v/>
      </c>
      <c r="AQ694" s="39">
        <f>IF(Y694="",0,1)</f>
        <v/>
      </c>
      <c r="AR694" s="39">
        <f>IF(S694&lt;=0,1,0)</f>
        <v/>
      </c>
      <c r="AS694" s="17">
        <f>IF(AH694=1,AG694,"")</f>
        <v/>
      </c>
      <c r="AT694" s="17">
        <f>IF(AND(AH694=0,AJ694=1),AG694,"")</f>
        <v/>
      </c>
      <c r="AU694" s="5">
        <f>IF(P694&lt;10000,"Under $10K",IF(P694&lt;20000,"$10-20K",IF(P694&lt;30000,"$20-30K",IF(P694&lt;50000,"$30-50K",IF(P694&lt;100000,"$50-100K","$100K+")))))</f>
        <v/>
      </c>
      <c r="AV694" s="5">
        <f>IF(O694&lt;=1.35,"1.35 and under",IF(O694&lt;=1.42,"1.36-1.42",IF(O694&lt;=1.45,"1.43-1.45",IF(O694&lt;1.49,"1.46-1.48",IF(O694&lt;=1.49,"1.49","Above 1.49")))))</f>
        <v/>
      </c>
      <c r="AW694" s="5">
        <f>IF(AE694="","",IF(AE694&lt;60,"Under 60",IF(AE694&lt;90,"60-89",IF(AE694&lt;120,"90-119",IF(AE694&lt;150,"120-149","150+")))))</f>
        <v/>
      </c>
      <c r="AX694" s="5">
        <f>IF(AP694="","No revenue data",IF(AP694&lt;0.15,"Under 0.15x",IF(AP694&lt;0.3,"0.15-0.30x",IF(AP694&lt;0.5,"0.30-0.50x",IF(AP694&lt;1,"0.50-1.00x","1.00x+")))))</f>
        <v/>
      </c>
      <c r="AY694" s="5">
        <f>IF(J694="","No SIC",IFERROR(VLOOKUP(J694,Ref!$A$4:$C$67,2,FALSE()),"Unclassified"))</f>
        <v/>
      </c>
      <c r="AZ694" s="5">
        <f>IF(E694="","",TEXT(E694,"YYYY")&amp;"-Q"&amp;ROUNDUP(MONTH(E694)/3,0))</f>
        <v/>
      </c>
      <c r="BA694" s="5">
        <f>IF(E694="","",TEXT(E694,"YYYY-MM"))</f>
        <v/>
      </c>
      <c r="BB694" s="5">
        <f>IF(E694="","",TEXT(E694,"YYYY"))</f>
        <v/>
      </c>
      <c r="BC694" s="92">
        <f>IF($E694="","",NETWORKDAYS($E694,Controls!$B$9,Ref!$F$4:$F$47))</f>
        <v/>
      </c>
      <c r="BD694" s="92">
        <f>IF(OR($AH694=1,$AJ694=1),1,0)</f>
        <v/>
      </c>
      <c r="BE694" s="95">
        <f>IF(OR($BD694=1,AND($AE694&lt;&gt;"",$BC694&gt;=Controls!$B$10*$AE694)),1,0)</f>
        <v/>
      </c>
    </row>
    <row r="695" ht="15.75" customHeight="1" s="79">
      <c r="A695" s="5" t="inlineStr">
        <is>
          <t>5674179905</t>
        </is>
      </c>
      <c r="B695" s="5" t="inlineStr">
        <is>
          <t>1Numerica Solutions JCSN Accounting Services</t>
        </is>
      </c>
      <c r="C695" s="5" t="inlineStr">
        <is>
          <t>JCSN Corp</t>
        </is>
      </c>
      <c r="D695" s="5" t="inlineStr">
        <is>
          <t>Closed</t>
        </is>
      </c>
      <c r="E695" s="16" t="n">
        <v>46091</v>
      </c>
      <c r="F695" s="16" t="n">
        <v>46216</v>
      </c>
      <c r="G695" s="17" t="n">
        <v>3</v>
      </c>
      <c r="H695" s="5" t="inlineStr">
        <is>
          <t>8721</t>
        </is>
      </c>
      <c r="I695" s="5" t="inlineStr">
        <is>
          <t>Other Accounting Services</t>
        </is>
      </c>
      <c r="J695" s="5" t="inlineStr">
        <is>
          <t>87</t>
        </is>
      </c>
      <c r="K695" s="5" t="n">
        <v>8931</v>
      </c>
      <c r="L695" s="5" t="inlineStr">
        <is>
          <t>CA</t>
        </is>
      </c>
      <c r="M695" s="5" t="inlineStr">
        <is>
          <t>The Funding Family</t>
        </is>
      </c>
      <c r="N695" s="5" t="inlineStr">
        <is>
          <t>New Deal</t>
        </is>
      </c>
      <c r="O695" s="19" t="n">
        <v>1.49</v>
      </c>
      <c r="P695" s="20" t="n">
        <v>26000</v>
      </c>
      <c r="Q695" s="20" t="n">
        <v>3640</v>
      </c>
      <c r="R695" s="20" t="n">
        <v>38740</v>
      </c>
      <c r="S695" s="20" t="n">
        <v>38740</v>
      </c>
      <c r="T695" s="20" t="n">
        <v>0</v>
      </c>
      <c r="U695" s="21" t="n">
        <v>1</v>
      </c>
      <c r="V695" s="22" t="n">
        <v>30</v>
      </c>
      <c r="W695" s="17" t="n">
        <v>37</v>
      </c>
      <c r="X695" s="17" t="n">
        <v>1</v>
      </c>
      <c r="Y695" s="20" t="n">
        <v>227249.49</v>
      </c>
      <c r="Z695" s="21" t="n">
        <v>0.0227</v>
      </c>
      <c r="AA695" s="16" t="n">
        <v>44410</v>
      </c>
      <c r="AB695" s="5">
        <f>IF(V695="","",IF(V695&lt;12,"Months","Weeks"))</f>
        <v/>
      </c>
      <c r="AC695" s="5">
        <f>IF(AB695="","",IF(AB695="Months","Daily","Weekly"))</f>
        <v/>
      </c>
      <c r="AD695" s="17">
        <f>IF(V695="","",IF(AC695="Daily",V695*Controls!$B$13,V695))</f>
        <v/>
      </c>
      <c r="AE695" s="17">
        <f>IF(V695="","",IF(AC695="Daily",V695*Controls!$B$13,V695*Controls!$B$12))</f>
        <v/>
      </c>
      <c r="AF695" s="17">
        <f>IF(OR(E695="",F695=""),"",F695-E695)</f>
        <v/>
      </c>
      <c r="AG695" s="17">
        <f>IF(OR(E695="",F695=""),"",NETWORKDAYS(E695,F695,Ref!$F$4:$F$47))</f>
        <v/>
      </c>
      <c r="AH695" s="39">
        <f>IF(IFERROR(VLOOKUP(D695,Controls!$A$25:$D$35,2,FALSE()),"No")="Yes",1,0)</f>
        <v/>
      </c>
      <c r="AI695" s="39">
        <f>IF(IFERROR(VLOOKUP(D695,Controls!$A$25:$D$35,3,FALSE()),"No")="Yes",1,0)</f>
        <v/>
      </c>
      <c r="AJ695" s="39">
        <f>IF(IFERROR(VLOOKUP(D695,Controls!$A$25:$D$35,4,FALSE()),"No")="Yes",1,0)</f>
        <v/>
      </c>
      <c r="AK695" s="96">
        <f>IF(AND($E695&gt;=Controls!$B$5,$E695&lt;=Controls!$B$6,OR(Controls!$E$9&lt;&gt;"Y",$BE695=1)),1,0)</f>
        <v/>
      </c>
      <c r="AL695" s="39">
        <f>1</f>
        <v/>
      </c>
      <c r="AM695" s="20">
        <f>S695-P695</f>
        <v/>
      </c>
      <c r="AN695" s="20">
        <f>IF(AH695=1,MAX(0,P695-S695),0)</f>
        <v/>
      </c>
      <c r="AO695" s="21">
        <f>IFERROR(S695/P695,"")</f>
        <v/>
      </c>
      <c r="AP695" s="22">
        <f>IF(Y695="","",P695/Y695)</f>
        <v/>
      </c>
      <c r="AQ695" s="39">
        <f>IF(Y695="",0,1)</f>
        <v/>
      </c>
      <c r="AR695" s="39">
        <f>IF(S695&lt;=0,1,0)</f>
        <v/>
      </c>
      <c r="AS695" s="17">
        <f>IF(AH695=1,AG695,"")</f>
        <v/>
      </c>
      <c r="AT695" s="17">
        <f>IF(AND(AH695=0,AJ695=1),AG695,"")</f>
        <v/>
      </c>
      <c r="AU695" s="5">
        <f>IF(P695&lt;10000,"Under $10K",IF(P695&lt;20000,"$10-20K",IF(P695&lt;30000,"$20-30K",IF(P695&lt;50000,"$30-50K",IF(P695&lt;100000,"$50-100K","$100K+")))))</f>
        <v/>
      </c>
      <c r="AV695" s="5">
        <f>IF(O695&lt;=1.35,"1.35 and under",IF(O695&lt;=1.42,"1.36-1.42",IF(O695&lt;=1.45,"1.43-1.45",IF(O695&lt;1.49,"1.46-1.48",IF(O695&lt;=1.49,"1.49","Above 1.49")))))</f>
        <v/>
      </c>
      <c r="AW695" s="5">
        <f>IF(AE695="","",IF(AE695&lt;60,"Under 60",IF(AE695&lt;90,"60-89",IF(AE695&lt;120,"90-119",IF(AE695&lt;150,"120-149","150+")))))</f>
        <v/>
      </c>
      <c r="AX695" s="5">
        <f>IF(AP695="","No revenue data",IF(AP695&lt;0.15,"Under 0.15x",IF(AP695&lt;0.3,"0.15-0.30x",IF(AP695&lt;0.5,"0.30-0.50x",IF(AP695&lt;1,"0.50-1.00x","1.00x+")))))</f>
        <v/>
      </c>
      <c r="AY695" s="5">
        <f>IF(J695="","No SIC",IFERROR(VLOOKUP(J695,Ref!$A$4:$C$67,2,FALSE()),"Unclassified"))</f>
        <v/>
      </c>
      <c r="AZ695" s="5">
        <f>IF(E695="","",TEXT(E695,"YYYY")&amp;"-Q"&amp;ROUNDUP(MONTH(E695)/3,0))</f>
        <v/>
      </c>
      <c r="BA695" s="5">
        <f>IF(E695="","",TEXT(E695,"YYYY-MM"))</f>
        <v/>
      </c>
      <c r="BB695" s="5">
        <f>IF(E695="","",TEXT(E695,"YYYY"))</f>
        <v/>
      </c>
      <c r="BC695" s="92">
        <f>IF($E695="","",NETWORKDAYS($E695,Controls!$B$9,Ref!$F$4:$F$47))</f>
        <v/>
      </c>
      <c r="BD695" s="92">
        <f>IF(OR($AH695=1,$AJ695=1),1,0)</f>
        <v/>
      </c>
      <c r="BE695" s="95">
        <f>IF(OR($BD695=1,AND($AE695&lt;&gt;"",$BC695&gt;=Controls!$B$10*$AE695)),1,0)</f>
        <v/>
      </c>
    </row>
    <row r="696" ht="15.75" customHeight="1" s="79">
      <c r="A696" s="5" t="inlineStr">
        <is>
          <t>5674179921</t>
        </is>
      </c>
      <c r="B696" s="5" t="inlineStr">
        <is>
          <t>Focus Freight Llc</t>
        </is>
      </c>
      <c r="C696" s="5" t="inlineStr">
        <is>
          <t>Focus Freight Llc</t>
        </is>
      </c>
      <c r="D696" s="5" t="inlineStr">
        <is>
          <t>Legal</t>
        </is>
      </c>
      <c r="E696" s="16" t="n">
        <v>46091</v>
      </c>
      <c r="F696" s="16" t="n">
        <v>46234</v>
      </c>
      <c r="G696" s="17" t="n">
        <v>3</v>
      </c>
      <c r="H696" s="5" t="inlineStr">
        <is>
          <t>4212</t>
        </is>
      </c>
      <c r="I696" s="5" t="inlineStr">
        <is>
          <t>Specialized Freight (Except Used Goods) Trucking, Local</t>
        </is>
      </c>
      <c r="J696" s="5" t="inlineStr">
        <is>
          <t>42</t>
        </is>
      </c>
      <c r="K696" s="5" t="n">
        <v>4214</v>
      </c>
      <c r="L696" s="5" t="inlineStr">
        <is>
          <t>TN</t>
        </is>
      </c>
      <c r="M696" s="5" t="inlineStr">
        <is>
          <t>upcrunch</t>
        </is>
      </c>
      <c r="N696" s="5" t="inlineStr">
        <is>
          <t>New Deal</t>
        </is>
      </c>
      <c r="O696" s="19" t="n">
        <v>1.49</v>
      </c>
      <c r="P696" s="20" t="n">
        <v>5000</v>
      </c>
      <c r="Q696" s="20" t="n">
        <v>700</v>
      </c>
      <c r="R696" s="20" t="n">
        <v>7450</v>
      </c>
      <c r="S696" s="20" t="n">
        <v>5002.01</v>
      </c>
      <c r="T696" s="20" t="n">
        <v>2447.99</v>
      </c>
      <c r="U696" s="21" t="n">
        <v>0.6714107382550339</v>
      </c>
      <c r="V696" s="22" t="n">
        <v>1.967</v>
      </c>
      <c r="W696" s="17" t="n">
        <v>19</v>
      </c>
      <c r="X696" s="17" t="n">
        <v>21</v>
      </c>
      <c r="Y696" s="20" t="n">
        <v>63343.36</v>
      </c>
      <c r="Z696" s="21" t="n">
        <v>0.0412</v>
      </c>
      <c r="AA696" s="16" t="n">
        <v>44039</v>
      </c>
      <c r="AB696" s="5">
        <f>IF(V696="","",IF(V696&lt;12,"Months","Weeks"))</f>
        <v/>
      </c>
      <c r="AC696" s="5">
        <f>IF(AB696="","",IF(AB696="Months","Daily","Weekly"))</f>
        <v/>
      </c>
      <c r="AD696" s="17">
        <f>IF(V696="","",IF(AC696="Daily",V696*Controls!$B$13,V696))</f>
        <v/>
      </c>
      <c r="AE696" s="17">
        <f>IF(V696="","",IF(AC696="Daily",V696*Controls!$B$13,V696*Controls!$B$12))</f>
        <v/>
      </c>
      <c r="AF696" s="17">
        <f>IF(OR(E696="",F696=""),"",F696-E696)</f>
        <v/>
      </c>
      <c r="AG696" s="17">
        <f>IF(OR(E696="",F696=""),"",NETWORKDAYS(E696,F696,Ref!$F$4:$F$47))</f>
        <v/>
      </c>
      <c r="AH696" s="39">
        <f>IF(IFERROR(VLOOKUP(D696,Controls!$A$25:$D$35,2,FALSE()),"No")="Yes",1,0)</f>
        <v/>
      </c>
      <c r="AI696" s="39">
        <f>IF(IFERROR(VLOOKUP(D696,Controls!$A$25:$D$35,3,FALSE()),"No")="Yes",1,0)</f>
        <v/>
      </c>
      <c r="AJ696" s="39">
        <f>IF(IFERROR(VLOOKUP(D696,Controls!$A$25:$D$35,4,FALSE()),"No")="Yes",1,0)</f>
        <v/>
      </c>
      <c r="AK696" s="96">
        <f>IF(AND($E696&gt;=Controls!$B$5,$E696&lt;=Controls!$B$6,OR(Controls!$E$9&lt;&gt;"Y",$BE696=1)),1,0)</f>
        <v/>
      </c>
      <c r="AL696" s="39">
        <f>1</f>
        <v/>
      </c>
      <c r="AM696" s="20">
        <f>S696-P696</f>
        <v/>
      </c>
      <c r="AN696" s="20">
        <f>IF(AH696=1,MAX(0,P696-S696),0)</f>
        <v/>
      </c>
      <c r="AO696" s="21">
        <f>IFERROR(S696/P696,"")</f>
        <v/>
      </c>
      <c r="AP696" s="22">
        <f>IF(Y696="","",P696/Y696)</f>
        <v/>
      </c>
      <c r="AQ696" s="39">
        <f>IF(Y696="",0,1)</f>
        <v/>
      </c>
      <c r="AR696" s="39">
        <f>IF(S696&lt;=0,1,0)</f>
        <v/>
      </c>
      <c r="AS696" s="17">
        <f>IF(AH696=1,AG696,"")</f>
        <v/>
      </c>
      <c r="AT696" s="17">
        <f>IF(AND(AH696=0,AJ696=1),AG696,"")</f>
        <v/>
      </c>
      <c r="AU696" s="5">
        <f>IF(P696&lt;10000,"Under $10K",IF(P696&lt;20000,"$10-20K",IF(P696&lt;30000,"$20-30K",IF(P696&lt;50000,"$30-50K",IF(P696&lt;100000,"$50-100K","$100K+")))))</f>
        <v/>
      </c>
      <c r="AV696" s="5">
        <f>IF(O696&lt;=1.35,"1.35 and under",IF(O696&lt;=1.42,"1.36-1.42",IF(O696&lt;=1.45,"1.43-1.45",IF(O696&lt;1.49,"1.46-1.48",IF(O696&lt;=1.49,"1.49","Above 1.49")))))</f>
        <v/>
      </c>
      <c r="AW696" s="5">
        <f>IF(AE696="","",IF(AE696&lt;60,"Under 60",IF(AE696&lt;90,"60-89",IF(AE696&lt;120,"90-119",IF(AE696&lt;150,"120-149","150+")))))</f>
        <v/>
      </c>
      <c r="AX696" s="5">
        <f>IF(AP696="","No revenue data",IF(AP696&lt;0.15,"Under 0.15x",IF(AP696&lt;0.3,"0.15-0.30x",IF(AP696&lt;0.5,"0.30-0.50x",IF(AP696&lt;1,"0.50-1.00x","1.00x+")))))</f>
        <v/>
      </c>
      <c r="AY696" s="5">
        <f>IF(J696="","No SIC",IFERROR(VLOOKUP(J696,Ref!$A$4:$C$67,2,FALSE()),"Unclassified"))</f>
        <v/>
      </c>
      <c r="AZ696" s="5">
        <f>IF(E696="","",TEXT(E696,"YYYY")&amp;"-Q"&amp;ROUNDUP(MONTH(E696)/3,0))</f>
        <v/>
      </c>
      <c r="BA696" s="5">
        <f>IF(E696="","",TEXT(E696,"YYYY-MM"))</f>
        <v/>
      </c>
      <c r="BB696" s="5">
        <f>IF(E696="","",TEXT(E696,"YYYY"))</f>
        <v/>
      </c>
      <c r="BC696" s="92">
        <f>IF($E696="","",NETWORKDAYS($E696,Controls!$B$9,Ref!$F$4:$F$47))</f>
        <v/>
      </c>
      <c r="BD696" s="92">
        <f>IF(OR($AH696=1,$AJ696=1),1,0)</f>
        <v/>
      </c>
      <c r="BE696" s="95">
        <f>IF(OR($BD696=1,AND($AE696&lt;&gt;"",$BC696&gt;=Controls!$B$10*$AE696)),1,0)</f>
        <v/>
      </c>
    </row>
    <row r="697" ht="15.75" customHeight="1" s="79">
      <c r="A697" s="5" t="inlineStr">
        <is>
          <t>5674179923</t>
        </is>
      </c>
      <c r="B697" s="5" t="inlineStr">
        <is>
          <t>Wood's Landscape Services Inc</t>
        </is>
      </c>
      <c r="C697" s="5" t="inlineStr">
        <is>
          <t>Barlwood Enterprises, LLC</t>
        </is>
      </c>
      <c r="D697" s="5" t="inlineStr">
        <is>
          <t>Closed</t>
        </is>
      </c>
      <c r="E697" s="16" t="n">
        <v>46091</v>
      </c>
      <c r="F697" s="16" t="n">
        <v>46175</v>
      </c>
      <c r="G697" s="17" t="n">
        <v>3</v>
      </c>
      <c r="H697" s="5" t="inlineStr">
        <is>
          <t>0781</t>
        </is>
      </c>
      <c r="I697" s="5" t="inlineStr">
        <is>
          <t>Landscape Architectural Services</t>
        </is>
      </c>
      <c r="J697" s="5" t="inlineStr">
        <is>
          <t>07</t>
        </is>
      </c>
      <c r="K697" s="5" t="n">
        <v>780</v>
      </c>
      <c r="L697" s="5" t="inlineStr">
        <is>
          <t>TX</t>
        </is>
      </c>
      <c r="M697" s="5" t="inlineStr">
        <is>
          <t>True Eagle Capital</t>
        </is>
      </c>
      <c r="N697" s="5" t="inlineStr">
        <is>
          <t>New Deal</t>
        </is>
      </c>
      <c r="O697" s="19" t="n">
        <v>1.49</v>
      </c>
      <c r="P697" s="20" t="n">
        <v>20000</v>
      </c>
      <c r="Q697" s="20" t="n">
        <v>2800</v>
      </c>
      <c r="R697" s="20" t="n">
        <v>29800</v>
      </c>
      <c r="S697" s="20" t="n">
        <v>29800</v>
      </c>
      <c r="T697" s="20" t="n">
        <v>0</v>
      </c>
      <c r="U697" s="21" t="n">
        <v>1</v>
      </c>
      <c r="V697" s="22" t="n">
        <v>2.951</v>
      </c>
      <c r="W697" s="17" t="n">
        <v>78</v>
      </c>
      <c r="X697" s="17" t="n">
        <v>3</v>
      </c>
      <c r="Y697" s="20" t="n">
        <v>57633.25</v>
      </c>
      <c r="Z697" s="21" t="n">
        <v>0.1206</v>
      </c>
      <c r="AA697" s="16" t="n">
        <v>30376</v>
      </c>
      <c r="AB697" s="5">
        <f>IF(V697="","",IF(V697&lt;12,"Months","Weeks"))</f>
        <v/>
      </c>
      <c r="AC697" s="5">
        <f>IF(AB697="","",IF(AB697="Months","Daily","Weekly"))</f>
        <v/>
      </c>
      <c r="AD697" s="17">
        <f>IF(V697="","",IF(AC697="Daily",V697*Controls!$B$13,V697))</f>
        <v/>
      </c>
      <c r="AE697" s="17">
        <f>IF(V697="","",IF(AC697="Daily",V697*Controls!$B$13,V697*Controls!$B$12))</f>
        <v/>
      </c>
      <c r="AF697" s="17">
        <f>IF(OR(E697="",F697=""),"",F697-E697)</f>
        <v/>
      </c>
      <c r="AG697" s="17">
        <f>IF(OR(E697="",F697=""),"",NETWORKDAYS(E697,F697,Ref!$F$4:$F$47))</f>
        <v/>
      </c>
      <c r="AH697" s="39">
        <f>IF(IFERROR(VLOOKUP(D697,Controls!$A$25:$D$35,2,FALSE()),"No")="Yes",1,0)</f>
        <v/>
      </c>
      <c r="AI697" s="39">
        <f>IF(IFERROR(VLOOKUP(D697,Controls!$A$25:$D$35,3,FALSE()),"No")="Yes",1,0)</f>
        <v/>
      </c>
      <c r="AJ697" s="39">
        <f>IF(IFERROR(VLOOKUP(D697,Controls!$A$25:$D$35,4,FALSE()),"No")="Yes",1,0)</f>
        <v/>
      </c>
      <c r="AK697" s="96">
        <f>IF(AND($E697&gt;=Controls!$B$5,$E697&lt;=Controls!$B$6,OR(Controls!$E$9&lt;&gt;"Y",$BE697=1)),1,0)</f>
        <v/>
      </c>
      <c r="AL697" s="39">
        <f>1</f>
        <v/>
      </c>
      <c r="AM697" s="20">
        <f>S697-P697</f>
        <v/>
      </c>
      <c r="AN697" s="20">
        <f>IF(AH697=1,MAX(0,P697-S697),0)</f>
        <v/>
      </c>
      <c r="AO697" s="21">
        <f>IFERROR(S697/P697,"")</f>
        <v/>
      </c>
      <c r="AP697" s="22">
        <f>IF(Y697="","",P697/Y697)</f>
        <v/>
      </c>
      <c r="AQ697" s="39">
        <f>IF(Y697="",0,1)</f>
        <v/>
      </c>
      <c r="AR697" s="39">
        <f>IF(S697&lt;=0,1,0)</f>
        <v/>
      </c>
      <c r="AS697" s="17">
        <f>IF(AH697=1,AG697,"")</f>
        <v/>
      </c>
      <c r="AT697" s="17">
        <f>IF(AND(AH697=0,AJ697=1),AG697,"")</f>
        <v/>
      </c>
      <c r="AU697" s="5">
        <f>IF(P697&lt;10000,"Under $10K",IF(P697&lt;20000,"$10-20K",IF(P697&lt;30000,"$20-30K",IF(P697&lt;50000,"$30-50K",IF(P697&lt;100000,"$50-100K","$100K+")))))</f>
        <v/>
      </c>
      <c r="AV697" s="5">
        <f>IF(O697&lt;=1.35,"1.35 and under",IF(O697&lt;=1.42,"1.36-1.42",IF(O697&lt;=1.45,"1.43-1.45",IF(O697&lt;1.49,"1.46-1.48",IF(O697&lt;=1.49,"1.49","Above 1.49")))))</f>
        <v/>
      </c>
      <c r="AW697" s="5">
        <f>IF(AE697="","",IF(AE697&lt;60,"Under 60",IF(AE697&lt;90,"60-89",IF(AE697&lt;120,"90-119",IF(AE697&lt;150,"120-149","150+")))))</f>
        <v/>
      </c>
      <c r="AX697" s="5">
        <f>IF(AP697="","No revenue data",IF(AP697&lt;0.15,"Under 0.15x",IF(AP697&lt;0.3,"0.15-0.30x",IF(AP697&lt;0.5,"0.30-0.50x",IF(AP697&lt;1,"0.50-1.00x","1.00x+")))))</f>
        <v/>
      </c>
      <c r="AY697" s="5">
        <f>IF(J697="","No SIC",IFERROR(VLOOKUP(J697,Ref!$A$4:$C$67,2,FALSE()),"Unclassified"))</f>
        <v/>
      </c>
      <c r="AZ697" s="5">
        <f>IF(E697="","",TEXT(E697,"YYYY")&amp;"-Q"&amp;ROUNDUP(MONTH(E697)/3,0))</f>
        <v/>
      </c>
      <c r="BA697" s="5">
        <f>IF(E697="","",TEXT(E697,"YYYY-MM"))</f>
        <v/>
      </c>
      <c r="BB697" s="5">
        <f>IF(E697="","",TEXT(E697,"YYYY"))</f>
        <v/>
      </c>
      <c r="BC697" s="92">
        <f>IF($E697="","",NETWORKDAYS($E697,Controls!$B$9,Ref!$F$4:$F$47))</f>
        <v/>
      </c>
      <c r="BD697" s="92">
        <f>IF(OR($AH697=1,$AJ697=1),1,0)</f>
        <v/>
      </c>
      <c r="BE697" s="95">
        <f>IF(OR($BD697=1,AND($AE697&lt;&gt;"",$BC697&gt;=Controls!$B$10*$AE697)),1,0)</f>
        <v/>
      </c>
    </row>
    <row r="698" ht="15.75" customHeight="1" s="79">
      <c r="A698" s="5" t="inlineStr">
        <is>
          <t>5674179949</t>
        </is>
      </c>
      <c r="B698" s="5" t="inlineStr">
        <is>
          <t>JJ MUTTS W&amp;S</t>
        </is>
      </c>
      <c r="C698" s="5" t="inlineStr">
        <is>
          <t>DMV</t>
        </is>
      </c>
      <c r="D698" s="5" t="inlineStr">
        <is>
          <t>Closed</t>
        </is>
      </c>
      <c r="E698" s="16" t="n">
        <v>46092</v>
      </c>
      <c r="F698" s="16" t="n">
        <v>46168</v>
      </c>
      <c r="G698" s="17" t="n">
        <v>3</v>
      </c>
      <c r="H698" s="5" t="inlineStr">
        <is>
          <t>5999</t>
        </is>
      </c>
      <c r="I698" s="5" t="inlineStr">
        <is>
          <t>All Other Misc. Store Retailers (Except Tobacco Stores)</t>
        </is>
      </c>
      <c r="J698" s="5" t="inlineStr">
        <is>
          <t>59</t>
        </is>
      </c>
      <c r="K698" s="5" t="n">
        <v>5999</v>
      </c>
      <c r="L698" s="5" t="inlineStr">
        <is>
          <t>MD</t>
        </is>
      </c>
      <c r="M698" s="5" t="inlineStr">
        <is>
          <t>Mills  funding group</t>
        </is>
      </c>
      <c r="N698" s="5" t="inlineStr">
        <is>
          <t>New Deal</t>
        </is>
      </c>
      <c r="O698" s="19" t="n">
        <v>1.45</v>
      </c>
      <c r="P698" s="20" t="n">
        <v>25000</v>
      </c>
      <c r="Q698" s="20" t="n">
        <v>3000</v>
      </c>
      <c r="R698" s="20" t="n">
        <v>36250</v>
      </c>
      <c r="S698" s="20" t="n">
        <v>36250</v>
      </c>
      <c r="T698" s="20" t="n">
        <v>0</v>
      </c>
      <c r="U698" s="21" t="n">
        <v>1</v>
      </c>
      <c r="V698" s="22" t="n">
        <v>2.295</v>
      </c>
      <c r="W698" s="17" t="n">
        <v>85</v>
      </c>
      <c r="X698" s="17" t="n">
        <v>2</v>
      </c>
      <c r="Y698" s="20" t="n">
        <v>152565.23</v>
      </c>
      <c r="Z698" s="21" t="n">
        <v>0.0713</v>
      </c>
      <c r="AA698" s="16" t="n">
        <v>45108</v>
      </c>
      <c r="AB698" s="5">
        <f>IF(V698="","",IF(V698&lt;12,"Months","Weeks"))</f>
        <v/>
      </c>
      <c r="AC698" s="5">
        <f>IF(AB698="","",IF(AB698="Months","Daily","Weekly"))</f>
        <v/>
      </c>
      <c r="AD698" s="17">
        <f>IF(V698="","",IF(AC698="Daily",V698*Controls!$B$13,V698))</f>
        <v/>
      </c>
      <c r="AE698" s="17">
        <f>IF(V698="","",IF(AC698="Daily",V698*Controls!$B$13,V698*Controls!$B$12))</f>
        <v/>
      </c>
      <c r="AF698" s="17">
        <f>IF(OR(E698="",F698=""),"",F698-E698)</f>
        <v/>
      </c>
      <c r="AG698" s="17">
        <f>IF(OR(E698="",F698=""),"",NETWORKDAYS(E698,F698,Ref!$F$4:$F$47))</f>
        <v/>
      </c>
      <c r="AH698" s="39">
        <f>IF(IFERROR(VLOOKUP(D698,Controls!$A$25:$D$35,2,FALSE()),"No")="Yes",1,0)</f>
        <v/>
      </c>
      <c r="AI698" s="39">
        <f>IF(IFERROR(VLOOKUP(D698,Controls!$A$25:$D$35,3,FALSE()),"No")="Yes",1,0)</f>
        <v/>
      </c>
      <c r="AJ698" s="39">
        <f>IF(IFERROR(VLOOKUP(D698,Controls!$A$25:$D$35,4,FALSE()),"No")="Yes",1,0)</f>
        <v/>
      </c>
      <c r="AK698" s="96">
        <f>IF(AND($E698&gt;=Controls!$B$5,$E698&lt;=Controls!$B$6,OR(Controls!$E$9&lt;&gt;"Y",$BE698=1)),1,0)</f>
        <v/>
      </c>
      <c r="AL698" s="39">
        <f>1</f>
        <v/>
      </c>
      <c r="AM698" s="20">
        <f>S698-P698</f>
        <v/>
      </c>
      <c r="AN698" s="20">
        <f>IF(AH698=1,MAX(0,P698-S698),0)</f>
        <v/>
      </c>
      <c r="AO698" s="21">
        <f>IFERROR(S698/P698,"")</f>
        <v/>
      </c>
      <c r="AP698" s="22">
        <f>IF(Y698="","",P698/Y698)</f>
        <v/>
      </c>
      <c r="AQ698" s="39">
        <f>IF(Y698="",0,1)</f>
        <v/>
      </c>
      <c r="AR698" s="39">
        <f>IF(S698&lt;=0,1,0)</f>
        <v/>
      </c>
      <c r="AS698" s="17">
        <f>IF(AH698=1,AG698,"")</f>
        <v/>
      </c>
      <c r="AT698" s="17">
        <f>IF(AND(AH698=0,AJ698=1),AG698,"")</f>
        <v/>
      </c>
      <c r="AU698" s="5">
        <f>IF(P698&lt;10000,"Under $10K",IF(P698&lt;20000,"$10-20K",IF(P698&lt;30000,"$20-30K",IF(P698&lt;50000,"$30-50K",IF(P698&lt;100000,"$50-100K","$100K+")))))</f>
        <v/>
      </c>
      <c r="AV698" s="5">
        <f>IF(O698&lt;=1.35,"1.35 and under",IF(O698&lt;=1.42,"1.36-1.42",IF(O698&lt;=1.45,"1.43-1.45",IF(O698&lt;1.49,"1.46-1.48",IF(O698&lt;=1.49,"1.49","Above 1.49")))))</f>
        <v/>
      </c>
      <c r="AW698" s="5">
        <f>IF(AE698="","",IF(AE698&lt;60,"Under 60",IF(AE698&lt;90,"60-89",IF(AE698&lt;120,"90-119",IF(AE698&lt;150,"120-149","150+")))))</f>
        <v/>
      </c>
      <c r="AX698" s="5">
        <f>IF(AP698="","No revenue data",IF(AP698&lt;0.15,"Under 0.15x",IF(AP698&lt;0.3,"0.15-0.30x",IF(AP698&lt;0.5,"0.30-0.50x",IF(AP698&lt;1,"0.50-1.00x","1.00x+")))))</f>
        <v/>
      </c>
      <c r="AY698" s="5">
        <f>IF(J698="","No SIC",IFERROR(VLOOKUP(J698,Ref!$A$4:$C$67,2,FALSE()),"Unclassified"))</f>
        <v/>
      </c>
      <c r="AZ698" s="5">
        <f>IF(E698="","",TEXT(E698,"YYYY")&amp;"-Q"&amp;ROUNDUP(MONTH(E698)/3,0))</f>
        <v/>
      </c>
      <c r="BA698" s="5">
        <f>IF(E698="","",TEXT(E698,"YYYY-MM"))</f>
        <v/>
      </c>
      <c r="BB698" s="5">
        <f>IF(E698="","",TEXT(E698,"YYYY"))</f>
        <v/>
      </c>
      <c r="BC698" s="92">
        <f>IF($E698="","",NETWORKDAYS($E698,Controls!$B$9,Ref!$F$4:$F$47))</f>
        <v/>
      </c>
      <c r="BD698" s="92">
        <f>IF(OR($AH698=1,$AJ698=1),1,0)</f>
        <v/>
      </c>
      <c r="BE698" s="95">
        <f>IF(OR($BD698=1,AND($AE698&lt;&gt;"",$BC698&gt;=Controls!$B$10*$AE698)),1,0)</f>
        <v/>
      </c>
    </row>
    <row r="699" ht="15.75" customHeight="1" s="79">
      <c r="A699" s="5" t="inlineStr">
        <is>
          <t>5674179963</t>
        </is>
      </c>
      <c r="B699" s="5" t="inlineStr">
        <is>
          <t>kkc partners llc</t>
        </is>
      </c>
      <c r="C699" s="5" t="inlineStr">
        <is>
          <t>kkc partners llc</t>
        </is>
      </c>
      <c r="D699" s="5" t="inlineStr">
        <is>
          <t>Open</t>
        </is>
      </c>
      <c r="E699" s="16" t="n">
        <v>46092</v>
      </c>
      <c r="F699" s="16" t="n">
        <v>46253</v>
      </c>
      <c r="G699" s="17" t="n">
        <v>3</v>
      </c>
      <c r="H699" s="5" t="inlineStr">
        <is>
          <t>5999</t>
        </is>
      </c>
      <c r="I699" s="5" t="inlineStr">
        <is>
          <t>All Other Health and Personal Care Stores</t>
        </is>
      </c>
      <c r="J699" s="5" t="inlineStr">
        <is>
          <t>59</t>
        </is>
      </c>
      <c r="K699" s="5" t="n">
        <v>5999</v>
      </c>
      <c r="L699" s="5" t="inlineStr">
        <is>
          <t>GA</t>
        </is>
      </c>
      <c r="M699" s="5" t="inlineStr">
        <is>
          <t>secure way capital</t>
        </is>
      </c>
      <c r="N699" s="5" t="inlineStr">
        <is>
          <t>New Deal</t>
        </is>
      </c>
      <c r="O699" s="19" t="n">
        <v>1.49</v>
      </c>
      <c r="P699" s="20" t="n">
        <v>10000</v>
      </c>
      <c r="Q699" s="20" t="n">
        <v>1400</v>
      </c>
      <c r="R699" s="20" t="n">
        <v>14900</v>
      </c>
      <c r="S699" s="20" t="n">
        <v>11917.8</v>
      </c>
      <c r="T699" s="20" t="n">
        <v>2982.2</v>
      </c>
      <c r="U699" s="21" t="n">
        <v>0.7998523489932891</v>
      </c>
      <c r="V699" s="22" t="n">
        <v>2.459</v>
      </c>
      <c r="W699" s="17" t="n">
        <v>0</v>
      </c>
      <c r="X699" s="17" t="n">
        <v>34</v>
      </c>
      <c r="Y699" s="20" t="n">
        <v>27103.39</v>
      </c>
      <c r="Z699" s="21" t="n">
        <v>0.1539</v>
      </c>
      <c r="AA699" s="16" t="n">
        <v>45383</v>
      </c>
      <c r="AB699" s="5">
        <f>IF(V699="","",IF(V699&lt;12,"Months","Weeks"))</f>
        <v/>
      </c>
      <c r="AC699" s="5">
        <f>IF(AB699="","",IF(AB699="Months","Daily","Weekly"))</f>
        <v/>
      </c>
      <c r="AD699" s="17">
        <f>IF(V699="","",IF(AC699="Daily",V699*Controls!$B$13,V699))</f>
        <v/>
      </c>
      <c r="AE699" s="17">
        <f>IF(V699="","",IF(AC699="Daily",V699*Controls!$B$13,V699*Controls!$B$12))</f>
        <v/>
      </c>
      <c r="AF699" s="17">
        <f>IF(OR(E699="",F699=""),"",F699-E699)</f>
        <v/>
      </c>
      <c r="AG699" s="17">
        <f>IF(OR(E699="",F699=""),"",NETWORKDAYS(E699,F699,Ref!$F$4:$F$47))</f>
        <v/>
      </c>
      <c r="AH699" s="39">
        <f>IF(IFERROR(VLOOKUP(D699,Controls!$A$25:$D$35,2,FALSE()),"No")="Yes",1,0)</f>
        <v/>
      </c>
      <c r="AI699" s="39">
        <f>IF(IFERROR(VLOOKUP(D699,Controls!$A$25:$D$35,3,FALSE()),"No")="Yes",1,0)</f>
        <v/>
      </c>
      <c r="AJ699" s="39">
        <f>IF(IFERROR(VLOOKUP(D699,Controls!$A$25:$D$35,4,FALSE()),"No")="Yes",1,0)</f>
        <v/>
      </c>
      <c r="AK699" s="96">
        <f>IF(AND($E699&gt;=Controls!$B$5,$E699&lt;=Controls!$B$6,OR(Controls!$E$9&lt;&gt;"Y",$BE699=1)),1,0)</f>
        <v/>
      </c>
      <c r="AL699" s="39">
        <f>1</f>
        <v/>
      </c>
      <c r="AM699" s="20">
        <f>S699-P699</f>
        <v/>
      </c>
      <c r="AN699" s="20">
        <f>IF(AH699=1,MAX(0,P699-S699),0)</f>
        <v/>
      </c>
      <c r="AO699" s="21">
        <f>IFERROR(S699/P699,"")</f>
        <v/>
      </c>
      <c r="AP699" s="22">
        <f>IF(Y699="","",P699/Y699)</f>
        <v/>
      </c>
      <c r="AQ699" s="39">
        <f>IF(Y699="",0,1)</f>
        <v/>
      </c>
      <c r="AR699" s="39">
        <f>IF(S699&lt;=0,1,0)</f>
        <v/>
      </c>
      <c r="AS699" s="17">
        <f>IF(AH699=1,AG699,"")</f>
        <v/>
      </c>
      <c r="AT699" s="17">
        <f>IF(AND(AH699=0,AJ699=1),AG699,"")</f>
        <v/>
      </c>
      <c r="AU699" s="5">
        <f>IF(P699&lt;10000,"Under $10K",IF(P699&lt;20000,"$10-20K",IF(P699&lt;30000,"$20-30K",IF(P699&lt;50000,"$30-50K",IF(P699&lt;100000,"$50-100K","$100K+")))))</f>
        <v/>
      </c>
      <c r="AV699" s="5">
        <f>IF(O699&lt;=1.35,"1.35 and under",IF(O699&lt;=1.42,"1.36-1.42",IF(O699&lt;=1.45,"1.43-1.45",IF(O699&lt;1.49,"1.46-1.48",IF(O699&lt;=1.49,"1.49","Above 1.49")))))</f>
        <v/>
      </c>
      <c r="AW699" s="5">
        <f>IF(AE699="","",IF(AE699&lt;60,"Under 60",IF(AE699&lt;90,"60-89",IF(AE699&lt;120,"90-119",IF(AE699&lt;150,"120-149","150+")))))</f>
        <v/>
      </c>
      <c r="AX699" s="5">
        <f>IF(AP699="","No revenue data",IF(AP699&lt;0.15,"Under 0.15x",IF(AP699&lt;0.3,"0.15-0.30x",IF(AP699&lt;0.5,"0.30-0.50x",IF(AP699&lt;1,"0.50-1.00x","1.00x+")))))</f>
        <v/>
      </c>
      <c r="AY699" s="5">
        <f>IF(J699="","No SIC",IFERROR(VLOOKUP(J699,Ref!$A$4:$C$67,2,FALSE()),"Unclassified"))</f>
        <v/>
      </c>
      <c r="AZ699" s="5">
        <f>IF(E699="","",TEXT(E699,"YYYY")&amp;"-Q"&amp;ROUNDUP(MONTH(E699)/3,0))</f>
        <v/>
      </c>
      <c r="BA699" s="5">
        <f>IF(E699="","",TEXT(E699,"YYYY-MM"))</f>
        <v/>
      </c>
      <c r="BB699" s="5">
        <f>IF(E699="","",TEXT(E699,"YYYY"))</f>
        <v/>
      </c>
      <c r="BC699" s="92">
        <f>IF($E699="","",NETWORKDAYS($E699,Controls!$B$9,Ref!$F$4:$F$47))</f>
        <v/>
      </c>
      <c r="BD699" s="92">
        <f>IF(OR($AH699=1,$AJ699=1),1,0)</f>
        <v/>
      </c>
      <c r="BE699" s="95">
        <f>IF(OR($BD699=1,AND($AE699&lt;&gt;"",$BC699&gt;=Controls!$B$10*$AE699)),1,0)</f>
        <v/>
      </c>
    </row>
    <row r="700" ht="15.75" customHeight="1" s="79">
      <c r="A700" s="5" t="inlineStr">
        <is>
          <t>5674179984</t>
        </is>
      </c>
      <c r="B700" s="5" t="inlineStr">
        <is>
          <t>H30 TRUCKING LLC</t>
        </is>
      </c>
      <c r="C700" s="5" t="inlineStr">
        <is>
          <t>H30 TRUCKING LLC</t>
        </is>
      </c>
      <c r="D700" s="5" t="inlineStr">
        <is>
          <t>Closed</t>
        </is>
      </c>
      <c r="E700" s="16" t="n">
        <v>46092</v>
      </c>
      <c r="F700" s="16" t="n">
        <v>46169</v>
      </c>
      <c r="G700" s="17" t="n">
        <v>3</v>
      </c>
      <c r="H700" s="5" t="inlineStr">
        <is>
          <t>4212</t>
        </is>
      </c>
      <c r="I700" s="5" t="inlineStr">
        <is>
          <t>Specialized Freight (Except Used Goods) Trucking, Local</t>
        </is>
      </c>
      <c r="J700" s="5" t="inlineStr">
        <is>
          <t>42</t>
        </is>
      </c>
      <c r="K700" s="5" t="n">
        <v>1799</v>
      </c>
      <c r="L700" s="5" t="inlineStr">
        <is>
          <t>VA</t>
        </is>
      </c>
      <c r="M700" s="5" t="inlineStr">
        <is>
          <t>Ballicci</t>
        </is>
      </c>
      <c r="N700" s="5" t="inlineStr">
        <is>
          <t>New Deal</t>
        </is>
      </c>
      <c r="O700" s="19" t="n">
        <v>1.49</v>
      </c>
      <c r="P700" s="20" t="n">
        <v>20000</v>
      </c>
      <c r="Q700" s="20" t="n">
        <v>2800</v>
      </c>
      <c r="R700" s="20" t="n">
        <v>29800</v>
      </c>
      <c r="S700" s="20" t="n">
        <v>29800</v>
      </c>
      <c r="T700" s="20" t="n">
        <v>0</v>
      </c>
      <c r="U700" s="21" t="n">
        <v>1</v>
      </c>
      <c r="V700" s="22" t="n">
        <v>24</v>
      </c>
      <c r="W700" s="17" t="n">
        <v>84</v>
      </c>
      <c r="X700" s="17" t="n">
        <v>0</v>
      </c>
      <c r="Y700" s="20" t="n">
        <v>114549.95</v>
      </c>
      <c r="Z700" s="21" t="n">
        <v>0.0434</v>
      </c>
      <c r="AA700" s="16" t="n">
        <v>43837</v>
      </c>
      <c r="AB700" s="5">
        <f>IF(V700="","",IF(V700&lt;12,"Months","Weeks"))</f>
        <v/>
      </c>
      <c r="AC700" s="5">
        <f>IF(AB700="","",IF(AB700="Months","Daily","Weekly"))</f>
        <v/>
      </c>
      <c r="AD700" s="17">
        <f>IF(V700="","",IF(AC700="Daily",V700*Controls!$B$13,V700))</f>
        <v/>
      </c>
      <c r="AE700" s="17">
        <f>IF(V700="","",IF(AC700="Daily",V700*Controls!$B$13,V700*Controls!$B$12))</f>
        <v/>
      </c>
      <c r="AF700" s="17">
        <f>IF(OR(E700="",F700=""),"",F700-E700)</f>
        <v/>
      </c>
      <c r="AG700" s="17">
        <f>IF(OR(E700="",F700=""),"",NETWORKDAYS(E700,F700,Ref!$F$4:$F$47))</f>
        <v/>
      </c>
      <c r="AH700" s="39">
        <f>IF(IFERROR(VLOOKUP(D700,Controls!$A$25:$D$35,2,FALSE()),"No")="Yes",1,0)</f>
        <v/>
      </c>
      <c r="AI700" s="39">
        <f>IF(IFERROR(VLOOKUP(D700,Controls!$A$25:$D$35,3,FALSE()),"No")="Yes",1,0)</f>
        <v/>
      </c>
      <c r="AJ700" s="39">
        <f>IF(IFERROR(VLOOKUP(D700,Controls!$A$25:$D$35,4,FALSE()),"No")="Yes",1,0)</f>
        <v/>
      </c>
      <c r="AK700" s="96">
        <f>IF(AND($E700&gt;=Controls!$B$5,$E700&lt;=Controls!$B$6,OR(Controls!$E$9&lt;&gt;"Y",$BE700=1)),1,0)</f>
        <v/>
      </c>
      <c r="AL700" s="39">
        <f>1</f>
        <v/>
      </c>
      <c r="AM700" s="20">
        <f>S700-P700</f>
        <v/>
      </c>
      <c r="AN700" s="20">
        <f>IF(AH700=1,MAX(0,P700-S700),0)</f>
        <v/>
      </c>
      <c r="AO700" s="21">
        <f>IFERROR(S700/P700,"")</f>
        <v/>
      </c>
      <c r="AP700" s="22">
        <f>IF(Y700="","",P700/Y700)</f>
        <v/>
      </c>
      <c r="AQ700" s="39">
        <f>IF(Y700="",0,1)</f>
        <v/>
      </c>
      <c r="AR700" s="39">
        <f>IF(S700&lt;=0,1,0)</f>
        <v/>
      </c>
      <c r="AS700" s="17">
        <f>IF(AH700=1,AG700,"")</f>
        <v/>
      </c>
      <c r="AT700" s="17">
        <f>IF(AND(AH700=0,AJ700=1),AG700,"")</f>
        <v/>
      </c>
      <c r="AU700" s="5">
        <f>IF(P700&lt;10000,"Under $10K",IF(P700&lt;20000,"$10-20K",IF(P700&lt;30000,"$20-30K",IF(P700&lt;50000,"$30-50K",IF(P700&lt;100000,"$50-100K","$100K+")))))</f>
        <v/>
      </c>
      <c r="AV700" s="5">
        <f>IF(O700&lt;=1.35,"1.35 and under",IF(O700&lt;=1.42,"1.36-1.42",IF(O700&lt;=1.45,"1.43-1.45",IF(O700&lt;1.49,"1.46-1.48",IF(O700&lt;=1.49,"1.49","Above 1.49")))))</f>
        <v/>
      </c>
      <c r="AW700" s="5">
        <f>IF(AE700="","",IF(AE700&lt;60,"Under 60",IF(AE700&lt;90,"60-89",IF(AE700&lt;120,"90-119",IF(AE700&lt;150,"120-149","150+")))))</f>
        <v/>
      </c>
      <c r="AX700" s="5">
        <f>IF(AP700="","No revenue data",IF(AP700&lt;0.15,"Under 0.15x",IF(AP700&lt;0.3,"0.15-0.30x",IF(AP700&lt;0.5,"0.30-0.50x",IF(AP700&lt;1,"0.50-1.00x","1.00x+")))))</f>
        <v/>
      </c>
      <c r="AY700" s="5">
        <f>IF(J700="","No SIC",IFERROR(VLOOKUP(J700,Ref!$A$4:$C$67,2,FALSE()),"Unclassified"))</f>
        <v/>
      </c>
      <c r="AZ700" s="5">
        <f>IF(E700="","",TEXT(E700,"YYYY")&amp;"-Q"&amp;ROUNDUP(MONTH(E700)/3,0))</f>
        <v/>
      </c>
      <c r="BA700" s="5">
        <f>IF(E700="","",TEXT(E700,"YYYY-MM"))</f>
        <v/>
      </c>
      <c r="BB700" s="5">
        <f>IF(E700="","",TEXT(E700,"YYYY"))</f>
        <v/>
      </c>
      <c r="BC700" s="92">
        <f>IF($E700="","",NETWORKDAYS($E700,Controls!$B$9,Ref!$F$4:$F$47))</f>
        <v/>
      </c>
      <c r="BD700" s="92">
        <f>IF(OR($AH700=1,$AJ700=1),1,0)</f>
        <v/>
      </c>
      <c r="BE700" s="95">
        <f>IF(OR($BD700=1,AND($AE700&lt;&gt;"",$BC700&gt;=Controls!$B$10*$AE700)),1,0)</f>
        <v/>
      </c>
    </row>
    <row r="701" ht="15.75" customHeight="1" s="79">
      <c r="A701" s="5" t="inlineStr">
        <is>
          <t>5674180050</t>
        </is>
      </c>
      <c r="B701" s="5" t="inlineStr">
        <is>
          <t>vecs group llc</t>
        </is>
      </c>
      <c r="C701" s="5" t="inlineStr">
        <is>
          <t>vecs group llc</t>
        </is>
      </c>
      <c r="D701" s="5" t="inlineStr">
        <is>
          <t>Closed</t>
        </is>
      </c>
      <c r="E701" s="16" t="n">
        <v>46093</v>
      </c>
      <c r="F701" s="16" t="n">
        <v>46205</v>
      </c>
      <c r="G701" s="17" t="n">
        <v>3</v>
      </c>
      <c r="H701" s="5" t="inlineStr">
        <is>
          <t>5999</t>
        </is>
      </c>
      <c r="I701" s="5" t="inlineStr">
        <is>
          <t>All Other Misc. Store Retailers (Except Tobacco Stores)</t>
        </is>
      </c>
      <c r="J701" s="5" t="inlineStr">
        <is>
          <t>59</t>
        </is>
      </c>
      <c r="K701" s="5" t="n">
        <v>5999</v>
      </c>
      <c r="L701" s="5" t="inlineStr">
        <is>
          <t>FL</t>
        </is>
      </c>
      <c r="M701" s="5" t="inlineStr">
        <is>
          <t>The Funding Channel</t>
        </is>
      </c>
      <c r="N701" s="5" t="inlineStr">
        <is>
          <t>New Deal</t>
        </is>
      </c>
      <c r="O701" s="19" t="n">
        <v>1.49</v>
      </c>
      <c r="P701" s="20" t="n">
        <v>12000</v>
      </c>
      <c r="Q701" s="20" t="n">
        <v>1680</v>
      </c>
      <c r="R701" s="20" t="n">
        <v>17880</v>
      </c>
      <c r="S701" s="20" t="n">
        <v>17880</v>
      </c>
      <c r="T701" s="20" t="n">
        <v>0</v>
      </c>
      <c r="U701" s="21" t="n">
        <v>1</v>
      </c>
      <c r="V701" s="22" t="n">
        <v>30</v>
      </c>
      <c r="W701" s="17" t="n">
        <v>48</v>
      </c>
      <c r="X701" s="17" t="n">
        <v>0</v>
      </c>
      <c r="Y701" s="20" t="n">
        <v>47032.66</v>
      </c>
      <c r="Z701" s="21" t="n">
        <v>0.0507</v>
      </c>
      <c r="AA701" s="16" t="n">
        <v>44336</v>
      </c>
      <c r="AB701" s="5">
        <f>IF(V701="","",IF(V701&lt;12,"Months","Weeks"))</f>
        <v/>
      </c>
      <c r="AC701" s="5">
        <f>IF(AB701="","",IF(AB701="Months","Daily","Weekly"))</f>
        <v/>
      </c>
      <c r="AD701" s="17">
        <f>IF(V701="","",IF(AC701="Daily",V701*Controls!$B$13,V701))</f>
        <v/>
      </c>
      <c r="AE701" s="17">
        <f>IF(V701="","",IF(AC701="Daily",V701*Controls!$B$13,V701*Controls!$B$12))</f>
        <v/>
      </c>
      <c r="AF701" s="17">
        <f>IF(OR(E701="",F701=""),"",F701-E701)</f>
        <v/>
      </c>
      <c r="AG701" s="17">
        <f>IF(OR(E701="",F701=""),"",NETWORKDAYS(E701,F701,Ref!$F$4:$F$47))</f>
        <v/>
      </c>
      <c r="AH701" s="39">
        <f>IF(IFERROR(VLOOKUP(D701,Controls!$A$25:$D$35,2,FALSE()),"No")="Yes",1,0)</f>
        <v/>
      </c>
      <c r="AI701" s="39">
        <f>IF(IFERROR(VLOOKUP(D701,Controls!$A$25:$D$35,3,FALSE()),"No")="Yes",1,0)</f>
        <v/>
      </c>
      <c r="AJ701" s="39">
        <f>IF(IFERROR(VLOOKUP(D701,Controls!$A$25:$D$35,4,FALSE()),"No")="Yes",1,0)</f>
        <v/>
      </c>
      <c r="AK701" s="96">
        <f>IF(AND($E701&gt;=Controls!$B$5,$E701&lt;=Controls!$B$6,OR(Controls!$E$9&lt;&gt;"Y",$BE701=1)),1,0)</f>
        <v/>
      </c>
      <c r="AL701" s="39">
        <f>1</f>
        <v/>
      </c>
      <c r="AM701" s="20">
        <f>S701-P701</f>
        <v/>
      </c>
      <c r="AN701" s="20">
        <f>IF(AH701=1,MAX(0,P701-S701),0)</f>
        <v/>
      </c>
      <c r="AO701" s="21">
        <f>IFERROR(S701/P701,"")</f>
        <v/>
      </c>
      <c r="AP701" s="22">
        <f>IF(Y701="","",P701/Y701)</f>
        <v/>
      </c>
      <c r="AQ701" s="39">
        <f>IF(Y701="",0,1)</f>
        <v/>
      </c>
      <c r="AR701" s="39">
        <f>IF(S701&lt;=0,1,0)</f>
        <v/>
      </c>
      <c r="AS701" s="17">
        <f>IF(AH701=1,AG701,"")</f>
        <v/>
      </c>
      <c r="AT701" s="17">
        <f>IF(AND(AH701=0,AJ701=1),AG701,"")</f>
        <v/>
      </c>
      <c r="AU701" s="5">
        <f>IF(P701&lt;10000,"Under $10K",IF(P701&lt;20000,"$10-20K",IF(P701&lt;30000,"$20-30K",IF(P701&lt;50000,"$30-50K",IF(P701&lt;100000,"$50-100K","$100K+")))))</f>
        <v/>
      </c>
      <c r="AV701" s="5">
        <f>IF(O701&lt;=1.35,"1.35 and under",IF(O701&lt;=1.42,"1.36-1.42",IF(O701&lt;=1.45,"1.43-1.45",IF(O701&lt;1.49,"1.46-1.48",IF(O701&lt;=1.49,"1.49","Above 1.49")))))</f>
        <v/>
      </c>
      <c r="AW701" s="5">
        <f>IF(AE701="","",IF(AE701&lt;60,"Under 60",IF(AE701&lt;90,"60-89",IF(AE701&lt;120,"90-119",IF(AE701&lt;150,"120-149","150+")))))</f>
        <v/>
      </c>
      <c r="AX701" s="5">
        <f>IF(AP701="","No revenue data",IF(AP701&lt;0.15,"Under 0.15x",IF(AP701&lt;0.3,"0.15-0.30x",IF(AP701&lt;0.5,"0.30-0.50x",IF(AP701&lt;1,"0.50-1.00x","1.00x+")))))</f>
        <v/>
      </c>
      <c r="AY701" s="5">
        <f>IF(J701="","No SIC",IFERROR(VLOOKUP(J701,Ref!$A$4:$C$67,2,FALSE()),"Unclassified"))</f>
        <v/>
      </c>
      <c r="AZ701" s="5">
        <f>IF(E701="","",TEXT(E701,"YYYY")&amp;"-Q"&amp;ROUNDUP(MONTH(E701)/3,0))</f>
        <v/>
      </c>
      <c r="BA701" s="5">
        <f>IF(E701="","",TEXT(E701,"YYYY-MM"))</f>
        <v/>
      </c>
      <c r="BB701" s="5">
        <f>IF(E701="","",TEXT(E701,"YYYY"))</f>
        <v/>
      </c>
      <c r="BC701" s="92">
        <f>IF($E701="","",NETWORKDAYS($E701,Controls!$B$9,Ref!$F$4:$F$47))</f>
        <v/>
      </c>
      <c r="BD701" s="92">
        <f>IF(OR($AH701=1,$AJ701=1),1,0)</f>
        <v/>
      </c>
      <c r="BE701" s="95">
        <f>IF(OR($BD701=1,AND($AE701&lt;&gt;"",$BC701&gt;=Controls!$B$10*$AE701)),1,0)</f>
        <v/>
      </c>
    </row>
    <row r="702" ht="15.75" customHeight="1" s="79">
      <c r="A702" s="5" t="inlineStr">
        <is>
          <t>5674180053</t>
        </is>
      </c>
      <c r="B702" s="5" t="inlineStr">
        <is>
          <t>GREEN BOX FOUR LLC</t>
        </is>
      </c>
      <c r="C702" s="5" t="inlineStr">
        <is>
          <t>GREEN BOX FOUR LLC</t>
        </is>
      </c>
      <c r="D702" s="5" t="inlineStr">
        <is>
          <t>Closed</t>
        </is>
      </c>
      <c r="E702" s="16" t="n">
        <v>46093</v>
      </c>
      <c r="F702" s="16" t="n">
        <v>46237</v>
      </c>
      <c r="G702" s="17" t="n">
        <v>3</v>
      </c>
      <c r="H702" s="5" t="inlineStr">
        <is>
          <t>5812</t>
        </is>
      </c>
      <c r="I702" s="5" t="inlineStr">
        <is>
          <t>Snack and Nonalcoholic Beverage Bars</t>
        </is>
      </c>
      <c r="J702" s="5" t="inlineStr">
        <is>
          <t>58</t>
        </is>
      </c>
      <c r="K702" s="5" t="n">
        <v>5812</v>
      </c>
      <c r="L702" s="5" t="inlineStr">
        <is>
          <t>CA</t>
        </is>
      </c>
      <c r="M702" s="5" t="inlineStr">
        <is>
          <t>Swift Business Funding</t>
        </is>
      </c>
      <c r="N702" s="5" t="inlineStr">
        <is>
          <t>New Deal</t>
        </is>
      </c>
      <c r="O702" s="19" t="n">
        <v>1.41</v>
      </c>
      <c r="P702" s="20" t="n">
        <v>40000</v>
      </c>
      <c r="Q702" s="20" t="n">
        <v>4000</v>
      </c>
      <c r="R702" s="20" t="n">
        <v>56400</v>
      </c>
      <c r="S702" s="20" t="n">
        <v>56400</v>
      </c>
      <c r="T702" s="20" t="n">
        <v>0</v>
      </c>
      <c r="U702" s="21" t="n">
        <v>1</v>
      </c>
      <c r="V702" s="22" t="n">
        <v>20</v>
      </c>
      <c r="W702" s="17" t="n">
        <v>16</v>
      </c>
      <c r="X702" s="17" t="n">
        <v>0</v>
      </c>
      <c r="Y702" s="20" t="n">
        <v>105321.88</v>
      </c>
      <c r="Z702" s="21" t="n">
        <v>0.1071</v>
      </c>
      <c r="AA702" s="16" t="n">
        <v>44686</v>
      </c>
      <c r="AB702" s="5">
        <f>IF(V702="","",IF(V702&lt;12,"Months","Weeks"))</f>
        <v/>
      </c>
      <c r="AC702" s="5">
        <f>IF(AB702="","",IF(AB702="Months","Daily","Weekly"))</f>
        <v/>
      </c>
      <c r="AD702" s="17">
        <f>IF(V702="","",IF(AC702="Daily",V702*Controls!$B$13,V702))</f>
        <v/>
      </c>
      <c r="AE702" s="17">
        <f>IF(V702="","",IF(AC702="Daily",V702*Controls!$B$13,V702*Controls!$B$12))</f>
        <v/>
      </c>
      <c r="AF702" s="17">
        <f>IF(OR(E702="",F702=""),"",F702-E702)</f>
        <v/>
      </c>
      <c r="AG702" s="17">
        <f>IF(OR(E702="",F702=""),"",NETWORKDAYS(E702,F702,Ref!$F$4:$F$47))</f>
        <v/>
      </c>
      <c r="AH702" s="39">
        <f>IF(IFERROR(VLOOKUP(D702,Controls!$A$25:$D$35,2,FALSE()),"No")="Yes",1,0)</f>
        <v/>
      </c>
      <c r="AI702" s="39">
        <f>IF(IFERROR(VLOOKUP(D702,Controls!$A$25:$D$35,3,FALSE()),"No")="Yes",1,0)</f>
        <v/>
      </c>
      <c r="AJ702" s="39">
        <f>IF(IFERROR(VLOOKUP(D702,Controls!$A$25:$D$35,4,FALSE()),"No")="Yes",1,0)</f>
        <v/>
      </c>
      <c r="AK702" s="96">
        <f>IF(AND($E702&gt;=Controls!$B$5,$E702&lt;=Controls!$B$6,OR(Controls!$E$9&lt;&gt;"Y",$BE702=1)),1,0)</f>
        <v/>
      </c>
      <c r="AL702" s="39">
        <f>1</f>
        <v/>
      </c>
      <c r="AM702" s="20">
        <f>S702-P702</f>
        <v/>
      </c>
      <c r="AN702" s="20">
        <f>IF(AH702=1,MAX(0,P702-S702),0)</f>
        <v/>
      </c>
      <c r="AO702" s="21">
        <f>IFERROR(S702/P702,"")</f>
        <v/>
      </c>
      <c r="AP702" s="22">
        <f>IF(Y702="","",P702/Y702)</f>
        <v/>
      </c>
      <c r="AQ702" s="39">
        <f>IF(Y702="",0,1)</f>
        <v/>
      </c>
      <c r="AR702" s="39">
        <f>IF(S702&lt;=0,1,0)</f>
        <v/>
      </c>
      <c r="AS702" s="17">
        <f>IF(AH702=1,AG702,"")</f>
        <v/>
      </c>
      <c r="AT702" s="17">
        <f>IF(AND(AH702=0,AJ702=1),AG702,"")</f>
        <v/>
      </c>
      <c r="AU702" s="5">
        <f>IF(P702&lt;10000,"Under $10K",IF(P702&lt;20000,"$10-20K",IF(P702&lt;30000,"$20-30K",IF(P702&lt;50000,"$30-50K",IF(P702&lt;100000,"$50-100K","$100K+")))))</f>
        <v/>
      </c>
      <c r="AV702" s="5">
        <f>IF(O702&lt;=1.35,"1.35 and under",IF(O702&lt;=1.42,"1.36-1.42",IF(O702&lt;=1.45,"1.43-1.45",IF(O702&lt;1.49,"1.46-1.48",IF(O702&lt;=1.49,"1.49","Above 1.49")))))</f>
        <v/>
      </c>
      <c r="AW702" s="5">
        <f>IF(AE702="","",IF(AE702&lt;60,"Under 60",IF(AE702&lt;90,"60-89",IF(AE702&lt;120,"90-119",IF(AE702&lt;150,"120-149","150+")))))</f>
        <v/>
      </c>
      <c r="AX702" s="5">
        <f>IF(AP702="","No revenue data",IF(AP702&lt;0.15,"Under 0.15x",IF(AP702&lt;0.3,"0.15-0.30x",IF(AP702&lt;0.5,"0.30-0.50x",IF(AP702&lt;1,"0.50-1.00x","1.00x+")))))</f>
        <v/>
      </c>
      <c r="AY702" s="5">
        <f>IF(J702="","No SIC",IFERROR(VLOOKUP(J702,Ref!$A$4:$C$67,2,FALSE()),"Unclassified"))</f>
        <v/>
      </c>
      <c r="AZ702" s="5">
        <f>IF(E702="","",TEXT(E702,"YYYY")&amp;"-Q"&amp;ROUNDUP(MONTH(E702)/3,0))</f>
        <v/>
      </c>
      <c r="BA702" s="5">
        <f>IF(E702="","",TEXT(E702,"YYYY-MM"))</f>
        <v/>
      </c>
      <c r="BB702" s="5">
        <f>IF(E702="","",TEXT(E702,"YYYY"))</f>
        <v/>
      </c>
      <c r="BC702" s="92">
        <f>IF($E702="","",NETWORKDAYS($E702,Controls!$B$9,Ref!$F$4:$F$47))</f>
        <v/>
      </c>
      <c r="BD702" s="92">
        <f>IF(OR($AH702=1,$AJ702=1),1,0)</f>
        <v/>
      </c>
      <c r="BE702" s="95">
        <f>IF(OR($BD702=1,AND($AE702&lt;&gt;"",$BC702&gt;=Controls!$B$10*$AE702)),1,0)</f>
        <v/>
      </c>
    </row>
    <row r="703" ht="15.75" customHeight="1" s="79">
      <c r="A703" s="5" t="inlineStr">
        <is>
          <t>5674180082</t>
        </is>
      </c>
      <c r="B703" s="5" t="inlineStr">
        <is>
          <t>EAST BAY WINDOW CLEANING &amp; GENERAL BUILDING MAINTENANCE LLC</t>
        </is>
      </c>
      <c r="C703" s="5" t="inlineStr">
        <is>
          <t>EAST BAY WINDOW CLEANING &amp; GENERAL BUILDING MAINTENANCE LLC</t>
        </is>
      </c>
      <c r="D703" s="5" t="inlineStr">
        <is>
          <t>In House Collection</t>
        </is>
      </c>
      <c r="E703" s="16" t="n">
        <v>46093</v>
      </c>
      <c r="F703" s="16" t="n">
        <v>46253</v>
      </c>
      <c r="G703" s="17" t="n">
        <v>1</v>
      </c>
      <c r="H703" s="5" t="inlineStr">
        <is>
          <t>1521</t>
        </is>
      </c>
      <c r="I703" s="5" t="inlineStr">
        <is>
          <t>New Single-Family Housing Construction (Except For-Sale Builders)</t>
        </is>
      </c>
      <c r="J703" s="5" t="inlineStr">
        <is>
          <t>15</t>
        </is>
      </c>
      <c r="K703" s="5" t="n">
        <v>1520</v>
      </c>
      <c r="L703" s="5" t="inlineStr">
        <is>
          <t>CA</t>
        </is>
      </c>
      <c r="M703" s="5" t="inlineStr">
        <is>
          <t>Ballicci</t>
        </is>
      </c>
      <c r="N703" s="5" t="inlineStr">
        <is>
          <t>New Deal</t>
        </is>
      </c>
      <c r="O703" s="19" t="n">
        <v>1.49</v>
      </c>
      <c r="P703" s="20" t="n">
        <v>35000</v>
      </c>
      <c r="Q703" s="20" t="n">
        <v>4900</v>
      </c>
      <c r="R703" s="20" t="n">
        <v>52150</v>
      </c>
      <c r="S703" s="20" t="n">
        <v>22874.14</v>
      </c>
      <c r="T703" s="20" t="n">
        <v>29275.86</v>
      </c>
      <c r="U703" s="21" t="n">
        <v>0.43862205177373</v>
      </c>
      <c r="V703" s="22" t="n">
        <v>3.934</v>
      </c>
      <c r="W703" s="17" t="n">
        <v>0</v>
      </c>
      <c r="X703" s="17" t="n">
        <v>10</v>
      </c>
      <c r="Y703" s="20" t="n">
        <v>13302.29</v>
      </c>
      <c r="Z703" s="21" t="n">
        <v>0.0905</v>
      </c>
      <c r="AA703" s="16" t="n">
        <v>45769</v>
      </c>
      <c r="AB703" s="5">
        <f>IF(V703="","",IF(V703&lt;12,"Months","Weeks"))</f>
        <v/>
      </c>
      <c r="AC703" s="5">
        <f>IF(AB703="","",IF(AB703="Months","Daily","Weekly"))</f>
        <v/>
      </c>
      <c r="AD703" s="17">
        <f>IF(V703="","",IF(AC703="Daily",V703*Controls!$B$13,V703))</f>
        <v/>
      </c>
      <c r="AE703" s="17">
        <f>IF(V703="","",IF(AC703="Daily",V703*Controls!$B$13,V703*Controls!$B$12))</f>
        <v/>
      </c>
      <c r="AF703" s="17">
        <f>IF(OR(E703="",F703=""),"",F703-E703)</f>
        <v/>
      </c>
      <c r="AG703" s="17">
        <f>IF(OR(E703="",F703=""),"",NETWORKDAYS(E703,F703,Ref!$F$4:$F$47))</f>
        <v/>
      </c>
      <c r="AH703" s="39">
        <f>IF(IFERROR(VLOOKUP(D703,Controls!$A$25:$D$35,2,FALSE()),"No")="Yes",1,0)</f>
        <v/>
      </c>
      <c r="AI703" s="39">
        <f>IF(IFERROR(VLOOKUP(D703,Controls!$A$25:$D$35,3,FALSE()),"No")="Yes",1,0)</f>
        <v/>
      </c>
      <c r="AJ703" s="39">
        <f>IF(IFERROR(VLOOKUP(D703,Controls!$A$25:$D$35,4,FALSE()),"No")="Yes",1,0)</f>
        <v/>
      </c>
      <c r="AK703" s="96">
        <f>IF(AND($E703&gt;=Controls!$B$5,$E703&lt;=Controls!$B$6,OR(Controls!$E$9&lt;&gt;"Y",$BE703=1)),1,0)</f>
        <v/>
      </c>
      <c r="AL703" s="39">
        <f>1</f>
        <v/>
      </c>
      <c r="AM703" s="20">
        <f>S703-P703</f>
        <v/>
      </c>
      <c r="AN703" s="20">
        <f>IF(AH703=1,MAX(0,P703-S703),0)</f>
        <v/>
      </c>
      <c r="AO703" s="21">
        <f>IFERROR(S703/P703,"")</f>
        <v/>
      </c>
      <c r="AP703" s="22">
        <f>IF(Y703="","",P703/Y703)</f>
        <v/>
      </c>
      <c r="AQ703" s="39">
        <f>IF(Y703="",0,1)</f>
        <v/>
      </c>
      <c r="AR703" s="39">
        <f>IF(S703&lt;=0,1,0)</f>
        <v/>
      </c>
      <c r="AS703" s="17">
        <f>IF(AH703=1,AG703,"")</f>
        <v/>
      </c>
      <c r="AT703" s="17">
        <f>IF(AND(AH703=0,AJ703=1),AG703,"")</f>
        <v/>
      </c>
      <c r="AU703" s="5">
        <f>IF(P703&lt;10000,"Under $10K",IF(P703&lt;20000,"$10-20K",IF(P703&lt;30000,"$20-30K",IF(P703&lt;50000,"$30-50K",IF(P703&lt;100000,"$50-100K","$100K+")))))</f>
        <v/>
      </c>
      <c r="AV703" s="5">
        <f>IF(O703&lt;=1.35,"1.35 and under",IF(O703&lt;=1.42,"1.36-1.42",IF(O703&lt;=1.45,"1.43-1.45",IF(O703&lt;1.49,"1.46-1.48",IF(O703&lt;=1.49,"1.49","Above 1.49")))))</f>
        <v/>
      </c>
      <c r="AW703" s="5">
        <f>IF(AE703="","",IF(AE703&lt;60,"Under 60",IF(AE703&lt;90,"60-89",IF(AE703&lt;120,"90-119",IF(AE703&lt;150,"120-149","150+")))))</f>
        <v/>
      </c>
      <c r="AX703" s="5">
        <f>IF(AP703="","No revenue data",IF(AP703&lt;0.15,"Under 0.15x",IF(AP703&lt;0.3,"0.15-0.30x",IF(AP703&lt;0.5,"0.30-0.50x",IF(AP703&lt;1,"0.50-1.00x","1.00x+")))))</f>
        <v/>
      </c>
      <c r="AY703" s="5">
        <f>IF(J703="","No SIC",IFERROR(VLOOKUP(J703,Ref!$A$4:$C$67,2,FALSE()),"Unclassified"))</f>
        <v/>
      </c>
      <c r="AZ703" s="5">
        <f>IF(E703="","",TEXT(E703,"YYYY")&amp;"-Q"&amp;ROUNDUP(MONTH(E703)/3,0))</f>
        <v/>
      </c>
      <c r="BA703" s="5">
        <f>IF(E703="","",TEXT(E703,"YYYY-MM"))</f>
        <v/>
      </c>
      <c r="BB703" s="5">
        <f>IF(E703="","",TEXT(E703,"YYYY"))</f>
        <v/>
      </c>
      <c r="BC703" s="92">
        <f>IF($E703="","",NETWORKDAYS($E703,Controls!$B$9,Ref!$F$4:$F$47))</f>
        <v/>
      </c>
      <c r="BD703" s="92">
        <f>IF(OR($AH703=1,$AJ703=1),1,0)</f>
        <v/>
      </c>
      <c r="BE703" s="95">
        <f>IF(OR($BD703=1,AND($AE703&lt;&gt;"",$BC703&gt;=Controls!$B$10*$AE703)),1,0)</f>
        <v/>
      </c>
    </row>
    <row r="704" ht="15.75" customHeight="1" s="79">
      <c r="A704" s="5" t="inlineStr">
        <is>
          <t>5674180096</t>
        </is>
      </c>
      <c r="B704" s="5" t="inlineStr">
        <is>
          <t>PARK HEAVY HAUL LLC</t>
        </is>
      </c>
      <c r="C704" s="5" t="inlineStr">
        <is>
          <t>PARK HEAVY HAUL LLC</t>
        </is>
      </c>
      <c r="D704" s="5" t="inlineStr">
        <is>
          <t>In House Collection</t>
        </is>
      </c>
      <c r="E704" s="16" t="n">
        <v>46093</v>
      </c>
      <c r="F704" s="16" t="n">
        <v>46234</v>
      </c>
      <c r="G704" s="17" t="n">
        <v>6</v>
      </c>
      <c r="H704" s="5" t="inlineStr">
        <is>
          <t>4212</t>
        </is>
      </c>
      <c r="I704" s="5" t="inlineStr">
        <is>
          <t>Specialized Freight (Except Used Goods) Trucking, Local</t>
        </is>
      </c>
      <c r="J704" s="5" t="inlineStr">
        <is>
          <t>42</t>
        </is>
      </c>
      <c r="K704" s="5" t="n">
        <v>4214</v>
      </c>
      <c r="L704" s="5" t="inlineStr">
        <is>
          <t>CO</t>
        </is>
      </c>
      <c r="M704" s="5" t="inlineStr">
        <is>
          <t>Secure Capital Solutions 7</t>
        </is>
      </c>
      <c r="N704" s="5" t="inlineStr">
        <is>
          <t>Renewal</t>
        </is>
      </c>
      <c r="O704" s="19" t="n">
        <v>1.49</v>
      </c>
      <c r="P704" s="20" t="n">
        <v>55000</v>
      </c>
      <c r="Q704" s="20" t="n">
        <v>7700</v>
      </c>
      <c r="R704" s="20" t="n">
        <v>81950</v>
      </c>
      <c r="S704" s="20" t="n">
        <v>32289.54</v>
      </c>
      <c r="T704" s="20" t="n">
        <v>49660.46</v>
      </c>
      <c r="U704" s="21" t="n">
        <v>0.394015131177547</v>
      </c>
      <c r="V704" s="22" t="n">
        <v>18</v>
      </c>
      <c r="W704" s="17" t="n">
        <v>19</v>
      </c>
      <c r="X704" s="17" t="n">
        <v>11</v>
      </c>
      <c r="Y704" s="20" t="n">
        <v>380215.95</v>
      </c>
      <c r="Z704" s="21" t="n">
        <v>0.0479</v>
      </c>
      <c r="AA704" s="16" t="n">
        <v>45227</v>
      </c>
      <c r="AB704" s="5">
        <f>IF(V704="","",IF(V704&lt;12,"Months","Weeks"))</f>
        <v/>
      </c>
      <c r="AC704" s="5">
        <f>IF(AB704="","",IF(AB704="Months","Daily","Weekly"))</f>
        <v/>
      </c>
      <c r="AD704" s="17">
        <f>IF(V704="","",IF(AC704="Daily",V704*Controls!$B$13,V704))</f>
        <v/>
      </c>
      <c r="AE704" s="17">
        <f>IF(V704="","",IF(AC704="Daily",V704*Controls!$B$13,V704*Controls!$B$12))</f>
        <v/>
      </c>
      <c r="AF704" s="17">
        <f>IF(OR(E704="",F704=""),"",F704-E704)</f>
        <v/>
      </c>
      <c r="AG704" s="17">
        <f>IF(OR(E704="",F704=""),"",NETWORKDAYS(E704,F704,Ref!$F$4:$F$47))</f>
        <v/>
      </c>
      <c r="AH704" s="39">
        <f>IF(IFERROR(VLOOKUP(D704,Controls!$A$25:$D$35,2,FALSE()),"No")="Yes",1,0)</f>
        <v/>
      </c>
      <c r="AI704" s="39">
        <f>IF(IFERROR(VLOOKUP(D704,Controls!$A$25:$D$35,3,FALSE()),"No")="Yes",1,0)</f>
        <v/>
      </c>
      <c r="AJ704" s="39">
        <f>IF(IFERROR(VLOOKUP(D704,Controls!$A$25:$D$35,4,FALSE()),"No")="Yes",1,0)</f>
        <v/>
      </c>
      <c r="AK704" s="96">
        <f>IF(AND($E704&gt;=Controls!$B$5,$E704&lt;=Controls!$B$6,OR(Controls!$E$9&lt;&gt;"Y",$BE704=1)),1,0)</f>
        <v/>
      </c>
      <c r="AL704" s="39">
        <f>1</f>
        <v/>
      </c>
      <c r="AM704" s="20">
        <f>S704-P704</f>
        <v/>
      </c>
      <c r="AN704" s="20">
        <f>IF(AH704=1,MAX(0,P704-S704),0)</f>
        <v/>
      </c>
      <c r="AO704" s="21">
        <f>IFERROR(S704/P704,"")</f>
        <v/>
      </c>
      <c r="AP704" s="22">
        <f>IF(Y704="","",P704/Y704)</f>
        <v/>
      </c>
      <c r="AQ704" s="39">
        <f>IF(Y704="",0,1)</f>
        <v/>
      </c>
      <c r="AR704" s="39">
        <f>IF(S704&lt;=0,1,0)</f>
        <v/>
      </c>
      <c r="AS704" s="17">
        <f>IF(AH704=1,AG704,"")</f>
        <v/>
      </c>
      <c r="AT704" s="17">
        <f>IF(AND(AH704=0,AJ704=1),AG704,"")</f>
        <v/>
      </c>
      <c r="AU704" s="5">
        <f>IF(P704&lt;10000,"Under $10K",IF(P704&lt;20000,"$10-20K",IF(P704&lt;30000,"$20-30K",IF(P704&lt;50000,"$30-50K",IF(P704&lt;100000,"$50-100K","$100K+")))))</f>
        <v/>
      </c>
      <c r="AV704" s="5">
        <f>IF(O704&lt;=1.35,"1.35 and under",IF(O704&lt;=1.42,"1.36-1.42",IF(O704&lt;=1.45,"1.43-1.45",IF(O704&lt;1.49,"1.46-1.48",IF(O704&lt;=1.49,"1.49","Above 1.49")))))</f>
        <v/>
      </c>
      <c r="AW704" s="5">
        <f>IF(AE704="","",IF(AE704&lt;60,"Under 60",IF(AE704&lt;90,"60-89",IF(AE704&lt;120,"90-119",IF(AE704&lt;150,"120-149","150+")))))</f>
        <v/>
      </c>
      <c r="AX704" s="5">
        <f>IF(AP704="","No revenue data",IF(AP704&lt;0.15,"Under 0.15x",IF(AP704&lt;0.3,"0.15-0.30x",IF(AP704&lt;0.5,"0.30-0.50x",IF(AP704&lt;1,"0.50-1.00x","1.00x+")))))</f>
        <v/>
      </c>
      <c r="AY704" s="5">
        <f>IF(J704="","No SIC",IFERROR(VLOOKUP(J704,Ref!$A$4:$C$67,2,FALSE()),"Unclassified"))</f>
        <v/>
      </c>
      <c r="AZ704" s="5">
        <f>IF(E704="","",TEXT(E704,"YYYY")&amp;"-Q"&amp;ROUNDUP(MONTH(E704)/3,0))</f>
        <v/>
      </c>
      <c r="BA704" s="5">
        <f>IF(E704="","",TEXT(E704,"YYYY-MM"))</f>
        <v/>
      </c>
      <c r="BB704" s="5">
        <f>IF(E704="","",TEXT(E704,"YYYY"))</f>
        <v/>
      </c>
      <c r="BC704" s="92">
        <f>IF($E704="","",NETWORKDAYS($E704,Controls!$B$9,Ref!$F$4:$F$47))</f>
        <v/>
      </c>
      <c r="BD704" s="92">
        <f>IF(OR($AH704=1,$AJ704=1),1,0)</f>
        <v/>
      </c>
      <c r="BE704" s="95">
        <f>IF(OR($BD704=1,AND($AE704&lt;&gt;"",$BC704&gt;=Controls!$B$10*$AE704)),1,0)</f>
        <v/>
      </c>
    </row>
    <row r="705" ht="15.75" customHeight="1" s="79">
      <c r="A705" s="5" t="inlineStr">
        <is>
          <t>5674180102</t>
        </is>
      </c>
      <c r="B705" s="5" t="inlineStr">
        <is>
          <t>BOOTS TO TRUCKS</t>
        </is>
      </c>
      <c r="C705" s="5" t="inlineStr">
        <is>
          <t>Boots To Trucks Inc.</t>
        </is>
      </c>
      <c r="D705" s="5" t="inlineStr">
        <is>
          <t>Open</t>
        </is>
      </c>
      <c r="E705" s="16" t="n">
        <v>46093</v>
      </c>
      <c r="F705" s="16" t="n">
        <v>46253</v>
      </c>
      <c r="G705" s="17" t="n">
        <v>3</v>
      </c>
      <c r="H705" s="5" t="inlineStr">
        <is>
          <t>1799</t>
        </is>
      </c>
      <c r="I705" s="5" t="inlineStr">
        <is>
          <t>All Other Specialty Trade Contractors</t>
        </is>
      </c>
      <c r="J705" s="5" t="inlineStr">
        <is>
          <t>17</t>
        </is>
      </c>
      <c r="K705" s="5" t="n">
        <v>1799</v>
      </c>
      <c r="L705" s="5" t="inlineStr">
        <is>
          <t>NC</t>
        </is>
      </c>
      <c r="M705" s="5" t="inlineStr">
        <is>
          <t>Platform Funding</t>
        </is>
      </c>
      <c r="N705" s="5" t="inlineStr">
        <is>
          <t>New Deal</t>
        </is>
      </c>
      <c r="O705" s="19" t="n">
        <v>1.35</v>
      </c>
      <c r="P705" s="20" t="n">
        <v>46000</v>
      </c>
      <c r="Q705" s="20" t="n">
        <v>3220</v>
      </c>
      <c r="R705" s="20" t="n">
        <v>62100</v>
      </c>
      <c r="S705" s="20" t="n">
        <v>41231.68</v>
      </c>
      <c r="T705" s="20" t="n">
        <v>20868.32</v>
      </c>
      <c r="U705" s="21" t="n">
        <v>0.663956199677939</v>
      </c>
      <c r="V705" s="22" t="n">
        <v>3.902</v>
      </c>
      <c r="W705" s="17" t="n">
        <v>0</v>
      </c>
      <c r="X705" s="17" t="n">
        <v>36</v>
      </c>
      <c r="Y705" s="20" t="n">
        <v>251384.46</v>
      </c>
      <c r="Z705" s="21" t="n">
        <v>0.0436</v>
      </c>
      <c r="AA705" s="16" t="n">
        <v>44853</v>
      </c>
      <c r="AB705" s="5">
        <f>IF(V705="","",IF(V705&lt;12,"Months","Weeks"))</f>
        <v/>
      </c>
      <c r="AC705" s="5">
        <f>IF(AB705="","",IF(AB705="Months","Daily","Weekly"))</f>
        <v/>
      </c>
      <c r="AD705" s="17">
        <f>IF(V705="","",IF(AC705="Daily",V705*Controls!$B$13,V705))</f>
        <v/>
      </c>
      <c r="AE705" s="17">
        <f>IF(V705="","",IF(AC705="Daily",V705*Controls!$B$13,V705*Controls!$B$12))</f>
        <v/>
      </c>
      <c r="AF705" s="17">
        <f>IF(OR(E705="",F705=""),"",F705-E705)</f>
        <v/>
      </c>
      <c r="AG705" s="17">
        <f>IF(OR(E705="",F705=""),"",NETWORKDAYS(E705,F705,Ref!$F$4:$F$47))</f>
        <v/>
      </c>
      <c r="AH705" s="39">
        <f>IF(IFERROR(VLOOKUP(D705,Controls!$A$25:$D$35,2,FALSE()),"No")="Yes",1,0)</f>
        <v/>
      </c>
      <c r="AI705" s="39">
        <f>IF(IFERROR(VLOOKUP(D705,Controls!$A$25:$D$35,3,FALSE()),"No")="Yes",1,0)</f>
        <v/>
      </c>
      <c r="AJ705" s="39">
        <f>IF(IFERROR(VLOOKUP(D705,Controls!$A$25:$D$35,4,FALSE()),"No")="Yes",1,0)</f>
        <v/>
      </c>
      <c r="AK705" s="96">
        <f>IF(AND($E705&gt;=Controls!$B$5,$E705&lt;=Controls!$B$6,OR(Controls!$E$9&lt;&gt;"Y",$BE705=1)),1,0)</f>
        <v/>
      </c>
      <c r="AL705" s="39">
        <f>1</f>
        <v/>
      </c>
      <c r="AM705" s="20">
        <f>S705-P705</f>
        <v/>
      </c>
      <c r="AN705" s="20">
        <f>IF(AH705=1,MAX(0,P705-S705),0)</f>
        <v/>
      </c>
      <c r="AO705" s="21">
        <f>IFERROR(S705/P705,"")</f>
        <v/>
      </c>
      <c r="AP705" s="22">
        <f>IF(Y705="","",P705/Y705)</f>
        <v/>
      </c>
      <c r="AQ705" s="39">
        <f>IF(Y705="",0,1)</f>
        <v/>
      </c>
      <c r="AR705" s="39">
        <f>IF(S705&lt;=0,1,0)</f>
        <v/>
      </c>
      <c r="AS705" s="17">
        <f>IF(AH705=1,AG705,"")</f>
        <v/>
      </c>
      <c r="AT705" s="17">
        <f>IF(AND(AH705=0,AJ705=1),AG705,"")</f>
        <v/>
      </c>
      <c r="AU705" s="5">
        <f>IF(P705&lt;10000,"Under $10K",IF(P705&lt;20000,"$10-20K",IF(P705&lt;30000,"$20-30K",IF(P705&lt;50000,"$30-50K",IF(P705&lt;100000,"$50-100K","$100K+")))))</f>
        <v/>
      </c>
      <c r="AV705" s="5">
        <f>IF(O705&lt;=1.35,"1.35 and under",IF(O705&lt;=1.42,"1.36-1.42",IF(O705&lt;=1.45,"1.43-1.45",IF(O705&lt;1.49,"1.46-1.48",IF(O705&lt;=1.49,"1.49","Above 1.49")))))</f>
        <v/>
      </c>
      <c r="AW705" s="5">
        <f>IF(AE705="","",IF(AE705&lt;60,"Under 60",IF(AE705&lt;90,"60-89",IF(AE705&lt;120,"90-119",IF(AE705&lt;150,"120-149","150+")))))</f>
        <v/>
      </c>
      <c r="AX705" s="5">
        <f>IF(AP705="","No revenue data",IF(AP705&lt;0.15,"Under 0.15x",IF(AP705&lt;0.3,"0.15-0.30x",IF(AP705&lt;0.5,"0.30-0.50x",IF(AP705&lt;1,"0.50-1.00x","1.00x+")))))</f>
        <v/>
      </c>
      <c r="AY705" s="5">
        <f>IF(J705="","No SIC",IFERROR(VLOOKUP(J705,Ref!$A$4:$C$67,2,FALSE()),"Unclassified"))</f>
        <v/>
      </c>
      <c r="AZ705" s="5">
        <f>IF(E705="","",TEXT(E705,"YYYY")&amp;"-Q"&amp;ROUNDUP(MONTH(E705)/3,0))</f>
        <v/>
      </c>
      <c r="BA705" s="5">
        <f>IF(E705="","",TEXT(E705,"YYYY-MM"))</f>
        <v/>
      </c>
      <c r="BB705" s="5">
        <f>IF(E705="","",TEXT(E705,"YYYY"))</f>
        <v/>
      </c>
      <c r="BC705" s="92">
        <f>IF($E705="","",NETWORKDAYS($E705,Controls!$B$9,Ref!$F$4:$F$47))</f>
        <v/>
      </c>
      <c r="BD705" s="92">
        <f>IF(OR($AH705=1,$AJ705=1),1,0)</f>
        <v/>
      </c>
      <c r="BE705" s="95">
        <f>IF(OR($BD705=1,AND($AE705&lt;&gt;"",$BC705&gt;=Controls!$B$10*$AE705)),1,0)</f>
        <v/>
      </c>
    </row>
    <row r="706" ht="15.75" customHeight="1" s="79">
      <c r="A706" s="5" t="inlineStr">
        <is>
          <t>5674180126</t>
        </is>
      </c>
      <c r="B706" s="5" t="inlineStr">
        <is>
          <t>SILVER STAR INVESTIGATION</t>
        </is>
      </c>
      <c r="C706" s="5" t="inlineStr">
        <is>
          <t>SILVER STAR INVESTIGATION</t>
        </is>
      </c>
      <c r="D706" s="5" t="inlineStr">
        <is>
          <t>Closed</t>
        </is>
      </c>
      <c r="E706" s="16" t="n">
        <v>46094</v>
      </c>
      <c r="F706" s="16" t="n">
        <v>46161</v>
      </c>
      <c r="G706" s="17" t="n">
        <v>4</v>
      </c>
      <c r="H706" s="5" t="inlineStr">
        <is>
          <t>5999</t>
        </is>
      </c>
      <c r="I706" s="5" t="inlineStr">
        <is>
          <t>All Other Health and Personal Care Stores</t>
        </is>
      </c>
      <c r="J706" s="5" t="inlineStr">
        <is>
          <t>59</t>
        </is>
      </c>
      <c r="K706" s="5" t="n">
        <v>5999</v>
      </c>
      <c r="L706" s="5" t="inlineStr">
        <is>
          <t>PR</t>
        </is>
      </c>
      <c r="M706" s="5" t="inlineStr">
        <is>
          <t>Westwood</t>
        </is>
      </c>
      <c r="N706" s="5" t="inlineStr">
        <is>
          <t>New Deal</t>
        </is>
      </c>
      <c r="O706" s="19" t="n">
        <v>1.49</v>
      </c>
      <c r="P706" s="20" t="n">
        <v>12000</v>
      </c>
      <c r="Q706" s="20" t="n">
        <v>1680</v>
      </c>
      <c r="R706" s="20" t="n">
        <v>17880</v>
      </c>
      <c r="S706" s="20" t="n">
        <v>17880</v>
      </c>
      <c r="T706" s="20" t="n">
        <v>0</v>
      </c>
      <c r="U706" s="21" t="n">
        <v>1</v>
      </c>
      <c r="V706" s="22" t="n">
        <v>2.951</v>
      </c>
      <c r="W706" s="17" t="n">
        <v>92</v>
      </c>
      <c r="X706" s="17" t="n">
        <v>3</v>
      </c>
      <c r="Y706" s="20" t="n">
        <v>61560.84</v>
      </c>
      <c r="Z706" s="21" t="n">
        <v>0.0678</v>
      </c>
      <c r="AA706" s="16" t="n">
        <v>40850</v>
      </c>
      <c r="AB706" s="5">
        <f>IF(V706="","",IF(V706&lt;12,"Months","Weeks"))</f>
        <v/>
      </c>
      <c r="AC706" s="5">
        <f>IF(AB706="","",IF(AB706="Months","Daily","Weekly"))</f>
        <v/>
      </c>
      <c r="AD706" s="17">
        <f>IF(V706="","",IF(AC706="Daily",V706*Controls!$B$13,V706))</f>
        <v/>
      </c>
      <c r="AE706" s="17">
        <f>IF(V706="","",IF(AC706="Daily",V706*Controls!$B$13,V706*Controls!$B$12))</f>
        <v/>
      </c>
      <c r="AF706" s="17">
        <f>IF(OR(E706="",F706=""),"",F706-E706)</f>
        <v/>
      </c>
      <c r="AG706" s="17">
        <f>IF(OR(E706="",F706=""),"",NETWORKDAYS(E706,F706,Ref!$F$4:$F$47))</f>
        <v/>
      </c>
      <c r="AH706" s="39">
        <f>IF(IFERROR(VLOOKUP(D706,Controls!$A$25:$D$35,2,FALSE()),"No")="Yes",1,0)</f>
        <v/>
      </c>
      <c r="AI706" s="39">
        <f>IF(IFERROR(VLOOKUP(D706,Controls!$A$25:$D$35,3,FALSE()),"No")="Yes",1,0)</f>
        <v/>
      </c>
      <c r="AJ706" s="39">
        <f>IF(IFERROR(VLOOKUP(D706,Controls!$A$25:$D$35,4,FALSE()),"No")="Yes",1,0)</f>
        <v/>
      </c>
      <c r="AK706" s="96">
        <f>IF(AND($E706&gt;=Controls!$B$5,$E706&lt;=Controls!$B$6,OR(Controls!$E$9&lt;&gt;"Y",$BE706=1)),1,0)</f>
        <v/>
      </c>
      <c r="AL706" s="39">
        <f>1</f>
        <v/>
      </c>
      <c r="AM706" s="20">
        <f>S706-P706</f>
        <v/>
      </c>
      <c r="AN706" s="20">
        <f>IF(AH706=1,MAX(0,P706-S706),0)</f>
        <v/>
      </c>
      <c r="AO706" s="21">
        <f>IFERROR(S706/P706,"")</f>
        <v/>
      </c>
      <c r="AP706" s="22">
        <f>IF(Y706="","",P706/Y706)</f>
        <v/>
      </c>
      <c r="AQ706" s="39">
        <f>IF(Y706="",0,1)</f>
        <v/>
      </c>
      <c r="AR706" s="39">
        <f>IF(S706&lt;=0,1,0)</f>
        <v/>
      </c>
      <c r="AS706" s="17">
        <f>IF(AH706=1,AG706,"")</f>
        <v/>
      </c>
      <c r="AT706" s="17">
        <f>IF(AND(AH706=0,AJ706=1),AG706,"")</f>
        <v/>
      </c>
      <c r="AU706" s="5">
        <f>IF(P706&lt;10000,"Under $10K",IF(P706&lt;20000,"$10-20K",IF(P706&lt;30000,"$20-30K",IF(P706&lt;50000,"$30-50K",IF(P706&lt;100000,"$50-100K","$100K+")))))</f>
        <v/>
      </c>
      <c r="AV706" s="5">
        <f>IF(O706&lt;=1.35,"1.35 and under",IF(O706&lt;=1.42,"1.36-1.42",IF(O706&lt;=1.45,"1.43-1.45",IF(O706&lt;1.49,"1.46-1.48",IF(O706&lt;=1.49,"1.49","Above 1.49")))))</f>
        <v/>
      </c>
      <c r="AW706" s="5">
        <f>IF(AE706="","",IF(AE706&lt;60,"Under 60",IF(AE706&lt;90,"60-89",IF(AE706&lt;120,"90-119",IF(AE706&lt;150,"120-149","150+")))))</f>
        <v/>
      </c>
      <c r="AX706" s="5">
        <f>IF(AP706="","No revenue data",IF(AP706&lt;0.15,"Under 0.15x",IF(AP706&lt;0.3,"0.15-0.30x",IF(AP706&lt;0.5,"0.30-0.50x",IF(AP706&lt;1,"0.50-1.00x","1.00x+")))))</f>
        <v/>
      </c>
      <c r="AY706" s="5">
        <f>IF(J706="","No SIC",IFERROR(VLOOKUP(J706,Ref!$A$4:$C$67,2,FALSE()),"Unclassified"))</f>
        <v/>
      </c>
      <c r="AZ706" s="5">
        <f>IF(E706="","",TEXT(E706,"YYYY")&amp;"-Q"&amp;ROUNDUP(MONTH(E706)/3,0))</f>
        <v/>
      </c>
      <c r="BA706" s="5">
        <f>IF(E706="","",TEXT(E706,"YYYY-MM"))</f>
        <v/>
      </c>
      <c r="BB706" s="5">
        <f>IF(E706="","",TEXT(E706,"YYYY"))</f>
        <v/>
      </c>
      <c r="BC706" s="92">
        <f>IF($E706="","",NETWORKDAYS($E706,Controls!$B$9,Ref!$F$4:$F$47))</f>
        <v/>
      </c>
      <c r="BD706" s="92">
        <f>IF(OR($AH706=1,$AJ706=1),1,0)</f>
        <v/>
      </c>
      <c r="BE706" s="95">
        <f>IF(OR($BD706=1,AND($AE706&lt;&gt;"",$BC706&gt;=Controls!$B$10*$AE706)),1,0)</f>
        <v/>
      </c>
    </row>
    <row r="707" ht="15.75" customHeight="1" s="79">
      <c r="A707" s="5" t="inlineStr">
        <is>
          <t>5674180153</t>
        </is>
      </c>
      <c r="B707" s="5" t="inlineStr">
        <is>
          <t>One Day Real Estate Services Llc</t>
        </is>
      </c>
      <c r="C707" s="5" t="inlineStr">
        <is>
          <t>One Day Real Estate Services Llc</t>
        </is>
      </c>
      <c r="D707" s="5" t="inlineStr">
        <is>
          <t>Legal</t>
        </is>
      </c>
      <c r="E707" s="16" t="n">
        <v>46094</v>
      </c>
      <c r="F707" s="16" t="n">
        <v>46115</v>
      </c>
      <c r="G707" s="17" t="n">
        <v>3</v>
      </c>
      <c r="H707" s="5" t="inlineStr">
        <is>
          <t>6531</t>
        </is>
      </c>
      <c r="I707" s="5" t="inlineStr">
        <is>
          <t>Other Activities Related to Real Estate</t>
        </is>
      </c>
      <c r="J707" s="5" t="inlineStr">
        <is>
          <t>65</t>
        </is>
      </c>
      <c r="K707" s="5" t="n">
        <v>6513</v>
      </c>
      <c r="L707" s="5" t="inlineStr">
        <is>
          <t>WI</t>
        </is>
      </c>
      <c r="M707" s="5" t="inlineStr">
        <is>
          <t>Ballicci</t>
        </is>
      </c>
      <c r="N707" s="5" t="inlineStr">
        <is>
          <t>New Deal</t>
        </is>
      </c>
      <c r="O707" s="19" t="n">
        <v>1.49</v>
      </c>
      <c r="P707" s="20" t="n">
        <v>15000</v>
      </c>
      <c r="Q707" s="20" t="n">
        <v>0</v>
      </c>
      <c r="R707" s="20" t="n">
        <v>22350</v>
      </c>
      <c r="S707" s="20" t="n">
        <v>2732.29</v>
      </c>
      <c r="T707" s="20" t="n">
        <v>19617.71</v>
      </c>
      <c r="U707" s="21" t="n">
        <v>0.122250111856823</v>
      </c>
      <c r="V707" s="22" t="n">
        <v>2.951</v>
      </c>
      <c r="W707" s="17" t="n">
        <v>142</v>
      </c>
      <c r="X707" s="17" t="n">
        <v>4</v>
      </c>
      <c r="Y707" s="20" t="n">
        <v>26238.89</v>
      </c>
      <c r="Z707" s="21" t="n">
        <v>0.1988</v>
      </c>
      <c r="AA707" s="16" t="n">
        <v>39448</v>
      </c>
      <c r="AB707" s="5">
        <f>IF(V707="","",IF(V707&lt;12,"Months","Weeks"))</f>
        <v/>
      </c>
      <c r="AC707" s="5">
        <f>IF(AB707="","",IF(AB707="Months","Daily","Weekly"))</f>
        <v/>
      </c>
      <c r="AD707" s="17">
        <f>IF(V707="","",IF(AC707="Daily",V707*Controls!$B$13,V707))</f>
        <v/>
      </c>
      <c r="AE707" s="17">
        <f>IF(V707="","",IF(AC707="Daily",V707*Controls!$B$13,V707*Controls!$B$12))</f>
        <v/>
      </c>
      <c r="AF707" s="17">
        <f>IF(OR(E707="",F707=""),"",F707-E707)</f>
        <v/>
      </c>
      <c r="AG707" s="17">
        <f>IF(OR(E707="",F707=""),"",NETWORKDAYS(E707,F707,Ref!$F$4:$F$47))</f>
        <v/>
      </c>
      <c r="AH707" s="39">
        <f>IF(IFERROR(VLOOKUP(D707,Controls!$A$25:$D$35,2,FALSE()),"No")="Yes",1,0)</f>
        <v/>
      </c>
      <c r="AI707" s="39">
        <f>IF(IFERROR(VLOOKUP(D707,Controls!$A$25:$D$35,3,FALSE()),"No")="Yes",1,0)</f>
        <v/>
      </c>
      <c r="AJ707" s="39">
        <f>IF(IFERROR(VLOOKUP(D707,Controls!$A$25:$D$35,4,FALSE()),"No")="Yes",1,0)</f>
        <v/>
      </c>
      <c r="AK707" s="96">
        <f>IF(AND($E707&gt;=Controls!$B$5,$E707&lt;=Controls!$B$6,OR(Controls!$E$9&lt;&gt;"Y",$BE707=1)),1,0)</f>
        <v/>
      </c>
      <c r="AL707" s="39">
        <f>1</f>
        <v/>
      </c>
      <c r="AM707" s="20">
        <f>S707-P707</f>
        <v/>
      </c>
      <c r="AN707" s="20">
        <f>IF(AH707=1,MAX(0,P707-S707),0)</f>
        <v/>
      </c>
      <c r="AO707" s="21">
        <f>IFERROR(S707/P707,"")</f>
        <v/>
      </c>
      <c r="AP707" s="22">
        <f>IF(Y707="","",P707/Y707)</f>
        <v/>
      </c>
      <c r="AQ707" s="39">
        <f>IF(Y707="",0,1)</f>
        <v/>
      </c>
      <c r="AR707" s="39">
        <f>IF(S707&lt;=0,1,0)</f>
        <v/>
      </c>
      <c r="AS707" s="17">
        <f>IF(AH707=1,AG707,"")</f>
        <v/>
      </c>
      <c r="AT707" s="17">
        <f>IF(AND(AH707=0,AJ707=1),AG707,"")</f>
        <v/>
      </c>
      <c r="AU707" s="5">
        <f>IF(P707&lt;10000,"Under $10K",IF(P707&lt;20000,"$10-20K",IF(P707&lt;30000,"$20-30K",IF(P707&lt;50000,"$30-50K",IF(P707&lt;100000,"$50-100K","$100K+")))))</f>
        <v/>
      </c>
      <c r="AV707" s="5">
        <f>IF(O707&lt;=1.35,"1.35 and under",IF(O707&lt;=1.42,"1.36-1.42",IF(O707&lt;=1.45,"1.43-1.45",IF(O707&lt;1.49,"1.46-1.48",IF(O707&lt;=1.49,"1.49","Above 1.49")))))</f>
        <v/>
      </c>
      <c r="AW707" s="5">
        <f>IF(AE707="","",IF(AE707&lt;60,"Under 60",IF(AE707&lt;90,"60-89",IF(AE707&lt;120,"90-119",IF(AE707&lt;150,"120-149","150+")))))</f>
        <v/>
      </c>
      <c r="AX707" s="5">
        <f>IF(AP707="","No revenue data",IF(AP707&lt;0.15,"Under 0.15x",IF(AP707&lt;0.3,"0.15-0.30x",IF(AP707&lt;0.5,"0.30-0.50x",IF(AP707&lt;1,"0.50-1.00x","1.00x+")))))</f>
        <v/>
      </c>
      <c r="AY707" s="5">
        <f>IF(J707="","No SIC",IFERROR(VLOOKUP(J707,Ref!$A$4:$C$67,2,FALSE()),"Unclassified"))</f>
        <v/>
      </c>
      <c r="AZ707" s="5">
        <f>IF(E707="","",TEXT(E707,"YYYY")&amp;"-Q"&amp;ROUNDUP(MONTH(E707)/3,0))</f>
        <v/>
      </c>
      <c r="BA707" s="5">
        <f>IF(E707="","",TEXT(E707,"YYYY-MM"))</f>
        <v/>
      </c>
      <c r="BB707" s="5">
        <f>IF(E707="","",TEXT(E707,"YYYY"))</f>
        <v/>
      </c>
      <c r="BC707" s="92">
        <f>IF($E707="","",NETWORKDAYS($E707,Controls!$B$9,Ref!$F$4:$F$47))</f>
        <v/>
      </c>
      <c r="BD707" s="92">
        <f>IF(OR($AH707=1,$AJ707=1),1,0)</f>
        <v/>
      </c>
      <c r="BE707" s="95">
        <f>IF(OR($BD707=1,AND($AE707&lt;&gt;"",$BC707&gt;=Controls!$B$10*$AE707)),1,0)</f>
        <v/>
      </c>
    </row>
    <row r="708" ht="15.75" customHeight="1" s="79">
      <c r="A708" s="5" t="inlineStr">
        <is>
          <t>5674180155</t>
        </is>
      </c>
      <c r="B708" s="5" t="inlineStr">
        <is>
          <t>Earl Ives Painting LLC</t>
        </is>
      </c>
      <c r="C708" s="5" t="inlineStr">
        <is>
          <t>Earl Ives Painting LLC</t>
        </is>
      </c>
      <c r="D708" s="5" t="inlineStr">
        <is>
          <t>In House Collection</t>
        </is>
      </c>
      <c r="E708" s="16" t="n">
        <v>46094</v>
      </c>
      <c r="F708" s="16" t="n">
        <v>46182</v>
      </c>
      <c r="G708" s="17" t="n">
        <v>2</v>
      </c>
      <c r="H708" s="5" t="inlineStr">
        <is>
          <t>1799</t>
        </is>
      </c>
      <c r="I708" s="5" t="inlineStr">
        <is>
          <t>Other Building Finishing Contractors</t>
        </is>
      </c>
      <c r="J708" s="5" t="inlineStr">
        <is>
          <t>17</t>
        </is>
      </c>
      <c r="K708" s="5" t="n">
        <v>1799</v>
      </c>
      <c r="L708" s="5" t="inlineStr">
        <is>
          <t>FL</t>
        </is>
      </c>
      <c r="M708" s="5" t="inlineStr">
        <is>
          <t>Redline Capital</t>
        </is>
      </c>
      <c r="N708" s="5" t="inlineStr">
        <is>
          <t>New Deal</t>
        </is>
      </c>
      <c r="O708" s="19" t="n">
        <v>1.37</v>
      </c>
      <c r="P708" s="20" t="n">
        <v>10000</v>
      </c>
      <c r="Q708" s="20" t="n">
        <v>0</v>
      </c>
      <c r="R708" s="20" t="n">
        <v>13700</v>
      </c>
      <c r="S708" s="20" t="n">
        <v>877.72</v>
      </c>
      <c r="T708" s="20" t="n">
        <v>12822.28</v>
      </c>
      <c r="U708" s="21" t="n">
        <v>0.0640671532846715</v>
      </c>
      <c r="V708" s="22" t="n">
        <v>20</v>
      </c>
      <c r="W708" s="17" t="n">
        <v>71</v>
      </c>
      <c r="X708" s="17" t="n">
        <v>1</v>
      </c>
      <c r="Y708" s="20" t="n">
        <v>39861.55</v>
      </c>
      <c r="Z708" s="21" t="n">
        <v>0.0687</v>
      </c>
      <c r="AA708" s="16" t="n">
        <v>45790</v>
      </c>
      <c r="AB708" s="5">
        <f>IF(V708="","",IF(V708&lt;12,"Months","Weeks"))</f>
        <v/>
      </c>
      <c r="AC708" s="5">
        <f>IF(AB708="","",IF(AB708="Months","Daily","Weekly"))</f>
        <v/>
      </c>
      <c r="AD708" s="17">
        <f>IF(V708="","",IF(AC708="Daily",V708*Controls!$B$13,V708))</f>
        <v/>
      </c>
      <c r="AE708" s="17">
        <f>IF(V708="","",IF(AC708="Daily",V708*Controls!$B$13,V708*Controls!$B$12))</f>
        <v/>
      </c>
      <c r="AF708" s="17">
        <f>IF(OR(E708="",F708=""),"",F708-E708)</f>
        <v/>
      </c>
      <c r="AG708" s="17">
        <f>IF(OR(E708="",F708=""),"",NETWORKDAYS(E708,F708,Ref!$F$4:$F$47))</f>
        <v/>
      </c>
      <c r="AH708" s="39">
        <f>IF(IFERROR(VLOOKUP(D708,Controls!$A$25:$D$35,2,FALSE()),"No")="Yes",1,0)</f>
        <v/>
      </c>
      <c r="AI708" s="39">
        <f>IF(IFERROR(VLOOKUP(D708,Controls!$A$25:$D$35,3,FALSE()),"No")="Yes",1,0)</f>
        <v/>
      </c>
      <c r="AJ708" s="39">
        <f>IF(IFERROR(VLOOKUP(D708,Controls!$A$25:$D$35,4,FALSE()),"No")="Yes",1,0)</f>
        <v/>
      </c>
      <c r="AK708" s="96">
        <f>IF(AND($E708&gt;=Controls!$B$5,$E708&lt;=Controls!$B$6,OR(Controls!$E$9&lt;&gt;"Y",$BE708=1)),1,0)</f>
        <v/>
      </c>
      <c r="AL708" s="39">
        <f>1</f>
        <v/>
      </c>
      <c r="AM708" s="20">
        <f>S708-P708</f>
        <v/>
      </c>
      <c r="AN708" s="20">
        <f>IF(AH708=1,MAX(0,P708-S708),0)</f>
        <v/>
      </c>
      <c r="AO708" s="21">
        <f>IFERROR(S708/P708,"")</f>
        <v/>
      </c>
      <c r="AP708" s="22">
        <f>IF(Y708="","",P708/Y708)</f>
        <v/>
      </c>
      <c r="AQ708" s="39">
        <f>IF(Y708="",0,1)</f>
        <v/>
      </c>
      <c r="AR708" s="39">
        <f>IF(S708&lt;=0,1,0)</f>
        <v/>
      </c>
      <c r="AS708" s="17">
        <f>IF(AH708=1,AG708,"")</f>
        <v/>
      </c>
      <c r="AT708" s="17">
        <f>IF(AND(AH708=0,AJ708=1),AG708,"")</f>
        <v/>
      </c>
      <c r="AU708" s="5">
        <f>IF(P708&lt;10000,"Under $10K",IF(P708&lt;20000,"$10-20K",IF(P708&lt;30000,"$20-30K",IF(P708&lt;50000,"$30-50K",IF(P708&lt;100000,"$50-100K","$100K+")))))</f>
        <v/>
      </c>
      <c r="AV708" s="5">
        <f>IF(O708&lt;=1.35,"1.35 and under",IF(O708&lt;=1.42,"1.36-1.42",IF(O708&lt;=1.45,"1.43-1.45",IF(O708&lt;1.49,"1.46-1.48",IF(O708&lt;=1.49,"1.49","Above 1.49")))))</f>
        <v/>
      </c>
      <c r="AW708" s="5">
        <f>IF(AE708="","",IF(AE708&lt;60,"Under 60",IF(AE708&lt;90,"60-89",IF(AE708&lt;120,"90-119",IF(AE708&lt;150,"120-149","150+")))))</f>
        <v/>
      </c>
      <c r="AX708" s="5">
        <f>IF(AP708="","No revenue data",IF(AP708&lt;0.15,"Under 0.15x",IF(AP708&lt;0.3,"0.15-0.30x",IF(AP708&lt;0.5,"0.30-0.50x",IF(AP708&lt;1,"0.50-1.00x","1.00x+")))))</f>
        <v/>
      </c>
      <c r="AY708" s="5">
        <f>IF(J708="","No SIC",IFERROR(VLOOKUP(J708,Ref!$A$4:$C$67,2,FALSE()),"Unclassified"))</f>
        <v/>
      </c>
      <c r="AZ708" s="5">
        <f>IF(E708="","",TEXT(E708,"YYYY")&amp;"-Q"&amp;ROUNDUP(MONTH(E708)/3,0))</f>
        <v/>
      </c>
      <c r="BA708" s="5">
        <f>IF(E708="","",TEXT(E708,"YYYY-MM"))</f>
        <v/>
      </c>
      <c r="BB708" s="5">
        <f>IF(E708="","",TEXT(E708,"YYYY"))</f>
        <v/>
      </c>
      <c r="BC708" s="92">
        <f>IF($E708="","",NETWORKDAYS($E708,Controls!$B$9,Ref!$F$4:$F$47))</f>
        <v/>
      </c>
      <c r="BD708" s="92">
        <f>IF(OR($AH708=1,$AJ708=1),1,0)</f>
        <v/>
      </c>
      <c r="BE708" s="95">
        <f>IF(OR($BD708=1,AND($AE708&lt;&gt;"",$BC708&gt;=Controls!$B$10*$AE708)),1,0)</f>
        <v/>
      </c>
    </row>
    <row r="709" ht="15.75" customHeight="1" s="79">
      <c r="A709" s="5" t="inlineStr">
        <is>
          <t>5674180160</t>
        </is>
      </c>
      <c r="B709" s="5" t="inlineStr">
        <is>
          <t>JS4 Trucking</t>
        </is>
      </c>
      <c r="C709" s="5" t="inlineStr">
        <is>
          <t>JS4 TRUCKING INC</t>
        </is>
      </c>
      <c r="D709" s="5" t="inlineStr">
        <is>
          <t>Open</t>
        </is>
      </c>
      <c r="E709" s="16" t="n">
        <v>46094</v>
      </c>
      <c r="F709" s="16" t="n">
        <v>46248</v>
      </c>
      <c r="G709" s="17" t="n">
        <v>3</v>
      </c>
      <c r="H709" s="5" t="inlineStr">
        <is>
          <t>4212</t>
        </is>
      </c>
      <c r="I709" s="5" t="inlineStr">
        <is>
          <t>Specialized Freight (Except Used Goods) Trucking, Local</t>
        </is>
      </c>
      <c r="J709" s="5" t="inlineStr">
        <is>
          <t>42</t>
        </is>
      </c>
      <c r="K709" s="5" t="n">
        <v>4214</v>
      </c>
      <c r="L709" s="5" t="inlineStr">
        <is>
          <t>VA</t>
        </is>
      </c>
      <c r="M709" s="5" t="inlineStr">
        <is>
          <t>AVON ADVANCE</t>
        </is>
      </c>
      <c r="N709" s="5" t="inlineStr">
        <is>
          <t>New Deal</t>
        </is>
      </c>
      <c r="O709" s="19" t="n">
        <v>1.49</v>
      </c>
      <c r="P709" s="20" t="n">
        <v>20000</v>
      </c>
      <c r="Q709" s="20" t="n">
        <v>2800</v>
      </c>
      <c r="R709" s="20" t="n">
        <v>29800</v>
      </c>
      <c r="S709" s="20" t="n">
        <v>17885.88</v>
      </c>
      <c r="T709" s="20" t="n">
        <v>11914.12</v>
      </c>
      <c r="U709" s="21" t="n">
        <v>0.600197315436242</v>
      </c>
      <c r="V709" s="22" t="n">
        <v>20</v>
      </c>
      <c r="W709" s="17" t="n">
        <v>26</v>
      </c>
      <c r="X709" s="17" t="n">
        <v>10</v>
      </c>
      <c r="Y709" s="20" t="n">
        <v>50482.4</v>
      </c>
      <c r="Z709" s="21" t="n">
        <v>0.1181</v>
      </c>
      <c r="AA709" s="16" t="n">
        <v>44216</v>
      </c>
      <c r="AB709" s="5">
        <f>IF(V709="","",IF(V709&lt;12,"Months","Weeks"))</f>
        <v/>
      </c>
      <c r="AC709" s="5">
        <f>IF(AB709="","",IF(AB709="Months","Daily","Weekly"))</f>
        <v/>
      </c>
      <c r="AD709" s="17">
        <f>IF(V709="","",IF(AC709="Daily",V709*Controls!$B$13,V709))</f>
        <v/>
      </c>
      <c r="AE709" s="17">
        <f>IF(V709="","",IF(AC709="Daily",V709*Controls!$B$13,V709*Controls!$B$12))</f>
        <v/>
      </c>
      <c r="AF709" s="17">
        <f>IF(OR(E709="",F709=""),"",F709-E709)</f>
        <v/>
      </c>
      <c r="AG709" s="17">
        <f>IF(OR(E709="",F709=""),"",NETWORKDAYS(E709,F709,Ref!$F$4:$F$47))</f>
        <v/>
      </c>
      <c r="AH709" s="39">
        <f>IF(IFERROR(VLOOKUP(D709,Controls!$A$25:$D$35,2,FALSE()),"No")="Yes",1,0)</f>
        <v/>
      </c>
      <c r="AI709" s="39">
        <f>IF(IFERROR(VLOOKUP(D709,Controls!$A$25:$D$35,3,FALSE()),"No")="Yes",1,0)</f>
        <v/>
      </c>
      <c r="AJ709" s="39">
        <f>IF(IFERROR(VLOOKUP(D709,Controls!$A$25:$D$35,4,FALSE()),"No")="Yes",1,0)</f>
        <v/>
      </c>
      <c r="AK709" s="96">
        <f>IF(AND($E709&gt;=Controls!$B$5,$E709&lt;=Controls!$B$6,OR(Controls!$E$9&lt;&gt;"Y",$BE709=1)),1,0)</f>
        <v/>
      </c>
      <c r="AL709" s="39">
        <f>1</f>
        <v/>
      </c>
      <c r="AM709" s="20">
        <f>S709-P709</f>
        <v/>
      </c>
      <c r="AN709" s="20">
        <f>IF(AH709=1,MAX(0,P709-S709),0)</f>
        <v/>
      </c>
      <c r="AO709" s="21">
        <f>IFERROR(S709/P709,"")</f>
        <v/>
      </c>
      <c r="AP709" s="22">
        <f>IF(Y709="","",P709/Y709)</f>
        <v/>
      </c>
      <c r="AQ709" s="39">
        <f>IF(Y709="",0,1)</f>
        <v/>
      </c>
      <c r="AR709" s="39">
        <f>IF(S709&lt;=0,1,0)</f>
        <v/>
      </c>
      <c r="AS709" s="17">
        <f>IF(AH709=1,AG709,"")</f>
        <v/>
      </c>
      <c r="AT709" s="17">
        <f>IF(AND(AH709=0,AJ709=1),AG709,"")</f>
        <v/>
      </c>
      <c r="AU709" s="5">
        <f>IF(P709&lt;10000,"Under $10K",IF(P709&lt;20000,"$10-20K",IF(P709&lt;30000,"$20-30K",IF(P709&lt;50000,"$30-50K",IF(P709&lt;100000,"$50-100K","$100K+")))))</f>
        <v/>
      </c>
      <c r="AV709" s="5">
        <f>IF(O709&lt;=1.35,"1.35 and under",IF(O709&lt;=1.42,"1.36-1.42",IF(O709&lt;=1.45,"1.43-1.45",IF(O709&lt;1.49,"1.46-1.48",IF(O709&lt;=1.49,"1.49","Above 1.49")))))</f>
        <v/>
      </c>
      <c r="AW709" s="5">
        <f>IF(AE709="","",IF(AE709&lt;60,"Under 60",IF(AE709&lt;90,"60-89",IF(AE709&lt;120,"90-119",IF(AE709&lt;150,"120-149","150+")))))</f>
        <v/>
      </c>
      <c r="AX709" s="5">
        <f>IF(AP709="","No revenue data",IF(AP709&lt;0.15,"Under 0.15x",IF(AP709&lt;0.3,"0.15-0.30x",IF(AP709&lt;0.5,"0.30-0.50x",IF(AP709&lt;1,"0.50-1.00x","1.00x+")))))</f>
        <v/>
      </c>
      <c r="AY709" s="5">
        <f>IF(J709="","No SIC",IFERROR(VLOOKUP(J709,Ref!$A$4:$C$67,2,FALSE()),"Unclassified"))</f>
        <v/>
      </c>
      <c r="AZ709" s="5">
        <f>IF(E709="","",TEXT(E709,"YYYY")&amp;"-Q"&amp;ROUNDUP(MONTH(E709)/3,0))</f>
        <v/>
      </c>
      <c r="BA709" s="5">
        <f>IF(E709="","",TEXT(E709,"YYYY-MM"))</f>
        <v/>
      </c>
      <c r="BB709" s="5">
        <f>IF(E709="","",TEXT(E709,"YYYY"))</f>
        <v/>
      </c>
      <c r="BC709" s="92">
        <f>IF($E709="","",NETWORKDAYS($E709,Controls!$B$9,Ref!$F$4:$F$47))</f>
        <v/>
      </c>
      <c r="BD709" s="92">
        <f>IF(OR($AH709=1,$AJ709=1),1,0)</f>
        <v/>
      </c>
      <c r="BE709" s="95">
        <f>IF(OR($BD709=1,AND($AE709&lt;&gt;"",$BC709&gt;=Controls!$B$10*$AE709)),1,0)</f>
        <v/>
      </c>
    </row>
    <row r="710" ht="15.75" customHeight="1" s="79">
      <c r="A710" s="5" t="inlineStr">
        <is>
          <t>5674180163</t>
        </is>
      </c>
      <c r="B710" s="5" t="inlineStr">
        <is>
          <t>FIVE STARZ LOGISTICS DBA FIVE STARZ TRUCKING INC</t>
        </is>
      </c>
      <c r="C710" s="5" t="inlineStr">
        <is>
          <t>FIVE STARZ LOGISTICS INCORPORATED</t>
        </is>
      </c>
      <c r="D710" s="5" t="inlineStr">
        <is>
          <t>Closed/NSF</t>
        </is>
      </c>
      <c r="E710" s="16" t="n">
        <v>46094</v>
      </c>
      <c r="F710" s="16" t="n">
        <v>46244</v>
      </c>
      <c r="G710" s="17" t="n">
        <v>1</v>
      </c>
      <c r="H710" s="5" t="inlineStr">
        <is>
          <t>1442</t>
        </is>
      </c>
      <c r="I710" s="5" t="inlineStr">
        <is>
          <t>Construction Sand and Gravel Mining</t>
        </is>
      </c>
      <c r="J710" s="5" t="inlineStr">
        <is>
          <t>14</t>
        </is>
      </c>
      <c r="K710" s="5" t="n">
        <v>1799</v>
      </c>
      <c r="L710" s="5" t="inlineStr">
        <is>
          <t>VA</t>
        </is>
      </c>
      <c r="M710" s="5" t="inlineStr">
        <is>
          <t>Vanguard Equities</t>
        </is>
      </c>
      <c r="N710" s="5" t="inlineStr">
        <is>
          <t>New Deal</t>
        </is>
      </c>
      <c r="O710" s="19" t="n">
        <v>1.49</v>
      </c>
      <c r="P710" s="20" t="n">
        <v>30000</v>
      </c>
      <c r="Q710" s="20" t="n">
        <v>4200</v>
      </c>
      <c r="R710" s="20" t="n">
        <v>44700</v>
      </c>
      <c r="S710" s="20" t="n">
        <v>44700</v>
      </c>
      <c r="T710" s="20" t="n">
        <v>0</v>
      </c>
      <c r="U710" s="21" t="n">
        <v>1</v>
      </c>
      <c r="V710" s="22" t="n">
        <v>3.279</v>
      </c>
      <c r="W710" s="17" t="n">
        <v>9</v>
      </c>
      <c r="X710" s="17" t="n">
        <v>4</v>
      </c>
      <c r="Y710" s="20" t="n">
        <v>190677.94</v>
      </c>
      <c r="Z710" s="21" t="n">
        <v>0.0492</v>
      </c>
      <c r="AA710" s="16" t="n">
        <v>43617</v>
      </c>
      <c r="AB710" s="5">
        <f>IF(V710="","",IF(V710&lt;12,"Months","Weeks"))</f>
        <v/>
      </c>
      <c r="AC710" s="5">
        <f>IF(AB710="","",IF(AB710="Months","Daily","Weekly"))</f>
        <v/>
      </c>
      <c r="AD710" s="17">
        <f>IF(V710="","",IF(AC710="Daily",V710*Controls!$B$13,V710))</f>
        <v/>
      </c>
      <c r="AE710" s="17">
        <f>IF(V710="","",IF(AC710="Daily",V710*Controls!$B$13,V710*Controls!$B$12))</f>
        <v/>
      </c>
      <c r="AF710" s="17">
        <f>IF(OR(E710="",F710=""),"",F710-E710)</f>
        <v/>
      </c>
      <c r="AG710" s="17">
        <f>IF(OR(E710="",F710=""),"",NETWORKDAYS(E710,F710,Ref!$F$4:$F$47))</f>
        <v/>
      </c>
      <c r="AH710" s="39">
        <f>IF(IFERROR(VLOOKUP(D710,Controls!$A$25:$D$35,2,FALSE()),"No")="Yes",1,0)</f>
        <v/>
      </c>
      <c r="AI710" s="39">
        <f>IF(IFERROR(VLOOKUP(D710,Controls!$A$25:$D$35,3,FALSE()),"No")="Yes",1,0)</f>
        <v/>
      </c>
      <c r="AJ710" s="39">
        <f>IF(IFERROR(VLOOKUP(D710,Controls!$A$25:$D$35,4,FALSE()),"No")="Yes",1,0)</f>
        <v/>
      </c>
      <c r="AK710" s="96">
        <f>IF(AND($E710&gt;=Controls!$B$5,$E710&lt;=Controls!$B$6,OR(Controls!$E$9&lt;&gt;"Y",$BE710=1)),1,0)</f>
        <v/>
      </c>
      <c r="AL710" s="39">
        <f>1</f>
        <v/>
      </c>
      <c r="AM710" s="20">
        <f>S710-P710</f>
        <v/>
      </c>
      <c r="AN710" s="20">
        <f>IF(AH710=1,MAX(0,P710-S710),0)</f>
        <v/>
      </c>
      <c r="AO710" s="21">
        <f>IFERROR(S710/P710,"")</f>
        <v/>
      </c>
      <c r="AP710" s="22">
        <f>IF(Y710="","",P710/Y710)</f>
        <v/>
      </c>
      <c r="AQ710" s="39">
        <f>IF(Y710="",0,1)</f>
        <v/>
      </c>
      <c r="AR710" s="39">
        <f>IF(S710&lt;=0,1,0)</f>
        <v/>
      </c>
      <c r="AS710" s="17">
        <f>IF(AH710=1,AG710,"")</f>
        <v/>
      </c>
      <c r="AT710" s="17">
        <f>IF(AND(AH710=0,AJ710=1),AG710,"")</f>
        <v/>
      </c>
      <c r="AU710" s="5">
        <f>IF(P710&lt;10000,"Under $10K",IF(P710&lt;20000,"$10-20K",IF(P710&lt;30000,"$20-30K",IF(P710&lt;50000,"$30-50K",IF(P710&lt;100000,"$50-100K","$100K+")))))</f>
        <v/>
      </c>
      <c r="AV710" s="5">
        <f>IF(O710&lt;=1.35,"1.35 and under",IF(O710&lt;=1.42,"1.36-1.42",IF(O710&lt;=1.45,"1.43-1.45",IF(O710&lt;1.49,"1.46-1.48",IF(O710&lt;=1.49,"1.49","Above 1.49")))))</f>
        <v/>
      </c>
      <c r="AW710" s="5">
        <f>IF(AE710="","",IF(AE710&lt;60,"Under 60",IF(AE710&lt;90,"60-89",IF(AE710&lt;120,"90-119",IF(AE710&lt;150,"120-149","150+")))))</f>
        <v/>
      </c>
      <c r="AX710" s="5">
        <f>IF(AP710="","No revenue data",IF(AP710&lt;0.15,"Under 0.15x",IF(AP710&lt;0.3,"0.15-0.30x",IF(AP710&lt;0.5,"0.30-0.50x",IF(AP710&lt;1,"0.50-1.00x","1.00x+")))))</f>
        <v/>
      </c>
      <c r="AY710" s="5">
        <f>IF(J710="","No SIC",IFERROR(VLOOKUP(J710,Ref!$A$4:$C$67,2,FALSE()),"Unclassified"))</f>
        <v/>
      </c>
      <c r="AZ710" s="5">
        <f>IF(E710="","",TEXT(E710,"YYYY")&amp;"-Q"&amp;ROUNDUP(MONTH(E710)/3,0))</f>
        <v/>
      </c>
      <c r="BA710" s="5">
        <f>IF(E710="","",TEXT(E710,"YYYY-MM"))</f>
        <v/>
      </c>
      <c r="BB710" s="5">
        <f>IF(E710="","",TEXT(E710,"YYYY"))</f>
        <v/>
      </c>
      <c r="BC710" s="92">
        <f>IF($E710="","",NETWORKDAYS($E710,Controls!$B$9,Ref!$F$4:$F$47))</f>
        <v/>
      </c>
      <c r="BD710" s="92">
        <f>IF(OR($AH710=1,$AJ710=1),1,0)</f>
        <v/>
      </c>
      <c r="BE710" s="95">
        <f>IF(OR($BD710=1,AND($AE710&lt;&gt;"",$BC710&gt;=Controls!$B$10*$AE710)),1,0)</f>
        <v/>
      </c>
    </row>
    <row r="711" ht="15.75" customHeight="1" s="79">
      <c r="A711" s="5" t="inlineStr">
        <is>
          <t>5674180170</t>
        </is>
      </c>
      <c r="B711" s="5" t="inlineStr">
        <is>
          <t>Southern Emblem Inc</t>
        </is>
      </c>
      <c r="C711" s="5" t="inlineStr">
        <is>
          <t>Southern Emblem Inc</t>
        </is>
      </c>
      <c r="D711" s="5" t="inlineStr">
        <is>
          <t>Open</t>
        </is>
      </c>
      <c r="E711" s="16" t="n">
        <v>46094</v>
      </c>
      <c r="F711" s="16" t="n">
        <v>46248</v>
      </c>
      <c r="G711" s="17" t="n">
        <v>4</v>
      </c>
      <c r="H711" s="5" t="inlineStr">
        <is>
          <t>5699</t>
        </is>
      </c>
      <c r="I711" s="5" t="inlineStr">
        <is>
          <t>Other Clothing Stores</t>
        </is>
      </c>
      <c r="J711" s="5" t="inlineStr">
        <is>
          <t>56</t>
        </is>
      </c>
      <c r="K711" s="5" t="n">
        <v>5699</v>
      </c>
      <c r="L711" s="5" t="inlineStr">
        <is>
          <t>LA</t>
        </is>
      </c>
      <c r="M711" s="5" t="inlineStr">
        <is>
          <t>Ballicci</t>
        </is>
      </c>
      <c r="N711" s="5" t="inlineStr">
        <is>
          <t>New Deal</t>
        </is>
      </c>
      <c r="O711" s="19" t="n">
        <v>1.49</v>
      </c>
      <c r="P711" s="20" t="n">
        <v>25000</v>
      </c>
      <c r="Q711" s="20" t="n">
        <v>3500</v>
      </c>
      <c r="R711" s="20" t="n">
        <v>37250</v>
      </c>
      <c r="S711" s="20" t="n">
        <v>35102</v>
      </c>
      <c r="T711" s="20" t="n">
        <v>2148</v>
      </c>
      <c r="U711" s="21" t="n">
        <v>0.942335570469799</v>
      </c>
      <c r="V711" s="22" t="n">
        <v>20</v>
      </c>
      <c r="W711" s="17" t="n">
        <v>5</v>
      </c>
      <c r="X711" s="17" t="n">
        <v>1</v>
      </c>
      <c r="Y711" s="20" t="n">
        <v>85000</v>
      </c>
      <c r="Z711" s="21" t="n">
        <v>0.133</v>
      </c>
      <c r="AA711" s="16" t="n">
        <v>46094</v>
      </c>
      <c r="AB711" s="5">
        <f>IF(V711="","",IF(V711&lt;12,"Months","Weeks"))</f>
        <v/>
      </c>
      <c r="AC711" s="5">
        <f>IF(AB711="","",IF(AB711="Months","Daily","Weekly"))</f>
        <v/>
      </c>
      <c r="AD711" s="17">
        <f>IF(V711="","",IF(AC711="Daily",V711*Controls!$B$13,V711))</f>
        <v/>
      </c>
      <c r="AE711" s="17">
        <f>IF(V711="","",IF(AC711="Daily",V711*Controls!$B$13,V711*Controls!$B$12))</f>
        <v/>
      </c>
      <c r="AF711" s="17">
        <f>IF(OR(E711="",F711=""),"",F711-E711)</f>
        <v/>
      </c>
      <c r="AG711" s="17">
        <f>IF(OR(E711="",F711=""),"",NETWORKDAYS(E711,F711,Ref!$F$4:$F$47))</f>
        <v/>
      </c>
      <c r="AH711" s="39">
        <f>IF(IFERROR(VLOOKUP(D711,Controls!$A$25:$D$35,2,FALSE()),"No")="Yes",1,0)</f>
        <v/>
      </c>
      <c r="AI711" s="39">
        <f>IF(IFERROR(VLOOKUP(D711,Controls!$A$25:$D$35,3,FALSE()),"No")="Yes",1,0)</f>
        <v/>
      </c>
      <c r="AJ711" s="39">
        <f>IF(IFERROR(VLOOKUP(D711,Controls!$A$25:$D$35,4,FALSE()),"No")="Yes",1,0)</f>
        <v/>
      </c>
      <c r="AK711" s="96">
        <f>IF(AND($E711&gt;=Controls!$B$5,$E711&lt;=Controls!$B$6,OR(Controls!$E$9&lt;&gt;"Y",$BE711=1)),1,0)</f>
        <v/>
      </c>
      <c r="AL711" s="39">
        <f>1</f>
        <v/>
      </c>
      <c r="AM711" s="20">
        <f>S711-P711</f>
        <v/>
      </c>
      <c r="AN711" s="20">
        <f>IF(AH711=1,MAX(0,P711-S711),0)</f>
        <v/>
      </c>
      <c r="AO711" s="21">
        <f>IFERROR(S711/P711,"")</f>
        <v/>
      </c>
      <c r="AP711" s="22">
        <f>IF(Y711="","",P711/Y711)</f>
        <v/>
      </c>
      <c r="AQ711" s="39">
        <f>IF(Y711="",0,1)</f>
        <v/>
      </c>
      <c r="AR711" s="39">
        <f>IF(S711&lt;=0,1,0)</f>
        <v/>
      </c>
      <c r="AS711" s="17">
        <f>IF(AH711=1,AG711,"")</f>
        <v/>
      </c>
      <c r="AT711" s="17">
        <f>IF(AND(AH711=0,AJ711=1),AG711,"")</f>
        <v/>
      </c>
      <c r="AU711" s="5">
        <f>IF(P711&lt;10000,"Under $10K",IF(P711&lt;20000,"$10-20K",IF(P711&lt;30000,"$20-30K",IF(P711&lt;50000,"$30-50K",IF(P711&lt;100000,"$50-100K","$100K+")))))</f>
        <v/>
      </c>
      <c r="AV711" s="5">
        <f>IF(O711&lt;=1.35,"1.35 and under",IF(O711&lt;=1.42,"1.36-1.42",IF(O711&lt;=1.45,"1.43-1.45",IF(O711&lt;1.49,"1.46-1.48",IF(O711&lt;=1.49,"1.49","Above 1.49")))))</f>
        <v/>
      </c>
      <c r="AW711" s="5">
        <f>IF(AE711="","",IF(AE711&lt;60,"Under 60",IF(AE711&lt;90,"60-89",IF(AE711&lt;120,"90-119",IF(AE711&lt;150,"120-149","150+")))))</f>
        <v/>
      </c>
      <c r="AX711" s="5">
        <f>IF(AP711="","No revenue data",IF(AP711&lt;0.15,"Under 0.15x",IF(AP711&lt;0.3,"0.15-0.30x",IF(AP711&lt;0.5,"0.30-0.50x",IF(AP711&lt;1,"0.50-1.00x","1.00x+")))))</f>
        <v/>
      </c>
      <c r="AY711" s="5">
        <f>IF(J711="","No SIC",IFERROR(VLOOKUP(J711,Ref!$A$4:$C$67,2,FALSE()),"Unclassified"))</f>
        <v/>
      </c>
      <c r="AZ711" s="5">
        <f>IF(E711="","",TEXT(E711,"YYYY")&amp;"-Q"&amp;ROUNDUP(MONTH(E711)/3,0))</f>
        <v/>
      </c>
      <c r="BA711" s="5">
        <f>IF(E711="","",TEXT(E711,"YYYY-MM"))</f>
        <v/>
      </c>
      <c r="BB711" s="5">
        <f>IF(E711="","",TEXT(E711,"YYYY"))</f>
        <v/>
      </c>
      <c r="BC711" s="92">
        <f>IF($E711="","",NETWORKDAYS($E711,Controls!$B$9,Ref!$F$4:$F$47))</f>
        <v/>
      </c>
      <c r="BD711" s="92">
        <f>IF(OR($AH711=1,$AJ711=1),1,0)</f>
        <v/>
      </c>
      <c r="BE711" s="95">
        <f>IF(OR($BD711=1,AND($AE711&lt;&gt;"",$BC711&gt;=Controls!$B$10*$AE711)),1,0)</f>
        <v/>
      </c>
    </row>
    <row r="712" ht="15.75" customHeight="1" s="79">
      <c r="A712" s="5" t="inlineStr">
        <is>
          <t>5674180179</t>
        </is>
      </c>
      <c r="B712" s="5" t="inlineStr">
        <is>
          <t>scrubs4u</t>
        </is>
      </c>
      <c r="C712" s="5" t="inlineStr">
        <is>
          <t>scrub 4 U corp</t>
        </is>
      </c>
      <c r="D712" s="5" t="inlineStr">
        <is>
          <t>Lowered Payments</t>
        </is>
      </c>
      <c r="E712" s="16" t="n">
        <v>46094</v>
      </c>
      <c r="F712" s="16" t="n">
        <v>46248</v>
      </c>
      <c r="G712" s="17" t="n">
        <v>3</v>
      </c>
      <c r="H712" s="5" t="n"/>
      <c r="I712" s="5" t="n"/>
      <c r="J712" s="5" t="n"/>
      <c r="K712" s="5" t="n">
        <v>5999</v>
      </c>
      <c r="L712" s="5" t="inlineStr">
        <is>
          <t>CA</t>
        </is>
      </c>
      <c r="M712" s="5" t="inlineStr">
        <is>
          <t>Fundwell</t>
        </is>
      </c>
      <c r="N712" s="5" t="inlineStr">
        <is>
          <t>New Deal</t>
        </is>
      </c>
      <c r="O712" s="19" t="n">
        <v>1.42</v>
      </c>
      <c r="P712" s="20" t="n">
        <v>22000</v>
      </c>
      <c r="Q712" s="20" t="n">
        <v>3080</v>
      </c>
      <c r="R712" s="20" t="n">
        <v>31240</v>
      </c>
      <c r="S712" s="20" t="n">
        <v>19600.58</v>
      </c>
      <c r="T712" s="20" t="n">
        <v>11639.42</v>
      </c>
      <c r="U712" s="21" t="n">
        <v>0.62741933418694</v>
      </c>
      <c r="V712" s="22" t="n">
        <v>28</v>
      </c>
      <c r="W712" s="17" t="n">
        <v>5</v>
      </c>
      <c r="X712" s="17" t="n">
        <v>1</v>
      </c>
      <c r="Y712" s="20" t="n">
        <v>25855.28</v>
      </c>
      <c r="Z712" s="21" t="n">
        <v>0.1726</v>
      </c>
      <c r="AA712" s="16" t="n">
        <v>43160</v>
      </c>
      <c r="AB712" s="5">
        <f>IF(V712="","",IF(V712&lt;12,"Months","Weeks"))</f>
        <v/>
      </c>
      <c r="AC712" s="5">
        <f>IF(AB712="","",IF(AB712="Months","Daily","Weekly"))</f>
        <v/>
      </c>
      <c r="AD712" s="17">
        <f>IF(V712="","",IF(AC712="Daily",V712*Controls!$B$13,V712))</f>
        <v/>
      </c>
      <c r="AE712" s="17">
        <f>IF(V712="","",IF(AC712="Daily",V712*Controls!$B$13,V712*Controls!$B$12))</f>
        <v/>
      </c>
      <c r="AF712" s="17">
        <f>IF(OR(E712="",F712=""),"",F712-E712)</f>
        <v/>
      </c>
      <c r="AG712" s="17">
        <f>IF(OR(E712="",F712=""),"",NETWORKDAYS(E712,F712,Ref!$F$4:$F$47))</f>
        <v/>
      </c>
      <c r="AH712" s="39">
        <f>IF(IFERROR(VLOOKUP(D712,Controls!$A$25:$D$35,2,FALSE()),"No")="Yes",1,0)</f>
        <v/>
      </c>
      <c r="AI712" s="39">
        <f>IF(IFERROR(VLOOKUP(D712,Controls!$A$25:$D$35,3,FALSE()),"No")="Yes",1,0)</f>
        <v/>
      </c>
      <c r="AJ712" s="39">
        <f>IF(IFERROR(VLOOKUP(D712,Controls!$A$25:$D$35,4,FALSE()),"No")="Yes",1,0)</f>
        <v/>
      </c>
      <c r="AK712" s="96">
        <f>IF(AND($E712&gt;=Controls!$B$5,$E712&lt;=Controls!$B$6,OR(Controls!$E$9&lt;&gt;"Y",$BE712=1)),1,0)</f>
        <v/>
      </c>
      <c r="AL712" s="39">
        <f>1</f>
        <v/>
      </c>
      <c r="AM712" s="20">
        <f>S712-P712</f>
        <v/>
      </c>
      <c r="AN712" s="20">
        <f>IF(AH712=1,MAX(0,P712-S712),0)</f>
        <v/>
      </c>
      <c r="AO712" s="21">
        <f>IFERROR(S712/P712,"")</f>
        <v/>
      </c>
      <c r="AP712" s="22">
        <f>IF(Y712="","",P712/Y712)</f>
        <v/>
      </c>
      <c r="AQ712" s="39">
        <f>IF(Y712="",0,1)</f>
        <v/>
      </c>
      <c r="AR712" s="39">
        <f>IF(S712&lt;=0,1,0)</f>
        <v/>
      </c>
      <c r="AS712" s="17">
        <f>IF(AH712=1,AG712,"")</f>
        <v/>
      </c>
      <c r="AT712" s="17">
        <f>IF(AND(AH712=0,AJ712=1),AG712,"")</f>
        <v/>
      </c>
      <c r="AU712" s="5">
        <f>IF(P712&lt;10000,"Under $10K",IF(P712&lt;20000,"$10-20K",IF(P712&lt;30000,"$20-30K",IF(P712&lt;50000,"$30-50K",IF(P712&lt;100000,"$50-100K","$100K+")))))</f>
        <v/>
      </c>
      <c r="AV712" s="5">
        <f>IF(O712&lt;=1.35,"1.35 and under",IF(O712&lt;=1.42,"1.36-1.42",IF(O712&lt;=1.45,"1.43-1.45",IF(O712&lt;1.49,"1.46-1.48",IF(O712&lt;=1.49,"1.49","Above 1.49")))))</f>
        <v/>
      </c>
      <c r="AW712" s="5">
        <f>IF(AE712="","",IF(AE712&lt;60,"Under 60",IF(AE712&lt;90,"60-89",IF(AE712&lt;120,"90-119",IF(AE712&lt;150,"120-149","150+")))))</f>
        <v/>
      </c>
      <c r="AX712" s="5">
        <f>IF(AP712="","No revenue data",IF(AP712&lt;0.15,"Under 0.15x",IF(AP712&lt;0.3,"0.15-0.30x",IF(AP712&lt;0.5,"0.30-0.50x",IF(AP712&lt;1,"0.50-1.00x","1.00x+")))))</f>
        <v/>
      </c>
      <c r="AY712" s="5">
        <f>IF(J712="","No SIC",IFERROR(VLOOKUP(J712,Ref!$A$4:$C$67,2,FALSE()),"Unclassified"))</f>
        <v/>
      </c>
      <c r="AZ712" s="5">
        <f>IF(E712="","",TEXT(E712,"YYYY")&amp;"-Q"&amp;ROUNDUP(MONTH(E712)/3,0))</f>
        <v/>
      </c>
      <c r="BA712" s="5">
        <f>IF(E712="","",TEXT(E712,"YYYY-MM"))</f>
        <v/>
      </c>
      <c r="BB712" s="5">
        <f>IF(E712="","",TEXT(E712,"YYYY"))</f>
        <v/>
      </c>
      <c r="BC712" s="92">
        <f>IF($E712="","",NETWORKDAYS($E712,Controls!$B$9,Ref!$F$4:$F$47))</f>
        <v/>
      </c>
      <c r="BD712" s="92">
        <f>IF(OR($AH712=1,$AJ712=1),1,0)</f>
        <v/>
      </c>
      <c r="BE712" s="95">
        <f>IF(OR($BD712=1,AND($AE712&lt;&gt;"",$BC712&gt;=Controls!$B$10*$AE712)),1,0)</f>
        <v/>
      </c>
    </row>
    <row r="713" ht="15.75" customHeight="1" s="79">
      <c r="A713" s="5" t="inlineStr">
        <is>
          <t>5674180203</t>
        </is>
      </c>
      <c r="B713" s="5" t="inlineStr">
        <is>
          <t>Nest Protection Plan</t>
        </is>
      </c>
      <c r="C713" s="5" t="inlineStr">
        <is>
          <t>Miami Valley Environmental Services LLC</t>
        </is>
      </c>
      <c r="D713" s="5" t="inlineStr">
        <is>
          <t>Closed</t>
        </is>
      </c>
      <c r="E713" s="16" t="n">
        <v>46097</v>
      </c>
      <c r="F713" s="16" t="n">
        <v>46219</v>
      </c>
      <c r="G713" s="17" t="n">
        <v>3</v>
      </c>
      <c r="H713" s="5" t="inlineStr">
        <is>
          <t>8999</t>
        </is>
      </c>
      <c r="I713" s="5" t="inlineStr">
        <is>
          <t>Record Production</t>
        </is>
      </c>
      <c r="J713" s="5" t="inlineStr">
        <is>
          <t>89</t>
        </is>
      </c>
      <c r="K713" s="5" t="n">
        <v>8999</v>
      </c>
      <c r="L713" s="5" t="inlineStr">
        <is>
          <t>OH</t>
        </is>
      </c>
      <c r="M713" s="5" t="inlineStr">
        <is>
          <t>Fundwell</t>
        </is>
      </c>
      <c r="N713" s="5" t="inlineStr">
        <is>
          <t>Renewal</t>
        </is>
      </c>
      <c r="O713" s="19" t="n">
        <v>1.4</v>
      </c>
      <c r="P713" s="20" t="n">
        <v>15500</v>
      </c>
      <c r="Q713" s="20" t="n">
        <v>2015</v>
      </c>
      <c r="R713" s="20" t="n">
        <v>21700</v>
      </c>
      <c r="S713" s="20" t="n">
        <v>21700</v>
      </c>
      <c r="T713" s="20" t="n">
        <v>0</v>
      </c>
      <c r="U713" s="21" t="n">
        <v>1</v>
      </c>
      <c r="V713" s="22" t="n">
        <v>4.262</v>
      </c>
      <c r="W713" s="17" t="n">
        <v>34</v>
      </c>
      <c r="X713" s="17" t="n">
        <v>0</v>
      </c>
      <c r="Y713" s="20" t="n">
        <v>14934.99</v>
      </c>
      <c r="Z713" s="21" t="n">
        <v>0.2347</v>
      </c>
      <c r="AA713" s="16" t="n">
        <v>45524</v>
      </c>
      <c r="AB713" s="5">
        <f>IF(V713="","",IF(V713&lt;12,"Months","Weeks"))</f>
        <v/>
      </c>
      <c r="AC713" s="5">
        <f>IF(AB713="","",IF(AB713="Months","Daily","Weekly"))</f>
        <v/>
      </c>
      <c r="AD713" s="17">
        <f>IF(V713="","",IF(AC713="Daily",V713*Controls!$B$13,V713))</f>
        <v/>
      </c>
      <c r="AE713" s="17">
        <f>IF(V713="","",IF(AC713="Daily",V713*Controls!$B$13,V713*Controls!$B$12))</f>
        <v/>
      </c>
      <c r="AF713" s="17">
        <f>IF(OR(E713="",F713=""),"",F713-E713)</f>
        <v/>
      </c>
      <c r="AG713" s="17">
        <f>IF(OR(E713="",F713=""),"",NETWORKDAYS(E713,F713,Ref!$F$4:$F$47))</f>
        <v/>
      </c>
      <c r="AH713" s="39">
        <f>IF(IFERROR(VLOOKUP(D713,Controls!$A$25:$D$35,2,FALSE()),"No")="Yes",1,0)</f>
        <v/>
      </c>
      <c r="AI713" s="39">
        <f>IF(IFERROR(VLOOKUP(D713,Controls!$A$25:$D$35,3,FALSE()),"No")="Yes",1,0)</f>
        <v/>
      </c>
      <c r="AJ713" s="39">
        <f>IF(IFERROR(VLOOKUP(D713,Controls!$A$25:$D$35,4,FALSE()),"No")="Yes",1,0)</f>
        <v/>
      </c>
      <c r="AK713" s="96">
        <f>IF(AND($E713&gt;=Controls!$B$5,$E713&lt;=Controls!$B$6,OR(Controls!$E$9&lt;&gt;"Y",$BE713=1)),1,0)</f>
        <v/>
      </c>
      <c r="AL713" s="39">
        <f>1</f>
        <v/>
      </c>
      <c r="AM713" s="20">
        <f>S713-P713</f>
        <v/>
      </c>
      <c r="AN713" s="20">
        <f>IF(AH713=1,MAX(0,P713-S713),0)</f>
        <v/>
      </c>
      <c r="AO713" s="21">
        <f>IFERROR(S713/P713,"")</f>
        <v/>
      </c>
      <c r="AP713" s="22">
        <f>IF(Y713="","",P713/Y713)</f>
        <v/>
      </c>
      <c r="AQ713" s="39">
        <f>IF(Y713="",0,1)</f>
        <v/>
      </c>
      <c r="AR713" s="39">
        <f>IF(S713&lt;=0,1,0)</f>
        <v/>
      </c>
      <c r="AS713" s="17">
        <f>IF(AH713=1,AG713,"")</f>
        <v/>
      </c>
      <c r="AT713" s="17">
        <f>IF(AND(AH713=0,AJ713=1),AG713,"")</f>
        <v/>
      </c>
      <c r="AU713" s="5">
        <f>IF(P713&lt;10000,"Under $10K",IF(P713&lt;20000,"$10-20K",IF(P713&lt;30000,"$20-30K",IF(P713&lt;50000,"$30-50K",IF(P713&lt;100000,"$50-100K","$100K+")))))</f>
        <v/>
      </c>
      <c r="AV713" s="5">
        <f>IF(O713&lt;=1.35,"1.35 and under",IF(O713&lt;=1.42,"1.36-1.42",IF(O713&lt;=1.45,"1.43-1.45",IF(O713&lt;1.49,"1.46-1.48",IF(O713&lt;=1.49,"1.49","Above 1.49")))))</f>
        <v/>
      </c>
      <c r="AW713" s="5">
        <f>IF(AE713="","",IF(AE713&lt;60,"Under 60",IF(AE713&lt;90,"60-89",IF(AE713&lt;120,"90-119",IF(AE713&lt;150,"120-149","150+")))))</f>
        <v/>
      </c>
      <c r="AX713" s="5">
        <f>IF(AP713="","No revenue data",IF(AP713&lt;0.15,"Under 0.15x",IF(AP713&lt;0.3,"0.15-0.30x",IF(AP713&lt;0.5,"0.30-0.50x",IF(AP713&lt;1,"0.50-1.00x","1.00x+")))))</f>
        <v/>
      </c>
      <c r="AY713" s="5">
        <f>IF(J713="","No SIC",IFERROR(VLOOKUP(J713,Ref!$A$4:$C$67,2,FALSE()),"Unclassified"))</f>
        <v/>
      </c>
      <c r="AZ713" s="5">
        <f>IF(E713="","",TEXT(E713,"YYYY")&amp;"-Q"&amp;ROUNDUP(MONTH(E713)/3,0))</f>
        <v/>
      </c>
      <c r="BA713" s="5">
        <f>IF(E713="","",TEXT(E713,"YYYY-MM"))</f>
        <v/>
      </c>
      <c r="BB713" s="5">
        <f>IF(E713="","",TEXT(E713,"YYYY"))</f>
        <v/>
      </c>
      <c r="BC713" s="92">
        <f>IF($E713="","",NETWORKDAYS($E713,Controls!$B$9,Ref!$F$4:$F$47))</f>
        <v/>
      </c>
      <c r="BD713" s="92">
        <f>IF(OR($AH713=1,$AJ713=1),1,0)</f>
        <v/>
      </c>
      <c r="BE713" s="95">
        <f>IF(OR($BD713=1,AND($AE713&lt;&gt;"",$BC713&gt;=Controls!$B$10*$AE713)),1,0)</f>
        <v/>
      </c>
    </row>
    <row r="714" ht="15.75" customHeight="1" s="79">
      <c r="A714" s="5" t="inlineStr">
        <is>
          <t>5674180207</t>
        </is>
      </c>
      <c r="B714" s="5" t="inlineStr">
        <is>
          <t>BLU POWER SOLUTIONS DBA YORIKO S CARREON SOLE MBR</t>
        </is>
      </c>
      <c r="C714" s="5" t="inlineStr">
        <is>
          <t>BLU POWER SOLUTIONS, LLC</t>
        </is>
      </c>
      <c r="D714" s="5" t="inlineStr">
        <is>
          <t>Legal</t>
        </is>
      </c>
      <c r="E714" s="16" t="n">
        <v>46097</v>
      </c>
      <c r="F714" s="16" t="n">
        <v>46189</v>
      </c>
      <c r="G714" s="17" t="n">
        <v>3</v>
      </c>
      <c r="H714" s="5" t="inlineStr">
        <is>
          <t>8748</t>
        </is>
      </c>
      <c r="I714" s="5" t="inlineStr">
        <is>
          <t>Other Management Consulting Services</t>
        </is>
      </c>
      <c r="J714" s="5" t="inlineStr">
        <is>
          <t>87</t>
        </is>
      </c>
      <c r="K714" s="5" t="n">
        <v>7392</v>
      </c>
      <c r="L714" s="5" t="inlineStr">
        <is>
          <t>TX</t>
        </is>
      </c>
      <c r="M714" s="5" t="inlineStr">
        <is>
          <t>J Capital Solutions</t>
        </is>
      </c>
      <c r="N714" s="5" t="inlineStr">
        <is>
          <t>New Deal</t>
        </is>
      </c>
      <c r="O714" s="19" t="n">
        <v>1.49</v>
      </c>
      <c r="P714" s="20" t="n">
        <v>80000</v>
      </c>
      <c r="Q714" s="20" t="n">
        <v>0</v>
      </c>
      <c r="R714" s="20" t="n">
        <v>119200</v>
      </c>
      <c r="S714" s="20" t="n">
        <v>15018.62</v>
      </c>
      <c r="T714" s="20" t="n">
        <v>104181.38</v>
      </c>
      <c r="U714" s="21" t="n">
        <v>0.125995134228188</v>
      </c>
      <c r="V714" s="22" t="n">
        <v>27</v>
      </c>
      <c r="W714" s="17" t="n">
        <v>84</v>
      </c>
      <c r="X714" s="17" t="n">
        <v>32</v>
      </c>
      <c r="Y714" s="20" t="n">
        <v>241369.86</v>
      </c>
      <c r="Z714" s="21" t="n">
        <v>0.0732</v>
      </c>
      <c r="AA714" s="16" t="n">
        <v>44197</v>
      </c>
      <c r="AB714" s="5">
        <f>IF(V714="","",IF(V714&lt;12,"Months","Weeks"))</f>
        <v/>
      </c>
      <c r="AC714" s="5">
        <f>IF(AB714="","",IF(AB714="Months","Daily","Weekly"))</f>
        <v/>
      </c>
      <c r="AD714" s="17">
        <f>IF(V714="","",IF(AC714="Daily",V714*Controls!$B$13,V714))</f>
        <v/>
      </c>
      <c r="AE714" s="17">
        <f>IF(V714="","",IF(AC714="Daily",V714*Controls!$B$13,V714*Controls!$B$12))</f>
        <v/>
      </c>
      <c r="AF714" s="17">
        <f>IF(OR(E714="",F714=""),"",F714-E714)</f>
        <v/>
      </c>
      <c r="AG714" s="17">
        <f>IF(OR(E714="",F714=""),"",NETWORKDAYS(E714,F714,Ref!$F$4:$F$47))</f>
        <v/>
      </c>
      <c r="AH714" s="39">
        <f>IF(IFERROR(VLOOKUP(D714,Controls!$A$25:$D$35,2,FALSE()),"No")="Yes",1,0)</f>
        <v/>
      </c>
      <c r="AI714" s="39">
        <f>IF(IFERROR(VLOOKUP(D714,Controls!$A$25:$D$35,3,FALSE()),"No")="Yes",1,0)</f>
        <v/>
      </c>
      <c r="AJ714" s="39">
        <f>IF(IFERROR(VLOOKUP(D714,Controls!$A$25:$D$35,4,FALSE()),"No")="Yes",1,0)</f>
        <v/>
      </c>
      <c r="AK714" s="96">
        <f>IF(AND($E714&gt;=Controls!$B$5,$E714&lt;=Controls!$B$6,OR(Controls!$E$9&lt;&gt;"Y",$BE714=1)),1,0)</f>
        <v/>
      </c>
      <c r="AL714" s="39">
        <f>1</f>
        <v/>
      </c>
      <c r="AM714" s="20">
        <f>S714-P714</f>
        <v/>
      </c>
      <c r="AN714" s="20">
        <f>IF(AH714=1,MAX(0,P714-S714),0)</f>
        <v/>
      </c>
      <c r="AO714" s="21">
        <f>IFERROR(S714/P714,"")</f>
        <v/>
      </c>
      <c r="AP714" s="22">
        <f>IF(Y714="","",P714/Y714)</f>
        <v/>
      </c>
      <c r="AQ714" s="39">
        <f>IF(Y714="",0,1)</f>
        <v/>
      </c>
      <c r="AR714" s="39">
        <f>IF(S714&lt;=0,1,0)</f>
        <v/>
      </c>
      <c r="AS714" s="17">
        <f>IF(AH714=1,AG714,"")</f>
        <v/>
      </c>
      <c r="AT714" s="17">
        <f>IF(AND(AH714=0,AJ714=1),AG714,"")</f>
        <v/>
      </c>
      <c r="AU714" s="5">
        <f>IF(P714&lt;10000,"Under $10K",IF(P714&lt;20000,"$10-20K",IF(P714&lt;30000,"$20-30K",IF(P714&lt;50000,"$30-50K",IF(P714&lt;100000,"$50-100K","$100K+")))))</f>
        <v/>
      </c>
      <c r="AV714" s="5">
        <f>IF(O714&lt;=1.35,"1.35 and under",IF(O714&lt;=1.42,"1.36-1.42",IF(O714&lt;=1.45,"1.43-1.45",IF(O714&lt;1.49,"1.46-1.48",IF(O714&lt;=1.49,"1.49","Above 1.49")))))</f>
        <v/>
      </c>
      <c r="AW714" s="5">
        <f>IF(AE714="","",IF(AE714&lt;60,"Under 60",IF(AE714&lt;90,"60-89",IF(AE714&lt;120,"90-119",IF(AE714&lt;150,"120-149","150+")))))</f>
        <v/>
      </c>
      <c r="AX714" s="5">
        <f>IF(AP714="","No revenue data",IF(AP714&lt;0.15,"Under 0.15x",IF(AP714&lt;0.3,"0.15-0.30x",IF(AP714&lt;0.5,"0.30-0.50x",IF(AP714&lt;1,"0.50-1.00x","1.00x+")))))</f>
        <v/>
      </c>
      <c r="AY714" s="5">
        <f>IF(J714="","No SIC",IFERROR(VLOOKUP(J714,Ref!$A$4:$C$67,2,FALSE()),"Unclassified"))</f>
        <v/>
      </c>
      <c r="AZ714" s="5">
        <f>IF(E714="","",TEXT(E714,"YYYY")&amp;"-Q"&amp;ROUNDUP(MONTH(E714)/3,0))</f>
        <v/>
      </c>
      <c r="BA714" s="5">
        <f>IF(E714="","",TEXT(E714,"YYYY-MM"))</f>
        <v/>
      </c>
      <c r="BB714" s="5">
        <f>IF(E714="","",TEXT(E714,"YYYY"))</f>
        <v/>
      </c>
      <c r="BC714" s="92">
        <f>IF($E714="","",NETWORKDAYS($E714,Controls!$B$9,Ref!$F$4:$F$47))</f>
        <v/>
      </c>
      <c r="BD714" s="92">
        <f>IF(OR($AH714=1,$AJ714=1),1,0)</f>
        <v/>
      </c>
      <c r="BE714" s="95">
        <f>IF(OR($BD714=1,AND($AE714&lt;&gt;"",$BC714&gt;=Controls!$B$10*$AE714)),1,0)</f>
        <v/>
      </c>
    </row>
    <row r="715" ht="15.75" customHeight="1" s="79">
      <c r="A715" s="5" t="inlineStr">
        <is>
          <t>5674180211</t>
        </is>
      </c>
      <c r="B715" s="5" t="inlineStr">
        <is>
          <t>ON MY WAY EXPRESS</t>
        </is>
      </c>
      <c r="C715" s="5" t="inlineStr">
        <is>
          <t>ON MY WAY EXPRESS LLC</t>
        </is>
      </c>
      <c r="D715" s="5" t="inlineStr">
        <is>
          <t>Legal</t>
        </is>
      </c>
      <c r="E715" s="16" t="n">
        <v>46097</v>
      </c>
      <c r="F715" s="16" t="n">
        <v>46177</v>
      </c>
      <c r="G715" s="17" t="n">
        <v>3</v>
      </c>
      <c r="H715" s="5" t="inlineStr">
        <is>
          <t>4212</t>
        </is>
      </c>
      <c r="I715" s="5" t="inlineStr">
        <is>
          <t>Specialized Freight (Except Used Goods) Trucking, Local</t>
        </is>
      </c>
      <c r="J715" s="5" t="inlineStr">
        <is>
          <t>42</t>
        </is>
      </c>
      <c r="K715" s="5" t="n">
        <v>4214</v>
      </c>
      <c r="L715" s="5" t="inlineStr">
        <is>
          <t>MO</t>
        </is>
      </c>
      <c r="M715" s="5" t="inlineStr">
        <is>
          <t>United Secured Capital 8</t>
        </is>
      </c>
      <c r="N715" s="5" t="inlineStr">
        <is>
          <t>New Deal</t>
        </is>
      </c>
      <c r="O715" s="19" t="n">
        <v>1.49</v>
      </c>
      <c r="P715" s="20" t="n">
        <v>20000</v>
      </c>
      <c r="Q715" s="20" t="n">
        <v>2800</v>
      </c>
      <c r="R715" s="20" t="n">
        <v>29800</v>
      </c>
      <c r="S715" s="20" t="n">
        <v>12220.05</v>
      </c>
      <c r="T715" s="20" t="n">
        <v>17579.95</v>
      </c>
      <c r="U715" s="21" t="n">
        <v>0.410068791946309</v>
      </c>
      <c r="V715" s="22" t="n">
        <v>3.279</v>
      </c>
      <c r="W715" s="17" t="n">
        <v>98</v>
      </c>
      <c r="X715" s="17" t="n">
        <v>17</v>
      </c>
      <c r="Y715" s="20" t="n">
        <v>145000</v>
      </c>
      <c r="Z715" s="21" t="n">
        <v>0.1138</v>
      </c>
      <c r="AA715" s="16" t="n">
        <v>44883</v>
      </c>
      <c r="AB715" s="5">
        <f>IF(V715="","",IF(V715&lt;12,"Months","Weeks"))</f>
        <v/>
      </c>
      <c r="AC715" s="5">
        <f>IF(AB715="","",IF(AB715="Months","Daily","Weekly"))</f>
        <v/>
      </c>
      <c r="AD715" s="17">
        <f>IF(V715="","",IF(AC715="Daily",V715*Controls!$B$13,V715))</f>
        <v/>
      </c>
      <c r="AE715" s="17">
        <f>IF(V715="","",IF(AC715="Daily",V715*Controls!$B$13,V715*Controls!$B$12))</f>
        <v/>
      </c>
      <c r="AF715" s="17">
        <f>IF(OR(E715="",F715=""),"",F715-E715)</f>
        <v/>
      </c>
      <c r="AG715" s="17">
        <f>IF(OR(E715="",F715=""),"",NETWORKDAYS(E715,F715,Ref!$F$4:$F$47))</f>
        <v/>
      </c>
      <c r="AH715" s="39">
        <f>IF(IFERROR(VLOOKUP(D715,Controls!$A$25:$D$35,2,FALSE()),"No")="Yes",1,0)</f>
        <v/>
      </c>
      <c r="AI715" s="39">
        <f>IF(IFERROR(VLOOKUP(D715,Controls!$A$25:$D$35,3,FALSE()),"No")="Yes",1,0)</f>
        <v/>
      </c>
      <c r="AJ715" s="39">
        <f>IF(IFERROR(VLOOKUP(D715,Controls!$A$25:$D$35,4,FALSE()),"No")="Yes",1,0)</f>
        <v/>
      </c>
      <c r="AK715" s="96">
        <f>IF(AND($E715&gt;=Controls!$B$5,$E715&lt;=Controls!$B$6,OR(Controls!$E$9&lt;&gt;"Y",$BE715=1)),1,0)</f>
        <v/>
      </c>
      <c r="AL715" s="39">
        <f>1</f>
        <v/>
      </c>
      <c r="AM715" s="20">
        <f>S715-P715</f>
        <v/>
      </c>
      <c r="AN715" s="20">
        <f>IF(AH715=1,MAX(0,P715-S715),0)</f>
        <v/>
      </c>
      <c r="AO715" s="21">
        <f>IFERROR(S715/P715,"")</f>
        <v/>
      </c>
      <c r="AP715" s="22">
        <f>IF(Y715="","",P715/Y715)</f>
        <v/>
      </c>
      <c r="AQ715" s="39">
        <f>IF(Y715="",0,1)</f>
        <v/>
      </c>
      <c r="AR715" s="39">
        <f>IF(S715&lt;=0,1,0)</f>
        <v/>
      </c>
      <c r="AS715" s="17">
        <f>IF(AH715=1,AG715,"")</f>
        <v/>
      </c>
      <c r="AT715" s="17">
        <f>IF(AND(AH715=0,AJ715=1),AG715,"")</f>
        <v/>
      </c>
      <c r="AU715" s="5">
        <f>IF(P715&lt;10000,"Under $10K",IF(P715&lt;20000,"$10-20K",IF(P715&lt;30000,"$20-30K",IF(P715&lt;50000,"$30-50K",IF(P715&lt;100000,"$50-100K","$100K+")))))</f>
        <v/>
      </c>
      <c r="AV715" s="5">
        <f>IF(O715&lt;=1.35,"1.35 and under",IF(O715&lt;=1.42,"1.36-1.42",IF(O715&lt;=1.45,"1.43-1.45",IF(O715&lt;1.49,"1.46-1.48",IF(O715&lt;=1.49,"1.49","Above 1.49")))))</f>
        <v/>
      </c>
      <c r="AW715" s="5">
        <f>IF(AE715="","",IF(AE715&lt;60,"Under 60",IF(AE715&lt;90,"60-89",IF(AE715&lt;120,"90-119",IF(AE715&lt;150,"120-149","150+")))))</f>
        <v/>
      </c>
      <c r="AX715" s="5">
        <f>IF(AP715="","No revenue data",IF(AP715&lt;0.15,"Under 0.15x",IF(AP715&lt;0.3,"0.15-0.30x",IF(AP715&lt;0.5,"0.30-0.50x",IF(AP715&lt;1,"0.50-1.00x","1.00x+")))))</f>
        <v/>
      </c>
      <c r="AY715" s="5">
        <f>IF(J715="","No SIC",IFERROR(VLOOKUP(J715,Ref!$A$4:$C$67,2,FALSE()),"Unclassified"))</f>
        <v/>
      </c>
      <c r="AZ715" s="5">
        <f>IF(E715="","",TEXT(E715,"YYYY")&amp;"-Q"&amp;ROUNDUP(MONTH(E715)/3,0))</f>
        <v/>
      </c>
      <c r="BA715" s="5">
        <f>IF(E715="","",TEXT(E715,"YYYY-MM"))</f>
        <v/>
      </c>
      <c r="BB715" s="5">
        <f>IF(E715="","",TEXT(E715,"YYYY"))</f>
        <v/>
      </c>
      <c r="BC715" s="92">
        <f>IF($E715="","",NETWORKDAYS($E715,Controls!$B$9,Ref!$F$4:$F$47))</f>
        <v/>
      </c>
      <c r="BD715" s="92">
        <f>IF(OR($AH715=1,$AJ715=1),1,0)</f>
        <v/>
      </c>
      <c r="BE715" s="95">
        <f>IF(OR($BD715=1,AND($AE715&lt;&gt;"",$BC715&gt;=Controls!$B$10*$AE715)),1,0)</f>
        <v/>
      </c>
    </row>
    <row r="716" ht="15.75" customHeight="1" s="79">
      <c r="A716" s="5" t="inlineStr">
        <is>
          <t>5674180214</t>
        </is>
      </c>
      <c r="B716" s="5" t="inlineStr">
        <is>
          <t>KABOB VILLAGE</t>
        </is>
      </c>
      <c r="C716" s="5" t="inlineStr">
        <is>
          <t>KABOB VILLAGE VIP CALABASAS</t>
        </is>
      </c>
      <c r="D716" s="5" t="inlineStr">
        <is>
          <t>Open</t>
        </is>
      </c>
      <c r="E716" s="16" t="n">
        <v>46097</v>
      </c>
      <c r="F716" s="16" t="n">
        <v>46248</v>
      </c>
      <c r="G716" s="17" t="n">
        <v>3</v>
      </c>
      <c r="H716" s="5" t="inlineStr">
        <is>
          <t>5812</t>
        </is>
      </c>
      <c r="I716" s="5" t="inlineStr">
        <is>
          <t>Snack and Nonalcoholic Beverage Bars</t>
        </is>
      </c>
      <c r="J716" s="5" t="inlineStr">
        <is>
          <t>58</t>
        </is>
      </c>
      <c r="K716" s="5" t="n">
        <v>5812</v>
      </c>
      <c r="L716" s="5" t="inlineStr">
        <is>
          <t>CA</t>
        </is>
      </c>
      <c r="M716" s="5" t="inlineStr">
        <is>
          <t>lexington capital holdings</t>
        </is>
      </c>
      <c r="N716" s="5" t="inlineStr">
        <is>
          <t>New Deal</t>
        </is>
      </c>
      <c r="O716" s="19" t="n">
        <v>1.49</v>
      </c>
      <c r="P716" s="20" t="n">
        <v>20000</v>
      </c>
      <c r="Q716" s="20" t="n">
        <v>2800</v>
      </c>
      <c r="R716" s="20" t="n">
        <v>29800</v>
      </c>
      <c r="S716" s="20" t="n">
        <v>17634.27</v>
      </c>
      <c r="T716" s="20" t="n">
        <v>12165.73</v>
      </c>
      <c r="U716" s="21" t="n">
        <v>0.591754026845638</v>
      </c>
      <c r="V716" s="22" t="n">
        <v>3.934</v>
      </c>
      <c r="W716" s="17" t="n">
        <v>55</v>
      </c>
      <c r="X716" s="17" t="n">
        <v>20</v>
      </c>
      <c r="Y716" s="20" t="n">
        <v>80989.14</v>
      </c>
      <c r="Z716" s="21" t="n">
        <v>0.0644</v>
      </c>
      <c r="AA716" s="16" t="n">
        <v>45519</v>
      </c>
      <c r="AB716" s="5">
        <f>IF(V716="","",IF(V716&lt;12,"Months","Weeks"))</f>
        <v/>
      </c>
      <c r="AC716" s="5">
        <f>IF(AB716="","",IF(AB716="Months","Daily","Weekly"))</f>
        <v/>
      </c>
      <c r="AD716" s="17">
        <f>IF(V716="","",IF(AC716="Daily",V716*Controls!$B$13,V716))</f>
        <v/>
      </c>
      <c r="AE716" s="17">
        <f>IF(V716="","",IF(AC716="Daily",V716*Controls!$B$13,V716*Controls!$B$12))</f>
        <v/>
      </c>
      <c r="AF716" s="17">
        <f>IF(OR(E716="",F716=""),"",F716-E716)</f>
        <v/>
      </c>
      <c r="AG716" s="17">
        <f>IF(OR(E716="",F716=""),"",NETWORKDAYS(E716,F716,Ref!$F$4:$F$47))</f>
        <v/>
      </c>
      <c r="AH716" s="39">
        <f>IF(IFERROR(VLOOKUP(D716,Controls!$A$25:$D$35,2,FALSE()),"No")="Yes",1,0)</f>
        <v/>
      </c>
      <c r="AI716" s="39">
        <f>IF(IFERROR(VLOOKUP(D716,Controls!$A$25:$D$35,3,FALSE()),"No")="Yes",1,0)</f>
        <v/>
      </c>
      <c r="AJ716" s="39">
        <f>IF(IFERROR(VLOOKUP(D716,Controls!$A$25:$D$35,4,FALSE()),"No")="Yes",1,0)</f>
        <v/>
      </c>
      <c r="AK716" s="96">
        <f>IF(AND($E716&gt;=Controls!$B$5,$E716&lt;=Controls!$B$6,OR(Controls!$E$9&lt;&gt;"Y",$BE716=1)),1,0)</f>
        <v/>
      </c>
      <c r="AL716" s="39">
        <f>1</f>
        <v/>
      </c>
      <c r="AM716" s="20">
        <f>S716-P716</f>
        <v/>
      </c>
      <c r="AN716" s="20">
        <f>IF(AH716=1,MAX(0,P716-S716),0)</f>
        <v/>
      </c>
      <c r="AO716" s="21">
        <f>IFERROR(S716/P716,"")</f>
        <v/>
      </c>
      <c r="AP716" s="22">
        <f>IF(Y716="","",P716/Y716)</f>
        <v/>
      </c>
      <c r="AQ716" s="39">
        <f>IF(Y716="",0,1)</f>
        <v/>
      </c>
      <c r="AR716" s="39">
        <f>IF(S716&lt;=0,1,0)</f>
        <v/>
      </c>
      <c r="AS716" s="17">
        <f>IF(AH716=1,AG716,"")</f>
        <v/>
      </c>
      <c r="AT716" s="17">
        <f>IF(AND(AH716=0,AJ716=1),AG716,"")</f>
        <v/>
      </c>
      <c r="AU716" s="5">
        <f>IF(P716&lt;10000,"Under $10K",IF(P716&lt;20000,"$10-20K",IF(P716&lt;30000,"$20-30K",IF(P716&lt;50000,"$30-50K",IF(P716&lt;100000,"$50-100K","$100K+")))))</f>
        <v/>
      </c>
      <c r="AV716" s="5">
        <f>IF(O716&lt;=1.35,"1.35 and under",IF(O716&lt;=1.42,"1.36-1.42",IF(O716&lt;=1.45,"1.43-1.45",IF(O716&lt;1.49,"1.46-1.48",IF(O716&lt;=1.49,"1.49","Above 1.49")))))</f>
        <v/>
      </c>
      <c r="AW716" s="5">
        <f>IF(AE716="","",IF(AE716&lt;60,"Under 60",IF(AE716&lt;90,"60-89",IF(AE716&lt;120,"90-119",IF(AE716&lt;150,"120-149","150+")))))</f>
        <v/>
      </c>
      <c r="AX716" s="5">
        <f>IF(AP716="","No revenue data",IF(AP716&lt;0.15,"Under 0.15x",IF(AP716&lt;0.3,"0.15-0.30x",IF(AP716&lt;0.5,"0.30-0.50x",IF(AP716&lt;1,"0.50-1.00x","1.00x+")))))</f>
        <v/>
      </c>
      <c r="AY716" s="5">
        <f>IF(J716="","No SIC",IFERROR(VLOOKUP(J716,Ref!$A$4:$C$67,2,FALSE()),"Unclassified"))</f>
        <v/>
      </c>
      <c r="AZ716" s="5">
        <f>IF(E716="","",TEXT(E716,"YYYY")&amp;"-Q"&amp;ROUNDUP(MONTH(E716)/3,0))</f>
        <v/>
      </c>
      <c r="BA716" s="5">
        <f>IF(E716="","",TEXT(E716,"YYYY-MM"))</f>
        <v/>
      </c>
      <c r="BB716" s="5">
        <f>IF(E716="","",TEXT(E716,"YYYY"))</f>
        <v/>
      </c>
      <c r="BC716" s="92">
        <f>IF($E716="","",NETWORKDAYS($E716,Controls!$B$9,Ref!$F$4:$F$47))</f>
        <v/>
      </c>
      <c r="BD716" s="92">
        <f>IF(OR($AH716=1,$AJ716=1),1,0)</f>
        <v/>
      </c>
      <c r="BE716" s="95">
        <f>IF(OR($BD716=1,AND($AE716&lt;&gt;"",$BC716&gt;=Controls!$B$10*$AE716)),1,0)</f>
        <v/>
      </c>
    </row>
    <row r="717" ht="15.75" customHeight="1" s="79">
      <c r="A717" s="5" t="inlineStr">
        <is>
          <t>5674180232</t>
        </is>
      </c>
      <c r="B717" s="5" t="inlineStr">
        <is>
          <t>NOR CAL CONCRETE CUTTING INC.</t>
        </is>
      </c>
      <c r="C717" s="5" t="inlineStr">
        <is>
          <t>NOR CAL CONCRETE CUTTING INC.</t>
        </is>
      </c>
      <c r="D717" s="5" t="inlineStr">
        <is>
          <t>Open</t>
        </is>
      </c>
      <c r="E717" s="16" t="n">
        <v>46097</v>
      </c>
      <c r="F717" s="16" t="n">
        <v>46248</v>
      </c>
      <c r="G717" s="17" t="n">
        <v>3</v>
      </c>
      <c r="H717" s="5" t="inlineStr">
        <is>
          <t>1521</t>
        </is>
      </c>
      <c r="I717" s="5" t="inlineStr">
        <is>
          <t>Residential Remodelers</t>
        </is>
      </c>
      <c r="J717" s="5" t="inlineStr">
        <is>
          <t>15</t>
        </is>
      </c>
      <c r="K717" s="5" t="n">
        <v>1520</v>
      </c>
      <c r="L717" s="5" t="inlineStr">
        <is>
          <t>CA</t>
        </is>
      </c>
      <c r="M717" s="5" t="inlineStr">
        <is>
          <t>NS PRO INC.</t>
        </is>
      </c>
      <c r="N717" s="5" t="inlineStr">
        <is>
          <t>New Deal</t>
        </is>
      </c>
      <c r="O717" s="19" t="n">
        <v>1.49</v>
      </c>
      <c r="P717" s="20" t="n">
        <v>15000</v>
      </c>
      <c r="Q717" s="20" t="n">
        <v>2100</v>
      </c>
      <c r="R717" s="20" t="n">
        <v>22350</v>
      </c>
      <c r="S717" s="20" t="n">
        <v>9451.09</v>
      </c>
      <c r="T717" s="20" t="n">
        <v>12898.91</v>
      </c>
      <c r="U717" s="21" t="n">
        <v>0.422867561521253</v>
      </c>
      <c r="V717" s="22" t="n">
        <v>26</v>
      </c>
      <c r="W717" s="17" t="n">
        <v>5</v>
      </c>
      <c r="X717" s="17" t="n">
        <v>11</v>
      </c>
      <c r="Y717" s="20" t="n">
        <v>101513.17</v>
      </c>
      <c r="Z717" s="21" t="n">
        <v>0.042</v>
      </c>
      <c r="AA717" s="16" t="n">
        <v>43936</v>
      </c>
      <c r="AB717" s="5">
        <f>IF(V717="","",IF(V717&lt;12,"Months","Weeks"))</f>
        <v/>
      </c>
      <c r="AC717" s="5">
        <f>IF(AB717="","",IF(AB717="Months","Daily","Weekly"))</f>
        <v/>
      </c>
      <c r="AD717" s="17">
        <f>IF(V717="","",IF(AC717="Daily",V717*Controls!$B$13,V717))</f>
        <v/>
      </c>
      <c r="AE717" s="17">
        <f>IF(V717="","",IF(AC717="Daily",V717*Controls!$B$13,V717*Controls!$B$12))</f>
        <v/>
      </c>
      <c r="AF717" s="17">
        <f>IF(OR(E717="",F717=""),"",F717-E717)</f>
        <v/>
      </c>
      <c r="AG717" s="17">
        <f>IF(OR(E717="",F717=""),"",NETWORKDAYS(E717,F717,Ref!$F$4:$F$47))</f>
        <v/>
      </c>
      <c r="AH717" s="39">
        <f>IF(IFERROR(VLOOKUP(D717,Controls!$A$25:$D$35,2,FALSE()),"No")="Yes",1,0)</f>
        <v/>
      </c>
      <c r="AI717" s="39">
        <f>IF(IFERROR(VLOOKUP(D717,Controls!$A$25:$D$35,3,FALSE()),"No")="Yes",1,0)</f>
        <v/>
      </c>
      <c r="AJ717" s="39">
        <f>IF(IFERROR(VLOOKUP(D717,Controls!$A$25:$D$35,4,FALSE()),"No")="Yes",1,0)</f>
        <v/>
      </c>
      <c r="AK717" s="96">
        <f>IF(AND($E717&gt;=Controls!$B$5,$E717&lt;=Controls!$B$6,OR(Controls!$E$9&lt;&gt;"Y",$BE717=1)),1,0)</f>
        <v/>
      </c>
      <c r="AL717" s="39">
        <f>1</f>
        <v/>
      </c>
      <c r="AM717" s="20">
        <f>S717-P717</f>
        <v/>
      </c>
      <c r="AN717" s="20">
        <f>IF(AH717=1,MAX(0,P717-S717),0)</f>
        <v/>
      </c>
      <c r="AO717" s="21">
        <f>IFERROR(S717/P717,"")</f>
        <v/>
      </c>
      <c r="AP717" s="22">
        <f>IF(Y717="","",P717/Y717)</f>
        <v/>
      </c>
      <c r="AQ717" s="39">
        <f>IF(Y717="",0,1)</f>
        <v/>
      </c>
      <c r="AR717" s="39">
        <f>IF(S717&lt;=0,1,0)</f>
        <v/>
      </c>
      <c r="AS717" s="17">
        <f>IF(AH717=1,AG717,"")</f>
        <v/>
      </c>
      <c r="AT717" s="17">
        <f>IF(AND(AH717=0,AJ717=1),AG717,"")</f>
        <v/>
      </c>
      <c r="AU717" s="5">
        <f>IF(P717&lt;10000,"Under $10K",IF(P717&lt;20000,"$10-20K",IF(P717&lt;30000,"$20-30K",IF(P717&lt;50000,"$30-50K",IF(P717&lt;100000,"$50-100K","$100K+")))))</f>
        <v/>
      </c>
      <c r="AV717" s="5">
        <f>IF(O717&lt;=1.35,"1.35 and under",IF(O717&lt;=1.42,"1.36-1.42",IF(O717&lt;=1.45,"1.43-1.45",IF(O717&lt;1.49,"1.46-1.48",IF(O717&lt;=1.49,"1.49","Above 1.49")))))</f>
        <v/>
      </c>
      <c r="AW717" s="5">
        <f>IF(AE717="","",IF(AE717&lt;60,"Under 60",IF(AE717&lt;90,"60-89",IF(AE717&lt;120,"90-119",IF(AE717&lt;150,"120-149","150+")))))</f>
        <v/>
      </c>
      <c r="AX717" s="5">
        <f>IF(AP717="","No revenue data",IF(AP717&lt;0.15,"Under 0.15x",IF(AP717&lt;0.3,"0.15-0.30x",IF(AP717&lt;0.5,"0.30-0.50x",IF(AP717&lt;1,"0.50-1.00x","1.00x+")))))</f>
        <v/>
      </c>
      <c r="AY717" s="5">
        <f>IF(J717="","No SIC",IFERROR(VLOOKUP(J717,Ref!$A$4:$C$67,2,FALSE()),"Unclassified"))</f>
        <v/>
      </c>
      <c r="AZ717" s="5">
        <f>IF(E717="","",TEXT(E717,"YYYY")&amp;"-Q"&amp;ROUNDUP(MONTH(E717)/3,0))</f>
        <v/>
      </c>
      <c r="BA717" s="5">
        <f>IF(E717="","",TEXT(E717,"YYYY-MM"))</f>
        <v/>
      </c>
      <c r="BB717" s="5">
        <f>IF(E717="","",TEXT(E717,"YYYY"))</f>
        <v/>
      </c>
      <c r="BC717" s="92">
        <f>IF($E717="","",NETWORKDAYS($E717,Controls!$B$9,Ref!$F$4:$F$47))</f>
        <v/>
      </c>
      <c r="BD717" s="92">
        <f>IF(OR($AH717=1,$AJ717=1),1,0)</f>
        <v/>
      </c>
      <c r="BE717" s="95">
        <f>IF(OR($BD717=1,AND($AE717&lt;&gt;"",$BC717&gt;=Controls!$B$10*$AE717)),1,0)</f>
        <v/>
      </c>
    </row>
    <row r="718" ht="15.75" customHeight="1" s="79">
      <c r="A718" s="5" t="inlineStr">
        <is>
          <t>5674180282</t>
        </is>
      </c>
      <c r="B718" s="5" t="inlineStr">
        <is>
          <t>Resurge Insurance Marketing, Inc.</t>
        </is>
      </c>
      <c r="C718" s="5" t="inlineStr">
        <is>
          <t>Resurge Insurance Marketing, Inc.</t>
        </is>
      </c>
      <c r="D718" s="5" t="inlineStr">
        <is>
          <t>Closed</t>
        </is>
      </c>
      <c r="E718" s="16" t="n">
        <v>46098</v>
      </c>
      <c r="F718" s="16" t="n">
        <v>46177</v>
      </c>
      <c r="G718" s="17" t="n">
        <v>3</v>
      </c>
      <c r="H718" s="5" t="inlineStr">
        <is>
          <t>6411</t>
        </is>
      </c>
      <c r="I718" s="5" t="inlineStr">
        <is>
          <t>Claims Adjusting</t>
        </is>
      </c>
      <c r="J718" s="5" t="inlineStr">
        <is>
          <t>64</t>
        </is>
      </c>
      <c r="K718" s="5" t="n">
        <v>6399</v>
      </c>
      <c r="L718" s="5" t="inlineStr">
        <is>
          <t>CT</t>
        </is>
      </c>
      <c r="M718" s="5" t="inlineStr">
        <is>
          <t>Vanguard Equities</t>
        </is>
      </c>
      <c r="N718" s="5" t="inlineStr">
        <is>
          <t>New Deal</t>
        </is>
      </c>
      <c r="O718" s="19" t="n">
        <v>1.42</v>
      </c>
      <c r="P718" s="20" t="n">
        <v>25000</v>
      </c>
      <c r="Q718" s="20" t="n">
        <v>2625</v>
      </c>
      <c r="R718" s="20" t="n">
        <v>35500</v>
      </c>
      <c r="S718" s="20" t="n">
        <v>35500</v>
      </c>
      <c r="T718" s="20" t="n">
        <v>0</v>
      </c>
      <c r="U718" s="21" t="n">
        <v>1</v>
      </c>
      <c r="V718" s="22" t="n">
        <v>18</v>
      </c>
      <c r="W718" s="17" t="n">
        <v>76</v>
      </c>
      <c r="X718" s="17" t="n">
        <v>0</v>
      </c>
      <c r="Y718" s="20" t="n">
        <v>48422.85</v>
      </c>
      <c r="Z718" s="21" t="n">
        <v>0.1629</v>
      </c>
      <c r="AA718" s="16" t="n">
        <v>45405</v>
      </c>
      <c r="AB718" s="5">
        <f>IF(V718="","",IF(V718&lt;12,"Months","Weeks"))</f>
        <v/>
      </c>
      <c r="AC718" s="5">
        <f>IF(AB718="","",IF(AB718="Months","Daily","Weekly"))</f>
        <v/>
      </c>
      <c r="AD718" s="17">
        <f>IF(V718="","",IF(AC718="Daily",V718*Controls!$B$13,V718))</f>
        <v/>
      </c>
      <c r="AE718" s="17">
        <f>IF(V718="","",IF(AC718="Daily",V718*Controls!$B$13,V718*Controls!$B$12))</f>
        <v/>
      </c>
      <c r="AF718" s="17">
        <f>IF(OR(E718="",F718=""),"",F718-E718)</f>
        <v/>
      </c>
      <c r="AG718" s="17">
        <f>IF(OR(E718="",F718=""),"",NETWORKDAYS(E718,F718,Ref!$F$4:$F$47))</f>
        <v/>
      </c>
      <c r="AH718" s="39">
        <f>IF(IFERROR(VLOOKUP(D718,Controls!$A$25:$D$35,2,FALSE()),"No")="Yes",1,0)</f>
        <v/>
      </c>
      <c r="AI718" s="39">
        <f>IF(IFERROR(VLOOKUP(D718,Controls!$A$25:$D$35,3,FALSE()),"No")="Yes",1,0)</f>
        <v/>
      </c>
      <c r="AJ718" s="39">
        <f>IF(IFERROR(VLOOKUP(D718,Controls!$A$25:$D$35,4,FALSE()),"No")="Yes",1,0)</f>
        <v/>
      </c>
      <c r="AK718" s="96">
        <f>IF(AND($E718&gt;=Controls!$B$5,$E718&lt;=Controls!$B$6,OR(Controls!$E$9&lt;&gt;"Y",$BE718=1)),1,0)</f>
        <v/>
      </c>
      <c r="AL718" s="39">
        <f>1</f>
        <v/>
      </c>
      <c r="AM718" s="20">
        <f>S718-P718</f>
        <v/>
      </c>
      <c r="AN718" s="20">
        <f>IF(AH718=1,MAX(0,P718-S718),0)</f>
        <v/>
      </c>
      <c r="AO718" s="21">
        <f>IFERROR(S718/P718,"")</f>
        <v/>
      </c>
      <c r="AP718" s="22">
        <f>IF(Y718="","",P718/Y718)</f>
        <v/>
      </c>
      <c r="AQ718" s="39">
        <f>IF(Y718="",0,1)</f>
        <v/>
      </c>
      <c r="AR718" s="39">
        <f>IF(S718&lt;=0,1,0)</f>
        <v/>
      </c>
      <c r="AS718" s="17">
        <f>IF(AH718=1,AG718,"")</f>
        <v/>
      </c>
      <c r="AT718" s="17">
        <f>IF(AND(AH718=0,AJ718=1),AG718,"")</f>
        <v/>
      </c>
      <c r="AU718" s="5">
        <f>IF(P718&lt;10000,"Under $10K",IF(P718&lt;20000,"$10-20K",IF(P718&lt;30000,"$20-30K",IF(P718&lt;50000,"$30-50K",IF(P718&lt;100000,"$50-100K","$100K+")))))</f>
        <v/>
      </c>
      <c r="AV718" s="5">
        <f>IF(O718&lt;=1.35,"1.35 and under",IF(O718&lt;=1.42,"1.36-1.42",IF(O718&lt;=1.45,"1.43-1.45",IF(O718&lt;1.49,"1.46-1.48",IF(O718&lt;=1.49,"1.49","Above 1.49")))))</f>
        <v/>
      </c>
      <c r="AW718" s="5">
        <f>IF(AE718="","",IF(AE718&lt;60,"Under 60",IF(AE718&lt;90,"60-89",IF(AE718&lt;120,"90-119",IF(AE718&lt;150,"120-149","150+")))))</f>
        <v/>
      </c>
      <c r="AX718" s="5">
        <f>IF(AP718="","No revenue data",IF(AP718&lt;0.15,"Under 0.15x",IF(AP718&lt;0.3,"0.15-0.30x",IF(AP718&lt;0.5,"0.30-0.50x",IF(AP718&lt;1,"0.50-1.00x","1.00x+")))))</f>
        <v/>
      </c>
      <c r="AY718" s="5">
        <f>IF(J718="","No SIC",IFERROR(VLOOKUP(J718,Ref!$A$4:$C$67,2,FALSE()),"Unclassified"))</f>
        <v/>
      </c>
      <c r="AZ718" s="5">
        <f>IF(E718="","",TEXT(E718,"YYYY")&amp;"-Q"&amp;ROUNDUP(MONTH(E718)/3,0))</f>
        <v/>
      </c>
      <c r="BA718" s="5">
        <f>IF(E718="","",TEXT(E718,"YYYY-MM"))</f>
        <v/>
      </c>
      <c r="BB718" s="5">
        <f>IF(E718="","",TEXT(E718,"YYYY"))</f>
        <v/>
      </c>
      <c r="BC718" s="92">
        <f>IF($E718="","",NETWORKDAYS($E718,Controls!$B$9,Ref!$F$4:$F$47))</f>
        <v/>
      </c>
      <c r="BD718" s="92">
        <f>IF(OR($AH718=1,$AJ718=1),1,0)</f>
        <v/>
      </c>
      <c r="BE718" s="95">
        <f>IF(OR($BD718=1,AND($AE718&lt;&gt;"",$BC718&gt;=Controls!$B$10*$AE718)),1,0)</f>
        <v/>
      </c>
    </row>
    <row r="719" ht="15.75" customHeight="1" s="79">
      <c r="A719" s="5" t="inlineStr">
        <is>
          <t>5674180316</t>
        </is>
      </c>
      <c r="B719" s="5" t="inlineStr">
        <is>
          <t>TK AUTOMOTIVE LOGISTICS SOLUTIONS DBA MARIO DOMINGUEZ SOLE MBR</t>
        </is>
      </c>
      <c r="C719" s="5" t="inlineStr">
        <is>
          <t>TK AUTOMOTIVE LOGISTICS SOLUTIONS LLC</t>
        </is>
      </c>
      <c r="D719" s="5" t="inlineStr">
        <is>
          <t>Closed</t>
        </is>
      </c>
      <c r="E719" s="16" t="n">
        <v>46098</v>
      </c>
      <c r="F719" s="16" t="n">
        <v>46168</v>
      </c>
      <c r="G719" s="17" t="n">
        <v>4</v>
      </c>
      <c r="H719" s="5" t="inlineStr">
        <is>
          <t>5012</t>
        </is>
      </c>
      <c r="I719" s="5" t="inlineStr">
        <is>
          <t>Automobile and Other Motor Vehicle Merchant Wholesalers</t>
        </is>
      </c>
      <c r="J719" s="5" t="inlineStr">
        <is>
          <t>50</t>
        </is>
      </c>
      <c r="K719" s="5" t="n">
        <v>5521</v>
      </c>
      <c r="L719" s="5" t="inlineStr">
        <is>
          <t>TX</t>
        </is>
      </c>
      <c r="M719" s="5" t="inlineStr">
        <is>
          <t>United Secured Capital 8</t>
        </is>
      </c>
      <c r="N719" s="5" t="inlineStr">
        <is>
          <t>New Deal</t>
        </is>
      </c>
      <c r="O719" s="19" t="n">
        <v>1.39</v>
      </c>
      <c r="P719" s="20" t="n">
        <v>50000</v>
      </c>
      <c r="Q719" s="20" t="n">
        <v>4500</v>
      </c>
      <c r="R719" s="20" t="n">
        <v>69500</v>
      </c>
      <c r="S719" s="20" t="n">
        <v>69500</v>
      </c>
      <c r="T719" s="20" t="n">
        <v>0</v>
      </c>
      <c r="U719" s="21" t="n">
        <v>1</v>
      </c>
      <c r="V719" s="22" t="n">
        <v>2.721</v>
      </c>
      <c r="W719" s="17" t="n">
        <v>85</v>
      </c>
      <c r="X719" s="17" t="n">
        <v>0</v>
      </c>
      <c r="Y719" s="20" t="n">
        <v>950775.36</v>
      </c>
      <c r="Z719" s="21" t="n">
        <v>0.019</v>
      </c>
      <c r="AA719" s="16" t="n">
        <v>41277</v>
      </c>
      <c r="AB719" s="5">
        <f>IF(V719="","",IF(V719&lt;12,"Months","Weeks"))</f>
        <v/>
      </c>
      <c r="AC719" s="5">
        <f>IF(AB719="","",IF(AB719="Months","Daily","Weekly"))</f>
        <v/>
      </c>
      <c r="AD719" s="17">
        <f>IF(V719="","",IF(AC719="Daily",V719*Controls!$B$13,V719))</f>
        <v/>
      </c>
      <c r="AE719" s="17">
        <f>IF(V719="","",IF(AC719="Daily",V719*Controls!$B$13,V719*Controls!$B$12))</f>
        <v/>
      </c>
      <c r="AF719" s="17">
        <f>IF(OR(E719="",F719=""),"",F719-E719)</f>
        <v/>
      </c>
      <c r="AG719" s="17">
        <f>IF(OR(E719="",F719=""),"",NETWORKDAYS(E719,F719,Ref!$F$4:$F$47))</f>
        <v/>
      </c>
      <c r="AH719" s="39">
        <f>IF(IFERROR(VLOOKUP(D719,Controls!$A$25:$D$35,2,FALSE()),"No")="Yes",1,0)</f>
        <v/>
      </c>
      <c r="AI719" s="39">
        <f>IF(IFERROR(VLOOKUP(D719,Controls!$A$25:$D$35,3,FALSE()),"No")="Yes",1,0)</f>
        <v/>
      </c>
      <c r="AJ719" s="39">
        <f>IF(IFERROR(VLOOKUP(D719,Controls!$A$25:$D$35,4,FALSE()),"No")="Yes",1,0)</f>
        <v/>
      </c>
      <c r="AK719" s="96">
        <f>IF(AND($E719&gt;=Controls!$B$5,$E719&lt;=Controls!$B$6,OR(Controls!$E$9&lt;&gt;"Y",$BE719=1)),1,0)</f>
        <v/>
      </c>
      <c r="AL719" s="39">
        <f>1</f>
        <v/>
      </c>
      <c r="AM719" s="20">
        <f>S719-P719</f>
        <v/>
      </c>
      <c r="AN719" s="20">
        <f>IF(AH719=1,MAX(0,P719-S719),0)</f>
        <v/>
      </c>
      <c r="AO719" s="21">
        <f>IFERROR(S719/P719,"")</f>
        <v/>
      </c>
      <c r="AP719" s="22">
        <f>IF(Y719="","",P719/Y719)</f>
        <v/>
      </c>
      <c r="AQ719" s="39">
        <f>IF(Y719="",0,1)</f>
        <v/>
      </c>
      <c r="AR719" s="39">
        <f>IF(S719&lt;=0,1,0)</f>
        <v/>
      </c>
      <c r="AS719" s="17">
        <f>IF(AH719=1,AG719,"")</f>
        <v/>
      </c>
      <c r="AT719" s="17">
        <f>IF(AND(AH719=0,AJ719=1),AG719,"")</f>
        <v/>
      </c>
      <c r="AU719" s="5">
        <f>IF(P719&lt;10000,"Under $10K",IF(P719&lt;20000,"$10-20K",IF(P719&lt;30000,"$20-30K",IF(P719&lt;50000,"$30-50K",IF(P719&lt;100000,"$50-100K","$100K+")))))</f>
        <v/>
      </c>
      <c r="AV719" s="5">
        <f>IF(O719&lt;=1.35,"1.35 and under",IF(O719&lt;=1.42,"1.36-1.42",IF(O719&lt;=1.45,"1.43-1.45",IF(O719&lt;1.49,"1.46-1.48",IF(O719&lt;=1.49,"1.49","Above 1.49")))))</f>
        <v/>
      </c>
      <c r="AW719" s="5">
        <f>IF(AE719="","",IF(AE719&lt;60,"Under 60",IF(AE719&lt;90,"60-89",IF(AE719&lt;120,"90-119",IF(AE719&lt;150,"120-149","150+")))))</f>
        <v/>
      </c>
      <c r="AX719" s="5">
        <f>IF(AP719="","No revenue data",IF(AP719&lt;0.15,"Under 0.15x",IF(AP719&lt;0.3,"0.15-0.30x",IF(AP719&lt;0.5,"0.30-0.50x",IF(AP719&lt;1,"0.50-1.00x","1.00x+")))))</f>
        <v/>
      </c>
      <c r="AY719" s="5">
        <f>IF(J719="","No SIC",IFERROR(VLOOKUP(J719,Ref!$A$4:$C$67,2,FALSE()),"Unclassified"))</f>
        <v/>
      </c>
      <c r="AZ719" s="5">
        <f>IF(E719="","",TEXT(E719,"YYYY")&amp;"-Q"&amp;ROUNDUP(MONTH(E719)/3,0))</f>
        <v/>
      </c>
      <c r="BA719" s="5">
        <f>IF(E719="","",TEXT(E719,"YYYY-MM"))</f>
        <v/>
      </c>
      <c r="BB719" s="5">
        <f>IF(E719="","",TEXT(E719,"YYYY"))</f>
        <v/>
      </c>
      <c r="BC719" s="92">
        <f>IF($E719="","",NETWORKDAYS($E719,Controls!$B$9,Ref!$F$4:$F$47))</f>
        <v/>
      </c>
      <c r="BD719" s="92">
        <f>IF(OR($AH719=1,$AJ719=1),1,0)</f>
        <v/>
      </c>
      <c r="BE719" s="95">
        <f>IF(OR($BD719=1,AND($AE719&lt;&gt;"",$BC719&gt;=Controls!$B$10*$AE719)),1,0)</f>
        <v/>
      </c>
    </row>
    <row r="720" ht="15.75" customHeight="1" s="79">
      <c r="A720" s="5" t="inlineStr">
        <is>
          <t>5674180336</t>
        </is>
      </c>
      <c r="B720" s="5" t="inlineStr">
        <is>
          <t>B.M. Construction Services llc</t>
        </is>
      </c>
      <c r="C720" s="5" t="inlineStr">
        <is>
          <t>B.M. Construction Services llc</t>
        </is>
      </c>
      <c r="D720" s="5" t="inlineStr">
        <is>
          <t>Open</t>
        </is>
      </c>
      <c r="E720" s="16" t="n">
        <v>46099</v>
      </c>
      <c r="F720" s="16" t="n">
        <v>46248</v>
      </c>
      <c r="G720" s="17" t="n">
        <v>3</v>
      </c>
      <c r="H720" s="5" t="inlineStr">
        <is>
          <t>1521</t>
        </is>
      </c>
      <c r="I720" s="5" t="inlineStr">
        <is>
          <t>Residential Remodelers</t>
        </is>
      </c>
      <c r="J720" s="5" t="inlineStr">
        <is>
          <t>15</t>
        </is>
      </c>
      <c r="K720" s="5" t="n">
        <v>1520</v>
      </c>
      <c r="L720" s="5" t="inlineStr">
        <is>
          <t>TX</t>
        </is>
      </c>
      <c r="M720" s="5" t="inlineStr">
        <is>
          <t>The Funding Channel</t>
        </is>
      </c>
      <c r="N720" s="5" t="inlineStr">
        <is>
          <t>New Deal</t>
        </is>
      </c>
      <c r="O720" s="19" t="n">
        <v>1.49</v>
      </c>
      <c r="P720" s="20" t="n">
        <v>30000</v>
      </c>
      <c r="Q720" s="20" t="n">
        <v>4200</v>
      </c>
      <c r="R720" s="20" t="n">
        <v>44700</v>
      </c>
      <c r="S720" s="20" t="n">
        <v>29790.4</v>
      </c>
      <c r="T720" s="20" t="n">
        <v>14909.6</v>
      </c>
      <c r="U720" s="21" t="n">
        <v>0.666451901565996</v>
      </c>
      <c r="V720" s="22" t="n">
        <v>30</v>
      </c>
      <c r="W720" s="17" t="n">
        <v>5</v>
      </c>
      <c r="X720" s="17" t="n">
        <v>3</v>
      </c>
      <c r="Y720" s="20" t="n">
        <v>130659.57</v>
      </c>
      <c r="Z720" s="21" t="n">
        <v>0.0456</v>
      </c>
      <c r="AA720" s="16" t="n">
        <v>44197</v>
      </c>
      <c r="AB720" s="5">
        <f>IF(V720="","",IF(V720&lt;12,"Months","Weeks"))</f>
        <v/>
      </c>
      <c r="AC720" s="5">
        <f>IF(AB720="","",IF(AB720="Months","Daily","Weekly"))</f>
        <v/>
      </c>
      <c r="AD720" s="17">
        <f>IF(V720="","",IF(AC720="Daily",V720*Controls!$B$13,V720))</f>
        <v/>
      </c>
      <c r="AE720" s="17">
        <f>IF(V720="","",IF(AC720="Daily",V720*Controls!$B$13,V720*Controls!$B$12))</f>
        <v/>
      </c>
      <c r="AF720" s="17">
        <f>IF(OR(E720="",F720=""),"",F720-E720)</f>
        <v/>
      </c>
      <c r="AG720" s="17">
        <f>IF(OR(E720="",F720=""),"",NETWORKDAYS(E720,F720,Ref!$F$4:$F$47))</f>
        <v/>
      </c>
      <c r="AH720" s="39">
        <f>IF(IFERROR(VLOOKUP(D720,Controls!$A$25:$D$35,2,FALSE()),"No")="Yes",1,0)</f>
        <v/>
      </c>
      <c r="AI720" s="39">
        <f>IF(IFERROR(VLOOKUP(D720,Controls!$A$25:$D$35,3,FALSE()),"No")="Yes",1,0)</f>
        <v/>
      </c>
      <c r="AJ720" s="39">
        <f>IF(IFERROR(VLOOKUP(D720,Controls!$A$25:$D$35,4,FALSE()),"No")="Yes",1,0)</f>
        <v/>
      </c>
      <c r="AK720" s="96">
        <f>IF(AND($E720&gt;=Controls!$B$5,$E720&lt;=Controls!$B$6,OR(Controls!$E$9&lt;&gt;"Y",$BE720=1)),1,0)</f>
        <v/>
      </c>
      <c r="AL720" s="39">
        <f>1</f>
        <v/>
      </c>
      <c r="AM720" s="20">
        <f>S720-P720</f>
        <v/>
      </c>
      <c r="AN720" s="20">
        <f>IF(AH720=1,MAX(0,P720-S720),0)</f>
        <v/>
      </c>
      <c r="AO720" s="21">
        <f>IFERROR(S720/P720,"")</f>
        <v/>
      </c>
      <c r="AP720" s="22">
        <f>IF(Y720="","",P720/Y720)</f>
        <v/>
      </c>
      <c r="AQ720" s="39">
        <f>IF(Y720="",0,1)</f>
        <v/>
      </c>
      <c r="AR720" s="39">
        <f>IF(S720&lt;=0,1,0)</f>
        <v/>
      </c>
      <c r="AS720" s="17">
        <f>IF(AH720=1,AG720,"")</f>
        <v/>
      </c>
      <c r="AT720" s="17">
        <f>IF(AND(AH720=0,AJ720=1),AG720,"")</f>
        <v/>
      </c>
      <c r="AU720" s="5">
        <f>IF(P720&lt;10000,"Under $10K",IF(P720&lt;20000,"$10-20K",IF(P720&lt;30000,"$20-30K",IF(P720&lt;50000,"$30-50K",IF(P720&lt;100000,"$50-100K","$100K+")))))</f>
        <v/>
      </c>
      <c r="AV720" s="5">
        <f>IF(O720&lt;=1.35,"1.35 and under",IF(O720&lt;=1.42,"1.36-1.42",IF(O720&lt;=1.45,"1.43-1.45",IF(O720&lt;1.49,"1.46-1.48",IF(O720&lt;=1.49,"1.49","Above 1.49")))))</f>
        <v/>
      </c>
      <c r="AW720" s="5">
        <f>IF(AE720="","",IF(AE720&lt;60,"Under 60",IF(AE720&lt;90,"60-89",IF(AE720&lt;120,"90-119",IF(AE720&lt;150,"120-149","150+")))))</f>
        <v/>
      </c>
      <c r="AX720" s="5">
        <f>IF(AP720="","No revenue data",IF(AP720&lt;0.15,"Under 0.15x",IF(AP720&lt;0.3,"0.15-0.30x",IF(AP720&lt;0.5,"0.30-0.50x",IF(AP720&lt;1,"0.50-1.00x","1.00x+")))))</f>
        <v/>
      </c>
      <c r="AY720" s="5">
        <f>IF(J720="","No SIC",IFERROR(VLOOKUP(J720,Ref!$A$4:$C$67,2,FALSE()),"Unclassified"))</f>
        <v/>
      </c>
      <c r="AZ720" s="5">
        <f>IF(E720="","",TEXT(E720,"YYYY")&amp;"-Q"&amp;ROUNDUP(MONTH(E720)/3,0))</f>
        <v/>
      </c>
      <c r="BA720" s="5">
        <f>IF(E720="","",TEXT(E720,"YYYY-MM"))</f>
        <v/>
      </c>
      <c r="BB720" s="5">
        <f>IF(E720="","",TEXT(E720,"YYYY"))</f>
        <v/>
      </c>
      <c r="BC720" s="92">
        <f>IF($E720="","",NETWORKDAYS($E720,Controls!$B$9,Ref!$F$4:$F$47))</f>
        <v/>
      </c>
      <c r="BD720" s="92">
        <f>IF(OR($AH720=1,$AJ720=1),1,0)</f>
        <v/>
      </c>
      <c r="BE720" s="95">
        <f>IF(OR($BD720=1,AND($AE720&lt;&gt;"",$BC720&gt;=Controls!$B$10*$AE720)),1,0)</f>
        <v/>
      </c>
    </row>
    <row r="721" ht="15.75" customHeight="1" s="79">
      <c r="A721" s="5" t="inlineStr">
        <is>
          <t>5674180350</t>
        </is>
      </c>
      <c r="B721" s="5" t="inlineStr">
        <is>
          <t>Tack Car Rentals LLC</t>
        </is>
      </c>
      <c r="C721" s="5" t="inlineStr">
        <is>
          <t>Tack Car Rentals LLC</t>
        </is>
      </c>
      <c r="D721" s="5" t="inlineStr">
        <is>
          <t>Legal</t>
        </is>
      </c>
      <c r="E721" s="16" t="n">
        <v>46099</v>
      </c>
      <c r="F721" s="16" t="n">
        <v>46129</v>
      </c>
      <c r="G721" s="17" t="n">
        <v>3</v>
      </c>
      <c r="H721" s="5" t="inlineStr">
        <is>
          <t>7514</t>
        </is>
      </c>
      <c r="I721" s="5" t="inlineStr">
        <is>
          <t>Passenger Car Rental</t>
        </is>
      </c>
      <c r="J721" s="5" t="inlineStr">
        <is>
          <t>75</t>
        </is>
      </c>
      <c r="K721" s="5" t="n">
        <v>3355</v>
      </c>
      <c r="L721" s="5" t="inlineStr">
        <is>
          <t>CA</t>
        </is>
      </c>
      <c r="M721" s="5" t="inlineStr">
        <is>
          <t>Milestone Capital Funding Inc</t>
        </is>
      </c>
      <c r="N721" s="5" t="inlineStr">
        <is>
          <t>New Deal</t>
        </is>
      </c>
      <c r="O721" s="19" t="n">
        <v>1.49</v>
      </c>
      <c r="P721" s="20" t="n">
        <v>17000</v>
      </c>
      <c r="Q721" s="20" t="n">
        <v>0</v>
      </c>
      <c r="R721" s="20" t="n">
        <v>25330</v>
      </c>
      <c r="S721" s="20" t="n">
        <v>2110.72</v>
      </c>
      <c r="T721" s="20" t="n">
        <v>23219.28</v>
      </c>
      <c r="U721" s="21" t="n">
        <v>0.0833288590604027</v>
      </c>
      <c r="V721" s="22" t="n">
        <v>24</v>
      </c>
      <c r="W721" s="17" t="n">
        <v>138</v>
      </c>
      <c r="X721" s="17" t="n">
        <v>2</v>
      </c>
      <c r="Y721" s="20" t="n">
        <v>35327.94</v>
      </c>
      <c r="Z721" s="21" t="n">
        <v>0.1116</v>
      </c>
      <c r="AA721" s="16" t="n">
        <v>45400</v>
      </c>
      <c r="AB721" s="5">
        <f>IF(V721="","",IF(V721&lt;12,"Months","Weeks"))</f>
        <v/>
      </c>
      <c r="AC721" s="5">
        <f>IF(AB721="","",IF(AB721="Months","Daily","Weekly"))</f>
        <v/>
      </c>
      <c r="AD721" s="17">
        <f>IF(V721="","",IF(AC721="Daily",V721*Controls!$B$13,V721))</f>
        <v/>
      </c>
      <c r="AE721" s="17">
        <f>IF(V721="","",IF(AC721="Daily",V721*Controls!$B$13,V721*Controls!$B$12))</f>
        <v/>
      </c>
      <c r="AF721" s="17">
        <f>IF(OR(E721="",F721=""),"",F721-E721)</f>
        <v/>
      </c>
      <c r="AG721" s="17">
        <f>IF(OR(E721="",F721=""),"",NETWORKDAYS(E721,F721,Ref!$F$4:$F$47))</f>
        <v/>
      </c>
      <c r="AH721" s="39">
        <f>IF(IFERROR(VLOOKUP(D721,Controls!$A$25:$D$35,2,FALSE()),"No")="Yes",1,0)</f>
        <v/>
      </c>
      <c r="AI721" s="39">
        <f>IF(IFERROR(VLOOKUP(D721,Controls!$A$25:$D$35,3,FALSE()),"No")="Yes",1,0)</f>
        <v/>
      </c>
      <c r="AJ721" s="39">
        <f>IF(IFERROR(VLOOKUP(D721,Controls!$A$25:$D$35,4,FALSE()),"No")="Yes",1,0)</f>
        <v/>
      </c>
      <c r="AK721" s="96">
        <f>IF(AND($E721&gt;=Controls!$B$5,$E721&lt;=Controls!$B$6,OR(Controls!$E$9&lt;&gt;"Y",$BE721=1)),1,0)</f>
        <v/>
      </c>
      <c r="AL721" s="39">
        <f>1</f>
        <v/>
      </c>
      <c r="AM721" s="20">
        <f>S721-P721</f>
        <v/>
      </c>
      <c r="AN721" s="20">
        <f>IF(AH721=1,MAX(0,P721-S721),0)</f>
        <v/>
      </c>
      <c r="AO721" s="21">
        <f>IFERROR(S721/P721,"")</f>
        <v/>
      </c>
      <c r="AP721" s="22">
        <f>IF(Y721="","",P721/Y721)</f>
        <v/>
      </c>
      <c r="AQ721" s="39">
        <f>IF(Y721="",0,1)</f>
        <v/>
      </c>
      <c r="AR721" s="39">
        <f>IF(S721&lt;=0,1,0)</f>
        <v/>
      </c>
      <c r="AS721" s="17">
        <f>IF(AH721=1,AG721,"")</f>
        <v/>
      </c>
      <c r="AT721" s="17">
        <f>IF(AND(AH721=0,AJ721=1),AG721,"")</f>
        <v/>
      </c>
      <c r="AU721" s="5">
        <f>IF(P721&lt;10000,"Under $10K",IF(P721&lt;20000,"$10-20K",IF(P721&lt;30000,"$20-30K",IF(P721&lt;50000,"$30-50K",IF(P721&lt;100000,"$50-100K","$100K+")))))</f>
        <v/>
      </c>
      <c r="AV721" s="5">
        <f>IF(O721&lt;=1.35,"1.35 and under",IF(O721&lt;=1.42,"1.36-1.42",IF(O721&lt;=1.45,"1.43-1.45",IF(O721&lt;1.49,"1.46-1.48",IF(O721&lt;=1.49,"1.49","Above 1.49")))))</f>
        <v/>
      </c>
      <c r="AW721" s="5">
        <f>IF(AE721="","",IF(AE721&lt;60,"Under 60",IF(AE721&lt;90,"60-89",IF(AE721&lt;120,"90-119",IF(AE721&lt;150,"120-149","150+")))))</f>
        <v/>
      </c>
      <c r="AX721" s="5">
        <f>IF(AP721="","No revenue data",IF(AP721&lt;0.15,"Under 0.15x",IF(AP721&lt;0.3,"0.15-0.30x",IF(AP721&lt;0.5,"0.30-0.50x",IF(AP721&lt;1,"0.50-1.00x","1.00x+")))))</f>
        <v/>
      </c>
      <c r="AY721" s="5">
        <f>IF(J721="","No SIC",IFERROR(VLOOKUP(J721,Ref!$A$4:$C$67,2,FALSE()),"Unclassified"))</f>
        <v/>
      </c>
      <c r="AZ721" s="5">
        <f>IF(E721="","",TEXT(E721,"YYYY")&amp;"-Q"&amp;ROUNDUP(MONTH(E721)/3,0))</f>
        <v/>
      </c>
      <c r="BA721" s="5">
        <f>IF(E721="","",TEXT(E721,"YYYY-MM"))</f>
        <v/>
      </c>
      <c r="BB721" s="5">
        <f>IF(E721="","",TEXT(E721,"YYYY"))</f>
        <v/>
      </c>
      <c r="BC721" s="92">
        <f>IF($E721="","",NETWORKDAYS($E721,Controls!$B$9,Ref!$F$4:$F$47))</f>
        <v/>
      </c>
      <c r="BD721" s="92">
        <f>IF(OR($AH721=1,$AJ721=1),1,0)</f>
        <v/>
      </c>
      <c r="BE721" s="95">
        <f>IF(OR($BD721=1,AND($AE721&lt;&gt;"",$BC721&gt;=Controls!$B$10*$AE721)),1,0)</f>
        <v/>
      </c>
    </row>
    <row r="722" ht="15.75" customHeight="1" s="79">
      <c r="A722" s="5" t="inlineStr">
        <is>
          <t>5674180390</t>
        </is>
      </c>
      <c r="B722" s="5" t="inlineStr">
        <is>
          <t>SHELTON DIAGNOSTICS INC</t>
        </is>
      </c>
      <c r="C722" s="5" t="inlineStr">
        <is>
          <t>SHELTON DIAGNOSTICS INC</t>
        </is>
      </c>
      <c r="D722" s="5" t="inlineStr">
        <is>
          <t>Legal</t>
        </is>
      </c>
      <c r="E722" s="16" t="n">
        <v>46099</v>
      </c>
      <c r="F722" s="16" t="n">
        <v>46122</v>
      </c>
      <c r="G722" s="17" t="n">
        <v>3</v>
      </c>
      <c r="H722" s="5" t="inlineStr">
        <is>
          <t>8071</t>
        </is>
      </c>
      <c r="I722" s="5" t="inlineStr">
        <is>
          <t>Diagnostic Imaging Centers</t>
        </is>
      </c>
      <c r="J722" s="5" t="inlineStr">
        <is>
          <t>80</t>
        </is>
      </c>
      <c r="K722" s="5" t="n">
        <v>8071</v>
      </c>
      <c r="L722" s="5" t="inlineStr">
        <is>
          <t>MI</t>
        </is>
      </c>
      <c r="M722" s="5" t="inlineStr">
        <is>
          <t>Ballicci</t>
        </is>
      </c>
      <c r="N722" s="5" t="inlineStr">
        <is>
          <t>New Deal</t>
        </is>
      </c>
      <c r="O722" s="19" t="n">
        <v>1.49</v>
      </c>
      <c r="P722" s="20" t="n">
        <v>35000</v>
      </c>
      <c r="Q722" s="20" t="n">
        <v>0</v>
      </c>
      <c r="R722" s="20" t="n">
        <v>52150</v>
      </c>
      <c r="S722" s="20" t="n">
        <v>2006</v>
      </c>
      <c r="T722" s="20" t="n">
        <v>50144</v>
      </c>
      <c r="U722" s="21" t="n">
        <v>0.0384659635666347</v>
      </c>
      <c r="V722" s="22" t="n">
        <v>26</v>
      </c>
      <c r="W722" s="17" t="n">
        <v>145</v>
      </c>
      <c r="X722" s="17" t="n">
        <v>2</v>
      </c>
      <c r="Y722" s="20" t="n">
        <v>107844.81</v>
      </c>
      <c r="Z722" s="21" t="n">
        <v>0.07439999999999999</v>
      </c>
      <c r="AA722" s="16" t="n">
        <v>41380</v>
      </c>
      <c r="AB722" s="5">
        <f>IF(V722="","",IF(V722&lt;12,"Months","Weeks"))</f>
        <v/>
      </c>
      <c r="AC722" s="5">
        <f>IF(AB722="","",IF(AB722="Months","Daily","Weekly"))</f>
        <v/>
      </c>
      <c r="AD722" s="17">
        <f>IF(V722="","",IF(AC722="Daily",V722*Controls!$B$13,V722))</f>
        <v/>
      </c>
      <c r="AE722" s="17">
        <f>IF(V722="","",IF(AC722="Daily",V722*Controls!$B$13,V722*Controls!$B$12))</f>
        <v/>
      </c>
      <c r="AF722" s="17">
        <f>IF(OR(E722="",F722=""),"",F722-E722)</f>
        <v/>
      </c>
      <c r="AG722" s="17">
        <f>IF(OR(E722="",F722=""),"",NETWORKDAYS(E722,F722,Ref!$F$4:$F$47))</f>
        <v/>
      </c>
      <c r="AH722" s="39">
        <f>IF(IFERROR(VLOOKUP(D722,Controls!$A$25:$D$35,2,FALSE()),"No")="Yes",1,0)</f>
        <v/>
      </c>
      <c r="AI722" s="39">
        <f>IF(IFERROR(VLOOKUP(D722,Controls!$A$25:$D$35,3,FALSE()),"No")="Yes",1,0)</f>
        <v/>
      </c>
      <c r="AJ722" s="39">
        <f>IF(IFERROR(VLOOKUP(D722,Controls!$A$25:$D$35,4,FALSE()),"No")="Yes",1,0)</f>
        <v/>
      </c>
      <c r="AK722" s="96">
        <f>IF(AND($E722&gt;=Controls!$B$5,$E722&lt;=Controls!$B$6,OR(Controls!$E$9&lt;&gt;"Y",$BE722=1)),1,0)</f>
        <v/>
      </c>
      <c r="AL722" s="39">
        <f>1</f>
        <v/>
      </c>
      <c r="AM722" s="20">
        <f>S722-P722</f>
        <v/>
      </c>
      <c r="AN722" s="20">
        <f>IF(AH722=1,MAX(0,P722-S722),0)</f>
        <v/>
      </c>
      <c r="AO722" s="21">
        <f>IFERROR(S722/P722,"")</f>
        <v/>
      </c>
      <c r="AP722" s="22">
        <f>IF(Y722="","",P722/Y722)</f>
        <v/>
      </c>
      <c r="AQ722" s="39">
        <f>IF(Y722="",0,1)</f>
        <v/>
      </c>
      <c r="AR722" s="39">
        <f>IF(S722&lt;=0,1,0)</f>
        <v/>
      </c>
      <c r="AS722" s="17">
        <f>IF(AH722=1,AG722,"")</f>
        <v/>
      </c>
      <c r="AT722" s="17">
        <f>IF(AND(AH722=0,AJ722=1),AG722,"")</f>
        <v/>
      </c>
      <c r="AU722" s="5">
        <f>IF(P722&lt;10000,"Under $10K",IF(P722&lt;20000,"$10-20K",IF(P722&lt;30000,"$20-30K",IF(P722&lt;50000,"$30-50K",IF(P722&lt;100000,"$50-100K","$100K+")))))</f>
        <v/>
      </c>
      <c r="AV722" s="5">
        <f>IF(O722&lt;=1.35,"1.35 and under",IF(O722&lt;=1.42,"1.36-1.42",IF(O722&lt;=1.45,"1.43-1.45",IF(O722&lt;1.49,"1.46-1.48",IF(O722&lt;=1.49,"1.49","Above 1.49")))))</f>
        <v/>
      </c>
      <c r="AW722" s="5">
        <f>IF(AE722="","",IF(AE722&lt;60,"Under 60",IF(AE722&lt;90,"60-89",IF(AE722&lt;120,"90-119",IF(AE722&lt;150,"120-149","150+")))))</f>
        <v/>
      </c>
      <c r="AX722" s="5">
        <f>IF(AP722="","No revenue data",IF(AP722&lt;0.15,"Under 0.15x",IF(AP722&lt;0.3,"0.15-0.30x",IF(AP722&lt;0.5,"0.30-0.50x",IF(AP722&lt;1,"0.50-1.00x","1.00x+")))))</f>
        <v/>
      </c>
      <c r="AY722" s="5">
        <f>IF(J722="","No SIC",IFERROR(VLOOKUP(J722,Ref!$A$4:$C$67,2,FALSE()),"Unclassified"))</f>
        <v/>
      </c>
      <c r="AZ722" s="5">
        <f>IF(E722="","",TEXT(E722,"YYYY")&amp;"-Q"&amp;ROUNDUP(MONTH(E722)/3,0))</f>
        <v/>
      </c>
      <c r="BA722" s="5">
        <f>IF(E722="","",TEXT(E722,"YYYY-MM"))</f>
        <v/>
      </c>
      <c r="BB722" s="5">
        <f>IF(E722="","",TEXT(E722,"YYYY"))</f>
        <v/>
      </c>
      <c r="BC722" s="92">
        <f>IF($E722="","",NETWORKDAYS($E722,Controls!$B$9,Ref!$F$4:$F$47))</f>
        <v/>
      </c>
      <c r="BD722" s="92">
        <f>IF(OR($AH722=1,$AJ722=1),1,0)</f>
        <v/>
      </c>
      <c r="BE722" s="95">
        <f>IF(OR($BD722=1,AND($AE722&lt;&gt;"",$BC722&gt;=Controls!$B$10*$AE722)),1,0)</f>
        <v/>
      </c>
    </row>
    <row r="723" ht="15.75" customHeight="1" s="79">
      <c r="A723" s="5" t="inlineStr">
        <is>
          <t>5674180395</t>
        </is>
      </c>
      <c r="B723" s="5" t="inlineStr">
        <is>
          <t>Pixels Investments</t>
        </is>
      </c>
      <c r="C723" s="5" t="inlineStr">
        <is>
          <t>Pixels Investments</t>
        </is>
      </c>
      <c r="D723" s="5" t="inlineStr">
        <is>
          <t>In House Collection</t>
        </is>
      </c>
      <c r="E723" s="16" t="n">
        <v>46099</v>
      </c>
      <c r="F723" s="16" t="n">
        <v>46245</v>
      </c>
      <c r="G723" s="17" t="n">
        <v>4</v>
      </c>
      <c r="H723" s="5" t="inlineStr">
        <is>
          <t>5999</t>
        </is>
      </c>
      <c r="I723" s="5" t="inlineStr">
        <is>
          <t>All Other Health and Personal Care Stores</t>
        </is>
      </c>
      <c r="J723" s="5" t="inlineStr">
        <is>
          <t>59</t>
        </is>
      </c>
      <c r="K723" s="5" t="n">
        <v>5999</v>
      </c>
      <c r="L723" s="5" t="inlineStr">
        <is>
          <t>WA</t>
        </is>
      </c>
      <c r="M723" s="5" t="inlineStr">
        <is>
          <t>Secure Capital Solutions 7</t>
        </is>
      </c>
      <c r="N723" s="5" t="inlineStr">
        <is>
          <t>New Deal</t>
        </is>
      </c>
      <c r="O723" s="19" t="n">
        <v>1.49</v>
      </c>
      <c r="P723" s="20" t="n">
        <v>10000</v>
      </c>
      <c r="Q723" s="20" t="n">
        <v>1400</v>
      </c>
      <c r="R723" s="20" t="n">
        <v>14900</v>
      </c>
      <c r="S723" s="20" t="n">
        <v>3507.4</v>
      </c>
      <c r="T723" s="20" t="n">
        <v>11392.6</v>
      </c>
      <c r="U723" s="21" t="n">
        <v>0.235395973154362</v>
      </c>
      <c r="V723" s="22" t="n">
        <v>2.787</v>
      </c>
      <c r="W723" s="17" t="n">
        <v>127</v>
      </c>
      <c r="X723" s="17" t="n">
        <v>35</v>
      </c>
      <c r="Y723" s="20" t="n">
        <v>48265.96</v>
      </c>
      <c r="Z723" s="21" t="n">
        <v>0.07630000000000001</v>
      </c>
      <c r="AA723" s="16" t="n">
        <v>45658</v>
      </c>
      <c r="AB723" s="5">
        <f>IF(V723="","",IF(V723&lt;12,"Months","Weeks"))</f>
        <v/>
      </c>
      <c r="AC723" s="5">
        <f>IF(AB723="","",IF(AB723="Months","Daily","Weekly"))</f>
        <v/>
      </c>
      <c r="AD723" s="17">
        <f>IF(V723="","",IF(AC723="Daily",V723*Controls!$B$13,V723))</f>
        <v/>
      </c>
      <c r="AE723" s="17">
        <f>IF(V723="","",IF(AC723="Daily",V723*Controls!$B$13,V723*Controls!$B$12))</f>
        <v/>
      </c>
      <c r="AF723" s="17">
        <f>IF(OR(E723="",F723=""),"",F723-E723)</f>
        <v/>
      </c>
      <c r="AG723" s="17">
        <f>IF(OR(E723="",F723=""),"",NETWORKDAYS(E723,F723,Ref!$F$4:$F$47))</f>
        <v/>
      </c>
      <c r="AH723" s="39">
        <f>IF(IFERROR(VLOOKUP(D723,Controls!$A$25:$D$35,2,FALSE()),"No")="Yes",1,0)</f>
        <v/>
      </c>
      <c r="AI723" s="39">
        <f>IF(IFERROR(VLOOKUP(D723,Controls!$A$25:$D$35,3,FALSE()),"No")="Yes",1,0)</f>
        <v/>
      </c>
      <c r="AJ723" s="39">
        <f>IF(IFERROR(VLOOKUP(D723,Controls!$A$25:$D$35,4,FALSE()),"No")="Yes",1,0)</f>
        <v/>
      </c>
      <c r="AK723" s="96">
        <f>IF(AND($E723&gt;=Controls!$B$5,$E723&lt;=Controls!$B$6,OR(Controls!$E$9&lt;&gt;"Y",$BE723=1)),1,0)</f>
        <v/>
      </c>
      <c r="AL723" s="39">
        <f>1</f>
        <v/>
      </c>
      <c r="AM723" s="20">
        <f>S723-P723</f>
        <v/>
      </c>
      <c r="AN723" s="20">
        <f>IF(AH723=1,MAX(0,P723-S723),0)</f>
        <v/>
      </c>
      <c r="AO723" s="21">
        <f>IFERROR(S723/P723,"")</f>
        <v/>
      </c>
      <c r="AP723" s="22">
        <f>IF(Y723="","",P723/Y723)</f>
        <v/>
      </c>
      <c r="AQ723" s="39">
        <f>IF(Y723="",0,1)</f>
        <v/>
      </c>
      <c r="AR723" s="39">
        <f>IF(S723&lt;=0,1,0)</f>
        <v/>
      </c>
      <c r="AS723" s="17">
        <f>IF(AH723=1,AG723,"")</f>
        <v/>
      </c>
      <c r="AT723" s="17">
        <f>IF(AND(AH723=0,AJ723=1),AG723,"")</f>
        <v/>
      </c>
      <c r="AU723" s="5">
        <f>IF(P723&lt;10000,"Under $10K",IF(P723&lt;20000,"$10-20K",IF(P723&lt;30000,"$20-30K",IF(P723&lt;50000,"$30-50K",IF(P723&lt;100000,"$50-100K","$100K+")))))</f>
        <v/>
      </c>
      <c r="AV723" s="5">
        <f>IF(O723&lt;=1.35,"1.35 and under",IF(O723&lt;=1.42,"1.36-1.42",IF(O723&lt;=1.45,"1.43-1.45",IF(O723&lt;1.49,"1.46-1.48",IF(O723&lt;=1.49,"1.49","Above 1.49")))))</f>
        <v/>
      </c>
      <c r="AW723" s="5">
        <f>IF(AE723="","",IF(AE723&lt;60,"Under 60",IF(AE723&lt;90,"60-89",IF(AE723&lt;120,"90-119",IF(AE723&lt;150,"120-149","150+")))))</f>
        <v/>
      </c>
      <c r="AX723" s="5">
        <f>IF(AP723="","No revenue data",IF(AP723&lt;0.15,"Under 0.15x",IF(AP723&lt;0.3,"0.15-0.30x",IF(AP723&lt;0.5,"0.30-0.50x",IF(AP723&lt;1,"0.50-1.00x","1.00x+")))))</f>
        <v/>
      </c>
      <c r="AY723" s="5">
        <f>IF(J723="","No SIC",IFERROR(VLOOKUP(J723,Ref!$A$4:$C$67,2,FALSE()),"Unclassified"))</f>
        <v/>
      </c>
      <c r="AZ723" s="5">
        <f>IF(E723="","",TEXT(E723,"YYYY")&amp;"-Q"&amp;ROUNDUP(MONTH(E723)/3,0))</f>
        <v/>
      </c>
      <c r="BA723" s="5">
        <f>IF(E723="","",TEXT(E723,"YYYY-MM"))</f>
        <v/>
      </c>
      <c r="BB723" s="5">
        <f>IF(E723="","",TEXT(E723,"YYYY"))</f>
        <v/>
      </c>
      <c r="BC723" s="92">
        <f>IF($E723="","",NETWORKDAYS($E723,Controls!$B$9,Ref!$F$4:$F$47))</f>
        <v/>
      </c>
      <c r="BD723" s="92">
        <f>IF(OR($AH723=1,$AJ723=1),1,0)</f>
        <v/>
      </c>
      <c r="BE723" s="95">
        <f>IF(OR($BD723=1,AND($AE723&lt;&gt;"",$BC723&gt;=Controls!$B$10*$AE723)),1,0)</f>
        <v/>
      </c>
    </row>
    <row r="724" ht="15.75" customHeight="1" s="79">
      <c r="A724" s="5" t="inlineStr">
        <is>
          <t>5674180417</t>
        </is>
      </c>
      <c r="B724" s="5" t="inlineStr">
        <is>
          <t>Artkuisine LLC</t>
        </is>
      </c>
      <c r="C724" s="5" t="inlineStr">
        <is>
          <t>Artkuisine LLC</t>
        </is>
      </c>
      <c r="D724" s="5" t="inlineStr">
        <is>
          <t>Open</t>
        </is>
      </c>
      <c r="E724" s="16" t="n">
        <v>46100</v>
      </c>
      <c r="F724" s="16" t="n">
        <v>46248</v>
      </c>
      <c r="G724" s="17" t="n">
        <v>3</v>
      </c>
      <c r="H724" s="5" t="inlineStr">
        <is>
          <t>5812</t>
        </is>
      </c>
      <c r="I724" s="5" t="inlineStr">
        <is>
          <t>Snack and Nonalcoholic Beverage Bars</t>
        </is>
      </c>
      <c r="J724" s="5" t="inlineStr">
        <is>
          <t>58</t>
        </is>
      </c>
      <c r="K724" s="5" t="n">
        <v>5812</v>
      </c>
      <c r="L724" s="5" t="inlineStr">
        <is>
          <t>CT</t>
        </is>
      </c>
      <c r="M724" s="5" t="inlineStr">
        <is>
          <t>Monarch funding Group</t>
        </is>
      </c>
      <c r="N724" s="5" t="inlineStr">
        <is>
          <t>New Deal</t>
        </is>
      </c>
      <c r="O724" s="19" t="n">
        <v>1.41</v>
      </c>
      <c r="P724" s="20" t="n">
        <v>25000</v>
      </c>
      <c r="Q724" s="20" t="n">
        <v>2500</v>
      </c>
      <c r="R724" s="20" t="n">
        <v>35250</v>
      </c>
      <c r="S724" s="20" t="n">
        <v>24669.54</v>
      </c>
      <c r="T724" s="20" t="n">
        <v>10580.46</v>
      </c>
      <c r="U724" s="21" t="n">
        <v>0.699845106382979</v>
      </c>
      <c r="V724" s="22" t="n">
        <v>30</v>
      </c>
      <c r="W724" s="17" t="n">
        <v>5</v>
      </c>
      <c r="X724" s="17" t="n">
        <v>0</v>
      </c>
      <c r="Y724" s="20" t="n">
        <v>59707.27</v>
      </c>
      <c r="Z724" s="21" t="n">
        <v>0.07870000000000001</v>
      </c>
      <c r="AA724" s="16" t="n">
        <v>42875</v>
      </c>
      <c r="AB724" s="5">
        <f>IF(V724="","",IF(V724&lt;12,"Months","Weeks"))</f>
        <v/>
      </c>
      <c r="AC724" s="5">
        <f>IF(AB724="","",IF(AB724="Months","Daily","Weekly"))</f>
        <v/>
      </c>
      <c r="AD724" s="17">
        <f>IF(V724="","",IF(AC724="Daily",V724*Controls!$B$13,V724))</f>
        <v/>
      </c>
      <c r="AE724" s="17">
        <f>IF(V724="","",IF(AC724="Daily",V724*Controls!$B$13,V724*Controls!$B$12))</f>
        <v/>
      </c>
      <c r="AF724" s="17">
        <f>IF(OR(E724="",F724=""),"",F724-E724)</f>
        <v/>
      </c>
      <c r="AG724" s="17">
        <f>IF(OR(E724="",F724=""),"",NETWORKDAYS(E724,F724,Ref!$F$4:$F$47))</f>
        <v/>
      </c>
      <c r="AH724" s="39">
        <f>IF(IFERROR(VLOOKUP(D724,Controls!$A$25:$D$35,2,FALSE()),"No")="Yes",1,0)</f>
        <v/>
      </c>
      <c r="AI724" s="39">
        <f>IF(IFERROR(VLOOKUP(D724,Controls!$A$25:$D$35,3,FALSE()),"No")="Yes",1,0)</f>
        <v/>
      </c>
      <c r="AJ724" s="39">
        <f>IF(IFERROR(VLOOKUP(D724,Controls!$A$25:$D$35,4,FALSE()),"No")="Yes",1,0)</f>
        <v/>
      </c>
      <c r="AK724" s="96">
        <f>IF(AND($E724&gt;=Controls!$B$5,$E724&lt;=Controls!$B$6,OR(Controls!$E$9&lt;&gt;"Y",$BE724=1)),1,0)</f>
        <v/>
      </c>
      <c r="AL724" s="39">
        <f>1</f>
        <v/>
      </c>
      <c r="AM724" s="20">
        <f>S724-P724</f>
        <v/>
      </c>
      <c r="AN724" s="20">
        <f>IF(AH724=1,MAX(0,P724-S724),0)</f>
        <v/>
      </c>
      <c r="AO724" s="21">
        <f>IFERROR(S724/P724,"")</f>
        <v/>
      </c>
      <c r="AP724" s="22">
        <f>IF(Y724="","",P724/Y724)</f>
        <v/>
      </c>
      <c r="AQ724" s="39">
        <f>IF(Y724="",0,1)</f>
        <v/>
      </c>
      <c r="AR724" s="39">
        <f>IF(S724&lt;=0,1,0)</f>
        <v/>
      </c>
      <c r="AS724" s="17">
        <f>IF(AH724=1,AG724,"")</f>
        <v/>
      </c>
      <c r="AT724" s="17">
        <f>IF(AND(AH724=0,AJ724=1),AG724,"")</f>
        <v/>
      </c>
      <c r="AU724" s="5">
        <f>IF(P724&lt;10000,"Under $10K",IF(P724&lt;20000,"$10-20K",IF(P724&lt;30000,"$20-30K",IF(P724&lt;50000,"$30-50K",IF(P724&lt;100000,"$50-100K","$100K+")))))</f>
        <v/>
      </c>
      <c r="AV724" s="5">
        <f>IF(O724&lt;=1.35,"1.35 and under",IF(O724&lt;=1.42,"1.36-1.42",IF(O724&lt;=1.45,"1.43-1.45",IF(O724&lt;1.49,"1.46-1.48",IF(O724&lt;=1.49,"1.49","Above 1.49")))))</f>
        <v/>
      </c>
      <c r="AW724" s="5">
        <f>IF(AE724="","",IF(AE724&lt;60,"Under 60",IF(AE724&lt;90,"60-89",IF(AE724&lt;120,"90-119",IF(AE724&lt;150,"120-149","150+")))))</f>
        <v/>
      </c>
      <c r="AX724" s="5">
        <f>IF(AP724="","No revenue data",IF(AP724&lt;0.15,"Under 0.15x",IF(AP724&lt;0.3,"0.15-0.30x",IF(AP724&lt;0.5,"0.30-0.50x",IF(AP724&lt;1,"0.50-1.00x","1.00x+")))))</f>
        <v/>
      </c>
      <c r="AY724" s="5">
        <f>IF(J724="","No SIC",IFERROR(VLOOKUP(J724,Ref!$A$4:$C$67,2,FALSE()),"Unclassified"))</f>
        <v/>
      </c>
      <c r="AZ724" s="5">
        <f>IF(E724="","",TEXT(E724,"YYYY")&amp;"-Q"&amp;ROUNDUP(MONTH(E724)/3,0))</f>
        <v/>
      </c>
      <c r="BA724" s="5">
        <f>IF(E724="","",TEXT(E724,"YYYY-MM"))</f>
        <v/>
      </c>
      <c r="BB724" s="5">
        <f>IF(E724="","",TEXT(E724,"YYYY"))</f>
        <v/>
      </c>
      <c r="BC724" s="92">
        <f>IF($E724="","",NETWORKDAYS($E724,Controls!$B$9,Ref!$F$4:$F$47))</f>
        <v/>
      </c>
      <c r="BD724" s="92">
        <f>IF(OR($AH724=1,$AJ724=1),1,0)</f>
        <v/>
      </c>
      <c r="BE724" s="95">
        <f>IF(OR($BD724=1,AND($AE724&lt;&gt;"",$BC724&gt;=Controls!$B$10*$AE724)),1,0)</f>
        <v/>
      </c>
    </row>
    <row r="725" ht="15.75" customHeight="1" s="79">
      <c r="A725" s="5" t="inlineStr">
        <is>
          <t>5674180422</t>
        </is>
      </c>
      <c r="B725" s="5" t="inlineStr">
        <is>
          <t>TRES JARDINES LLC</t>
        </is>
      </c>
      <c r="C725" s="5" t="inlineStr">
        <is>
          <t>TRES JARDINES LLC</t>
        </is>
      </c>
      <c r="D725" s="5" t="inlineStr">
        <is>
          <t>Closed</t>
        </is>
      </c>
      <c r="E725" s="16" t="n">
        <v>46100</v>
      </c>
      <c r="F725" s="16" t="n">
        <v>46231</v>
      </c>
      <c r="G725" s="17" t="n">
        <v>3</v>
      </c>
      <c r="H725" s="5" t="inlineStr">
        <is>
          <t>5812</t>
        </is>
      </c>
      <c r="I725" s="5" t="inlineStr">
        <is>
          <t>Snack and Nonalcoholic Beverage Bars</t>
        </is>
      </c>
      <c r="J725" s="5" t="inlineStr">
        <is>
          <t>58</t>
        </is>
      </c>
      <c r="K725" s="5" t="n">
        <v>5812</v>
      </c>
      <c r="L725" s="5" t="inlineStr">
        <is>
          <t>GA</t>
        </is>
      </c>
      <c r="M725" s="5" t="inlineStr">
        <is>
          <t>secure way capital</t>
        </is>
      </c>
      <c r="N725" s="5" t="inlineStr">
        <is>
          <t>New Deal</t>
        </is>
      </c>
      <c r="O725" s="19" t="n">
        <v>1.49</v>
      </c>
      <c r="P725" s="20" t="n">
        <v>15000</v>
      </c>
      <c r="Q725" s="20" t="n">
        <v>2100</v>
      </c>
      <c r="R725" s="20" t="n">
        <v>22350</v>
      </c>
      <c r="S725" s="20" t="n">
        <v>22350</v>
      </c>
      <c r="T725" s="20" t="n">
        <v>0</v>
      </c>
      <c r="U725" s="21" t="n">
        <v>1</v>
      </c>
      <c r="V725" s="22" t="n">
        <v>2.623</v>
      </c>
      <c r="W725" s="17" t="n">
        <v>22</v>
      </c>
      <c r="X725" s="17" t="n">
        <v>0</v>
      </c>
      <c r="Y725" s="20" t="n">
        <v>32880.33</v>
      </c>
      <c r="Z725" s="21" t="n">
        <v>0.1784</v>
      </c>
      <c r="AA725" s="16" t="n">
        <v>44288</v>
      </c>
      <c r="AB725" s="5">
        <f>IF(V725="","",IF(V725&lt;12,"Months","Weeks"))</f>
        <v/>
      </c>
      <c r="AC725" s="5">
        <f>IF(AB725="","",IF(AB725="Months","Daily","Weekly"))</f>
        <v/>
      </c>
      <c r="AD725" s="17">
        <f>IF(V725="","",IF(AC725="Daily",V725*Controls!$B$13,V725))</f>
        <v/>
      </c>
      <c r="AE725" s="17">
        <f>IF(V725="","",IF(AC725="Daily",V725*Controls!$B$13,V725*Controls!$B$12))</f>
        <v/>
      </c>
      <c r="AF725" s="17">
        <f>IF(OR(E725="",F725=""),"",F725-E725)</f>
        <v/>
      </c>
      <c r="AG725" s="17">
        <f>IF(OR(E725="",F725=""),"",NETWORKDAYS(E725,F725,Ref!$F$4:$F$47))</f>
        <v/>
      </c>
      <c r="AH725" s="39">
        <f>IF(IFERROR(VLOOKUP(D725,Controls!$A$25:$D$35,2,FALSE()),"No")="Yes",1,0)</f>
        <v/>
      </c>
      <c r="AI725" s="39">
        <f>IF(IFERROR(VLOOKUP(D725,Controls!$A$25:$D$35,3,FALSE()),"No")="Yes",1,0)</f>
        <v/>
      </c>
      <c r="AJ725" s="39">
        <f>IF(IFERROR(VLOOKUP(D725,Controls!$A$25:$D$35,4,FALSE()),"No")="Yes",1,0)</f>
        <v/>
      </c>
      <c r="AK725" s="96">
        <f>IF(AND($E725&gt;=Controls!$B$5,$E725&lt;=Controls!$B$6,OR(Controls!$E$9&lt;&gt;"Y",$BE725=1)),1,0)</f>
        <v/>
      </c>
      <c r="AL725" s="39">
        <f>1</f>
        <v/>
      </c>
      <c r="AM725" s="20">
        <f>S725-P725</f>
        <v/>
      </c>
      <c r="AN725" s="20">
        <f>IF(AH725=1,MAX(0,P725-S725),0)</f>
        <v/>
      </c>
      <c r="AO725" s="21">
        <f>IFERROR(S725/P725,"")</f>
        <v/>
      </c>
      <c r="AP725" s="22">
        <f>IF(Y725="","",P725/Y725)</f>
        <v/>
      </c>
      <c r="AQ725" s="39">
        <f>IF(Y725="",0,1)</f>
        <v/>
      </c>
      <c r="AR725" s="39">
        <f>IF(S725&lt;=0,1,0)</f>
        <v/>
      </c>
      <c r="AS725" s="17">
        <f>IF(AH725=1,AG725,"")</f>
        <v/>
      </c>
      <c r="AT725" s="17">
        <f>IF(AND(AH725=0,AJ725=1),AG725,"")</f>
        <v/>
      </c>
      <c r="AU725" s="5">
        <f>IF(P725&lt;10000,"Under $10K",IF(P725&lt;20000,"$10-20K",IF(P725&lt;30000,"$20-30K",IF(P725&lt;50000,"$30-50K",IF(P725&lt;100000,"$50-100K","$100K+")))))</f>
        <v/>
      </c>
      <c r="AV725" s="5">
        <f>IF(O725&lt;=1.35,"1.35 and under",IF(O725&lt;=1.42,"1.36-1.42",IF(O725&lt;=1.45,"1.43-1.45",IF(O725&lt;1.49,"1.46-1.48",IF(O725&lt;=1.49,"1.49","Above 1.49")))))</f>
        <v/>
      </c>
      <c r="AW725" s="5">
        <f>IF(AE725="","",IF(AE725&lt;60,"Under 60",IF(AE725&lt;90,"60-89",IF(AE725&lt;120,"90-119",IF(AE725&lt;150,"120-149","150+")))))</f>
        <v/>
      </c>
      <c r="AX725" s="5">
        <f>IF(AP725="","No revenue data",IF(AP725&lt;0.15,"Under 0.15x",IF(AP725&lt;0.3,"0.15-0.30x",IF(AP725&lt;0.5,"0.30-0.50x",IF(AP725&lt;1,"0.50-1.00x","1.00x+")))))</f>
        <v/>
      </c>
      <c r="AY725" s="5">
        <f>IF(J725="","No SIC",IFERROR(VLOOKUP(J725,Ref!$A$4:$C$67,2,FALSE()),"Unclassified"))</f>
        <v/>
      </c>
      <c r="AZ725" s="5">
        <f>IF(E725="","",TEXT(E725,"YYYY")&amp;"-Q"&amp;ROUNDUP(MONTH(E725)/3,0))</f>
        <v/>
      </c>
      <c r="BA725" s="5">
        <f>IF(E725="","",TEXT(E725,"YYYY-MM"))</f>
        <v/>
      </c>
      <c r="BB725" s="5">
        <f>IF(E725="","",TEXT(E725,"YYYY"))</f>
        <v/>
      </c>
      <c r="BC725" s="92">
        <f>IF($E725="","",NETWORKDAYS($E725,Controls!$B$9,Ref!$F$4:$F$47))</f>
        <v/>
      </c>
      <c r="BD725" s="92">
        <f>IF(OR($AH725=1,$AJ725=1),1,0)</f>
        <v/>
      </c>
      <c r="BE725" s="95">
        <f>IF(OR($BD725=1,AND($AE725&lt;&gt;"",$BC725&gt;=Controls!$B$10*$AE725)),1,0)</f>
        <v/>
      </c>
    </row>
    <row r="726" ht="15.75" customHeight="1" s="79">
      <c r="A726" s="5" t="inlineStr">
        <is>
          <t>5674180444</t>
        </is>
      </c>
      <c r="B726" s="5" t="inlineStr">
        <is>
          <t>KLIPPER AUTOMOTIVE</t>
        </is>
      </c>
      <c r="C726" s="5" t="inlineStr">
        <is>
          <t>Klipper Automotive LLC</t>
        </is>
      </c>
      <c r="D726" s="5" t="inlineStr">
        <is>
          <t>Open</t>
        </is>
      </c>
      <c r="E726" s="16" t="n">
        <v>46100</v>
      </c>
      <c r="F726" s="16" t="n">
        <v>46230</v>
      </c>
      <c r="G726" s="17" t="n">
        <v>4</v>
      </c>
      <c r="H726" s="5" t="inlineStr">
        <is>
          <t>7538</t>
        </is>
      </c>
      <c r="I726" s="5" t="inlineStr">
        <is>
          <t>General Automotive Repair</t>
        </is>
      </c>
      <c r="J726" s="5" t="inlineStr">
        <is>
          <t>75</t>
        </is>
      </c>
      <c r="K726" s="5" t="n">
        <v>7538</v>
      </c>
      <c r="L726" s="5" t="inlineStr">
        <is>
          <t>AZ</t>
        </is>
      </c>
      <c r="M726" s="5" t="inlineStr">
        <is>
          <t>Westwood</t>
        </is>
      </c>
      <c r="N726" s="5" t="inlineStr">
        <is>
          <t>Renewal</t>
        </is>
      </c>
      <c r="O726" s="19" t="n">
        <v>1.48</v>
      </c>
      <c r="P726" s="20" t="n">
        <v>185000</v>
      </c>
      <c r="Q726" s="20" t="n">
        <v>25900</v>
      </c>
      <c r="R726" s="20" t="n">
        <v>273800</v>
      </c>
      <c r="S726" s="20" t="n">
        <v>83602.09</v>
      </c>
      <c r="T726" s="20" t="n">
        <v>190197.91</v>
      </c>
      <c r="U726" s="21" t="n">
        <v>0.305339992695398</v>
      </c>
      <c r="V726" s="22" t="n">
        <v>36</v>
      </c>
      <c r="W726" s="17" t="n">
        <v>23</v>
      </c>
      <c r="X726" s="17" t="n">
        <v>2</v>
      </c>
      <c r="Y726" s="20" t="n">
        <v>188237.32</v>
      </c>
      <c r="Z726" s="21" t="n">
        <v>0.1396</v>
      </c>
      <c r="AA726" s="16" t="n">
        <v>43573</v>
      </c>
      <c r="AB726" s="5">
        <f>IF(V726="","",IF(V726&lt;12,"Months","Weeks"))</f>
        <v/>
      </c>
      <c r="AC726" s="5">
        <f>IF(AB726="","",IF(AB726="Months","Daily","Weekly"))</f>
        <v/>
      </c>
      <c r="AD726" s="17">
        <f>IF(V726="","",IF(AC726="Daily",V726*Controls!$B$13,V726))</f>
        <v/>
      </c>
      <c r="AE726" s="17">
        <f>IF(V726="","",IF(AC726="Daily",V726*Controls!$B$13,V726*Controls!$B$12))</f>
        <v/>
      </c>
      <c r="AF726" s="17">
        <f>IF(OR(E726="",F726=""),"",F726-E726)</f>
        <v/>
      </c>
      <c r="AG726" s="17">
        <f>IF(OR(E726="",F726=""),"",NETWORKDAYS(E726,F726,Ref!$F$4:$F$47))</f>
        <v/>
      </c>
      <c r="AH726" s="39">
        <f>IF(IFERROR(VLOOKUP(D726,Controls!$A$25:$D$35,2,FALSE()),"No")="Yes",1,0)</f>
        <v/>
      </c>
      <c r="AI726" s="39">
        <f>IF(IFERROR(VLOOKUP(D726,Controls!$A$25:$D$35,3,FALSE()),"No")="Yes",1,0)</f>
        <v/>
      </c>
      <c r="AJ726" s="39">
        <f>IF(IFERROR(VLOOKUP(D726,Controls!$A$25:$D$35,4,FALSE()),"No")="Yes",1,0)</f>
        <v/>
      </c>
      <c r="AK726" s="96">
        <f>IF(AND($E726&gt;=Controls!$B$5,$E726&lt;=Controls!$B$6,OR(Controls!$E$9&lt;&gt;"Y",$BE726=1)),1,0)</f>
        <v/>
      </c>
      <c r="AL726" s="39">
        <f>1</f>
        <v/>
      </c>
      <c r="AM726" s="20">
        <f>S726-P726</f>
        <v/>
      </c>
      <c r="AN726" s="20">
        <f>IF(AH726=1,MAX(0,P726-S726),0)</f>
        <v/>
      </c>
      <c r="AO726" s="21">
        <f>IFERROR(S726/P726,"")</f>
        <v/>
      </c>
      <c r="AP726" s="22">
        <f>IF(Y726="","",P726/Y726)</f>
        <v/>
      </c>
      <c r="AQ726" s="39">
        <f>IF(Y726="",0,1)</f>
        <v/>
      </c>
      <c r="AR726" s="39">
        <f>IF(S726&lt;=0,1,0)</f>
        <v/>
      </c>
      <c r="AS726" s="17">
        <f>IF(AH726=1,AG726,"")</f>
        <v/>
      </c>
      <c r="AT726" s="17">
        <f>IF(AND(AH726=0,AJ726=1),AG726,"")</f>
        <v/>
      </c>
      <c r="AU726" s="5">
        <f>IF(P726&lt;10000,"Under $10K",IF(P726&lt;20000,"$10-20K",IF(P726&lt;30000,"$20-30K",IF(P726&lt;50000,"$30-50K",IF(P726&lt;100000,"$50-100K","$100K+")))))</f>
        <v/>
      </c>
      <c r="AV726" s="5">
        <f>IF(O726&lt;=1.35,"1.35 and under",IF(O726&lt;=1.42,"1.36-1.42",IF(O726&lt;=1.45,"1.43-1.45",IF(O726&lt;1.49,"1.46-1.48",IF(O726&lt;=1.49,"1.49","Above 1.49")))))</f>
        <v/>
      </c>
      <c r="AW726" s="5">
        <f>IF(AE726="","",IF(AE726&lt;60,"Under 60",IF(AE726&lt;90,"60-89",IF(AE726&lt;120,"90-119",IF(AE726&lt;150,"120-149","150+")))))</f>
        <v/>
      </c>
      <c r="AX726" s="5">
        <f>IF(AP726="","No revenue data",IF(AP726&lt;0.15,"Under 0.15x",IF(AP726&lt;0.3,"0.15-0.30x",IF(AP726&lt;0.5,"0.30-0.50x",IF(AP726&lt;1,"0.50-1.00x","1.00x+")))))</f>
        <v/>
      </c>
      <c r="AY726" s="5">
        <f>IF(J726="","No SIC",IFERROR(VLOOKUP(J726,Ref!$A$4:$C$67,2,FALSE()),"Unclassified"))</f>
        <v/>
      </c>
      <c r="AZ726" s="5">
        <f>IF(E726="","",TEXT(E726,"YYYY")&amp;"-Q"&amp;ROUNDUP(MONTH(E726)/3,0))</f>
        <v/>
      </c>
      <c r="BA726" s="5">
        <f>IF(E726="","",TEXT(E726,"YYYY-MM"))</f>
        <v/>
      </c>
      <c r="BB726" s="5">
        <f>IF(E726="","",TEXT(E726,"YYYY"))</f>
        <v/>
      </c>
      <c r="BC726" s="92">
        <f>IF($E726="","",NETWORKDAYS($E726,Controls!$B$9,Ref!$F$4:$F$47))</f>
        <v/>
      </c>
      <c r="BD726" s="92">
        <f>IF(OR($AH726=1,$AJ726=1),1,0)</f>
        <v/>
      </c>
      <c r="BE726" s="95">
        <f>IF(OR($BD726=1,AND($AE726&lt;&gt;"",$BC726&gt;=Controls!$B$10*$AE726)),1,0)</f>
        <v/>
      </c>
    </row>
    <row r="727" ht="15.75" customHeight="1" s="79">
      <c r="A727" s="5" t="inlineStr">
        <is>
          <t>5674180467</t>
        </is>
      </c>
      <c r="B727" s="5" t="inlineStr">
        <is>
          <t>G&amp;K Carpet and Flooring LLC</t>
        </is>
      </c>
      <c r="C727" s="5" t="inlineStr">
        <is>
          <t>G&amp;K Carpet and Flooring LLC</t>
        </is>
      </c>
      <c r="D727" s="5" t="inlineStr">
        <is>
          <t>Open</t>
        </is>
      </c>
      <c r="E727" s="16" t="n">
        <v>46100</v>
      </c>
      <c r="F727" s="16" t="n">
        <v>46247</v>
      </c>
      <c r="G727" s="17" t="n">
        <v>2</v>
      </c>
      <c r="H727" s="5" t="inlineStr">
        <is>
          <t>1752</t>
        </is>
      </c>
      <c r="I727" s="5" t="inlineStr">
        <is>
          <t>Flooring Contractors</t>
        </is>
      </c>
      <c r="J727" s="5" t="inlineStr">
        <is>
          <t>17</t>
        </is>
      </c>
      <c r="K727" s="5" t="n">
        <v>1750</v>
      </c>
      <c r="L727" s="5" t="inlineStr">
        <is>
          <t>NJ</t>
        </is>
      </c>
      <c r="M727" s="5" t="inlineStr">
        <is>
          <t>National Business Capital</t>
        </is>
      </c>
      <c r="N727" s="5" t="inlineStr">
        <is>
          <t>New Deal</t>
        </is>
      </c>
      <c r="O727" s="19" t="n">
        <v>1.4</v>
      </c>
      <c r="P727" s="20" t="n">
        <v>11000</v>
      </c>
      <c r="Q727" s="20" t="n">
        <v>1045</v>
      </c>
      <c r="R727" s="20" t="n">
        <v>15400</v>
      </c>
      <c r="S727" s="20" t="n">
        <v>12837.2</v>
      </c>
      <c r="T727" s="20" t="n">
        <v>2562.8</v>
      </c>
      <c r="U727" s="21" t="n">
        <v>0.833584415584416</v>
      </c>
      <c r="V727" s="22" t="n">
        <v>24</v>
      </c>
      <c r="W727" s="17" t="n">
        <v>6</v>
      </c>
      <c r="X727" s="17" t="n">
        <v>1</v>
      </c>
      <c r="Y727" s="20" t="n">
        <v>59431.27</v>
      </c>
      <c r="Z727" s="21" t="n">
        <v>0.0432</v>
      </c>
      <c r="AA727" s="16" t="n">
        <v>41038</v>
      </c>
      <c r="AB727" s="5">
        <f>IF(V727="","",IF(V727&lt;12,"Months","Weeks"))</f>
        <v/>
      </c>
      <c r="AC727" s="5">
        <f>IF(AB727="","",IF(AB727="Months","Daily","Weekly"))</f>
        <v/>
      </c>
      <c r="AD727" s="17">
        <f>IF(V727="","",IF(AC727="Daily",V727*Controls!$B$13,V727))</f>
        <v/>
      </c>
      <c r="AE727" s="17">
        <f>IF(V727="","",IF(AC727="Daily",V727*Controls!$B$13,V727*Controls!$B$12))</f>
        <v/>
      </c>
      <c r="AF727" s="17">
        <f>IF(OR(E727="",F727=""),"",F727-E727)</f>
        <v/>
      </c>
      <c r="AG727" s="17">
        <f>IF(OR(E727="",F727=""),"",NETWORKDAYS(E727,F727,Ref!$F$4:$F$47))</f>
        <v/>
      </c>
      <c r="AH727" s="39">
        <f>IF(IFERROR(VLOOKUP(D727,Controls!$A$25:$D$35,2,FALSE()),"No")="Yes",1,0)</f>
        <v/>
      </c>
      <c r="AI727" s="39">
        <f>IF(IFERROR(VLOOKUP(D727,Controls!$A$25:$D$35,3,FALSE()),"No")="Yes",1,0)</f>
        <v/>
      </c>
      <c r="AJ727" s="39">
        <f>IF(IFERROR(VLOOKUP(D727,Controls!$A$25:$D$35,4,FALSE()),"No")="Yes",1,0)</f>
        <v/>
      </c>
      <c r="AK727" s="96">
        <f>IF(AND($E727&gt;=Controls!$B$5,$E727&lt;=Controls!$B$6,OR(Controls!$E$9&lt;&gt;"Y",$BE727=1)),1,0)</f>
        <v/>
      </c>
      <c r="AL727" s="39">
        <f>1</f>
        <v/>
      </c>
      <c r="AM727" s="20">
        <f>S727-P727</f>
        <v/>
      </c>
      <c r="AN727" s="20">
        <f>IF(AH727=1,MAX(0,P727-S727),0)</f>
        <v/>
      </c>
      <c r="AO727" s="21">
        <f>IFERROR(S727/P727,"")</f>
        <v/>
      </c>
      <c r="AP727" s="22">
        <f>IF(Y727="","",P727/Y727)</f>
        <v/>
      </c>
      <c r="AQ727" s="39">
        <f>IF(Y727="",0,1)</f>
        <v/>
      </c>
      <c r="AR727" s="39">
        <f>IF(S727&lt;=0,1,0)</f>
        <v/>
      </c>
      <c r="AS727" s="17">
        <f>IF(AH727=1,AG727,"")</f>
        <v/>
      </c>
      <c r="AT727" s="17">
        <f>IF(AND(AH727=0,AJ727=1),AG727,"")</f>
        <v/>
      </c>
      <c r="AU727" s="5">
        <f>IF(P727&lt;10000,"Under $10K",IF(P727&lt;20000,"$10-20K",IF(P727&lt;30000,"$20-30K",IF(P727&lt;50000,"$30-50K",IF(P727&lt;100000,"$50-100K","$100K+")))))</f>
        <v/>
      </c>
      <c r="AV727" s="5">
        <f>IF(O727&lt;=1.35,"1.35 and under",IF(O727&lt;=1.42,"1.36-1.42",IF(O727&lt;=1.45,"1.43-1.45",IF(O727&lt;1.49,"1.46-1.48",IF(O727&lt;=1.49,"1.49","Above 1.49")))))</f>
        <v/>
      </c>
      <c r="AW727" s="5">
        <f>IF(AE727="","",IF(AE727&lt;60,"Under 60",IF(AE727&lt;90,"60-89",IF(AE727&lt;120,"90-119",IF(AE727&lt;150,"120-149","150+")))))</f>
        <v/>
      </c>
      <c r="AX727" s="5">
        <f>IF(AP727="","No revenue data",IF(AP727&lt;0.15,"Under 0.15x",IF(AP727&lt;0.3,"0.15-0.30x",IF(AP727&lt;0.5,"0.30-0.50x",IF(AP727&lt;1,"0.50-1.00x","1.00x+")))))</f>
        <v/>
      </c>
      <c r="AY727" s="5">
        <f>IF(J727="","No SIC",IFERROR(VLOOKUP(J727,Ref!$A$4:$C$67,2,FALSE()),"Unclassified"))</f>
        <v/>
      </c>
      <c r="AZ727" s="5">
        <f>IF(E727="","",TEXT(E727,"YYYY")&amp;"-Q"&amp;ROUNDUP(MONTH(E727)/3,0))</f>
        <v/>
      </c>
      <c r="BA727" s="5">
        <f>IF(E727="","",TEXT(E727,"YYYY-MM"))</f>
        <v/>
      </c>
      <c r="BB727" s="5">
        <f>IF(E727="","",TEXT(E727,"YYYY"))</f>
        <v/>
      </c>
      <c r="BC727" s="92">
        <f>IF($E727="","",NETWORKDAYS($E727,Controls!$B$9,Ref!$F$4:$F$47))</f>
        <v/>
      </c>
      <c r="BD727" s="92">
        <f>IF(OR($AH727=1,$AJ727=1),1,0)</f>
        <v/>
      </c>
      <c r="BE727" s="95">
        <f>IF(OR($BD727=1,AND($AE727&lt;&gt;"",$BC727&gt;=Controls!$B$10*$AE727)),1,0)</f>
        <v/>
      </c>
    </row>
    <row r="728" ht="15.75" customHeight="1" s="79">
      <c r="A728" s="5" t="inlineStr">
        <is>
          <t>5674180469</t>
        </is>
      </c>
      <c r="B728" s="5" t="inlineStr">
        <is>
          <t>4 EVER TRUCKING 2 LLC</t>
        </is>
      </c>
      <c r="C728" s="5" t="inlineStr">
        <is>
          <t>4 EVER TRUCKING 2 LLC</t>
        </is>
      </c>
      <c r="D728" s="5" t="inlineStr">
        <is>
          <t>Closed</t>
        </is>
      </c>
      <c r="E728" s="16" t="n">
        <v>46100</v>
      </c>
      <c r="F728" s="16" t="n">
        <v>46225</v>
      </c>
      <c r="G728" s="17" t="n">
        <v>3</v>
      </c>
      <c r="H728" s="5" t="inlineStr">
        <is>
          <t>4212</t>
        </is>
      </c>
      <c r="I728" s="5" t="inlineStr">
        <is>
          <t>Specialized Freight (Except Used Goods) Trucking, Local</t>
        </is>
      </c>
      <c r="J728" s="5" t="inlineStr">
        <is>
          <t>42</t>
        </is>
      </c>
      <c r="K728" s="5" t="n">
        <v>4214</v>
      </c>
      <c r="L728" s="5" t="inlineStr">
        <is>
          <t>MS</t>
        </is>
      </c>
      <c r="M728" s="5" t="inlineStr">
        <is>
          <t>DIRECT CAPITAL SOURCE, INC.</t>
        </is>
      </c>
      <c r="N728" s="5" t="inlineStr">
        <is>
          <t>New Deal</t>
        </is>
      </c>
      <c r="O728" s="19" t="n">
        <v>1.49</v>
      </c>
      <c r="P728" s="20" t="n">
        <v>5000</v>
      </c>
      <c r="Q728" s="20" t="n">
        <v>700</v>
      </c>
      <c r="R728" s="20" t="n">
        <v>7450</v>
      </c>
      <c r="S728" s="20" t="n">
        <v>7450</v>
      </c>
      <c r="T728" s="20" t="n">
        <v>0</v>
      </c>
      <c r="U728" s="21" t="n">
        <v>1</v>
      </c>
      <c r="V728" s="22" t="n">
        <v>30</v>
      </c>
      <c r="W728" s="17" t="n">
        <v>28</v>
      </c>
      <c r="X728" s="17" t="n">
        <v>0</v>
      </c>
      <c r="Y728" s="20" t="n">
        <v>37897</v>
      </c>
      <c r="Z728" s="21" t="n">
        <v>0.0262</v>
      </c>
      <c r="AA728" s="16" t="n">
        <v>44256</v>
      </c>
      <c r="AB728" s="5">
        <f>IF(V728="","",IF(V728&lt;12,"Months","Weeks"))</f>
        <v/>
      </c>
      <c r="AC728" s="5">
        <f>IF(AB728="","",IF(AB728="Months","Daily","Weekly"))</f>
        <v/>
      </c>
      <c r="AD728" s="17">
        <f>IF(V728="","",IF(AC728="Daily",V728*Controls!$B$13,V728))</f>
        <v/>
      </c>
      <c r="AE728" s="17">
        <f>IF(V728="","",IF(AC728="Daily",V728*Controls!$B$13,V728*Controls!$B$12))</f>
        <v/>
      </c>
      <c r="AF728" s="17">
        <f>IF(OR(E728="",F728=""),"",F728-E728)</f>
        <v/>
      </c>
      <c r="AG728" s="17">
        <f>IF(OR(E728="",F728=""),"",NETWORKDAYS(E728,F728,Ref!$F$4:$F$47))</f>
        <v/>
      </c>
      <c r="AH728" s="39">
        <f>IF(IFERROR(VLOOKUP(D728,Controls!$A$25:$D$35,2,FALSE()),"No")="Yes",1,0)</f>
        <v/>
      </c>
      <c r="AI728" s="39">
        <f>IF(IFERROR(VLOOKUP(D728,Controls!$A$25:$D$35,3,FALSE()),"No")="Yes",1,0)</f>
        <v/>
      </c>
      <c r="AJ728" s="39">
        <f>IF(IFERROR(VLOOKUP(D728,Controls!$A$25:$D$35,4,FALSE()),"No")="Yes",1,0)</f>
        <v/>
      </c>
      <c r="AK728" s="96">
        <f>IF(AND($E728&gt;=Controls!$B$5,$E728&lt;=Controls!$B$6,OR(Controls!$E$9&lt;&gt;"Y",$BE728=1)),1,0)</f>
        <v/>
      </c>
      <c r="AL728" s="39">
        <f>1</f>
        <v/>
      </c>
      <c r="AM728" s="20">
        <f>S728-P728</f>
        <v/>
      </c>
      <c r="AN728" s="20">
        <f>IF(AH728=1,MAX(0,P728-S728),0)</f>
        <v/>
      </c>
      <c r="AO728" s="21">
        <f>IFERROR(S728/P728,"")</f>
        <v/>
      </c>
      <c r="AP728" s="22">
        <f>IF(Y728="","",P728/Y728)</f>
        <v/>
      </c>
      <c r="AQ728" s="39">
        <f>IF(Y728="",0,1)</f>
        <v/>
      </c>
      <c r="AR728" s="39">
        <f>IF(S728&lt;=0,1,0)</f>
        <v/>
      </c>
      <c r="AS728" s="17">
        <f>IF(AH728=1,AG728,"")</f>
        <v/>
      </c>
      <c r="AT728" s="17">
        <f>IF(AND(AH728=0,AJ728=1),AG728,"")</f>
        <v/>
      </c>
      <c r="AU728" s="5">
        <f>IF(P728&lt;10000,"Under $10K",IF(P728&lt;20000,"$10-20K",IF(P728&lt;30000,"$20-30K",IF(P728&lt;50000,"$30-50K",IF(P728&lt;100000,"$50-100K","$100K+")))))</f>
        <v/>
      </c>
      <c r="AV728" s="5">
        <f>IF(O728&lt;=1.35,"1.35 and under",IF(O728&lt;=1.42,"1.36-1.42",IF(O728&lt;=1.45,"1.43-1.45",IF(O728&lt;1.49,"1.46-1.48",IF(O728&lt;=1.49,"1.49","Above 1.49")))))</f>
        <v/>
      </c>
      <c r="AW728" s="5">
        <f>IF(AE728="","",IF(AE728&lt;60,"Under 60",IF(AE728&lt;90,"60-89",IF(AE728&lt;120,"90-119",IF(AE728&lt;150,"120-149","150+")))))</f>
        <v/>
      </c>
      <c r="AX728" s="5">
        <f>IF(AP728="","No revenue data",IF(AP728&lt;0.15,"Under 0.15x",IF(AP728&lt;0.3,"0.15-0.30x",IF(AP728&lt;0.5,"0.30-0.50x",IF(AP728&lt;1,"0.50-1.00x","1.00x+")))))</f>
        <v/>
      </c>
      <c r="AY728" s="5">
        <f>IF(J728="","No SIC",IFERROR(VLOOKUP(J728,Ref!$A$4:$C$67,2,FALSE()),"Unclassified"))</f>
        <v/>
      </c>
      <c r="AZ728" s="5">
        <f>IF(E728="","",TEXT(E728,"YYYY")&amp;"-Q"&amp;ROUNDUP(MONTH(E728)/3,0))</f>
        <v/>
      </c>
      <c r="BA728" s="5">
        <f>IF(E728="","",TEXT(E728,"YYYY-MM"))</f>
        <v/>
      </c>
      <c r="BB728" s="5">
        <f>IF(E728="","",TEXT(E728,"YYYY"))</f>
        <v/>
      </c>
      <c r="BC728" s="92">
        <f>IF($E728="","",NETWORKDAYS($E728,Controls!$B$9,Ref!$F$4:$F$47))</f>
        <v/>
      </c>
      <c r="BD728" s="92">
        <f>IF(OR($AH728=1,$AJ728=1),1,0)</f>
        <v/>
      </c>
      <c r="BE728" s="95">
        <f>IF(OR($BD728=1,AND($AE728&lt;&gt;"",$BC728&gt;=Controls!$B$10*$AE728)),1,0)</f>
        <v/>
      </c>
    </row>
    <row r="729" ht="15.75" customHeight="1" s="79">
      <c r="A729" s="5" t="inlineStr">
        <is>
          <t>5674180473</t>
        </is>
      </c>
      <c r="B729" s="5" t="inlineStr">
        <is>
          <t>PROSPECT MASTER</t>
        </is>
      </c>
      <c r="C729" s="5" t="inlineStr">
        <is>
          <t>PROSPECT MASTER LLC</t>
        </is>
      </c>
      <c r="D729" s="5" t="inlineStr">
        <is>
          <t>Open</t>
        </is>
      </c>
      <c r="E729" s="16" t="n">
        <v>46100</v>
      </c>
      <c r="F729" s="16" t="n">
        <v>46248</v>
      </c>
      <c r="G729" s="17" t="n">
        <v>4</v>
      </c>
      <c r="H729" s="5" t="inlineStr">
        <is>
          <t>5999</t>
        </is>
      </c>
      <c r="I729" s="5" t="inlineStr">
        <is>
          <t>All Other Misc. Store Retailers (Except Tobacco Stores)</t>
        </is>
      </c>
      <c r="J729" s="5" t="inlineStr">
        <is>
          <t>59</t>
        </is>
      </c>
      <c r="K729" s="5" t="n">
        <v>5999</v>
      </c>
      <c r="L729" s="5" t="inlineStr">
        <is>
          <t>FL</t>
        </is>
      </c>
      <c r="M729" s="5" t="inlineStr">
        <is>
          <t>Fundwell</t>
        </is>
      </c>
      <c r="N729" s="5" t="inlineStr">
        <is>
          <t>Renewal</t>
        </is>
      </c>
      <c r="O729" s="19" t="n">
        <v>1.49</v>
      </c>
      <c r="P729" s="20" t="n">
        <v>30000</v>
      </c>
      <c r="Q729" s="20" t="n">
        <v>4800</v>
      </c>
      <c r="R729" s="20" t="n">
        <v>44700</v>
      </c>
      <c r="S729" s="20" t="n">
        <v>24584.34</v>
      </c>
      <c r="T729" s="20" t="n">
        <v>20115.66</v>
      </c>
      <c r="U729" s="21" t="n">
        <v>0.549985234899329</v>
      </c>
      <c r="V729" s="22" t="n">
        <v>3.934</v>
      </c>
      <c r="W729" s="17" t="n">
        <v>41</v>
      </c>
      <c r="X729" s="17" t="n">
        <v>38</v>
      </c>
      <c r="Y729" s="20" t="n">
        <v>129019.66</v>
      </c>
      <c r="Z729" s="21" t="n">
        <v>0.1083</v>
      </c>
      <c r="AA729" s="16" t="n">
        <v>42017</v>
      </c>
      <c r="AB729" s="5">
        <f>IF(V729="","",IF(V729&lt;12,"Months","Weeks"))</f>
        <v/>
      </c>
      <c r="AC729" s="5">
        <f>IF(AB729="","",IF(AB729="Months","Daily","Weekly"))</f>
        <v/>
      </c>
      <c r="AD729" s="17">
        <f>IF(V729="","",IF(AC729="Daily",V729*Controls!$B$13,V729))</f>
        <v/>
      </c>
      <c r="AE729" s="17">
        <f>IF(V729="","",IF(AC729="Daily",V729*Controls!$B$13,V729*Controls!$B$12))</f>
        <v/>
      </c>
      <c r="AF729" s="17">
        <f>IF(OR(E729="",F729=""),"",F729-E729)</f>
        <v/>
      </c>
      <c r="AG729" s="17">
        <f>IF(OR(E729="",F729=""),"",NETWORKDAYS(E729,F729,Ref!$F$4:$F$47))</f>
        <v/>
      </c>
      <c r="AH729" s="39">
        <f>IF(IFERROR(VLOOKUP(D729,Controls!$A$25:$D$35,2,FALSE()),"No")="Yes",1,0)</f>
        <v/>
      </c>
      <c r="AI729" s="39">
        <f>IF(IFERROR(VLOOKUP(D729,Controls!$A$25:$D$35,3,FALSE()),"No")="Yes",1,0)</f>
        <v/>
      </c>
      <c r="AJ729" s="39">
        <f>IF(IFERROR(VLOOKUP(D729,Controls!$A$25:$D$35,4,FALSE()),"No")="Yes",1,0)</f>
        <v/>
      </c>
      <c r="AK729" s="96">
        <f>IF(AND($E729&gt;=Controls!$B$5,$E729&lt;=Controls!$B$6,OR(Controls!$E$9&lt;&gt;"Y",$BE729=1)),1,0)</f>
        <v/>
      </c>
      <c r="AL729" s="39">
        <f>1</f>
        <v/>
      </c>
      <c r="AM729" s="20">
        <f>S729-P729</f>
        <v/>
      </c>
      <c r="AN729" s="20">
        <f>IF(AH729=1,MAX(0,P729-S729),0)</f>
        <v/>
      </c>
      <c r="AO729" s="21">
        <f>IFERROR(S729/P729,"")</f>
        <v/>
      </c>
      <c r="AP729" s="22">
        <f>IF(Y729="","",P729/Y729)</f>
        <v/>
      </c>
      <c r="AQ729" s="39">
        <f>IF(Y729="",0,1)</f>
        <v/>
      </c>
      <c r="AR729" s="39">
        <f>IF(S729&lt;=0,1,0)</f>
        <v/>
      </c>
      <c r="AS729" s="17">
        <f>IF(AH729=1,AG729,"")</f>
        <v/>
      </c>
      <c r="AT729" s="17">
        <f>IF(AND(AH729=0,AJ729=1),AG729,"")</f>
        <v/>
      </c>
      <c r="AU729" s="5">
        <f>IF(P729&lt;10000,"Under $10K",IF(P729&lt;20000,"$10-20K",IF(P729&lt;30000,"$20-30K",IF(P729&lt;50000,"$30-50K",IF(P729&lt;100000,"$50-100K","$100K+")))))</f>
        <v/>
      </c>
      <c r="AV729" s="5">
        <f>IF(O729&lt;=1.35,"1.35 and under",IF(O729&lt;=1.42,"1.36-1.42",IF(O729&lt;=1.45,"1.43-1.45",IF(O729&lt;1.49,"1.46-1.48",IF(O729&lt;=1.49,"1.49","Above 1.49")))))</f>
        <v/>
      </c>
      <c r="AW729" s="5">
        <f>IF(AE729="","",IF(AE729&lt;60,"Under 60",IF(AE729&lt;90,"60-89",IF(AE729&lt;120,"90-119",IF(AE729&lt;150,"120-149","150+")))))</f>
        <v/>
      </c>
      <c r="AX729" s="5">
        <f>IF(AP729="","No revenue data",IF(AP729&lt;0.15,"Under 0.15x",IF(AP729&lt;0.3,"0.15-0.30x",IF(AP729&lt;0.5,"0.30-0.50x",IF(AP729&lt;1,"0.50-1.00x","1.00x+")))))</f>
        <v/>
      </c>
      <c r="AY729" s="5">
        <f>IF(J729="","No SIC",IFERROR(VLOOKUP(J729,Ref!$A$4:$C$67,2,FALSE()),"Unclassified"))</f>
        <v/>
      </c>
      <c r="AZ729" s="5">
        <f>IF(E729="","",TEXT(E729,"YYYY")&amp;"-Q"&amp;ROUNDUP(MONTH(E729)/3,0))</f>
        <v/>
      </c>
      <c r="BA729" s="5">
        <f>IF(E729="","",TEXT(E729,"YYYY-MM"))</f>
        <v/>
      </c>
      <c r="BB729" s="5">
        <f>IF(E729="","",TEXT(E729,"YYYY"))</f>
        <v/>
      </c>
      <c r="BC729" s="92">
        <f>IF($E729="","",NETWORKDAYS($E729,Controls!$B$9,Ref!$F$4:$F$47))</f>
        <v/>
      </c>
      <c r="BD729" s="92">
        <f>IF(OR($AH729=1,$AJ729=1),1,0)</f>
        <v/>
      </c>
      <c r="BE729" s="95">
        <f>IF(OR($BD729=1,AND($AE729&lt;&gt;"",$BC729&gt;=Controls!$B$10*$AE729)),1,0)</f>
        <v/>
      </c>
    </row>
    <row r="730" ht="15.75" customHeight="1" s="79">
      <c r="A730" s="5" t="inlineStr">
        <is>
          <t>5674180478</t>
        </is>
      </c>
      <c r="B730" s="5" t="inlineStr">
        <is>
          <t>The Eklund Companies, INC</t>
        </is>
      </c>
      <c r="C730" s="5" t="inlineStr">
        <is>
          <t>The Eklund Companies, INC</t>
        </is>
      </c>
      <c r="D730" s="5" t="inlineStr">
        <is>
          <t>Closed</t>
        </is>
      </c>
      <c r="E730" s="16" t="n">
        <v>46100</v>
      </c>
      <c r="F730" s="16" t="n">
        <v>46161</v>
      </c>
      <c r="G730" s="17" t="n">
        <v>3</v>
      </c>
      <c r="H730" s="5" t="inlineStr">
        <is>
          <t>1521</t>
        </is>
      </c>
      <c r="I730" s="5" t="inlineStr">
        <is>
          <t>Residential Remodelers</t>
        </is>
      </c>
      <c r="J730" s="5" t="inlineStr">
        <is>
          <t>15</t>
        </is>
      </c>
      <c r="K730" s="5" t="n">
        <v>1520</v>
      </c>
      <c r="L730" s="5" t="inlineStr">
        <is>
          <t>CO</t>
        </is>
      </c>
      <c r="M730" s="5" t="inlineStr">
        <is>
          <t>TRUSTFI</t>
        </is>
      </c>
      <c r="N730" s="5" t="inlineStr">
        <is>
          <t>New Deal</t>
        </is>
      </c>
      <c r="O730" s="19" t="n">
        <v>1.45</v>
      </c>
      <c r="P730" s="20" t="n">
        <v>20000</v>
      </c>
      <c r="Q730" s="20" t="n">
        <v>2400</v>
      </c>
      <c r="R730" s="20" t="n">
        <v>29000</v>
      </c>
      <c r="S730" s="20" t="n">
        <v>29000</v>
      </c>
      <c r="T730" s="20" t="n">
        <v>0</v>
      </c>
      <c r="U730" s="21" t="n">
        <v>1</v>
      </c>
      <c r="V730" s="22" t="n">
        <v>16</v>
      </c>
      <c r="W730" s="17" t="n">
        <v>92</v>
      </c>
      <c r="X730" s="17" t="n">
        <v>0</v>
      </c>
      <c r="Y730" s="20" t="n">
        <v>61785.9</v>
      </c>
      <c r="Z730" s="21" t="n">
        <v>0.1173</v>
      </c>
      <c r="AA730" s="16" t="n">
        <v>41591</v>
      </c>
      <c r="AB730" s="5">
        <f>IF(V730="","",IF(V730&lt;12,"Months","Weeks"))</f>
        <v/>
      </c>
      <c r="AC730" s="5">
        <f>IF(AB730="","",IF(AB730="Months","Daily","Weekly"))</f>
        <v/>
      </c>
      <c r="AD730" s="17">
        <f>IF(V730="","",IF(AC730="Daily",V730*Controls!$B$13,V730))</f>
        <v/>
      </c>
      <c r="AE730" s="17">
        <f>IF(V730="","",IF(AC730="Daily",V730*Controls!$B$13,V730*Controls!$B$12))</f>
        <v/>
      </c>
      <c r="AF730" s="17">
        <f>IF(OR(E730="",F730=""),"",F730-E730)</f>
        <v/>
      </c>
      <c r="AG730" s="17">
        <f>IF(OR(E730="",F730=""),"",NETWORKDAYS(E730,F730,Ref!$F$4:$F$47))</f>
        <v/>
      </c>
      <c r="AH730" s="39">
        <f>IF(IFERROR(VLOOKUP(D730,Controls!$A$25:$D$35,2,FALSE()),"No")="Yes",1,0)</f>
        <v/>
      </c>
      <c r="AI730" s="39">
        <f>IF(IFERROR(VLOOKUP(D730,Controls!$A$25:$D$35,3,FALSE()),"No")="Yes",1,0)</f>
        <v/>
      </c>
      <c r="AJ730" s="39">
        <f>IF(IFERROR(VLOOKUP(D730,Controls!$A$25:$D$35,4,FALSE()),"No")="Yes",1,0)</f>
        <v/>
      </c>
      <c r="AK730" s="96">
        <f>IF(AND($E730&gt;=Controls!$B$5,$E730&lt;=Controls!$B$6,OR(Controls!$E$9&lt;&gt;"Y",$BE730=1)),1,0)</f>
        <v/>
      </c>
      <c r="AL730" s="39">
        <f>1</f>
        <v/>
      </c>
      <c r="AM730" s="20">
        <f>S730-P730</f>
        <v/>
      </c>
      <c r="AN730" s="20">
        <f>IF(AH730=1,MAX(0,P730-S730),0)</f>
        <v/>
      </c>
      <c r="AO730" s="21">
        <f>IFERROR(S730/P730,"")</f>
        <v/>
      </c>
      <c r="AP730" s="22">
        <f>IF(Y730="","",P730/Y730)</f>
        <v/>
      </c>
      <c r="AQ730" s="39">
        <f>IF(Y730="",0,1)</f>
        <v/>
      </c>
      <c r="AR730" s="39">
        <f>IF(S730&lt;=0,1,0)</f>
        <v/>
      </c>
      <c r="AS730" s="17">
        <f>IF(AH730=1,AG730,"")</f>
        <v/>
      </c>
      <c r="AT730" s="17">
        <f>IF(AND(AH730=0,AJ730=1),AG730,"")</f>
        <v/>
      </c>
      <c r="AU730" s="5">
        <f>IF(P730&lt;10000,"Under $10K",IF(P730&lt;20000,"$10-20K",IF(P730&lt;30000,"$20-30K",IF(P730&lt;50000,"$30-50K",IF(P730&lt;100000,"$50-100K","$100K+")))))</f>
        <v/>
      </c>
      <c r="AV730" s="5">
        <f>IF(O730&lt;=1.35,"1.35 and under",IF(O730&lt;=1.42,"1.36-1.42",IF(O730&lt;=1.45,"1.43-1.45",IF(O730&lt;1.49,"1.46-1.48",IF(O730&lt;=1.49,"1.49","Above 1.49")))))</f>
        <v/>
      </c>
      <c r="AW730" s="5">
        <f>IF(AE730="","",IF(AE730&lt;60,"Under 60",IF(AE730&lt;90,"60-89",IF(AE730&lt;120,"90-119",IF(AE730&lt;150,"120-149","150+")))))</f>
        <v/>
      </c>
      <c r="AX730" s="5">
        <f>IF(AP730="","No revenue data",IF(AP730&lt;0.15,"Under 0.15x",IF(AP730&lt;0.3,"0.15-0.30x",IF(AP730&lt;0.5,"0.30-0.50x",IF(AP730&lt;1,"0.50-1.00x","1.00x+")))))</f>
        <v/>
      </c>
      <c r="AY730" s="5">
        <f>IF(J730="","No SIC",IFERROR(VLOOKUP(J730,Ref!$A$4:$C$67,2,FALSE()),"Unclassified"))</f>
        <v/>
      </c>
      <c r="AZ730" s="5">
        <f>IF(E730="","",TEXT(E730,"YYYY")&amp;"-Q"&amp;ROUNDUP(MONTH(E730)/3,0))</f>
        <v/>
      </c>
      <c r="BA730" s="5">
        <f>IF(E730="","",TEXT(E730,"YYYY-MM"))</f>
        <v/>
      </c>
      <c r="BB730" s="5">
        <f>IF(E730="","",TEXT(E730,"YYYY"))</f>
        <v/>
      </c>
      <c r="BC730" s="92">
        <f>IF($E730="","",NETWORKDAYS($E730,Controls!$B$9,Ref!$F$4:$F$47))</f>
        <v/>
      </c>
      <c r="BD730" s="92">
        <f>IF(OR($AH730=1,$AJ730=1),1,0)</f>
        <v/>
      </c>
      <c r="BE730" s="95">
        <f>IF(OR($BD730=1,AND($AE730&lt;&gt;"",$BC730&gt;=Controls!$B$10*$AE730)),1,0)</f>
        <v/>
      </c>
    </row>
    <row r="731" ht="15.75" customHeight="1" s="79">
      <c r="A731" s="5" t="inlineStr">
        <is>
          <t>5674180495</t>
        </is>
      </c>
      <c r="B731" s="5" t="inlineStr">
        <is>
          <t>JACK N MARK TRADING</t>
        </is>
      </c>
      <c r="C731" s="5" t="inlineStr">
        <is>
          <t>JACK N MARK TRADING</t>
        </is>
      </c>
      <c r="D731" s="5" t="inlineStr">
        <is>
          <t>Closed</t>
        </is>
      </c>
      <c r="E731" s="16" t="n">
        <v>46101</v>
      </c>
      <c r="F731" s="16" t="n">
        <v>46230</v>
      </c>
      <c r="G731" s="17" t="n">
        <v>2</v>
      </c>
      <c r="H731" s="5" t="inlineStr">
        <is>
          <t>5399</t>
        </is>
      </c>
      <c r="I731" s="5" t="inlineStr">
        <is>
          <t>All Other General Merchandise Stores</t>
        </is>
      </c>
      <c r="J731" s="5" t="inlineStr">
        <is>
          <t>53</t>
        </is>
      </c>
      <c r="K731" s="5" t="n">
        <v>5399</v>
      </c>
      <c r="L731" s="5" t="inlineStr">
        <is>
          <t>CA</t>
        </is>
      </c>
      <c r="M731" s="5" t="inlineStr">
        <is>
          <t>United Secured Capital 8</t>
        </is>
      </c>
      <c r="N731" s="5" t="inlineStr">
        <is>
          <t>New Deal</t>
        </is>
      </c>
      <c r="O731" s="19" t="n">
        <v>1.49</v>
      </c>
      <c r="P731" s="20" t="n">
        <v>25000</v>
      </c>
      <c r="Q731" s="20" t="n">
        <v>3500</v>
      </c>
      <c r="R731" s="20" t="n">
        <v>37250</v>
      </c>
      <c r="S731" s="20" t="n">
        <v>37250</v>
      </c>
      <c r="T731" s="20" t="n">
        <v>0</v>
      </c>
      <c r="U731" s="21" t="n">
        <v>1</v>
      </c>
      <c r="V731" s="22" t="n">
        <v>22</v>
      </c>
      <c r="W731" s="17" t="n">
        <v>23</v>
      </c>
      <c r="X731" s="17" t="n">
        <v>0</v>
      </c>
      <c r="Y731" s="20" t="n">
        <v>296382.23</v>
      </c>
      <c r="Z731" s="21" t="n">
        <v>0.0229</v>
      </c>
      <c r="AA731" s="16" t="n">
        <v>45547</v>
      </c>
      <c r="AB731" s="5">
        <f>IF(V731="","",IF(V731&lt;12,"Months","Weeks"))</f>
        <v/>
      </c>
      <c r="AC731" s="5">
        <f>IF(AB731="","",IF(AB731="Months","Daily","Weekly"))</f>
        <v/>
      </c>
      <c r="AD731" s="17">
        <f>IF(V731="","",IF(AC731="Daily",V731*Controls!$B$13,V731))</f>
        <v/>
      </c>
      <c r="AE731" s="17">
        <f>IF(V731="","",IF(AC731="Daily",V731*Controls!$B$13,V731*Controls!$B$12))</f>
        <v/>
      </c>
      <c r="AF731" s="17">
        <f>IF(OR(E731="",F731=""),"",F731-E731)</f>
        <v/>
      </c>
      <c r="AG731" s="17">
        <f>IF(OR(E731="",F731=""),"",NETWORKDAYS(E731,F731,Ref!$F$4:$F$47))</f>
        <v/>
      </c>
      <c r="AH731" s="39">
        <f>IF(IFERROR(VLOOKUP(D731,Controls!$A$25:$D$35,2,FALSE()),"No")="Yes",1,0)</f>
        <v/>
      </c>
      <c r="AI731" s="39">
        <f>IF(IFERROR(VLOOKUP(D731,Controls!$A$25:$D$35,3,FALSE()),"No")="Yes",1,0)</f>
        <v/>
      </c>
      <c r="AJ731" s="39">
        <f>IF(IFERROR(VLOOKUP(D731,Controls!$A$25:$D$35,4,FALSE()),"No")="Yes",1,0)</f>
        <v/>
      </c>
      <c r="AK731" s="96">
        <f>IF(AND($E731&gt;=Controls!$B$5,$E731&lt;=Controls!$B$6,OR(Controls!$E$9&lt;&gt;"Y",$BE731=1)),1,0)</f>
        <v/>
      </c>
      <c r="AL731" s="39">
        <f>1</f>
        <v/>
      </c>
      <c r="AM731" s="20">
        <f>S731-P731</f>
        <v/>
      </c>
      <c r="AN731" s="20">
        <f>IF(AH731=1,MAX(0,P731-S731),0)</f>
        <v/>
      </c>
      <c r="AO731" s="21">
        <f>IFERROR(S731/P731,"")</f>
        <v/>
      </c>
      <c r="AP731" s="22">
        <f>IF(Y731="","",P731/Y731)</f>
        <v/>
      </c>
      <c r="AQ731" s="39">
        <f>IF(Y731="",0,1)</f>
        <v/>
      </c>
      <c r="AR731" s="39">
        <f>IF(S731&lt;=0,1,0)</f>
        <v/>
      </c>
      <c r="AS731" s="17">
        <f>IF(AH731=1,AG731,"")</f>
        <v/>
      </c>
      <c r="AT731" s="17">
        <f>IF(AND(AH731=0,AJ731=1),AG731,"")</f>
        <v/>
      </c>
      <c r="AU731" s="5">
        <f>IF(P731&lt;10000,"Under $10K",IF(P731&lt;20000,"$10-20K",IF(P731&lt;30000,"$20-30K",IF(P731&lt;50000,"$30-50K",IF(P731&lt;100000,"$50-100K","$100K+")))))</f>
        <v/>
      </c>
      <c r="AV731" s="5">
        <f>IF(O731&lt;=1.35,"1.35 and under",IF(O731&lt;=1.42,"1.36-1.42",IF(O731&lt;=1.45,"1.43-1.45",IF(O731&lt;1.49,"1.46-1.48",IF(O731&lt;=1.49,"1.49","Above 1.49")))))</f>
        <v/>
      </c>
      <c r="AW731" s="5">
        <f>IF(AE731="","",IF(AE731&lt;60,"Under 60",IF(AE731&lt;90,"60-89",IF(AE731&lt;120,"90-119",IF(AE731&lt;150,"120-149","150+")))))</f>
        <v/>
      </c>
      <c r="AX731" s="5">
        <f>IF(AP731="","No revenue data",IF(AP731&lt;0.15,"Under 0.15x",IF(AP731&lt;0.3,"0.15-0.30x",IF(AP731&lt;0.5,"0.30-0.50x",IF(AP731&lt;1,"0.50-1.00x","1.00x+")))))</f>
        <v/>
      </c>
      <c r="AY731" s="5">
        <f>IF(J731="","No SIC",IFERROR(VLOOKUP(J731,Ref!$A$4:$C$67,2,FALSE()),"Unclassified"))</f>
        <v/>
      </c>
      <c r="AZ731" s="5">
        <f>IF(E731="","",TEXT(E731,"YYYY")&amp;"-Q"&amp;ROUNDUP(MONTH(E731)/3,0))</f>
        <v/>
      </c>
      <c r="BA731" s="5">
        <f>IF(E731="","",TEXT(E731,"YYYY-MM"))</f>
        <v/>
      </c>
      <c r="BB731" s="5">
        <f>IF(E731="","",TEXT(E731,"YYYY"))</f>
        <v/>
      </c>
      <c r="BC731" s="92">
        <f>IF($E731="","",NETWORKDAYS($E731,Controls!$B$9,Ref!$F$4:$F$47))</f>
        <v/>
      </c>
      <c r="BD731" s="92">
        <f>IF(OR($AH731=1,$AJ731=1),1,0)</f>
        <v/>
      </c>
      <c r="BE731" s="95">
        <f>IF(OR($BD731=1,AND($AE731&lt;&gt;"",$BC731&gt;=Controls!$B$10*$AE731)),1,0)</f>
        <v/>
      </c>
    </row>
    <row r="732" ht="15.75" customHeight="1" s="79">
      <c r="A732" s="5" t="inlineStr">
        <is>
          <t>5674180506</t>
        </is>
      </c>
      <c r="B732" s="5" t="inlineStr">
        <is>
          <t>ONSIGHT HEALTHCARE</t>
        </is>
      </c>
      <c r="C732" s="5" t="inlineStr">
        <is>
          <t>Healthcare Hospitality Group LLC</t>
        </is>
      </c>
      <c r="D732" s="5" t="inlineStr">
        <is>
          <t>Closed</t>
        </is>
      </c>
      <c r="E732" s="16" t="n">
        <v>46101</v>
      </c>
      <c r="F732" s="16" t="n">
        <v>46223</v>
      </c>
      <c r="G732" s="17" t="n">
        <v>3</v>
      </c>
      <c r="H732" s="5" t="inlineStr">
        <is>
          <t>8062</t>
        </is>
      </c>
      <c r="I732" s="5" t="inlineStr">
        <is>
          <t>General Medical and Surgical Hospitals</t>
        </is>
      </c>
      <c r="J732" s="5" t="inlineStr">
        <is>
          <t>80</t>
        </is>
      </c>
      <c r="K732" s="5" t="n">
        <v>8062</v>
      </c>
      <c r="L732" s="5" t="inlineStr">
        <is>
          <t>TN</t>
        </is>
      </c>
      <c r="M732" s="5" t="inlineStr">
        <is>
          <t>United Secured Capital 8</t>
        </is>
      </c>
      <c r="N732" s="5" t="inlineStr">
        <is>
          <t>New Deal</t>
        </is>
      </c>
      <c r="O732" s="19" t="n">
        <v>1.34</v>
      </c>
      <c r="P732" s="20" t="n">
        <v>200000</v>
      </c>
      <c r="Q732" s="20" t="n">
        <v>25000</v>
      </c>
      <c r="R732" s="20" t="n">
        <v>268000</v>
      </c>
      <c r="S732" s="20" t="n">
        <v>268000</v>
      </c>
      <c r="T732" s="20" t="n">
        <v>0</v>
      </c>
      <c r="U732" s="21" t="n">
        <v>1</v>
      </c>
      <c r="V732" s="22" t="n">
        <v>40</v>
      </c>
      <c r="W732" s="17" t="n">
        <v>30</v>
      </c>
      <c r="X732" s="17" t="n">
        <v>0</v>
      </c>
      <c r="Y732" s="20" t="n">
        <v>653595.48</v>
      </c>
      <c r="Z732" s="21" t="n">
        <v>0.0487</v>
      </c>
      <c r="AA732" s="16" t="n">
        <v>41695</v>
      </c>
      <c r="AB732" s="5">
        <f>IF(V732="","",IF(V732&lt;12,"Months","Weeks"))</f>
        <v/>
      </c>
      <c r="AC732" s="5">
        <f>IF(AB732="","",IF(AB732="Months","Daily","Weekly"))</f>
        <v/>
      </c>
      <c r="AD732" s="17">
        <f>IF(V732="","",IF(AC732="Daily",V732*Controls!$B$13,V732))</f>
        <v/>
      </c>
      <c r="AE732" s="17">
        <f>IF(V732="","",IF(AC732="Daily",V732*Controls!$B$13,V732*Controls!$B$12))</f>
        <v/>
      </c>
      <c r="AF732" s="17">
        <f>IF(OR(E732="",F732=""),"",F732-E732)</f>
        <v/>
      </c>
      <c r="AG732" s="17">
        <f>IF(OR(E732="",F732=""),"",NETWORKDAYS(E732,F732,Ref!$F$4:$F$47))</f>
        <v/>
      </c>
      <c r="AH732" s="39">
        <f>IF(IFERROR(VLOOKUP(D732,Controls!$A$25:$D$35,2,FALSE()),"No")="Yes",1,0)</f>
        <v/>
      </c>
      <c r="AI732" s="39">
        <f>IF(IFERROR(VLOOKUP(D732,Controls!$A$25:$D$35,3,FALSE()),"No")="Yes",1,0)</f>
        <v/>
      </c>
      <c r="AJ732" s="39">
        <f>IF(IFERROR(VLOOKUP(D732,Controls!$A$25:$D$35,4,FALSE()),"No")="Yes",1,0)</f>
        <v/>
      </c>
      <c r="AK732" s="96">
        <f>IF(AND($E732&gt;=Controls!$B$5,$E732&lt;=Controls!$B$6,OR(Controls!$E$9&lt;&gt;"Y",$BE732=1)),1,0)</f>
        <v/>
      </c>
      <c r="AL732" s="39">
        <f>1</f>
        <v/>
      </c>
      <c r="AM732" s="20">
        <f>S732-P732</f>
        <v/>
      </c>
      <c r="AN732" s="20">
        <f>IF(AH732=1,MAX(0,P732-S732),0)</f>
        <v/>
      </c>
      <c r="AO732" s="21">
        <f>IFERROR(S732/P732,"")</f>
        <v/>
      </c>
      <c r="AP732" s="22">
        <f>IF(Y732="","",P732/Y732)</f>
        <v/>
      </c>
      <c r="AQ732" s="39">
        <f>IF(Y732="",0,1)</f>
        <v/>
      </c>
      <c r="AR732" s="39">
        <f>IF(S732&lt;=0,1,0)</f>
        <v/>
      </c>
      <c r="AS732" s="17">
        <f>IF(AH732=1,AG732,"")</f>
        <v/>
      </c>
      <c r="AT732" s="17">
        <f>IF(AND(AH732=0,AJ732=1),AG732,"")</f>
        <v/>
      </c>
      <c r="AU732" s="5">
        <f>IF(P732&lt;10000,"Under $10K",IF(P732&lt;20000,"$10-20K",IF(P732&lt;30000,"$20-30K",IF(P732&lt;50000,"$30-50K",IF(P732&lt;100000,"$50-100K","$100K+")))))</f>
        <v/>
      </c>
      <c r="AV732" s="5">
        <f>IF(O732&lt;=1.35,"1.35 and under",IF(O732&lt;=1.42,"1.36-1.42",IF(O732&lt;=1.45,"1.43-1.45",IF(O732&lt;1.49,"1.46-1.48",IF(O732&lt;=1.49,"1.49","Above 1.49")))))</f>
        <v/>
      </c>
      <c r="AW732" s="5">
        <f>IF(AE732="","",IF(AE732&lt;60,"Under 60",IF(AE732&lt;90,"60-89",IF(AE732&lt;120,"90-119",IF(AE732&lt;150,"120-149","150+")))))</f>
        <v/>
      </c>
      <c r="AX732" s="5">
        <f>IF(AP732="","No revenue data",IF(AP732&lt;0.15,"Under 0.15x",IF(AP732&lt;0.3,"0.15-0.30x",IF(AP732&lt;0.5,"0.30-0.50x",IF(AP732&lt;1,"0.50-1.00x","1.00x+")))))</f>
        <v/>
      </c>
      <c r="AY732" s="5">
        <f>IF(J732="","No SIC",IFERROR(VLOOKUP(J732,Ref!$A$4:$C$67,2,FALSE()),"Unclassified"))</f>
        <v/>
      </c>
      <c r="AZ732" s="5">
        <f>IF(E732="","",TEXT(E732,"YYYY")&amp;"-Q"&amp;ROUNDUP(MONTH(E732)/3,0))</f>
        <v/>
      </c>
      <c r="BA732" s="5">
        <f>IF(E732="","",TEXT(E732,"YYYY-MM"))</f>
        <v/>
      </c>
      <c r="BB732" s="5">
        <f>IF(E732="","",TEXT(E732,"YYYY"))</f>
        <v/>
      </c>
      <c r="BC732" s="92">
        <f>IF($E732="","",NETWORKDAYS($E732,Controls!$B$9,Ref!$F$4:$F$47))</f>
        <v/>
      </c>
      <c r="BD732" s="92">
        <f>IF(OR($AH732=1,$AJ732=1),1,0)</f>
        <v/>
      </c>
      <c r="BE732" s="95">
        <f>IF(OR($BD732=1,AND($AE732&lt;&gt;"",$BC732&gt;=Controls!$B$10*$AE732)),1,0)</f>
        <v/>
      </c>
    </row>
    <row r="733" ht="15.75" customHeight="1" s="79">
      <c r="A733" s="5" t="inlineStr">
        <is>
          <t>5674180513</t>
        </is>
      </c>
      <c r="B733" s="5" t="inlineStr">
        <is>
          <t>JMJ IT Services Corp</t>
        </is>
      </c>
      <c r="C733" s="5" t="inlineStr">
        <is>
          <t>JMJ IT Services Corp</t>
        </is>
      </c>
      <c r="D733" s="5" t="inlineStr">
        <is>
          <t>In House Collection</t>
        </is>
      </c>
      <c r="E733" s="16" t="n">
        <v>46101</v>
      </c>
      <c r="F733" s="16" t="n">
        <v>46223</v>
      </c>
      <c r="G733" s="17" t="n">
        <v>3</v>
      </c>
      <c r="H733" s="5" t="inlineStr">
        <is>
          <t>7371</t>
        </is>
      </c>
      <c r="I733" s="5" t="inlineStr">
        <is>
          <t>Custom Computer Programming Services</t>
        </is>
      </c>
      <c r="J733" s="5" t="inlineStr">
        <is>
          <t>73</t>
        </is>
      </c>
      <c r="K733" s="5" t="n">
        <v>7372</v>
      </c>
      <c r="L733" s="5" t="inlineStr">
        <is>
          <t>TX</t>
        </is>
      </c>
      <c r="M733" s="5" t="inlineStr">
        <is>
          <t>Vanguard Equities</t>
        </is>
      </c>
      <c r="N733" s="5" t="inlineStr">
        <is>
          <t>New Deal</t>
        </is>
      </c>
      <c r="O733" s="19" t="n">
        <v>1.49</v>
      </c>
      <c r="P733" s="20" t="n">
        <v>3000</v>
      </c>
      <c r="Q733" s="20" t="n">
        <v>420</v>
      </c>
      <c r="R733" s="20" t="n">
        <v>4470</v>
      </c>
      <c r="S733" s="20" t="n">
        <v>1117.76</v>
      </c>
      <c r="T733" s="20" t="n">
        <v>3352.24</v>
      </c>
      <c r="U733" s="21" t="n">
        <v>0.250058165548099</v>
      </c>
      <c r="V733" s="22" t="n">
        <v>26</v>
      </c>
      <c r="W733" s="17" t="n">
        <v>44</v>
      </c>
      <c r="X733" s="17" t="n">
        <v>8</v>
      </c>
      <c r="Y733" s="20" t="n">
        <v>3089.98</v>
      </c>
      <c r="Z733" s="21" t="n">
        <v>0.2226</v>
      </c>
      <c r="AA733" s="16" t="n">
        <v>45566</v>
      </c>
      <c r="AB733" s="5">
        <f>IF(V733="","",IF(V733&lt;12,"Months","Weeks"))</f>
        <v/>
      </c>
      <c r="AC733" s="5">
        <f>IF(AB733="","",IF(AB733="Months","Daily","Weekly"))</f>
        <v/>
      </c>
      <c r="AD733" s="17">
        <f>IF(V733="","",IF(AC733="Daily",V733*Controls!$B$13,V733))</f>
        <v/>
      </c>
      <c r="AE733" s="17">
        <f>IF(V733="","",IF(AC733="Daily",V733*Controls!$B$13,V733*Controls!$B$12))</f>
        <v/>
      </c>
      <c r="AF733" s="17">
        <f>IF(OR(E733="",F733=""),"",F733-E733)</f>
        <v/>
      </c>
      <c r="AG733" s="17">
        <f>IF(OR(E733="",F733=""),"",NETWORKDAYS(E733,F733,Ref!$F$4:$F$47))</f>
        <v/>
      </c>
      <c r="AH733" s="39">
        <f>IF(IFERROR(VLOOKUP(D733,Controls!$A$25:$D$35,2,FALSE()),"No")="Yes",1,0)</f>
        <v/>
      </c>
      <c r="AI733" s="39">
        <f>IF(IFERROR(VLOOKUP(D733,Controls!$A$25:$D$35,3,FALSE()),"No")="Yes",1,0)</f>
        <v/>
      </c>
      <c r="AJ733" s="39">
        <f>IF(IFERROR(VLOOKUP(D733,Controls!$A$25:$D$35,4,FALSE()),"No")="Yes",1,0)</f>
        <v/>
      </c>
      <c r="AK733" s="96">
        <f>IF(AND($E733&gt;=Controls!$B$5,$E733&lt;=Controls!$B$6,OR(Controls!$E$9&lt;&gt;"Y",$BE733=1)),1,0)</f>
        <v/>
      </c>
      <c r="AL733" s="39">
        <f>1</f>
        <v/>
      </c>
      <c r="AM733" s="20">
        <f>S733-P733</f>
        <v/>
      </c>
      <c r="AN733" s="20">
        <f>IF(AH733=1,MAX(0,P733-S733),0)</f>
        <v/>
      </c>
      <c r="AO733" s="21">
        <f>IFERROR(S733/P733,"")</f>
        <v/>
      </c>
      <c r="AP733" s="22">
        <f>IF(Y733="","",P733/Y733)</f>
        <v/>
      </c>
      <c r="AQ733" s="39">
        <f>IF(Y733="",0,1)</f>
        <v/>
      </c>
      <c r="AR733" s="39">
        <f>IF(S733&lt;=0,1,0)</f>
        <v/>
      </c>
      <c r="AS733" s="17">
        <f>IF(AH733=1,AG733,"")</f>
        <v/>
      </c>
      <c r="AT733" s="17">
        <f>IF(AND(AH733=0,AJ733=1),AG733,"")</f>
        <v/>
      </c>
      <c r="AU733" s="5">
        <f>IF(P733&lt;10000,"Under $10K",IF(P733&lt;20000,"$10-20K",IF(P733&lt;30000,"$20-30K",IF(P733&lt;50000,"$30-50K",IF(P733&lt;100000,"$50-100K","$100K+")))))</f>
        <v/>
      </c>
      <c r="AV733" s="5">
        <f>IF(O733&lt;=1.35,"1.35 and under",IF(O733&lt;=1.42,"1.36-1.42",IF(O733&lt;=1.45,"1.43-1.45",IF(O733&lt;1.49,"1.46-1.48",IF(O733&lt;=1.49,"1.49","Above 1.49")))))</f>
        <v/>
      </c>
      <c r="AW733" s="5">
        <f>IF(AE733="","",IF(AE733&lt;60,"Under 60",IF(AE733&lt;90,"60-89",IF(AE733&lt;120,"90-119",IF(AE733&lt;150,"120-149","150+")))))</f>
        <v/>
      </c>
      <c r="AX733" s="5">
        <f>IF(AP733="","No revenue data",IF(AP733&lt;0.15,"Under 0.15x",IF(AP733&lt;0.3,"0.15-0.30x",IF(AP733&lt;0.5,"0.30-0.50x",IF(AP733&lt;1,"0.50-1.00x","1.00x+")))))</f>
        <v/>
      </c>
      <c r="AY733" s="5">
        <f>IF(J733="","No SIC",IFERROR(VLOOKUP(J733,Ref!$A$4:$C$67,2,FALSE()),"Unclassified"))</f>
        <v/>
      </c>
      <c r="AZ733" s="5">
        <f>IF(E733="","",TEXT(E733,"YYYY")&amp;"-Q"&amp;ROUNDUP(MONTH(E733)/3,0))</f>
        <v/>
      </c>
      <c r="BA733" s="5">
        <f>IF(E733="","",TEXT(E733,"YYYY-MM"))</f>
        <v/>
      </c>
      <c r="BB733" s="5">
        <f>IF(E733="","",TEXT(E733,"YYYY"))</f>
        <v/>
      </c>
      <c r="BC733" s="92">
        <f>IF($E733="","",NETWORKDAYS($E733,Controls!$B$9,Ref!$F$4:$F$47))</f>
        <v/>
      </c>
      <c r="BD733" s="92">
        <f>IF(OR($AH733=1,$AJ733=1),1,0)</f>
        <v/>
      </c>
      <c r="BE733" s="95">
        <f>IF(OR($BD733=1,AND($AE733&lt;&gt;"",$BC733&gt;=Controls!$B$10*$AE733)),1,0)</f>
        <v/>
      </c>
    </row>
    <row r="734" ht="15.75" customHeight="1" s="79">
      <c r="A734" s="5" t="inlineStr">
        <is>
          <t>5674180514</t>
        </is>
      </c>
      <c r="B734" s="5" t="inlineStr">
        <is>
          <t>REYOGMAR TECHNOLOGIES INC</t>
        </is>
      </c>
      <c r="C734" s="5" t="inlineStr">
        <is>
          <t>REYOGMAR TECHNOLOGIES INC</t>
        </is>
      </c>
      <c r="D734" s="5" t="inlineStr">
        <is>
          <t>Legal</t>
        </is>
      </c>
      <c r="E734" s="16" t="n">
        <v>46101</v>
      </c>
      <c r="F734" s="16" t="n">
        <v>46230</v>
      </c>
      <c r="G734" s="17" t="n">
        <v>4</v>
      </c>
      <c r="H734" s="5" t="inlineStr">
        <is>
          <t>7371</t>
        </is>
      </c>
      <c r="I734" s="5" t="inlineStr">
        <is>
          <t>Custom Computer Programming Services</t>
        </is>
      </c>
      <c r="J734" s="5" t="inlineStr">
        <is>
          <t>73</t>
        </is>
      </c>
      <c r="K734" s="5" t="n">
        <v>7372</v>
      </c>
      <c r="L734" s="5" t="inlineStr">
        <is>
          <t>NJ</t>
        </is>
      </c>
      <c r="M734" s="5" t="inlineStr">
        <is>
          <t>United Secured Capital 8</t>
        </is>
      </c>
      <c r="N734" s="5" t="inlineStr">
        <is>
          <t>New Deal</t>
        </is>
      </c>
      <c r="O734" s="19" t="n">
        <v>1.49</v>
      </c>
      <c r="P734" s="20" t="n">
        <v>15000</v>
      </c>
      <c r="Q734" s="20" t="n">
        <v>0</v>
      </c>
      <c r="R734" s="20" t="n">
        <v>22350</v>
      </c>
      <c r="S734" s="20" t="n">
        <v>3577.47</v>
      </c>
      <c r="T734" s="20" t="n">
        <v>18772.53</v>
      </c>
      <c r="U734" s="21" t="n">
        <v>0.160065771812081</v>
      </c>
      <c r="V734" s="22" t="n">
        <v>20</v>
      </c>
      <c r="W734" s="17" t="n">
        <v>23</v>
      </c>
      <c r="X734" s="17" t="n">
        <v>7</v>
      </c>
      <c r="Y734" s="20" t="n">
        <v>64875.77</v>
      </c>
      <c r="Z734" s="21" t="n">
        <v>0.0689</v>
      </c>
      <c r="AA734" s="16" t="n">
        <v>44812</v>
      </c>
      <c r="AB734" s="5">
        <f>IF(V734="","",IF(V734&lt;12,"Months","Weeks"))</f>
        <v/>
      </c>
      <c r="AC734" s="5">
        <f>IF(AB734="","",IF(AB734="Months","Daily","Weekly"))</f>
        <v/>
      </c>
      <c r="AD734" s="17">
        <f>IF(V734="","",IF(AC734="Daily",V734*Controls!$B$13,V734))</f>
        <v/>
      </c>
      <c r="AE734" s="17">
        <f>IF(V734="","",IF(AC734="Daily",V734*Controls!$B$13,V734*Controls!$B$12))</f>
        <v/>
      </c>
      <c r="AF734" s="17">
        <f>IF(OR(E734="",F734=""),"",F734-E734)</f>
        <v/>
      </c>
      <c r="AG734" s="17">
        <f>IF(OR(E734="",F734=""),"",NETWORKDAYS(E734,F734,Ref!$F$4:$F$47))</f>
        <v/>
      </c>
      <c r="AH734" s="39">
        <f>IF(IFERROR(VLOOKUP(D734,Controls!$A$25:$D$35,2,FALSE()),"No")="Yes",1,0)</f>
        <v/>
      </c>
      <c r="AI734" s="39">
        <f>IF(IFERROR(VLOOKUP(D734,Controls!$A$25:$D$35,3,FALSE()),"No")="Yes",1,0)</f>
        <v/>
      </c>
      <c r="AJ734" s="39">
        <f>IF(IFERROR(VLOOKUP(D734,Controls!$A$25:$D$35,4,FALSE()),"No")="Yes",1,0)</f>
        <v/>
      </c>
      <c r="AK734" s="96">
        <f>IF(AND($E734&gt;=Controls!$B$5,$E734&lt;=Controls!$B$6,OR(Controls!$E$9&lt;&gt;"Y",$BE734=1)),1,0)</f>
        <v/>
      </c>
      <c r="AL734" s="39">
        <f>1</f>
        <v/>
      </c>
      <c r="AM734" s="20">
        <f>S734-P734</f>
        <v/>
      </c>
      <c r="AN734" s="20">
        <f>IF(AH734=1,MAX(0,P734-S734),0)</f>
        <v/>
      </c>
      <c r="AO734" s="21">
        <f>IFERROR(S734/P734,"")</f>
        <v/>
      </c>
      <c r="AP734" s="22">
        <f>IF(Y734="","",P734/Y734)</f>
        <v/>
      </c>
      <c r="AQ734" s="39">
        <f>IF(Y734="",0,1)</f>
        <v/>
      </c>
      <c r="AR734" s="39">
        <f>IF(S734&lt;=0,1,0)</f>
        <v/>
      </c>
      <c r="AS734" s="17">
        <f>IF(AH734=1,AG734,"")</f>
        <v/>
      </c>
      <c r="AT734" s="17">
        <f>IF(AND(AH734=0,AJ734=1),AG734,"")</f>
        <v/>
      </c>
      <c r="AU734" s="5">
        <f>IF(P734&lt;10000,"Under $10K",IF(P734&lt;20000,"$10-20K",IF(P734&lt;30000,"$20-30K",IF(P734&lt;50000,"$30-50K",IF(P734&lt;100000,"$50-100K","$100K+")))))</f>
        <v/>
      </c>
      <c r="AV734" s="5">
        <f>IF(O734&lt;=1.35,"1.35 and under",IF(O734&lt;=1.42,"1.36-1.42",IF(O734&lt;=1.45,"1.43-1.45",IF(O734&lt;1.49,"1.46-1.48",IF(O734&lt;=1.49,"1.49","Above 1.49")))))</f>
        <v/>
      </c>
      <c r="AW734" s="5">
        <f>IF(AE734="","",IF(AE734&lt;60,"Under 60",IF(AE734&lt;90,"60-89",IF(AE734&lt;120,"90-119",IF(AE734&lt;150,"120-149","150+")))))</f>
        <v/>
      </c>
      <c r="AX734" s="5">
        <f>IF(AP734="","No revenue data",IF(AP734&lt;0.15,"Under 0.15x",IF(AP734&lt;0.3,"0.15-0.30x",IF(AP734&lt;0.5,"0.30-0.50x",IF(AP734&lt;1,"0.50-1.00x","1.00x+")))))</f>
        <v/>
      </c>
      <c r="AY734" s="5">
        <f>IF(J734="","No SIC",IFERROR(VLOOKUP(J734,Ref!$A$4:$C$67,2,FALSE()),"Unclassified"))</f>
        <v/>
      </c>
      <c r="AZ734" s="5">
        <f>IF(E734="","",TEXT(E734,"YYYY")&amp;"-Q"&amp;ROUNDUP(MONTH(E734)/3,0))</f>
        <v/>
      </c>
      <c r="BA734" s="5">
        <f>IF(E734="","",TEXT(E734,"YYYY-MM"))</f>
        <v/>
      </c>
      <c r="BB734" s="5">
        <f>IF(E734="","",TEXT(E734,"YYYY"))</f>
        <v/>
      </c>
      <c r="BC734" s="92">
        <f>IF($E734="","",NETWORKDAYS($E734,Controls!$B$9,Ref!$F$4:$F$47))</f>
        <v/>
      </c>
      <c r="BD734" s="92">
        <f>IF(OR($AH734=1,$AJ734=1),1,0)</f>
        <v/>
      </c>
      <c r="BE734" s="95">
        <f>IF(OR($BD734=1,AND($AE734&lt;&gt;"",$BC734&gt;=Controls!$B$10*$AE734)),1,0)</f>
        <v/>
      </c>
    </row>
    <row r="735" ht="15.75" customHeight="1" s="79">
      <c r="A735" s="5" t="inlineStr">
        <is>
          <t>5674180517</t>
        </is>
      </c>
      <c r="B735" s="5" t="inlineStr">
        <is>
          <t>Innovate Insurance Agency, Inc.</t>
        </is>
      </c>
      <c r="C735" s="5" t="inlineStr">
        <is>
          <t>Innovate Insurance Agency, Inc.</t>
        </is>
      </c>
      <c r="D735" s="5" t="inlineStr">
        <is>
          <t>Open</t>
        </is>
      </c>
      <c r="E735" s="16" t="n">
        <v>46101</v>
      </c>
      <c r="F735" s="16" t="n">
        <v>46253</v>
      </c>
      <c r="G735" s="17" t="n">
        <v>3</v>
      </c>
      <c r="H735" s="5" t="inlineStr">
        <is>
          <t>6411</t>
        </is>
      </c>
      <c r="I735" s="5" t="inlineStr">
        <is>
          <t>Claims Adjusting</t>
        </is>
      </c>
      <c r="J735" s="5" t="inlineStr">
        <is>
          <t>64</t>
        </is>
      </c>
      <c r="K735" s="5" t="n">
        <v>6399</v>
      </c>
      <c r="L735" s="5" t="inlineStr">
        <is>
          <t>NJ</t>
        </is>
      </c>
      <c r="M735" s="5" t="inlineStr">
        <is>
          <t>Westwood</t>
        </is>
      </c>
      <c r="N735" s="5" t="inlineStr">
        <is>
          <t>Renewal</t>
        </is>
      </c>
      <c r="O735" s="19" t="n">
        <v>1.49</v>
      </c>
      <c r="P735" s="20" t="n">
        <v>27500</v>
      </c>
      <c r="Q735" s="20" t="n">
        <v>3850</v>
      </c>
      <c r="R735" s="20" t="n">
        <v>40975</v>
      </c>
      <c r="S735" s="20" t="n">
        <v>14096.46</v>
      </c>
      <c r="T735" s="20" t="n">
        <v>26878.54</v>
      </c>
      <c r="U735" s="21" t="n">
        <v>0.344025869432581</v>
      </c>
      <c r="V735" s="22" t="n">
        <v>3.607</v>
      </c>
      <c r="W735" s="17" t="n">
        <v>0</v>
      </c>
      <c r="X735" s="17" t="n">
        <v>67</v>
      </c>
      <c r="Y735" s="20" t="n">
        <v>47795.52</v>
      </c>
      <c r="Z735" s="21" t="n">
        <v>0.1637</v>
      </c>
      <c r="AA735" s="16" t="n">
        <v>43574</v>
      </c>
      <c r="AB735" s="5">
        <f>IF(V735="","",IF(V735&lt;12,"Months","Weeks"))</f>
        <v/>
      </c>
      <c r="AC735" s="5">
        <f>IF(AB735="","",IF(AB735="Months","Daily","Weekly"))</f>
        <v/>
      </c>
      <c r="AD735" s="17">
        <f>IF(V735="","",IF(AC735="Daily",V735*Controls!$B$13,V735))</f>
        <v/>
      </c>
      <c r="AE735" s="17">
        <f>IF(V735="","",IF(AC735="Daily",V735*Controls!$B$13,V735*Controls!$B$12))</f>
        <v/>
      </c>
      <c r="AF735" s="17">
        <f>IF(OR(E735="",F735=""),"",F735-E735)</f>
        <v/>
      </c>
      <c r="AG735" s="17">
        <f>IF(OR(E735="",F735=""),"",NETWORKDAYS(E735,F735,Ref!$F$4:$F$47))</f>
        <v/>
      </c>
      <c r="AH735" s="39">
        <f>IF(IFERROR(VLOOKUP(D735,Controls!$A$25:$D$35,2,FALSE()),"No")="Yes",1,0)</f>
        <v/>
      </c>
      <c r="AI735" s="39">
        <f>IF(IFERROR(VLOOKUP(D735,Controls!$A$25:$D$35,3,FALSE()),"No")="Yes",1,0)</f>
        <v/>
      </c>
      <c r="AJ735" s="39">
        <f>IF(IFERROR(VLOOKUP(D735,Controls!$A$25:$D$35,4,FALSE()),"No")="Yes",1,0)</f>
        <v/>
      </c>
      <c r="AK735" s="96">
        <f>IF(AND($E735&gt;=Controls!$B$5,$E735&lt;=Controls!$B$6,OR(Controls!$E$9&lt;&gt;"Y",$BE735=1)),1,0)</f>
        <v/>
      </c>
      <c r="AL735" s="39">
        <f>1</f>
        <v/>
      </c>
      <c r="AM735" s="20">
        <f>S735-P735</f>
        <v/>
      </c>
      <c r="AN735" s="20">
        <f>IF(AH735=1,MAX(0,P735-S735),0)</f>
        <v/>
      </c>
      <c r="AO735" s="21">
        <f>IFERROR(S735/P735,"")</f>
        <v/>
      </c>
      <c r="AP735" s="22">
        <f>IF(Y735="","",P735/Y735)</f>
        <v/>
      </c>
      <c r="AQ735" s="39">
        <f>IF(Y735="",0,1)</f>
        <v/>
      </c>
      <c r="AR735" s="39">
        <f>IF(S735&lt;=0,1,0)</f>
        <v/>
      </c>
      <c r="AS735" s="17">
        <f>IF(AH735=1,AG735,"")</f>
        <v/>
      </c>
      <c r="AT735" s="17">
        <f>IF(AND(AH735=0,AJ735=1),AG735,"")</f>
        <v/>
      </c>
      <c r="AU735" s="5">
        <f>IF(P735&lt;10000,"Under $10K",IF(P735&lt;20000,"$10-20K",IF(P735&lt;30000,"$20-30K",IF(P735&lt;50000,"$30-50K",IF(P735&lt;100000,"$50-100K","$100K+")))))</f>
        <v/>
      </c>
      <c r="AV735" s="5">
        <f>IF(O735&lt;=1.35,"1.35 and under",IF(O735&lt;=1.42,"1.36-1.42",IF(O735&lt;=1.45,"1.43-1.45",IF(O735&lt;1.49,"1.46-1.48",IF(O735&lt;=1.49,"1.49","Above 1.49")))))</f>
        <v/>
      </c>
      <c r="AW735" s="5">
        <f>IF(AE735="","",IF(AE735&lt;60,"Under 60",IF(AE735&lt;90,"60-89",IF(AE735&lt;120,"90-119",IF(AE735&lt;150,"120-149","150+")))))</f>
        <v/>
      </c>
      <c r="AX735" s="5">
        <f>IF(AP735="","No revenue data",IF(AP735&lt;0.15,"Under 0.15x",IF(AP735&lt;0.3,"0.15-0.30x",IF(AP735&lt;0.5,"0.30-0.50x",IF(AP735&lt;1,"0.50-1.00x","1.00x+")))))</f>
        <v/>
      </c>
      <c r="AY735" s="5">
        <f>IF(J735="","No SIC",IFERROR(VLOOKUP(J735,Ref!$A$4:$C$67,2,FALSE()),"Unclassified"))</f>
        <v/>
      </c>
      <c r="AZ735" s="5">
        <f>IF(E735="","",TEXT(E735,"YYYY")&amp;"-Q"&amp;ROUNDUP(MONTH(E735)/3,0))</f>
        <v/>
      </c>
      <c r="BA735" s="5">
        <f>IF(E735="","",TEXT(E735,"YYYY-MM"))</f>
        <v/>
      </c>
      <c r="BB735" s="5">
        <f>IF(E735="","",TEXT(E735,"YYYY"))</f>
        <v/>
      </c>
      <c r="BC735" s="92">
        <f>IF($E735="","",NETWORKDAYS($E735,Controls!$B$9,Ref!$F$4:$F$47))</f>
        <v/>
      </c>
      <c r="BD735" s="92">
        <f>IF(OR($AH735=1,$AJ735=1),1,0)</f>
        <v/>
      </c>
      <c r="BE735" s="95">
        <f>IF(OR($BD735=1,AND($AE735&lt;&gt;"",$BC735&gt;=Controls!$B$10*$AE735)),1,0)</f>
        <v/>
      </c>
    </row>
    <row r="736" ht="15.75" customHeight="1" s="79">
      <c r="A736" s="5" t="inlineStr">
        <is>
          <t>5674180538</t>
        </is>
      </c>
      <c r="B736" s="5" t="inlineStr">
        <is>
          <t>So Baltimore, LLC</t>
        </is>
      </c>
      <c r="C736" s="5" t="inlineStr">
        <is>
          <t>So Baltimore, LLC</t>
        </is>
      </c>
      <c r="D736" s="5" t="inlineStr">
        <is>
          <t>Lowered Payments</t>
        </is>
      </c>
      <c r="E736" s="16" t="n">
        <v>46101</v>
      </c>
      <c r="F736" s="16" t="n">
        <v>46253</v>
      </c>
      <c r="G736" s="17" t="n">
        <v>4</v>
      </c>
      <c r="H736" s="5" t="inlineStr">
        <is>
          <t>5812</t>
        </is>
      </c>
      <c r="I736" s="5" t="inlineStr">
        <is>
          <t>Snack and Nonalcoholic Beverage Bars</t>
        </is>
      </c>
      <c r="J736" s="5" t="inlineStr">
        <is>
          <t>58</t>
        </is>
      </c>
      <c r="K736" s="5" t="n">
        <v>5812</v>
      </c>
      <c r="L736" s="5" t="inlineStr">
        <is>
          <t>MD</t>
        </is>
      </c>
      <c r="M736" s="5" t="inlineStr">
        <is>
          <t>Llama Loan</t>
        </is>
      </c>
      <c r="N736" s="5" t="inlineStr">
        <is>
          <t>Renewal</t>
        </is>
      </c>
      <c r="O736" s="19" t="n">
        <v>1.45</v>
      </c>
      <c r="P736" s="20" t="n">
        <v>27000</v>
      </c>
      <c r="Q736" s="20" t="n">
        <v>3240</v>
      </c>
      <c r="R736" s="20" t="n">
        <v>39150</v>
      </c>
      <c r="S736" s="20" t="n">
        <v>14777</v>
      </c>
      <c r="T736" s="20" t="n">
        <v>24373</v>
      </c>
      <c r="U736" s="21" t="n">
        <v>0.377445721583653</v>
      </c>
      <c r="V736" s="22" t="n">
        <v>4.59</v>
      </c>
      <c r="W736" s="17" t="n">
        <v>0</v>
      </c>
      <c r="X736" s="17" t="n">
        <v>4</v>
      </c>
      <c r="Y736" s="20" t="n">
        <v>82755.78</v>
      </c>
      <c r="Z736" s="21" t="n">
        <v>0.1035</v>
      </c>
      <c r="AA736" s="16" t="n">
        <v>44378</v>
      </c>
      <c r="AB736" s="5">
        <f>IF(V736="","",IF(V736&lt;12,"Months","Weeks"))</f>
        <v/>
      </c>
      <c r="AC736" s="5">
        <f>IF(AB736="","",IF(AB736="Months","Daily","Weekly"))</f>
        <v/>
      </c>
      <c r="AD736" s="17">
        <f>IF(V736="","",IF(AC736="Daily",V736*Controls!$B$13,V736))</f>
        <v/>
      </c>
      <c r="AE736" s="17">
        <f>IF(V736="","",IF(AC736="Daily",V736*Controls!$B$13,V736*Controls!$B$12))</f>
        <v/>
      </c>
      <c r="AF736" s="17">
        <f>IF(OR(E736="",F736=""),"",F736-E736)</f>
        <v/>
      </c>
      <c r="AG736" s="17">
        <f>IF(OR(E736="",F736=""),"",NETWORKDAYS(E736,F736,Ref!$F$4:$F$47))</f>
        <v/>
      </c>
      <c r="AH736" s="39">
        <f>IF(IFERROR(VLOOKUP(D736,Controls!$A$25:$D$35,2,FALSE()),"No")="Yes",1,0)</f>
        <v/>
      </c>
      <c r="AI736" s="39">
        <f>IF(IFERROR(VLOOKUP(D736,Controls!$A$25:$D$35,3,FALSE()),"No")="Yes",1,0)</f>
        <v/>
      </c>
      <c r="AJ736" s="39">
        <f>IF(IFERROR(VLOOKUP(D736,Controls!$A$25:$D$35,4,FALSE()),"No")="Yes",1,0)</f>
        <v/>
      </c>
      <c r="AK736" s="96">
        <f>IF(AND($E736&gt;=Controls!$B$5,$E736&lt;=Controls!$B$6,OR(Controls!$E$9&lt;&gt;"Y",$BE736=1)),1,0)</f>
        <v/>
      </c>
      <c r="AL736" s="39">
        <f>1</f>
        <v/>
      </c>
      <c r="AM736" s="20">
        <f>S736-P736</f>
        <v/>
      </c>
      <c r="AN736" s="20">
        <f>IF(AH736=1,MAX(0,P736-S736),0)</f>
        <v/>
      </c>
      <c r="AO736" s="21">
        <f>IFERROR(S736/P736,"")</f>
        <v/>
      </c>
      <c r="AP736" s="22">
        <f>IF(Y736="","",P736/Y736)</f>
        <v/>
      </c>
      <c r="AQ736" s="39">
        <f>IF(Y736="",0,1)</f>
        <v/>
      </c>
      <c r="AR736" s="39">
        <f>IF(S736&lt;=0,1,0)</f>
        <v/>
      </c>
      <c r="AS736" s="17">
        <f>IF(AH736=1,AG736,"")</f>
        <v/>
      </c>
      <c r="AT736" s="17">
        <f>IF(AND(AH736=0,AJ736=1),AG736,"")</f>
        <v/>
      </c>
      <c r="AU736" s="5">
        <f>IF(P736&lt;10000,"Under $10K",IF(P736&lt;20000,"$10-20K",IF(P736&lt;30000,"$20-30K",IF(P736&lt;50000,"$30-50K",IF(P736&lt;100000,"$50-100K","$100K+")))))</f>
        <v/>
      </c>
      <c r="AV736" s="5">
        <f>IF(O736&lt;=1.35,"1.35 and under",IF(O736&lt;=1.42,"1.36-1.42",IF(O736&lt;=1.45,"1.43-1.45",IF(O736&lt;1.49,"1.46-1.48",IF(O736&lt;=1.49,"1.49","Above 1.49")))))</f>
        <v/>
      </c>
      <c r="AW736" s="5">
        <f>IF(AE736="","",IF(AE736&lt;60,"Under 60",IF(AE736&lt;90,"60-89",IF(AE736&lt;120,"90-119",IF(AE736&lt;150,"120-149","150+")))))</f>
        <v/>
      </c>
      <c r="AX736" s="5">
        <f>IF(AP736="","No revenue data",IF(AP736&lt;0.15,"Under 0.15x",IF(AP736&lt;0.3,"0.15-0.30x",IF(AP736&lt;0.5,"0.30-0.50x",IF(AP736&lt;1,"0.50-1.00x","1.00x+")))))</f>
        <v/>
      </c>
      <c r="AY736" s="5">
        <f>IF(J736="","No SIC",IFERROR(VLOOKUP(J736,Ref!$A$4:$C$67,2,FALSE()),"Unclassified"))</f>
        <v/>
      </c>
      <c r="AZ736" s="5">
        <f>IF(E736="","",TEXT(E736,"YYYY")&amp;"-Q"&amp;ROUNDUP(MONTH(E736)/3,0))</f>
        <v/>
      </c>
      <c r="BA736" s="5">
        <f>IF(E736="","",TEXT(E736,"YYYY-MM"))</f>
        <v/>
      </c>
      <c r="BB736" s="5">
        <f>IF(E736="","",TEXT(E736,"YYYY"))</f>
        <v/>
      </c>
      <c r="BC736" s="92">
        <f>IF($E736="","",NETWORKDAYS($E736,Controls!$B$9,Ref!$F$4:$F$47))</f>
        <v/>
      </c>
      <c r="BD736" s="92">
        <f>IF(OR($AH736=1,$AJ736=1),1,0)</f>
        <v/>
      </c>
      <c r="BE736" s="95">
        <f>IF(OR($BD736=1,AND($AE736&lt;&gt;"",$BC736&gt;=Controls!$B$10*$AE736)),1,0)</f>
        <v/>
      </c>
    </row>
    <row r="737" ht="15.75" customHeight="1" s="79">
      <c r="A737" s="5" t="inlineStr">
        <is>
          <t>5674180564</t>
        </is>
      </c>
      <c r="B737" s="5" t="inlineStr">
        <is>
          <t>ANIMAL MICROBIOME ANALYTICS</t>
        </is>
      </c>
      <c r="C737" s="5" t="inlineStr">
        <is>
          <t>Animal Microbiome Analytics, Inc.</t>
        </is>
      </c>
      <c r="D737" s="5" t="inlineStr">
        <is>
          <t>Open</t>
        </is>
      </c>
      <c r="E737" s="16" t="n">
        <v>46104</v>
      </c>
      <c r="F737" s="16" t="n">
        <v>46248</v>
      </c>
      <c r="G737" s="17" t="n">
        <v>2</v>
      </c>
      <c r="H737" s="5" t="inlineStr">
        <is>
          <t>2047</t>
        </is>
      </c>
      <c r="I737" s="5" t="inlineStr">
        <is>
          <t>Dog and Cat Food Mfg.</t>
        </is>
      </c>
      <c r="J737" s="5" t="inlineStr">
        <is>
          <t>20</t>
        </is>
      </c>
      <c r="K737" s="5" t="n">
        <v>5995</v>
      </c>
      <c r="L737" s="5" t="inlineStr">
        <is>
          <t>CA</t>
        </is>
      </c>
      <c r="M737" s="5" t="inlineStr">
        <is>
          <t>Fundwell</t>
        </is>
      </c>
      <c r="N737" s="5" t="inlineStr">
        <is>
          <t>New Deal</t>
        </is>
      </c>
      <c r="O737" s="19" t="n">
        <v>1.4</v>
      </c>
      <c r="P737" s="20" t="n">
        <v>300000</v>
      </c>
      <c r="Q737" s="20" t="n">
        <v>39000</v>
      </c>
      <c r="R737" s="20" t="n">
        <v>420000</v>
      </c>
      <c r="S737" s="20" t="n">
        <v>233313.2</v>
      </c>
      <c r="T737" s="20" t="n">
        <v>186686.8</v>
      </c>
      <c r="U737" s="21" t="n">
        <v>0.555507619047619</v>
      </c>
      <c r="V737" s="22" t="n">
        <v>36</v>
      </c>
      <c r="W737" s="17" t="n">
        <v>5</v>
      </c>
      <c r="X737" s="17" t="n">
        <v>1</v>
      </c>
      <c r="Y737" s="20" t="n">
        <v>1300604.97</v>
      </c>
      <c r="Z737" s="21" t="n">
        <v>0.039</v>
      </c>
      <c r="AA737" s="16" t="n">
        <v>42628</v>
      </c>
      <c r="AB737" s="5">
        <f>IF(V737="","",IF(V737&lt;12,"Months","Weeks"))</f>
        <v/>
      </c>
      <c r="AC737" s="5">
        <f>IF(AB737="","",IF(AB737="Months","Daily","Weekly"))</f>
        <v/>
      </c>
      <c r="AD737" s="17">
        <f>IF(V737="","",IF(AC737="Daily",V737*Controls!$B$13,V737))</f>
        <v/>
      </c>
      <c r="AE737" s="17">
        <f>IF(V737="","",IF(AC737="Daily",V737*Controls!$B$13,V737*Controls!$B$12))</f>
        <v/>
      </c>
      <c r="AF737" s="17">
        <f>IF(OR(E737="",F737=""),"",F737-E737)</f>
        <v/>
      </c>
      <c r="AG737" s="17">
        <f>IF(OR(E737="",F737=""),"",NETWORKDAYS(E737,F737,Ref!$F$4:$F$47))</f>
        <v/>
      </c>
      <c r="AH737" s="39">
        <f>IF(IFERROR(VLOOKUP(D737,Controls!$A$25:$D$35,2,FALSE()),"No")="Yes",1,0)</f>
        <v/>
      </c>
      <c r="AI737" s="39">
        <f>IF(IFERROR(VLOOKUP(D737,Controls!$A$25:$D$35,3,FALSE()),"No")="Yes",1,0)</f>
        <v/>
      </c>
      <c r="AJ737" s="39">
        <f>IF(IFERROR(VLOOKUP(D737,Controls!$A$25:$D$35,4,FALSE()),"No")="Yes",1,0)</f>
        <v/>
      </c>
      <c r="AK737" s="96">
        <f>IF(AND($E737&gt;=Controls!$B$5,$E737&lt;=Controls!$B$6,OR(Controls!$E$9&lt;&gt;"Y",$BE737=1)),1,0)</f>
        <v/>
      </c>
      <c r="AL737" s="39">
        <f>1</f>
        <v/>
      </c>
      <c r="AM737" s="20">
        <f>S737-P737</f>
        <v/>
      </c>
      <c r="AN737" s="20">
        <f>IF(AH737=1,MAX(0,P737-S737),0)</f>
        <v/>
      </c>
      <c r="AO737" s="21">
        <f>IFERROR(S737/P737,"")</f>
        <v/>
      </c>
      <c r="AP737" s="22">
        <f>IF(Y737="","",P737/Y737)</f>
        <v/>
      </c>
      <c r="AQ737" s="39">
        <f>IF(Y737="",0,1)</f>
        <v/>
      </c>
      <c r="AR737" s="39">
        <f>IF(S737&lt;=0,1,0)</f>
        <v/>
      </c>
      <c r="AS737" s="17">
        <f>IF(AH737=1,AG737,"")</f>
        <v/>
      </c>
      <c r="AT737" s="17">
        <f>IF(AND(AH737=0,AJ737=1),AG737,"")</f>
        <v/>
      </c>
      <c r="AU737" s="5">
        <f>IF(P737&lt;10000,"Under $10K",IF(P737&lt;20000,"$10-20K",IF(P737&lt;30000,"$20-30K",IF(P737&lt;50000,"$30-50K",IF(P737&lt;100000,"$50-100K","$100K+")))))</f>
        <v/>
      </c>
      <c r="AV737" s="5">
        <f>IF(O737&lt;=1.35,"1.35 and under",IF(O737&lt;=1.42,"1.36-1.42",IF(O737&lt;=1.45,"1.43-1.45",IF(O737&lt;1.49,"1.46-1.48",IF(O737&lt;=1.49,"1.49","Above 1.49")))))</f>
        <v/>
      </c>
      <c r="AW737" s="5">
        <f>IF(AE737="","",IF(AE737&lt;60,"Under 60",IF(AE737&lt;90,"60-89",IF(AE737&lt;120,"90-119",IF(AE737&lt;150,"120-149","150+")))))</f>
        <v/>
      </c>
      <c r="AX737" s="5">
        <f>IF(AP737="","No revenue data",IF(AP737&lt;0.15,"Under 0.15x",IF(AP737&lt;0.3,"0.15-0.30x",IF(AP737&lt;0.5,"0.30-0.50x",IF(AP737&lt;1,"0.50-1.00x","1.00x+")))))</f>
        <v/>
      </c>
      <c r="AY737" s="5">
        <f>IF(J737="","No SIC",IFERROR(VLOOKUP(J737,Ref!$A$4:$C$67,2,FALSE()),"Unclassified"))</f>
        <v/>
      </c>
      <c r="AZ737" s="5">
        <f>IF(E737="","",TEXT(E737,"YYYY")&amp;"-Q"&amp;ROUNDUP(MONTH(E737)/3,0))</f>
        <v/>
      </c>
      <c r="BA737" s="5">
        <f>IF(E737="","",TEXT(E737,"YYYY-MM"))</f>
        <v/>
      </c>
      <c r="BB737" s="5">
        <f>IF(E737="","",TEXT(E737,"YYYY"))</f>
        <v/>
      </c>
      <c r="BC737" s="92">
        <f>IF($E737="","",NETWORKDAYS($E737,Controls!$B$9,Ref!$F$4:$F$47))</f>
        <v/>
      </c>
      <c r="BD737" s="92">
        <f>IF(OR($AH737=1,$AJ737=1),1,0)</f>
        <v/>
      </c>
      <c r="BE737" s="95">
        <f>IF(OR($BD737=1,AND($AE737&lt;&gt;"",$BC737&gt;=Controls!$B$10*$AE737)),1,0)</f>
        <v/>
      </c>
    </row>
    <row r="738" ht="15.75" customHeight="1" s="79">
      <c r="A738" s="5" t="inlineStr">
        <is>
          <t>5674180572</t>
        </is>
      </c>
      <c r="B738" s="5" t="inlineStr">
        <is>
          <t>Virtuous Vices LLC</t>
        </is>
      </c>
      <c r="C738" s="5" t="inlineStr">
        <is>
          <t>Virtuous Vices LLC</t>
        </is>
      </c>
      <c r="D738" s="5" t="inlineStr">
        <is>
          <t>Legal</t>
        </is>
      </c>
      <c r="E738" s="16" t="n">
        <v>46104</v>
      </c>
      <c r="F738" s="16" t="n">
        <v>46181</v>
      </c>
      <c r="G738" s="17" t="n">
        <v>3</v>
      </c>
      <c r="H738" s="5" t="inlineStr">
        <is>
          <t>5999</t>
        </is>
      </c>
      <c r="I738" s="5" t="inlineStr">
        <is>
          <t>All Other Health and Personal Care Stores</t>
        </is>
      </c>
      <c r="J738" s="5" t="inlineStr">
        <is>
          <t>59</t>
        </is>
      </c>
      <c r="K738" s="5" t="n">
        <v>5999</v>
      </c>
      <c r="L738" s="5" t="inlineStr">
        <is>
          <t>CA</t>
        </is>
      </c>
      <c r="M738" s="5" t="inlineStr">
        <is>
          <t>Capital 1 Group LLC DBA Tier One Financing LLC</t>
        </is>
      </c>
      <c r="N738" s="5" t="inlineStr">
        <is>
          <t>New Deal</t>
        </is>
      </c>
      <c r="O738" s="19" t="n">
        <v>1.38</v>
      </c>
      <c r="P738" s="20" t="n">
        <v>15000</v>
      </c>
      <c r="Q738" s="20" t="n">
        <v>1575</v>
      </c>
      <c r="R738" s="20" t="n">
        <v>20700</v>
      </c>
      <c r="S738" s="20" t="n">
        <v>4924.52</v>
      </c>
      <c r="T738" s="20" t="n">
        <v>15775.48</v>
      </c>
      <c r="U738" s="21" t="n">
        <v>0.237899516908213</v>
      </c>
      <c r="V738" s="22" t="n">
        <v>3.279</v>
      </c>
      <c r="W738" s="17" t="n">
        <v>75</v>
      </c>
      <c r="X738" s="17" t="n">
        <v>25</v>
      </c>
      <c r="Y738" s="20" t="n">
        <v>177014.65</v>
      </c>
      <c r="Z738" s="5" t="n"/>
      <c r="AA738" s="16" t="n">
        <v>42416</v>
      </c>
      <c r="AB738" s="5">
        <f>IF(V738="","",IF(V738&lt;12,"Months","Weeks"))</f>
        <v/>
      </c>
      <c r="AC738" s="5">
        <f>IF(AB738="","",IF(AB738="Months","Daily","Weekly"))</f>
        <v/>
      </c>
      <c r="AD738" s="17">
        <f>IF(V738="","",IF(AC738="Daily",V738*Controls!$B$13,V738))</f>
        <v/>
      </c>
      <c r="AE738" s="17">
        <f>IF(V738="","",IF(AC738="Daily",V738*Controls!$B$13,V738*Controls!$B$12))</f>
        <v/>
      </c>
      <c r="AF738" s="17">
        <f>IF(OR(E738="",F738=""),"",F738-E738)</f>
        <v/>
      </c>
      <c r="AG738" s="17">
        <f>IF(OR(E738="",F738=""),"",NETWORKDAYS(E738,F738,Ref!$F$4:$F$47))</f>
        <v/>
      </c>
      <c r="AH738" s="39">
        <f>IF(IFERROR(VLOOKUP(D738,Controls!$A$25:$D$35,2,FALSE()),"No")="Yes",1,0)</f>
        <v/>
      </c>
      <c r="AI738" s="39">
        <f>IF(IFERROR(VLOOKUP(D738,Controls!$A$25:$D$35,3,FALSE()),"No")="Yes",1,0)</f>
        <v/>
      </c>
      <c r="AJ738" s="39">
        <f>IF(IFERROR(VLOOKUP(D738,Controls!$A$25:$D$35,4,FALSE()),"No")="Yes",1,0)</f>
        <v/>
      </c>
      <c r="AK738" s="96">
        <f>IF(AND($E738&gt;=Controls!$B$5,$E738&lt;=Controls!$B$6,OR(Controls!$E$9&lt;&gt;"Y",$BE738=1)),1,0)</f>
        <v/>
      </c>
      <c r="AL738" s="39">
        <f>1</f>
        <v/>
      </c>
      <c r="AM738" s="20">
        <f>S738-P738</f>
        <v/>
      </c>
      <c r="AN738" s="20">
        <f>IF(AH738=1,MAX(0,P738-S738),0)</f>
        <v/>
      </c>
      <c r="AO738" s="21">
        <f>IFERROR(S738/P738,"")</f>
        <v/>
      </c>
      <c r="AP738" s="22">
        <f>IF(Y738="","",P738/Y738)</f>
        <v/>
      </c>
      <c r="AQ738" s="39">
        <f>IF(Y738="",0,1)</f>
        <v/>
      </c>
      <c r="AR738" s="39">
        <f>IF(S738&lt;=0,1,0)</f>
        <v/>
      </c>
      <c r="AS738" s="17">
        <f>IF(AH738=1,AG738,"")</f>
        <v/>
      </c>
      <c r="AT738" s="17">
        <f>IF(AND(AH738=0,AJ738=1),AG738,"")</f>
        <v/>
      </c>
      <c r="AU738" s="5">
        <f>IF(P738&lt;10000,"Under $10K",IF(P738&lt;20000,"$10-20K",IF(P738&lt;30000,"$20-30K",IF(P738&lt;50000,"$30-50K",IF(P738&lt;100000,"$50-100K","$100K+")))))</f>
        <v/>
      </c>
      <c r="AV738" s="5">
        <f>IF(O738&lt;=1.35,"1.35 and under",IF(O738&lt;=1.42,"1.36-1.42",IF(O738&lt;=1.45,"1.43-1.45",IF(O738&lt;1.49,"1.46-1.48",IF(O738&lt;=1.49,"1.49","Above 1.49")))))</f>
        <v/>
      </c>
      <c r="AW738" s="5">
        <f>IF(AE738="","",IF(AE738&lt;60,"Under 60",IF(AE738&lt;90,"60-89",IF(AE738&lt;120,"90-119",IF(AE738&lt;150,"120-149","150+")))))</f>
        <v/>
      </c>
      <c r="AX738" s="5">
        <f>IF(AP738="","No revenue data",IF(AP738&lt;0.15,"Under 0.15x",IF(AP738&lt;0.3,"0.15-0.30x",IF(AP738&lt;0.5,"0.30-0.50x",IF(AP738&lt;1,"0.50-1.00x","1.00x+")))))</f>
        <v/>
      </c>
      <c r="AY738" s="5">
        <f>IF(J738="","No SIC",IFERROR(VLOOKUP(J738,Ref!$A$4:$C$67,2,FALSE()),"Unclassified"))</f>
        <v/>
      </c>
      <c r="AZ738" s="5">
        <f>IF(E738="","",TEXT(E738,"YYYY")&amp;"-Q"&amp;ROUNDUP(MONTH(E738)/3,0))</f>
        <v/>
      </c>
      <c r="BA738" s="5">
        <f>IF(E738="","",TEXT(E738,"YYYY-MM"))</f>
        <v/>
      </c>
      <c r="BB738" s="5">
        <f>IF(E738="","",TEXT(E738,"YYYY"))</f>
        <v/>
      </c>
      <c r="BC738" s="92">
        <f>IF($E738="","",NETWORKDAYS($E738,Controls!$B$9,Ref!$F$4:$F$47))</f>
        <v/>
      </c>
      <c r="BD738" s="92">
        <f>IF(OR($AH738=1,$AJ738=1),1,0)</f>
        <v/>
      </c>
      <c r="BE738" s="95">
        <f>IF(OR($BD738=1,AND($AE738&lt;&gt;"",$BC738&gt;=Controls!$B$10*$AE738)),1,0)</f>
        <v/>
      </c>
    </row>
    <row r="739" ht="15.75" customHeight="1" s="79">
      <c r="A739" s="5" t="inlineStr">
        <is>
          <t>5674180590</t>
        </is>
      </c>
      <c r="B739" s="5" t="inlineStr">
        <is>
          <t>TTC EVENTS</t>
        </is>
      </c>
      <c r="C739" s="5" t="inlineStr">
        <is>
          <t>THAT TEXAS CREW LLC</t>
        </is>
      </c>
      <c r="D739" s="5" t="inlineStr">
        <is>
          <t>Closed</t>
        </is>
      </c>
      <c r="E739" s="16" t="n">
        <v>46104</v>
      </c>
      <c r="F739" s="16" t="n">
        <v>46140</v>
      </c>
      <c r="G739" s="17" t="n">
        <v>1</v>
      </c>
      <c r="H739" s="5" t="inlineStr">
        <is>
          <t>7991</t>
        </is>
      </c>
      <c r="I739" s="5" t="inlineStr">
        <is>
          <t>Fitness and Recreational Sports Centers</t>
        </is>
      </c>
      <c r="J739" s="5" t="inlineStr">
        <is>
          <t>79</t>
        </is>
      </c>
      <c r="K739" s="5" t="n">
        <v>7991</v>
      </c>
      <c r="L739" s="5" t="inlineStr">
        <is>
          <t>TX</t>
        </is>
      </c>
      <c r="M739" s="5" t="inlineStr">
        <is>
          <t>Lemonaid</t>
        </is>
      </c>
      <c r="N739" s="5" t="inlineStr">
        <is>
          <t>New Deal</t>
        </is>
      </c>
      <c r="O739" s="19" t="n">
        <v>1.3899888</v>
      </c>
      <c r="P739" s="20" t="n">
        <v>50000</v>
      </c>
      <c r="Q739" s="20" t="n">
        <v>7000</v>
      </c>
      <c r="R739" s="20" t="n">
        <v>69499.44</v>
      </c>
      <c r="S739" s="20" t="n">
        <v>69499.44</v>
      </c>
      <c r="T739" s="20" t="n">
        <v>0</v>
      </c>
      <c r="U739" s="21" t="n">
        <v>1</v>
      </c>
      <c r="V739" s="22" t="n">
        <v>35</v>
      </c>
      <c r="W739" s="17" t="n">
        <v>113</v>
      </c>
      <c r="X739" s="17" t="n">
        <v>0</v>
      </c>
      <c r="Y739" s="20" t="n">
        <v>56029.2</v>
      </c>
      <c r="Z739" s="21" t="n">
        <v>0.152</v>
      </c>
      <c r="AA739" s="16" t="n">
        <v>45444</v>
      </c>
      <c r="AB739" s="5">
        <f>IF(V739="","",IF(V739&lt;12,"Months","Weeks"))</f>
        <v/>
      </c>
      <c r="AC739" s="5">
        <f>IF(AB739="","",IF(AB739="Months","Daily","Weekly"))</f>
        <v/>
      </c>
      <c r="AD739" s="17">
        <f>IF(V739="","",IF(AC739="Daily",V739*Controls!$B$13,V739))</f>
        <v/>
      </c>
      <c r="AE739" s="17">
        <f>IF(V739="","",IF(AC739="Daily",V739*Controls!$B$13,V739*Controls!$B$12))</f>
        <v/>
      </c>
      <c r="AF739" s="17">
        <f>IF(OR(E739="",F739=""),"",F739-E739)</f>
        <v/>
      </c>
      <c r="AG739" s="17">
        <f>IF(OR(E739="",F739=""),"",NETWORKDAYS(E739,F739,Ref!$F$4:$F$47))</f>
        <v/>
      </c>
      <c r="AH739" s="39">
        <f>IF(IFERROR(VLOOKUP(D739,Controls!$A$25:$D$35,2,FALSE()),"No")="Yes",1,0)</f>
        <v/>
      </c>
      <c r="AI739" s="39">
        <f>IF(IFERROR(VLOOKUP(D739,Controls!$A$25:$D$35,3,FALSE()),"No")="Yes",1,0)</f>
        <v/>
      </c>
      <c r="AJ739" s="39">
        <f>IF(IFERROR(VLOOKUP(D739,Controls!$A$25:$D$35,4,FALSE()),"No")="Yes",1,0)</f>
        <v/>
      </c>
      <c r="AK739" s="96">
        <f>IF(AND($E739&gt;=Controls!$B$5,$E739&lt;=Controls!$B$6,OR(Controls!$E$9&lt;&gt;"Y",$BE739=1)),1,0)</f>
        <v/>
      </c>
      <c r="AL739" s="39">
        <f>1</f>
        <v/>
      </c>
      <c r="AM739" s="20">
        <f>S739-P739</f>
        <v/>
      </c>
      <c r="AN739" s="20">
        <f>IF(AH739=1,MAX(0,P739-S739),0)</f>
        <v/>
      </c>
      <c r="AO739" s="21">
        <f>IFERROR(S739/P739,"")</f>
        <v/>
      </c>
      <c r="AP739" s="22">
        <f>IF(Y739="","",P739/Y739)</f>
        <v/>
      </c>
      <c r="AQ739" s="39">
        <f>IF(Y739="",0,1)</f>
        <v/>
      </c>
      <c r="AR739" s="39">
        <f>IF(S739&lt;=0,1,0)</f>
        <v/>
      </c>
      <c r="AS739" s="17">
        <f>IF(AH739=1,AG739,"")</f>
        <v/>
      </c>
      <c r="AT739" s="17">
        <f>IF(AND(AH739=0,AJ739=1),AG739,"")</f>
        <v/>
      </c>
      <c r="AU739" s="5">
        <f>IF(P739&lt;10000,"Under $10K",IF(P739&lt;20000,"$10-20K",IF(P739&lt;30000,"$20-30K",IF(P739&lt;50000,"$30-50K",IF(P739&lt;100000,"$50-100K","$100K+")))))</f>
        <v/>
      </c>
      <c r="AV739" s="5">
        <f>IF(O739&lt;=1.35,"1.35 and under",IF(O739&lt;=1.42,"1.36-1.42",IF(O739&lt;=1.45,"1.43-1.45",IF(O739&lt;1.49,"1.46-1.48",IF(O739&lt;=1.49,"1.49","Above 1.49")))))</f>
        <v/>
      </c>
      <c r="AW739" s="5">
        <f>IF(AE739="","",IF(AE739&lt;60,"Under 60",IF(AE739&lt;90,"60-89",IF(AE739&lt;120,"90-119",IF(AE739&lt;150,"120-149","150+")))))</f>
        <v/>
      </c>
      <c r="AX739" s="5">
        <f>IF(AP739="","No revenue data",IF(AP739&lt;0.15,"Under 0.15x",IF(AP739&lt;0.3,"0.15-0.30x",IF(AP739&lt;0.5,"0.30-0.50x",IF(AP739&lt;1,"0.50-1.00x","1.00x+")))))</f>
        <v/>
      </c>
      <c r="AY739" s="5">
        <f>IF(J739="","No SIC",IFERROR(VLOOKUP(J739,Ref!$A$4:$C$67,2,FALSE()),"Unclassified"))</f>
        <v/>
      </c>
      <c r="AZ739" s="5">
        <f>IF(E739="","",TEXT(E739,"YYYY")&amp;"-Q"&amp;ROUNDUP(MONTH(E739)/3,0))</f>
        <v/>
      </c>
      <c r="BA739" s="5">
        <f>IF(E739="","",TEXT(E739,"YYYY-MM"))</f>
        <v/>
      </c>
      <c r="BB739" s="5">
        <f>IF(E739="","",TEXT(E739,"YYYY"))</f>
        <v/>
      </c>
      <c r="BC739" s="92">
        <f>IF($E739="","",NETWORKDAYS($E739,Controls!$B$9,Ref!$F$4:$F$47))</f>
        <v/>
      </c>
      <c r="BD739" s="92">
        <f>IF(OR($AH739=1,$AJ739=1),1,0)</f>
        <v/>
      </c>
      <c r="BE739" s="95">
        <f>IF(OR($BD739=1,AND($AE739&lt;&gt;"",$BC739&gt;=Controls!$B$10*$AE739)),1,0)</f>
        <v/>
      </c>
    </row>
    <row r="740" ht="15.75" customHeight="1" s="79">
      <c r="A740" s="5" t="inlineStr">
        <is>
          <t>5674180677</t>
        </is>
      </c>
      <c r="B740" s="5" t="inlineStr">
        <is>
          <t>BLACKSTACK SECURITY DBA AARON EDWARD BLACK SOLE MBR</t>
        </is>
      </c>
      <c r="C740" s="5" t="inlineStr">
        <is>
          <t>BLACKSTACK SECURITY SERVICES LLC</t>
        </is>
      </c>
      <c r="D740" s="5" t="inlineStr">
        <is>
          <t>Closed</t>
        </is>
      </c>
      <c r="E740" s="16" t="n">
        <v>46105</v>
      </c>
      <c r="F740" s="16" t="n">
        <v>46133</v>
      </c>
      <c r="G740" s="17" t="n">
        <v>4</v>
      </c>
      <c r="H740" s="5" t="inlineStr">
        <is>
          <t>6231</t>
        </is>
      </c>
      <c r="I740" s="5" t="inlineStr">
        <is>
          <t>Securities and Commodity Exchanges</t>
        </is>
      </c>
      <c r="J740" s="5" t="inlineStr">
        <is>
          <t>62</t>
        </is>
      </c>
      <c r="K740" s="5" t="n">
        <v>6211</v>
      </c>
      <c r="L740" s="5" t="inlineStr">
        <is>
          <t>MO</t>
        </is>
      </c>
      <c r="M740" s="5" t="inlineStr">
        <is>
          <t>J Capital Solutions</t>
        </is>
      </c>
      <c r="N740" s="5" t="inlineStr">
        <is>
          <t>New Deal</t>
        </is>
      </c>
      <c r="O740" s="19" t="n">
        <v>1.44556942</v>
      </c>
      <c r="P740" s="20" t="n">
        <v>120000</v>
      </c>
      <c r="Q740" s="20" t="n">
        <v>16800</v>
      </c>
      <c r="R740" s="20" t="n">
        <v>173468.3304</v>
      </c>
      <c r="S740" s="20" t="n">
        <v>173468.33</v>
      </c>
      <c r="T740" s="20" t="n">
        <v>0.000400000018998981</v>
      </c>
      <c r="U740" s="21" t="n">
        <v>0.999999997694104</v>
      </c>
      <c r="V740" s="22" t="n">
        <v>32</v>
      </c>
      <c r="W740" s="17" t="n">
        <v>120</v>
      </c>
      <c r="X740" s="17" t="n">
        <v>0</v>
      </c>
      <c r="Y740" s="20" t="n">
        <v>137728.39</v>
      </c>
      <c r="Z740" s="21" t="n">
        <v>0.1623</v>
      </c>
      <c r="AA740" s="16" t="n">
        <v>45117</v>
      </c>
      <c r="AB740" s="5">
        <f>IF(V740="","",IF(V740&lt;12,"Months","Weeks"))</f>
        <v/>
      </c>
      <c r="AC740" s="5">
        <f>IF(AB740="","",IF(AB740="Months","Daily","Weekly"))</f>
        <v/>
      </c>
      <c r="AD740" s="17">
        <f>IF(V740="","",IF(AC740="Daily",V740*Controls!$B$13,V740))</f>
        <v/>
      </c>
      <c r="AE740" s="17">
        <f>IF(V740="","",IF(AC740="Daily",V740*Controls!$B$13,V740*Controls!$B$12))</f>
        <v/>
      </c>
      <c r="AF740" s="17">
        <f>IF(OR(E740="",F740=""),"",F740-E740)</f>
        <v/>
      </c>
      <c r="AG740" s="17">
        <f>IF(OR(E740="",F740=""),"",NETWORKDAYS(E740,F740,Ref!$F$4:$F$47))</f>
        <v/>
      </c>
      <c r="AH740" s="39">
        <f>IF(IFERROR(VLOOKUP(D740,Controls!$A$25:$D$35,2,FALSE()),"No")="Yes",1,0)</f>
        <v/>
      </c>
      <c r="AI740" s="39">
        <f>IF(IFERROR(VLOOKUP(D740,Controls!$A$25:$D$35,3,FALSE()),"No")="Yes",1,0)</f>
        <v/>
      </c>
      <c r="AJ740" s="39">
        <f>IF(IFERROR(VLOOKUP(D740,Controls!$A$25:$D$35,4,FALSE()),"No")="Yes",1,0)</f>
        <v/>
      </c>
      <c r="AK740" s="96">
        <f>IF(AND($E740&gt;=Controls!$B$5,$E740&lt;=Controls!$B$6,OR(Controls!$E$9&lt;&gt;"Y",$BE740=1)),1,0)</f>
        <v/>
      </c>
      <c r="AL740" s="39">
        <f>1</f>
        <v/>
      </c>
      <c r="AM740" s="20">
        <f>S740-P740</f>
        <v/>
      </c>
      <c r="AN740" s="20">
        <f>IF(AH740=1,MAX(0,P740-S740),0)</f>
        <v/>
      </c>
      <c r="AO740" s="21">
        <f>IFERROR(S740/P740,"")</f>
        <v/>
      </c>
      <c r="AP740" s="22">
        <f>IF(Y740="","",P740/Y740)</f>
        <v/>
      </c>
      <c r="AQ740" s="39">
        <f>IF(Y740="",0,1)</f>
        <v/>
      </c>
      <c r="AR740" s="39">
        <f>IF(S740&lt;=0,1,0)</f>
        <v/>
      </c>
      <c r="AS740" s="17">
        <f>IF(AH740=1,AG740,"")</f>
        <v/>
      </c>
      <c r="AT740" s="17">
        <f>IF(AND(AH740=0,AJ740=1),AG740,"")</f>
        <v/>
      </c>
      <c r="AU740" s="5">
        <f>IF(P740&lt;10000,"Under $10K",IF(P740&lt;20000,"$10-20K",IF(P740&lt;30000,"$20-30K",IF(P740&lt;50000,"$30-50K",IF(P740&lt;100000,"$50-100K","$100K+")))))</f>
        <v/>
      </c>
      <c r="AV740" s="5">
        <f>IF(O740&lt;=1.35,"1.35 and under",IF(O740&lt;=1.42,"1.36-1.42",IF(O740&lt;=1.45,"1.43-1.45",IF(O740&lt;1.49,"1.46-1.48",IF(O740&lt;=1.49,"1.49","Above 1.49")))))</f>
        <v/>
      </c>
      <c r="AW740" s="5">
        <f>IF(AE740="","",IF(AE740&lt;60,"Under 60",IF(AE740&lt;90,"60-89",IF(AE740&lt;120,"90-119",IF(AE740&lt;150,"120-149","150+")))))</f>
        <v/>
      </c>
      <c r="AX740" s="5">
        <f>IF(AP740="","No revenue data",IF(AP740&lt;0.15,"Under 0.15x",IF(AP740&lt;0.3,"0.15-0.30x",IF(AP740&lt;0.5,"0.30-0.50x",IF(AP740&lt;1,"0.50-1.00x","1.00x+")))))</f>
        <v/>
      </c>
      <c r="AY740" s="5">
        <f>IF(J740="","No SIC",IFERROR(VLOOKUP(J740,Ref!$A$4:$C$67,2,FALSE()),"Unclassified"))</f>
        <v/>
      </c>
      <c r="AZ740" s="5">
        <f>IF(E740="","",TEXT(E740,"YYYY")&amp;"-Q"&amp;ROUNDUP(MONTH(E740)/3,0))</f>
        <v/>
      </c>
      <c r="BA740" s="5">
        <f>IF(E740="","",TEXT(E740,"YYYY-MM"))</f>
        <v/>
      </c>
      <c r="BB740" s="5">
        <f>IF(E740="","",TEXT(E740,"YYYY"))</f>
        <v/>
      </c>
      <c r="BC740" s="92">
        <f>IF($E740="","",NETWORKDAYS($E740,Controls!$B$9,Ref!$F$4:$F$47))</f>
        <v/>
      </c>
      <c r="BD740" s="92">
        <f>IF(OR($AH740=1,$AJ740=1),1,0)</f>
        <v/>
      </c>
      <c r="BE740" s="95">
        <f>IF(OR($BD740=1,AND($AE740&lt;&gt;"",$BC740&gt;=Controls!$B$10*$AE740)),1,0)</f>
        <v/>
      </c>
    </row>
    <row r="741" ht="15.75" customHeight="1" s="79">
      <c r="A741" s="5" t="inlineStr">
        <is>
          <t>5674180689</t>
        </is>
      </c>
      <c r="B741" s="5" t="inlineStr">
        <is>
          <t>WO-BO FARMS</t>
        </is>
      </c>
      <c r="C741" s="5" t="inlineStr">
        <is>
          <t>DAVID R WOLFINGER</t>
        </is>
      </c>
      <c r="D741" s="5" t="inlineStr">
        <is>
          <t>Closed</t>
        </is>
      </c>
      <c r="E741" s="16" t="n">
        <v>46105</v>
      </c>
      <c r="F741" s="16" t="n">
        <v>46237</v>
      </c>
      <c r="G741" s="17" t="n">
        <v>3</v>
      </c>
      <c r="H741" s="5" t="inlineStr">
        <is>
          <t>5999</t>
        </is>
      </c>
      <c r="I741" s="5" t="inlineStr">
        <is>
          <t>All Other Health and Personal Care Stores</t>
        </is>
      </c>
      <c r="J741" s="5" t="inlineStr">
        <is>
          <t>59</t>
        </is>
      </c>
      <c r="K741" s="5" t="n">
        <v>5999</v>
      </c>
      <c r="L741" s="5" t="inlineStr">
        <is>
          <t>PA</t>
        </is>
      </c>
      <c r="M741" s="5" t="inlineStr">
        <is>
          <t>Ballicci</t>
        </is>
      </c>
      <c r="N741" s="5" t="inlineStr">
        <is>
          <t>New Deal</t>
        </is>
      </c>
      <c r="O741" s="19" t="n">
        <v>1.48</v>
      </c>
      <c r="P741" s="20" t="n">
        <v>15000</v>
      </c>
      <c r="Q741" s="20" t="n">
        <v>2175</v>
      </c>
      <c r="R741" s="20" t="n">
        <v>22200</v>
      </c>
      <c r="S741" s="20" t="n">
        <v>22200</v>
      </c>
      <c r="T741" s="20" t="n">
        <v>0</v>
      </c>
      <c r="U741" s="21" t="n">
        <v>1</v>
      </c>
      <c r="V741" s="22" t="n">
        <v>24</v>
      </c>
      <c r="W741" s="17" t="n">
        <v>16</v>
      </c>
      <c r="X741" s="17" t="n">
        <v>0</v>
      </c>
      <c r="Y741" s="20" t="n">
        <v>34518.42</v>
      </c>
      <c r="Z741" s="21" t="n">
        <v>0.1072</v>
      </c>
      <c r="AA741" s="16" t="n">
        <v>28856</v>
      </c>
      <c r="AB741" s="5">
        <f>IF(V741="","",IF(V741&lt;12,"Months","Weeks"))</f>
        <v/>
      </c>
      <c r="AC741" s="5">
        <f>IF(AB741="","",IF(AB741="Months","Daily","Weekly"))</f>
        <v/>
      </c>
      <c r="AD741" s="17">
        <f>IF(V741="","",IF(AC741="Daily",V741*Controls!$B$13,V741))</f>
        <v/>
      </c>
      <c r="AE741" s="17">
        <f>IF(V741="","",IF(AC741="Daily",V741*Controls!$B$13,V741*Controls!$B$12))</f>
        <v/>
      </c>
      <c r="AF741" s="17">
        <f>IF(OR(E741="",F741=""),"",F741-E741)</f>
        <v/>
      </c>
      <c r="AG741" s="17">
        <f>IF(OR(E741="",F741=""),"",NETWORKDAYS(E741,F741,Ref!$F$4:$F$47))</f>
        <v/>
      </c>
      <c r="AH741" s="39">
        <f>IF(IFERROR(VLOOKUP(D741,Controls!$A$25:$D$35,2,FALSE()),"No")="Yes",1,0)</f>
        <v/>
      </c>
      <c r="AI741" s="39">
        <f>IF(IFERROR(VLOOKUP(D741,Controls!$A$25:$D$35,3,FALSE()),"No")="Yes",1,0)</f>
        <v/>
      </c>
      <c r="AJ741" s="39">
        <f>IF(IFERROR(VLOOKUP(D741,Controls!$A$25:$D$35,4,FALSE()),"No")="Yes",1,0)</f>
        <v/>
      </c>
      <c r="AK741" s="96">
        <f>IF(AND($E741&gt;=Controls!$B$5,$E741&lt;=Controls!$B$6,OR(Controls!$E$9&lt;&gt;"Y",$BE741=1)),1,0)</f>
        <v/>
      </c>
      <c r="AL741" s="39">
        <f>1</f>
        <v/>
      </c>
      <c r="AM741" s="20">
        <f>S741-P741</f>
        <v/>
      </c>
      <c r="AN741" s="20">
        <f>IF(AH741=1,MAX(0,P741-S741),0)</f>
        <v/>
      </c>
      <c r="AO741" s="21">
        <f>IFERROR(S741/P741,"")</f>
        <v/>
      </c>
      <c r="AP741" s="22">
        <f>IF(Y741="","",P741/Y741)</f>
        <v/>
      </c>
      <c r="AQ741" s="39">
        <f>IF(Y741="",0,1)</f>
        <v/>
      </c>
      <c r="AR741" s="39">
        <f>IF(S741&lt;=0,1,0)</f>
        <v/>
      </c>
      <c r="AS741" s="17">
        <f>IF(AH741=1,AG741,"")</f>
        <v/>
      </c>
      <c r="AT741" s="17">
        <f>IF(AND(AH741=0,AJ741=1),AG741,"")</f>
        <v/>
      </c>
      <c r="AU741" s="5">
        <f>IF(P741&lt;10000,"Under $10K",IF(P741&lt;20000,"$10-20K",IF(P741&lt;30000,"$20-30K",IF(P741&lt;50000,"$30-50K",IF(P741&lt;100000,"$50-100K","$100K+")))))</f>
        <v/>
      </c>
      <c r="AV741" s="5">
        <f>IF(O741&lt;=1.35,"1.35 and under",IF(O741&lt;=1.42,"1.36-1.42",IF(O741&lt;=1.45,"1.43-1.45",IF(O741&lt;1.49,"1.46-1.48",IF(O741&lt;=1.49,"1.49","Above 1.49")))))</f>
        <v/>
      </c>
      <c r="AW741" s="5">
        <f>IF(AE741="","",IF(AE741&lt;60,"Under 60",IF(AE741&lt;90,"60-89",IF(AE741&lt;120,"90-119",IF(AE741&lt;150,"120-149","150+")))))</f>
        <v/>
      </c>
      <c r="AX741" s="5">
        <f>IF(AP741="","No revenue data",IF(AP741&lt;0.15,"Under 0.15x",IF(AP741&lt;0.3,"0.15-0.30x",IF(AP741&lt;0.5,"0.30-0.50x",IF(AP741&lt;1,"0.50-1.00x","1.00x+")))))</f>
        <v/>
      </c>
      <c r="AY741" s="5">
        <f>IF(J741="","No SIC",IFERROR(VLOOKUP(J741,Ref!$A$4:$C$67,2,FALSE()),"Unclassified"))</f>
        <v/>
      </c>
      <c r="AZ741" s="5">
        <f>IF(E741="","",TEXT(E741,"YYYY")&amp;"-Q"&amp;ROUNDUP(MONTH(E741)/3,0))</f>
        <v/>
      </c>
      <c r="BA741" s="5">
        <f>IF(E741="","",TEXT(E741,"YYYY-MM"))</f>
        <v/>
      </c>
      <c r="BB741" s="5">
        <f>IF(E741="","",TEXT(E741,"YYYY"))</f>
        <v/>
      </c>
      <c r="BC741" s="92">
        <f>IF($E741="","",NETWORKDAYS($E741,Controls!$B$9,Ref!$F$4:$F$47))</f>
        <v/>
      </c>
      <c r="BD741" s="92">
        <f>IF(OR($AH741=1,$AJ741=1),1,0)</f>
        <v/>
      </c>
      <c r="BE741" s="95">
        <f>IF(OR($BD741=1,AND($AE741&lt;&gt;"",$BC741&gt;=Controls!$B$10*$AE741)),1,0)</f>
        <v/>
      </c>
    </row>
    <row r="742" ht="15.75" customHeight="1" s="79">
      <c r="A742" s="5" t="inlineStr">
        <is>
          <t>5674180710</t>
        </is>
      </c>
      <c r="B742" s="5" t="inlineStr">
        <is>
          <t>Green Living Freight</t>
        </is>
      </c>
      <c r="C742" s="5" t="inlineStr">
        <is>
          <t>The Green Living Freight Inc.</t>
        </is>
      </c>
      <c r="D742" s="5" t="inlineStr">
        <is>
          <t>In House Collection</t>
        </is>
      </c>
      <c r="E742" s="16" t="n">
        <v>46105</v>
      </c>
      <c r="F742" s="16" t="n">
        <v>46253</v>
      </c>
      <c r="G742" s="17" t="n">
        <v>3</v>
      </c>
      <c r="H742" s="5" t="inlineStr">
        <is>
          <t>4213</t>
        </is>
      </c>
      <c r="I742" s="5" t="inlineStr">
        <is>
          <t>Specialized Freight (Except Used Goods) Trucking, Long Distance</t>
        </is>
      </c>
      <c r="J742" s="5" t="inlineStr">
        <is>
          <t>42</t>
        </is>
      </c>
      <c r="K742" s="5" t="n">
        <v>4214</v>
      </c>
      <c r="L742" s="5" t="inlineStr">
        <is>
          <t>IL</t>
        </is>
      </c>
      <c r="M742" s="5" t="inlineStr">
        <is>
          <t>Fundible</t>
        </is>
      </c>
      <c r="N742" s="5" t="inlineStr">
        <is>
          <t>New Deal</t>
        </is>
      </c>
      <c r="O742" s="19" t="n">
        <v>1.4525</v>
      </c>
      <c r="P742" s="20" t="n">
        <v>40000</v>
      </c>
      <c r="Q742" s="20" t="n">
        <v>0</v>
      </c>
      <c r="R742" s="20" t="n">
        <v>58100</v>
      </c>
      <c r="S742" s="20" t="n">
        <v>24751.65</v>
      </c>
      <c r="T742" s="20" t="n">
        <v>33348.35</v>
      </c>
      <c r="U742" s="21" t="n">
        <v>0.426018072289157</v>
      </c>
      <c r="V742" s="22" t="n">
        <v>24</v>
      </c>
      <c r="W742" s="17" t="n">
        <v>0</v>
      </c>
      <c r="X742" s="17" t="n">
        <v>1</v>
      </c>
      <c r="Y742" s="20" t="n">
        <v>189983.54</v>
      </c>
      <c r="Z742" s="21" t="n">
        <v>0.0488</v>
      </c>
      <c r="AA742" s="16" t="n">
        <v>39521</v>
      </c>
      <c r="AB742" s="5">
        <f>IF(V742="","",IF(V742&lt;12,"Months","Weeks"))</f>
        <v/>
      </c>
      <c r="AC742" s="5">
        <f>IF(AB742="","",IF(AB742="Months","Daily","Weekly"))</f>
        <v/>
      </c>
      <c r="AD742" s="17">
        <f>IF(V742="","",IF(AC742="Daily",V742*Controls!$B$13,V742))</f>
        <v/>
      </c>
      <c r="AE742" s="17">
        <f>IF(V742="","",IF(AC742="Daily",V742*Controls!$B$13,V742*Controls!$B$12))</f>
        <v/>
      </c>
      <c r="AF742" s="17">
        <f>IF(OR(E742="",F742=""),"",F742-E742)</f>
        <v/>
      </c>
      <c r="AG742" s="17">
        <f>IF(OR(E742="",F742=""),"",NETWORKDAYS(E742,F742,Ref!$F$4:$F$47))</f>
        <v/>
      </c>
      <c r="AH742" s="39">
        <f>IF(IFERROR(VLOOKUP(D742,Controls!$A$25:$D$35,2,FALSE()),"No")="Yes",1,0)</f>
        <v/>
      </c>
      <c r="AI742" s="39">
        <f>IF(IFERROR(VLOOKUP(D742,Controls!$A$25:$D$35,3,FALSE()),"No")="Yes",1,0)</f>
        <v/>
      </c>
      <c r="AJ742" s="39">
        <f>IF(IFERROR(VLOOKUP(D742,Controls!$A$25:$D$35,4,FALSE()),"No")="Yes",1,0)</f>
        <v/>
      </c>
      <c r="AK742" s="96">
        <f>IF(AND($E742&gt;=Controls!$B$5,$E742&lt;=Controls!$B$6,OR(Controls!$E$9&lt;&gt;"Y",$BE742=1)),1,0)</f>
        <v/>
      </c>
      <c r="AL742" s="39">
        <f>1</f>
        <v/>
      </c>
      <c r="AM742" s="20">
        <f>S742-P742</f>
        <v/>
      </c>
      <c r="AN742" s="20">
        <f>IF(AH742=1,MAX(0,P742-S742),0)</f>
        <v/>
      </c>
      <c r="AO742" s="21">
        <f>IFERROR(S742/P742,"")</f>
        <v/>
      </c>
      <c r="AP742" s="22">
        <f>IF(Y742="","",P742/Y742)</f>
        <v/>
      </c>
      <c r="AQ742" s="39">
        <f>IF(Y742="",0,1)</f>
        <v/>
      </c>
      <c r="AR742" s="39">
        <f>IF(S742&lt;=0,1,0)</f>
        <v/>
      </c>
      <c r="AS742" s="17">
        <f>IF(AH742=1,AG742,"")</f>
        <v/>
      </c>
      <c r="AT742" s="17">
        <f>IF(AND(AH742=0,AJ742=1),AG742,"")</f>
        <v/>
      </c>
      <c r="AU742" s="5">
        <f>IF(P742&lt;10000,"Under $10K",IF(P742&lt;20000,"$10-20K",IF(P742&lt;30000,"$20-30K",IF(P742&lt;50000,"$30-50K",IF(P742&lt;100000,"$50-100K","$100K+")))))</f>
        <v/>
      </c>
      <c r="AV742" s="5">
        <f>IF(O742&lt;=1.35,"1.35 and under",IF(O742&lt;=1.42,"1.36-1.42",IF(O742&lt;=1.45,"1.43-1.45",IF(O742&lt;1.49,"1.46-1.48",IF(O742&lt;=1.49,"1.49","Above 1.49")))))</f>
        <v/>
      </c>
      <c r="AW742" s="5">
        <f>IF(AE742="","",IF(AE742&lt;60,"Under 60",IF(AE742&lt;90,"60-89",IF(AE742&lt;120,"90-119",IF(AE742&lt;150,"120-149","150+")))))</f>
        <v/>
      </c>
      <c r="AX742" s="5">
        <f>IF(AP742="","No revenue data",IF(AP742&lt;0.15,"Under 0.15x",IF(AP742&lt;0.3,"0.15-0.30x",IF(AP742&lt;0.5,"0.30-0.50x",IF(AP742&lt;1,"0.50-1.00x","1.00x+")))))</f>
        <v/>
      </c>
      <c r="AY742" s="5">
        <f>IF(J742="","No SIC",IFERROR(VLOOKUP(J742,Ref!$A$4:$C$67,2,FALSE()),"Unclassified"))</f>
        <v/>
      </c>
      <c r="AZ742" s="5">
        <f>IF(E742="","",TEXT(E742,"YYYY")&amp;"-Q"&amp;ROUNDUP(MONTH(E742)/3,0))</f>
        <v/>
      </c>
      <c r="BA742" s="5">
        <f>IF(E742="","",TEXT(E742,"YYYY-MM"))</f>
        <v/>
      </c>
      <c r="BB742" s="5">
        <f>IF(E742="","",TEXT(E742,"YYYY"))</f>
        <v/>
      </c>
      <c r="BC742" s="92">
        <f>IF($E742="","",NETWORKDAYS($E742,Controls!$B$9,Ref!$F$4:$F$47))</f>
        <v/>
      </c>
      <c r="BD742" s="92">
        <f>IF(OR($AH742=1,$AJ742=1),1,0)</f>
        <v/>
      </c>
      <c r="BE742" s="95">
        <f>IF(OR($BD742=1,AND($AE742&lt;&gt;"",$BC742&gt;=Controls!$B$10*$AE742)),1,0)</f>
        <v/>
      </c>
    </row>
    <row r="743" ht="15.75" customHeight="1" s="79">
      <c r="A743" s="5" t="inlineStr">
        <is>
          <t>5674180777</t>
        </is>
      </c>
      <c r="B743" s="5" t="inlineStr">
        <is>
          <t>BLULEO TRANSPORT LLC</t>
        </is>
      </c>
      <c r="C743" s="5" t="inlineStr">
        <is>
          <t>BLULEO TRANSPORT LLC</t>
        </is>
      </c>
      <c r="D743" s="5" t="inlineStr">
        <is>
          <t>Closed</t>
        </is>
      </c>
      <c r="E743" s="16" t="n">
        <v>46106</v>
      </c>
      <c r="F743" s="16" t="n">
        <v>46216</v>
      </c>
      <c r="G743" s="17" t="n">
        <v>3</v>
      </c>
      <c r="H743" s="5" t="inlineStr">
        <is>
          <t>4212</t>
        </is>
      </c>
      <c r="I743" s="5" t="inlineStr">
        <is>
          <t>Specialized Freight (Except Used Goods) Trucking, Local</t>
        </is>
      </c>
      <c r="J743" s="5" t="inlineStr">
        <is>
          <t>42</t>
        </is>
      </c>
      <c r="K743" s="5" t="n">
        <v>4214</v>
      </c>
      <c r="L743" s="5" t="inlineStr">
        <is>
          <t>TX</t>
        </is>
      </c>
      <c r="M743" s="5" t="inlineStr">
        <is>
          <t>United Secured Capital 8</t>
        </is>
      </c>
      <c r="N743" s="5" t="inlineStr">
        <is>
          <t>New Deal</t>
        </is>
      </c>
      <c r="O743" s="19" t="n">
        <v>1.49</v>
      </c>
      <c r="P743" s="20" t="n">
        <v>10000</v>
      </c>
      <c r="Q743" s="20" t="n">
        <v>1400</v>
      </c>
      <c r="R743" s="20" t="n">
        <v>14900</v>
      </c>
      <c r="S743" s="20" t="n">
        <v>14900</v>
      </c>
      <c r="T743" s="20" t="n">
        <v>0</v>
      </c>
      <c r="U743" s="21" t="n">
        <v>1</v>
      </c>
      <c r="V743" s="22" t="n">
        <v>2.623</v>
      </c>
      <c r="W743" s="17" t="n">
        <v>37</v>
      </c>
      <c r="X743" s="17" t="n">
        <v>0</v>
      </c>
      <c r="Y743" s="20" t="n">
        <v>45946.75</v>
      </c>
      <c r="Z743" s="21" t="n">
        <v>0.0851</v>
      </c>
      <c r="AA743" s="16" t="n">
        <v>45185</v>
      </c>
      <c r="AB743" s="5">
        <f>IF(V743="","",IF(V743&lt;12,"Months","Weeks"))</f>
        <v/>
      </c>
      <c r="AC743" s="5">
        <f>IF(AB743="","",IF(AB743="Months","Daily","Weekly"))</f>
        <v/>
      </c>
      <c r="AD743" s="17">
        <f>IF(V743="","",IF(AC743="Daily",V743*Controls!$B$13,V743))</f>
        <v/>
      </c>
      <c r="AE743" s="17">
        <f>IF(V743="","",IF(AC743="Daily",V743*Controls!$B$13,V743*Controls!$B$12))</f>
        <v/>
      </c>
      <c r="AF743" s="17">
        <f>IF(OR(E743="",F743=""),"",F743-E743)</f>
        <v/>
      </c>
      <c r="AG743" s="17">
        <f>IF(OR(E743="",F743=""),"",NETWORKDAYS(E743,F743,Ref!$F$4:$F$47))</f>
        <v/>
      </c>
      <c r="AH743" s="39">
        <f>IF(IFERROR(VLOOKUP(D743,Controls!$A$25:$D$35,2,FALSE()),"No")="Yes",1,0)</f>
        <v/>
      </c>
      <c r="AI743" s="39">
        <f>IF(IFERROR(VLOOKUP(D743,Controls!$A$25:$D$35,3,FALSE()),"No")="Yes",1,0)</f>
        <v/>
      </c>
      <c r="AJ743" s="39">
        <f>IF(IFERROR(VLOOKUP(D743,Controls!$A$25:$D$35,4,FALSE()),"No")="Yes",1,0)</f>
        <v/>
      </c>
      <c r="AK743" s="96">
        <f>IF(AND($E743&gt;=Controls!$B$5,$E743&lt;=Controls!$B$6,OR(Controls!$E$9&lt;&gt;"Y",$BE743=1)),1,0)</f>
        <v/>
      </c>
      <c r="AL743" s="39">
        <f>1</f>
        <v/>
      </c>
      <c r="AM743" s="20">
        <f>S743-P743</f>
        <v/>
      </c>
      <c r="AN743" s="20">
        <f>IF(AH743=1,MAX(0,P743-S743),0)</f>
        <v/>
      </c>
      <c r="AO743" s="21">
        <f>IFERROR(S743/P743,"")</f>
        <v/>
      </c>
      <c r="AP743" s="22">
        <f>IF(Y743="","",P743/Y743)</f>
        <v/>
      </c>
      <c r="AQ743" s="39">
        <f>IF(Y743="",0,1)</f>
        <v/>
      </c>
      <c r="AR743" s="39">
        <f>IF(S743&lt;=0,1,0)</f>
        <v/>
      </c>
      <c r="AS743" s="17">
        <f>IF(AH743=1,AG743,"")</f>
        <v/>
      </c>
      <c r="AT743" s="17">
        <f>IF(AND(AH743=0,AJ743=1),AG743,"")</f>
        <v/>
      </c>
      <c r="AU743" s="5">
        <f>IF(P743&lt;10000,"Under $10K",IF(P743&lt;20000,"$10-20K",IF(P743&lt;30000,"$20-30K",IF(P743&lt;50000,"$30-50K",IF(P743&lt;100000,"$50-100K","$100K+")))))</f>
        <v/>
      </c>
      <c r="AV743" s="5">
        <f>IF(O743&lt;=1.35,"1.35 and under",IF(O743&lt;=1.42,"1.36-1.42",IF(O743&lt;=1.45,"1.43-1.45",IF(O743&lt;1.49,"1.46-1.48",IF(O743&lt;=1.49,"1.49","Above 1.49")))))</f>
        <v/>
      </c>
      <c r="AW743" s="5">
        <f>IF(AE743="","",IF(AE743&lt;60,"Under 60",IF(AE743&lt;90,"60-89",IF(AE743&lt;120,"90-119",IF(AE743&lt;150,"120-149","150+")))))</f>
        <v/>
      </c>
      <c r="AX743" s="5">
        <f>IF(AP743="","No revenue data",IF(AP743&lt;0.15,"Under 0.15x",IF(AP743&lt;0.3,"0.15-0.30x",IF(AP743&lt;0.5,"0.30-0.50x",IF(AP743&lt;1,"0.50-1.00x","1.00x+")))))</f>
        <v/>
      </c>
      <c r="AY743" s="5">
        <f>IF(J743="","No SIC",IFERROR(VLOOKUP(J743,Ref!$A$4:$C$67,2,FALSE()),"Unclassified"))</f>
        <v/>
      </c>
      <c r="AZ743" s="5">
        <f>IF(E743="","",TEXT(E743,"YYYY")&amp;"-Q"&amp;ROUNDUP(MONTH(E743)/3,0))</f>
        <v/>
      </c>
      <c r="BA743" s="5">
        <f>IF(E743="","",TEXT(E743,"YYYY-MM"))</f>
        <v/>
      </c>
      <c r="BB743" s="5">
        <f>IF(E743="","",TEXT(E743,"YYYY"))</f>
        <v/>
      </c>
      <c r="BC743" s="92">
        <f>IF($E743="","",NETWORKDAYS($E743,Controls!$B$9,Ref!$F$4:$F$47))</f>
        <v/>
      </c>
      <c r="BD743" s="92">
        <f>IF(OR($AH743=1,$AJ743=1),1,0)</f>
        <v/>
      </c>
      <c r="BE743" s="95">
        <f>IF(OR($BD743=1,AND($AE743&lt;&gt;"",$BC743&gt;=Controls!$B$10*$AE743)),1,0)</f>
        <v/>
      </c>
    </row>
    <row r="744" ht="15.75" customHeight="1" s="79">
      <c r="A744" s="5" t="inlineStr">
        <is>
          <t>5674180785</t>
        </is>
      </c>
      <c r="B744" s="5" t="inlineStr">
        <is>
          <t>NC Top Service LLC</t>
        </is>
      </c>
      <c r="C744" s="5" t="inlineStr">
        <is>
          <t>NC Top Service LLC</t>
        </is>
      </c>
      <c r="D744" s="5" t="inlineStr">
        <is>
          <t>Open</t>
        </is>
      </c>
      <c r="E744" s="16" t="n">
        <v>46106</v>
      </c>
      <c r="F744" s="16" t="n">
        <v>46241</v>
      </c>
      <c r="G744" s="17" t="n">
        <v>3</v>
      </c>
      <c r="H744" s="5" t="inlineStr">
        <is>
          <t>1799</t>
        </is>
      </c>
      <c r="I744" s="5" t="inlineStr">
        <is>
          <t>Other Building Finishing Contractors</t>
        </is>
      </c>
      <c r="J744" s="5" t="inlineStr">
        <is>
          <t>17</t>
        </is>
      </c>
      <c r="K744" s="5" t="n">
        <v>1799</v>
      </c>
      <c r="L744" s="5" t="inlineStr">
        <is>
          <t>NC</t>
        </is>
      </c>
      <c r="M744" s="5" t="inlineStr">
        <is>
          <t>United Secured Capital 8</t>
        </is>
      </c>
      <c r="N744" s="5" t="inlineStr">
        <is>
          <t>Renewal</t>
        </is>
      </c>
      <c r="O744" s="19" t="n">
        <v>1.42</v>
      </c>
      <c r="P744" s="20" t="n">
        <v>33000</v>
      </c>
      <c r="Q744" s="20" t="n">
        <v>3465</v>
      </c>
      <c r="R744" s="20" t="n">
        <v>46860</v>
      </c>
      <c r="S744" s="20" t="n">
        <v>19871.69</v>
      </c>
      <c r="T744" s="20" t="n">
        <v>26988.31</v>
      </c>
      <c r="U744" s="21" t="n">
        <v>0.424065087494665</v>
      </c>
      <c r="V744" s="22" t="n">
        <v>34</v>
      </c>
      <c r="W744" s="17" t="n">
        <v>12</v>
      </c>
      <c r="X744" s="17" t="n">
        <v>2</v>
      </c>
      <c r="Y744" s="20" t="n">
        <v>94340.63</v>
      </c>
      <c r="Z744" s="21" t="n">
        <v>0.0584</v>
      </c>
      <c r="AA744" s="16" t="n">
        <v>45679</v>
      </c>
      <c r="AB744" s="5">
        <f>IF(V744="","",IF(V744&lt;12,"Months","Weeks"))</f>
        <v/>
      </c>
      <c r="AC744" s="5">
        <f>IF(AB744="","",IF(AB744="Months","Daily","Weekly"))</f>
        <v/>
      </c>
      <c r="AD744" s="17">
        <f>IF(V744="","",IF(AC744="Daily",V744*Controls!$B$13,V744))</f>
        <v/>
      </c>
      <c r="AE744" s="17">
        <f>IF(V744="","",IF(AC744="Daily",V744*Controls!$B$13,V744*Controls!$B$12))</f>
        <v/>
      </c>
      <c r="AF744" s="17">
        <f>IF(OR(E744="",F744=""),"",F744-E744)</f>
        <v/>
      </c>
      <c r="AG744" s="17">
        <f>IF(OR(E744="",F744=""),"",NETWORKDAYS(E744,F744,Ref!$F$4:$F$47))</f>
        <v/>
      </c>
      <c r="AH744" s="39">
        <f>IF(IFERROR(VLOOKUP(D744,Controls!$A$25:$D$35,2,FALSE()),"No")="Yes",1,0)</f>
        <v/>
      </c>
      <c r="AI744" s="39">
        <f>IF(IFERROR(VLOOKUP(D744,Controls!$A$25:$D$35,3,FALSE()),"No")="Yes",1,0)</f>
        <v/>
      </c>
      <c r="AJ744" s="39">
        <f>IF(IFERROR(VLOOKUP(D744,Controls!$A$25:$D$35,4,FALSE()),"No")="Yes",1,0)</f>
        <v/>
      </c>
      <c r="AK744" s="96">
        <f>IF(AND($E744&gt;=Controls!$B$5,$E744&lt;=Controls!$B$6,OR(Controls!$E$9&lt;&gt;"Y",$BE744=1)),1,0)</f>
        <v/>
      </c>
      <c r="AL744" s="39">
        <f>1</f>
        <v/>
      </c>
      <c r="AM744" s="20">
        <f>S744-P744</f>
        <v/>
      </c>
      <c r="AN744" s="20">
        <f>IF(AH744=1,MAX(0,P744-S744),0)</f>
        <v/>
      </c>
      <c r="AO744" s="21">
        <f>IFERROR(S744/P744,"")</f>
        <v/>
      </c>
      <c r="AP744" s="22">
        <f>IF(Y744="","",P744/Y744)</f>
        <v/>
      </c>
      <c r="AQ744" s="39">
        <f>IF(Y744="",0,1)</f>
        <v/>
      </c>
      <c r="AR744" s="39">
        <f>IF(S744&lt;=0,1,0)</f>
        <v/>
      </c>
      <c r="AS744" s="17">
        <f>IF(AH744=1,AG744,"")</f>
        <v/>
      </c>
      <c r="AT744" s="17">
        <f>IF(AND(AH744=0,AJ744=1),AG744,"")</f>
        <v/>
      </c>
      <c r="AU744" s="5">
        <f>IF(P744&lt;10000,"Under $10K",IF(P744&lt;20000,"$10-20K",IF(P744&lt;30000,"$20-30K",IF(P744&lt;50000,"$30-50K",IF(P744&lt;100000,"$50-100K","$100K+")))))</f>
        <v/>
      </c>
      <c r="AV744" s="5">
        <f>IF(O744&lt;=1.35,"1.35 and under",IF(O744&lt;=1.42,"1.36-1.42",IF(O744&lt;=1.45,"1.43-1.45",IF(O744&lt;1.49,"1.46-1.48",IF(O744&lt;=1.49,"1.49","Above 1.49")))))</f>
        <v/>
      </c>
      <c r="AW744" s="5">
        <f>IF(AE744="","",IF(AE744&lt;60,"Under 60",IF(AE744&lt;90,"60-89",IF(AE744&lt;120,"90-119",IF(AE744&lt;150,"120-149","150+")))))</f>
        <v/>
      </c>
      <c r="AX744" s="5">
        <f>IF(AP744="","No revenue data",IF(AP744&lt;0.15,"Under 0.15x",IF(AP744&lt;0.3,"0.15-0.30x",IF(AP744&lt;0.5,"0.30-0.50x",IF(AP744&lt;1,"0.50-1.00x","1.00x+")))))</f>
        <v/>
      </c>
      <c r="AY744" s="5">
        <f>IF(J744="","No SIC",IFERROR(VLOOKUP(J744,Ref!$A$4:$C$67,2,FALSE()),"Unclassified"))</f>
        <v/>
      </c>
      <c r="AZ744" s="5">
        <f>IF(E744="","",TEXT(E744,"YYYY")&amp;"-Q"&amp;ROUNDUP(MONTH(E744)/3,0))</f>
        <v/>
      </c>
      <c r="BA744" s="5">
        <f>IF(E744="","",TEXT(E744,"YYYY-MM"))</f>
        <v/>
      </c>
      <c r="BB744" s="5">
        <f>IF(E744="","",TEXT(E744,"YYYY"))</f>
        <v/>
      </c>
      <c r="BC744" s="92">
        <f>IF($E744="","",NETWORKDAYS($E744,Controls!$B$9,Ref!$F$4:$F$47))</f>
        <v/>
      </c>
      <c r="BD744" s="92">
        <f>IF(OR($AH744=1,$AJ744=1),1,0)</f>
        <v/>
      </c>
      <c r="BE744" s="95">
        <f>IF(OR($BD744=1,AND($AE744&lt;&gt;"",$BC744&gt;=Controls!$B$10*$AE744)),1,0)</f>
        <v/>
      </c>
    </row>
    <row r="745" ht="15.75" customHeight="1" s="79">
      <c r="A745" s="5" t="inlineStr">
        <is>
          <t>5674180794</t>
        </is>
      </c>
      <c r="B745" s="5" t="inlineStr">
        <is>
          <t>EAGLE'S LOGISTIC AND DELIVERIES LLC</t>
        </is>
      </c>
      <c r="C745" s="5" t="inlineStr">
        <is>
          <t>EAGLE'S LOGISTIC AND DELIVERIES LLC</t>
        </is>
      </c>
      <c r="D745" s="5" t="inlineStr">
        <is>
          <t>Closed</t>
        </is>
      </c>
      <c r="E745" s="16" t="n">
        <v>46106</v>
      </c>
      <c r="F745" s="16" t="n">
        <v>46234</v>
      </c>
      <c r="G745" s="17" t="n">
        <v>3</v>
      </c>
      <c r="H745" s="5" t="inlineStr">
        <is>
          <t>4212</t>
        </is>
      </c>
      <c r="I745" s="5" t="inlineStr">
        <is>
          <t>Specialized Freight (Except Used Goods) Trucking, Local</t>
        </is>
      </c>
      <c r="J745" s="5" t="inlineStr">
        <is>
          <t>42</t>
        </is>
      </c>
      <c r="K745" s="5" t="n">
        <v>4214</v>
      </c>
      <c r="L745" s="5" t="inlineStr">
        <is>
          <t>FL</t>
        </is>
      </c>
      <c r="M745" s="5" t="inlineStr">
        <is>
          <t>United Secured Capital 8</t>
        </is>
      </c>
      <c r="N745" s="5" t="inlineStr">
        <is>
          <t>New Deal</t>
        </is>
      </c>
      <c r="O745" s="19" t="n">
        <v>1.44</v>
      </c>
      <c r="P745" s="20" t="n">
        <v>35000</v>
      </c>
      <c r="Q745" s="20" t="n">
        <v>4025</v>
      </c>
      <c r="R745" s="20" t="n">
        <v>50400</v>
      </c>
      <c r="S745" s="20" t="n">
        <v>50400</v>
      </c>
      <c r="T745" s="20" t="n">
        <v>0</v>
      </c>
      <c r="U745" s="21" t="n">
        <v>1</v>
      </c>
      <c r="V745" s="22" t="n">
        <v>36</v>
      </c>
      <c r="W745" s="17" t="n">
        <v>19</v>
      </c>
      <c r="X745" s="17" t="n">
        <v>1</v>
      </c>
      <c r="Y745" s="20" t="n">
        <v>514264.29</v>
      </c>
      <c r="Z745" s="21" t="n">
        <v>0.0109</v>
      </c>
      <c r="AA745" s="16" t="n">
        <v>45524</v>
      </c>
      <c r="AB745" s="5">
        <f>IF(V745="","",IF(V745&lt;12,"Months","Weeks"))</f>
        <v/>
      </c>
      <c r="AC745" s="5">
        <f>IF(AB745="","",IF(AB745="Months","Daily","Weekly"))</f>
        <v/>
      </c>
      <c r="AD745" s="17">
        <f>IF(V745="","",IF(AC745="Daily",V745*Controls!$B$13,V745))</f>
        <v/>
      </c>
      <c r="AE745" s="17">
        <f>IF(V745="","",IF(AC745="Daily",V745*Controls!$B$13,V745*Controls!$B$12))</f>
        <v/>
      </c>
      <c r="AF745" s="17">
        <f>IF(OR(E745="",F745=""),"",F745-E745)</f>
        <v/>
      </c>
      <c r="AG745" s="17">
        <f>IF(OR(E745="",F745=""),"",NETWORKDAYS(E745,F745,Ref!$F$4:$F$47))</f>
        <v/>
      </c>
      <c r="AH745" s="39">
        <f>IF(IFERROR(VLOOKUP(D745,Controls!$A$25:$D$35,2,FALSE()),"No")="Yes",1,0)</f>
        <v/>
      </c>
      <c r="AI745" s="39">
        <f>IF(IFERROR(VLOOKUP(D745,Controls!$A$25:$D$35,3,FALSE()),"No")="Yes",1,0)</f>
        <v/>
      </c>
      <c r="AJ745" s="39">
        <f>IF(IFERROR(VLOOKUP(D745,Controls!$A$25:$D$35,4,FALSE()),"No")="Yes",1,0)</f>
        <v/>
      </c>
      <c r="AK745" s="96">
        <f>IF(AND($E745&gt;=Controls!$B$5,$E745&lt;=Controls!$B$6,OR(Controls!$E$9&lt;&gt;"Y",$BE745=1)),1,0)</f>
        <v/>
      </c>
      <c r="AL745" s="39">
        <f>1</f>
        <v/>
      </c>
      <c r="AM745" s="20">
        <f>S745-P745</f>
        <v/>
      </c>
      <c r="AN745" s="20">
        <f>IF(AH745=1,MAX(0,P745-S745),0)</f>
        <v/>
      </c>
      <c r="AO745" s="21">
        <f>IFERROR(S745/P745,"")</f>
        <v/>
      </c>
      <c r="AP745" s="22">
        <f>IF(Y745="","",P745/Y745)</f>
        <v/>
      </c>
      <c r="AQ745" s="39">
        <f>IF(Y745="",0,1)</f>
        <v/>
      </c>
      <c r="AR745" s="39">
        <f>IF(S745&lt;=0,1,0)</f>
        <v/>
      </c>
      <c r="AS745" s="17">
        <f>IF(AH745=1,AG745,"")</f>
        <v/>
      </c>
      <c r="AT745" s="17">
        <f>IF(AND(AH745=0,AJ745=1),AG745,"")</f>
        <v/>
      </c>
      <c r="AU745" s="5">
        <f>IF(P745&lt;10000,"Under $10K",IF(P745&lt;20000,"$10-20K",IF(P745&lt;30000,"$20-30K",IF(P745&lt;50000,"$30-50K",IF(P745&lt;100000,"$50-100K","$100K+")))))</f>
        <v/>
      </c>
      <c r="AV745" s="5">
        <f>IF(O745&lt;=1.35,"1.35 and under",IF(O745&lt;=1.42,"1.36-1.42",IF(O745&lt;=1.45,"1.43-1.45",IF(O745&lt;1.49,"1.46-1.48",IF(O745&lt;=1.49,"1.49","Above 1.49")))))</f>
        <v/>
      </c>
      <c r="AW745" s="5">
        <f>IF(AE745="","",IF(AE745&lt;60,"Under 60",IF(AE745&lt;90,"60-89",IF(AE745&lt;120,"90-119",IF(AE745&lt;150,"120-149","150+")))))</f>
        <v/>
      </c>
      <c r="AX745" s="5">
        <f>IF(AP745="","No revenue data",IF(AP745&lt;0.15,"Under 0.15x",IF(AP745&lt;0.3,"0.15-0.30x",IF(AP745&lt;0.5,"0.30-0.50x",IF(AP745&lt;1,"0.50-1.00x","1.00x+")))))</f>
        <v/>
      </c>
      <c r="AY745" s="5">
        <f>IF(J745="","No SIC",IFERROR(VLOOKUP(J745,Ref!$A$4:$C$67,2,FALSE()),"Unclassified"))</f>
        <v/>
      </c>
      <c r="AZ745" s="5">
        <f>IF(E745="","",TEXT(E745,"YYYY")&amp;"-Q"&amp;ROUNDUP(MONTH(E745)/3,0))</f>
        <v/>
      </c>
      <c r="BA745" s="5">
        <f>IF(E745="","",TEXT(E745,"YYYY-MM"))</f>
        <v/>
      </c>
      <c r="BB745" s="5">
        <f>IF(E745="","",TEXT(E745,"YYYY"))</f>
        <v/>
      </c>
      <c r="BC745" s="92">
        <f>IF($E745="","",NETWORKDAYS($E745,Controls!$B$9,Ref!$F$4:$F$47))</f>
        <v/>
      </c>
      <c r="BD745" s="92">
        <f>IF(OR($AH745=1,$AJ745=1),1,0)</f>
        <v/>
      </c>
      <c r="BE745" s="95">
        <f>IF(OR($BD745=1,AND($AE745&lt;&gt;"",$BC745&gt;=Controls!$B$10*$AE745)),1,0)</f>
        <v/>
      </c>
    </row>
    <row r="746" ht="15.75" customHeight="1" s="79">
      <c r="A746" s="5" t="inlineStr">
        <is>
          <t>5674180798</t>
        </is>
      </c>
      <c r="B746" s="5" t="inlineStr">
        <is>
          <t>WILLIE'S REPAIR SERVICE</t>
        </is>
      </c>
      <c r="C746" s="5" t="inlineStr">
        <is>
          <t>Willie's Repair Service LLC</t>
        </is>
      </c>
      <c r="D746" s="5" t="inlineStr">
        <is>
          <t>Closed</t>
        </is>
      </c>
      <c r="E746" s="16" t="n">
        <v>46106</v>
      </c>
      <c r="F746" s="16" t="n">
        <v>46176</v>
      </c>
      <c r="G746" s="17" t="n">
        <v>3</v>
      </c>
      <c r="H746" s="5" t="inlineStr">
        <is>
          <t>7538</t>
        </is>
      </c>
      <c r="I746" s="5" t="inlineStr">
        <is>
          <t>General Automotive Repair</t>
        </is>
      </c>
      <c r="J746" s="5" t="inlineStr">
        <is>
          <t>75</t>
        </is>
      </c>
      <c r="K746" s="5" t="n">
        <v>7538</v>
      </c>
      <c r="L746" s="5" t="inlineStr">
        <is>
          <t>VA</t>
        </is>
      </c>
      <c r="M746" s="5" t="inlineStr">
        <is>
          <t>ROYAL FUNDING GROUP</t>
        </is>
      </c>
      <c r="N746" s="5" t="inlineStr">
        <is>
          <t>Renewal</t>
        </is>
      </c>
      <c r="O746" s="19" t="n">
        <v>1.49</v>
      </c>
      <c r="P746" s="20" t="n">
        <v>17000</v>
      </c>
      <c r="Q746" s="20" t="n">
        <v>2380</v>
      </c>
      <c r="R746" s="20" t="n">
        <v>25330</v>
      </c>
      <c r="S746" s="20" t="n">
        <v>25330</v>
      </c>
      <c r="T746" s="20" t="n">
        <v>0</v>
      </c>
      <c r="U746" s="21" t="n">
        <v>1</v>
      </c>
      <c r="V746" s="22" t="n">
        <v>3.279</v>
      </c>
      <c r="W746" s="17" t="n">
        <v>77</v>
      </c>
      <c r="X746" s="17" t="n">
        <v>0</v>
      </c>
      <c r="Y746" s="20" t="n">
        <v>47264.79</v>
      </c>
      <c r="Z746" s="21" t="n">
        <v>0.1456</v>
      </c>
      <c r="AA746" s="16" t="n">
        <v>30767</v>
      </c>
      <c r="AB746" s="5">
        <f>IF(V746="","",IF(V746&lt;12,"Months","Weeks"))</f>
        <v/>
      </c>
      <c r="AC746" s="5">
        <f>IF(AB746="","",IF(AB746="Months","Daily","Weekly"))</f>
        <v/>
      </c>
      <c r="AD746" s="17">
        <f>IF(V746="","",IF(AC746="Daily",V746*Controls!$B$13,V746))</f>
        <v/>
      </c>
      <c r="AE746" s="17">
        <f>IF(V746="","",IF(AC746="Daily",V746*Controls!$B$13,V746*Controls!$B$12))</f>
        <v/>
      </c>
      <c r="AF746" s="17">
        <f>IF(OR(E746="",F746=""),"",F746-E746)</f>
        <v/>
      </c>
      <c r="AG746" s="17">
        <f>IF(OR(E746="",F746=""),"",NETWORKDAYS(E746,F746,Ref!$F$4:$F$47))</f>
        <v/>
      </c>
      <c r="AH746" s="39">
        <f>IF(IFERROR(VLOOKUP(D746,Controls!$A$25:$D$35,2,FALSE()),"No")="Yes",1,0)</f>
        <v/>
      </c>
      <c r="AI746" s="39">
        <f>IF(IFERROR(VLOOKUP(D746,Controls!$A$25:$D$35,3,FALSE()),"No")="Yes",1,0)</f>
        <v/>
      </c>
      <c r="AJ746" s="39">
        <f>IF(IFERROR(VLOOKUP(D746,Controls!$A$25:$D$35,4,FALSE()),"No")="Yes",1,0)</f>
        <v/>
      </c>
      <c r="AK746" s="96">
        <f>IF(AND($E746&gt;=Controls!$B$5,$E746&lt;=Controls!$B$6,OR(Controls!$E$9&lt;&gt;"Y",$BE746=1)),1,0)</f>
        <v/>
      </c>
      <c r="AL746" s="39">
        <f>1</f>
        <v/>
      </c>
      <c r="AM746" s="20">
        <f>S746-P746</f>
        <v/>
      </c>
      <c r="AN746" s="20">
        <f>IF(AH746=1,MAX(0,P746-S746),0)</f>
        <v/>
      </c>
      <c r="AO746" s="21">
        <f>IFERROR(S746/P746,"")</f>
        <v/>
      </c>
      <c r="AP746" s="22">
        <f>IF(Y746="","",P746/Y746)</f>
        <v/>
      </c>
      <c r="AQ746" s="39">
        <f>IF(Y746="",0,1)</f>
        <v/>
      </c>
      <c r="AR746" s="39">
        <f>IF(S746&lt;=0,1,0)</f>
        <v/>
      </c>
      <c r="AS746" s="17">
        <f>IF(AH746=1,AG746,"")</f>
        <v/>
      </c>
      <c r="AT746" s="17">
        <f>IF(AND(AH746=0,AJ746=1),AG746,"")</f>
        <v/>
      </c>
      <c r="AU746" s="5">
        <f>IF(P746&lt;10000,"Under $10K",IF(P746&lt;20000,"$10-20K",IF(P746&lt;30000,"$20-30K",IF(P746&lt;50000,"$30-50K",IF(P746&lt;100000,"$50-100K","$100K+")))))</f>
        <v/>
      </c>
      <c r="AV746" s="5">
        <f>IF(O746&lt;=1.35,"1.35 and under",IF(O746&lt;=1.42,"1.36-1.42",IF(O746&lt;=1.45,"1.43-1.45",IF(O746&lt;1.49,"1.46-1.48",IF(O746&lt;=1.49,"1.49","Above 1.49")))))</f>
        <v/>
      </c>
      <c r="AW746" s="5">
        <f>IF(AE746="","",IF(AE746&lt;60,"Under 60",IF(AE746&lt;90,"60-89",IF(AE746&lt;120,"90-119",IF(AE746&lt;150,"120-149","150+")))))</f>
        <v/>
      </c>
      <c r="AX746" s="5">
        <f>IF(AP746="","No revenue data",IF(AP746&lt;0.15,"Under 0.15x",IF(AP746&lt;0.3,"0.15-0.30x",IF(AP746&lt;0.5,"0.30-0.50x",IF(AP746&lt;1,"0.50-1.00x","1.00x+")))))</f>
        <v/>
      </c>
      <c r="AY746" s="5">
        <f>IF(J746="","No SIC",IFERROR(VLOOKUP(J746,Ref!$A$4:$C$67,2,FALSE()),"Unclassified"))</f>
        <v/>
      </c>
      <c r="AZ746" s="5">
        <f>IF(E746="","",TEXT(E746,"YYYY")&amp;"-Q"&amp;ROUNDUP(MONTH(E746)/3,0))</f>
        <v/>
      </c>
      <c r="BA746" s="5">
        <f>IF(E746="","",TEXT(E746,"YYYY-MM"))</f>
        <v/>
      </c>
      <c r="BB746" s="5">
        <f>IF(E746="","",TEXT(E746,"YYYY"))</f>
        <v/>
      </c>
      <c r="BC746" s="92">
        <f>IF($E746="","",NETWORKDAYS($E746,Controls!$B$9,Ref!$F$4:$F$47))</f>
        <v/>
      </c>
      <c r="BD746" s="92">
        <f>IF(OR($AH746=1,$AJ746=1),1,0)</f>
        <v/>
      </c>
      <c r="BE746" s="95">
        <f>IF(OR($BD746=1,AND($AE746&lt;&gt;"",$BC746&gt;=Controls!$B$10*$AE746)),1,0)</f>
        <v/>
      </c>
    </row>
    <row r="747" ht="15.75" customHeight="1" s="79">
      <c r="A747" s="5" t="inlineStr">
        <is>
          <t>5674180814</t>
        </is>
      </c>
      <c r="B747" s="5" t="inlineStr">
        <is>
          <t>Air duck, chimney, fireplace</t>
        </is>
      </c>
      <c r="C747" s="5" t="inlineStr">
        <is>
          <t>Isnvn LLC</t>
        </is>
      </c>
      <c r="D747" s="5" t="inlineStr">
        <is>
          <t>In House Collection</t>
        </is>
      </c>
      <c r="E747" s="16" t="n">
        <v>46106</v>
      </c>
      <c r="F747" s="16" t="n">
        <v>46206</v>
      </c>
      <c r="G747" s="17" t="n">
        <v>3</v>
      </c>
      <c r="H747" s="5" t="inlineStr">
        <is>
          <t>1711</t>
        </is>
      </c>
      <c r="I747" s="5" t="inlineStr">
        <is>
          <t>Plumbing, Heating, and Air Conditioning Contractors</t>
        </is>
      </c>
      <c r="J747" s="5" t="inlineStr">
        <is>
          <t>17</t>
        </is>
      </c>
      <c r="K747" s="5" t="n">
        <v>1711</v>
      </c>
      <c r="L747" s="5" t="inlineStr">
        <is>
          <t>FL</t>
        </is>
      </c>
      <c r="M747" s="5" t="inlineStr">
        <is>
          <t>Fundible</t>
        </is>
      </c>
      <c r="N747" s="5" t="inlineStr">
        <is>
          <t>New Deal</t>
        </is>
      </c>
      <c r="O747" s="19" t="n">
        <v>1.49</v>
      </c>
      <c r="P747" s="20" t="n">
        <v>15000</v>
      </c>
      <c r="Q747" s="20" t="n">
        <v>2100</v>
      </c>
      <c r="R747" s="20" t="n">
        <v>22350</v>
      </c>
      <c r="S747" s="20" t="n">
        <v>4655.25</v>
      </c>
      <c r="T747" s="20" t="n">
        <v>17694.75</v>
      </c>
      <c r="U747" s="21" t="n">
        <v>0.208288590604027</v>
      </c>
      <c r="V747" s="22" t="n">
        <v>24</v>
      </c>
      <c r="W747" s="17" t="n">
        <v>117</v>
      </c>
      <c r="X747" s="17" t="n">
        <v>10</v>
      </c>
      <c r="Y747" s="20" t="n">
        <v>20295.44</v>
      </c>
      <c r="Z747" s="21" t="n">
        <v>0.1835</v>
      </c>
      <c r="AA747" s="16" t="n">
        <v>45887</v>
      </c>
      <c r="AB747" s="5">
        <f>IF(V747="","",IF(V747&lt;12,"Months","Weeks"))</f>
        <v/>
      </c>
      <c r="AC747" s="5">
        <f>IF(AB747="","",IF(AB747="Months","Daily","Weekly"))</f>
        <v/>
      </c>
      <c r="AD747" s="17">
        <f>IF(V747="","",IF(AC747="Daily",V747*Controls!$B$13,V747))</f>
        <v/>
      </c>
      <c r="AE747" s="17">
        <f>IF(V747="","",IF(AC747="Daily",V747*Controls!$B$13,V747*Controls!$B$12))</f>
        <v/>
      </c>
      <c r="AF747" s="17">
        <f>IF(OR(E747="",F747=""),"",F747-E747)</f>
        <v/>
      </c>
      <c r="AG747" s="17">
        <f>IF(OR(E747="",F747=""),"",NETWORKDAYS(E747,F747,Ref!$F$4:$F$47))</f>
        <v/>
      </c>
      <c r="AH747" s="39">
        <f>IF(IFERROR(VLOOKUP(D747,Controls!$A$25:$D$35,2,FALSE()),"No")="Yes",1,0)</f>
        <v/>
      </c>
      <c r="AI747" s="39">
        <f>IF(IFERROR(VLOOKUP(D747,Controls!$A$25:$D$35,3,FALSE()),"No")="Yes",1,0)</f>
        <v/>
      </c>
      <c r="AJ747" s="39">
        <f>IF(IFERROR(VLOOKUP(D747,Controls!$A$25:$D$35,4,FALSE()),"No")="Yes",1,0)</f>
        <v/>
      </c>
      <c r="AK747" s="96">
        <f>IF(AND($E747&gt;=Controls!$B$5,$E747&lt;=Controls!$B$6,OR(Controls!$E$9&lt;&gt;"Y",$BE747=1)),1,0)</f>
        <v/>
      </c>
      <c r="AL747" s="39">
        <f>1</f>
        <v/>
      </c>
      <c r="AM747" s="20">
        <f>S747-P747</f>
        <v/>
      </c>
      <c r="AN747" s="20">
        <f>IF(AH747=1,MAX(0,P747-S747),0)</f>
        <v/>
      </c>
      <c r="AO747" s="21">
        <f>IFERROR(S747/P747,"")</f>
        <v/>
      </c>
      <c r="AP747" s="22">
        <f>IF(Y747="","",P747/Y747)</f>
        <v/>
      </c>
      <c r="AQ747" s="39">
        <f>IF(Y747="",0,1)</f>
        <v/>
      </c>
      <c r="AR747" s="39">
        <f>IF(S747&lt;=0,1,0)</f>
        <v/>
      </c>
      <c r="AS747" s="17">
        <f>IF(AH747=1,AG747,"")</f>
        <v/>
      </c>
      <c r="AT747" s="17">
        <f>IF(AND(AH747=0,AJ747=1),AG747,"")</f>
        <v/>
      </c>
      <c r="AU747" s="5">
        <f>IF(P747&lt;10000,"Under $10K",IF(P747&lt;20000,"$10-20K",IF(P747&lt;30000,"$20-30K",IF(P747&lt;50000,"$30-50K",IF(P747&lt;100000,"$50-100K","$100K+")))))</f>
        <v/>
      </c>
      <c r="AV747" s="5">
        <f>IF(O747&lt;=1.35,"1.35 and under",IF(O747&lt;=1.42,"1.36-1.42",IF(O747&lt;=1.45,"1.43-1.45",IF(O747&lt;1.49,"1.46-1.48",IF(O747&lt;=1.49,"1.49","Above 1.49")))))</f>
        <v/>
      </c>
      <c r="AW747" s="5">
        <f>IF(AE747="","",IF(AE747&lt;60,"Under 60",IF(AE747&lt;90,"60-89",IF(AE747&lt;120,"90-119",IF(AE747&lt;150,"120-149","150+")))))</f>
        <v/>
      </c>
      <c r="AX747" s="5">
        <f>IF(AP747="","No revenue data",IF(AP747&lt;0.15,"Under 0.15x",IF(AP747&lt;0.3,"0.15-0.30x",IF(AP747&lt;0.5,"0.30-0.50x",IF(AP747&lt;1,"0.50-1.00x","1.00x+")))))</f>
        <v/>
      </c>
      <c r="AY747" s="5">
        <f>IF(J747="","No SIC",IFERROR(VLOOKUP(J747,Ref!$A$4:$C$67,2,FALSE()),"Unclassified"))</f>
        <v/>
      </c>
      <c r="AZ747" s="5">
        <f>IF(E747="","",TEXT(E747,"YYYY")&amp;"-Q"&amp;ROUNDUP(MONTH(E747)/3,0))</f>
        <v/>
      </c>
      <c r="BA747" s="5">
        <f>IF(E747="","",TEXT(E747,"YYYY-MM"))</f>
        <v/>
      </c>
      <c r="BB747" s="5">
        <f>IF(E747="","",TEXT(E747,"YYYY"))</f>
        <v/>
      </c>
      <c r="BC747" s="92">
        <f>IF($E747="","",NETWORKDAYS($E747,Controls!$B$9,Ref!$F$4:$F$47))</f>
        <v/>
      </c>
      <c r="BD747" s="92">
        <f>IF(OR($AH747=1,$AJ747=1),1,0)</f>
        <v/>
      </c>
      <c r="BE747" s="95">
        <f>IF(OR($BD747=1,AND($AE747&lt;&gt;"",$BC747&gt;=Controls!$B$10*$AE747)),1,0)</f>
        <v/>
      </c>
    </row>
    <row r="748" ht="15.75" customHeight="1" s="79">
      <c r="A748" s="5" t="inlineStr">
        <is>
          <t>5674180836</t>
        </is>
      </c>
      <c r="B748" s="5" t="inlineStr">
        <is>
          <t>CRYSTAL STAIRS LLC</t>
        </is>
      </c>
      <c r="C748" s="5" t="inlineStr">
        <is>
          <t>CRYSTAL STAIRS LLC</t>
        </is>
      </c>
      <c r="D748" s="5" t="inlineStr">
        <is>
          <t>Open</t>
        </is>
      </c>
      <c r="E748" s="16" t="n">
        <v>46107</v>
      </c>
      <c r="F748" s="16" t="n">
        <v>46253</v>
      </c>
      <c r="G748" s="17" t="n">
        <v>2</v>
      </c>
      <c r="H748" s="5" t="inlineStr">
        <is>
          <t>8351</t>
        </is>
      </c>
      <c r="I748" s="5" t="inlineStr">
        <is>
          <t>Child Day Care Services</t>
        </is>
      </c>
      <c r="J748" s="5" t="inlineStr">
        <is>
          <t>83</t>
        </is>
      </c>
      <c r="K748" s="5" t="n">
        <v>8351</v>
      </c>
      <c r="L748" s="5" t="inlineStr">
        <is>
          <t>TX</t>
        </is>
      </c>
      <c r="M748" s="5" t="inlineStr">
        <is>
          <t>United Secured Capital 8</t>
        </is>
      </c>
      <c r="N748" s="5" t="inlineStr">
        <is>
          <t>New Deal</t>
        </is>
      </c>
      <c r="O748" s="19" t="n">
        <v>1.49</v>
      </c>
      <c r="P748" s="20" t="n">
        <v>18000</v>
      </c>
      <c r="Q748" s="20" t="n">
        <v>2520</v>
      </c>
      <c r="R748" s="20" t="n">
        <v>26820</v>
      </c>
      <c r="S748" s="20" t="n">
        <v>19571.16</v>
      </c>
      <c r="T748" s="20" t="n">
        <v>7248.84</v>
      </c>
      <c r="U748" s="21" t="n">
        <v>0.7297225950783</v>
      </c>
      <c r="V748" s="22" t="n">
        <v>3.77</v>
      </c>
      <c r="W748" s="17" t="n">
        <v>0</v>
      </c>
      <c r="X748" s="17" t="n">
        <v>18</v>
      </c>
      <c r="Y748" s="20" t="n">
        <v>166424.4</v>
      </c>
      <c r="Z748" s="21" t="n">
        <v>0.0294</v>
      </c>
      <c r="AA748" s="16" t="n">
        <v>41369</v>
      </c>
      <c r="AB748" s="5">
        <f>IF(V748="","",IF(V748&lt;12,"Months","Weeks"))</f>
        <v/>
      </c>
      <c r="AC748" s="5">
        <f>IF(AB748="","",IF(AB748="Months","Daily","Weekly"))</f>
        <v/>
      </c>
      <c r="AD748" s="17">
        <f>IF(V748="","",IF(AC748="Daily",V748*Controls!$B$13,V748))</f>
        <v/>
      </c>
      <c r="AE748" s="17">
        <f>IF(V748="","",IF(AC748="Daily",V748*Controls!$B$13,V748*Controls!$B$12))</f>
        <v/>
      </c>
      <c r="AF748" s="17">
        <f>IF(OR(E748="",F748=""),"",F748-E748)</f>
        <v/>
      </c>
      <c r="AG748" s="17">
        <f>IF(OR(E748="",F748=""),"",NETWORKDAYS(E748,F748,Ref!$F$4:$F$47))</f>
        <v/>
      </c>
      <c r="AH748" s="39">
        <f>IF(IFERROR(VLOOKUP(D748,Controls!$A$25:$D$35,2,FALSE()),"No")="Yes",1,0)</f>
        <v/>
      </c>
      <c r="AI748" s="39">
        <f>IF(IFERROR(VLOOKUP(D748,Controls!$A$25:$D$35,3,FALSE()),"No")="Yes",1,0)</f>
        <v/>
      </c>
      <c r="AJ748" s="39">
        <f>IF(IFERROR(VLOOKUP(D748,Controls!$A$25:$D$35,4,FALSE()),"No")="Yes",1,0)</f>
        <v/>
      </c>
      <c r="AK748" s="96">
        <f>IF(AND($E748&gt;=Controls!$B$5,$E748&lt;=Controls!$B$6,OR(Controls!$E$9&lt;&gt;"Y",$BE748=1)),1,0)</f>
        <v/>
      </c>
      <c r="AL748" s="39">
        <f>1</f>
        <v/>
      </c>
      <c r="AM748" s="20">
        <f>S748-P748</f>
        <v/>
      </c>
      <c r="AN748" s="20">
        <f>IF(AH748=1,MAX(0,P748-S748),0)</f>
        <v/>
      </c>
      <c r="AO748" s="21">
        <f>IFERROR(S748/P748,"")</f>
        <v/>
      </c>
      <c r="AP748" s="22">
        <f>IF(Y748="","",P748/Y748)</f>
        <v/>
      </c>
      <c r="AQ748" s="39">
        <f>IF(Y748="",0,1)</f>
        <v/>
      </c>
      <c r="AR748" s="39">
        <f>IF(S748&lt;=0,1,0)</f>
        <v/>
      </c>
      <c r="AS748" s="17">
        <f>IF(AH748=1,AG748,"")</f>
        <v/>
      </c>
      <c r="AT748" s="17">
        <f>IF(AND(AH748=0,AJ748=1),AG748,"")</f>
        <v/>
      </c>
      <c r="AU748" s="5">
        <f>IF(P748&lt;10000,"Under $10K",IF(P748&lt;20000,"$10-20K",IF(P748&lt;30000,"$20-30K",IF(P748&lt;50000,"$30-50K",IF(P748&lt;100000,"$50-100K","$100K+")))))</f>
        <v/>
      </c>
      <c r="AV748" s="5">
        <f>IF(O748&lt;=1.35,"1.35 and under",IF(O748&lt;=1.42,"1.36-1.42",IF(O748&lt;=1.45,"1.43-1.45",IF(O748&lt;1.49,"1.46-1.48",IF(O748&lt;=1.49,"1.49","Above 1.49")))))</f>
        <v/>
      </c>
      <c r="AW748" s="5">
        <f>IF(AE748="","",IF(AE748&lt;60,"Under 60",IF(AE748&lt;90,"60-89",IF(AE748&lt;120,"90-119",IF(AE748&lt;150,"120-149","150+")))))</f>
        <v/>
      </c>
      <c r="AX748" s="5">
        <f>IF(AP748="","No revenue data",IF(AP748&lt;0.15,"Under 0.15x",IF(AP748&lt;0.3,"0.15-0.30x",IF(AP748&lt;0.5,"0.30-0.50x",IF(AP748&lt;1,"0.50-1.00x","1.00x+")))))</f>
        <v/>
      </c>
      <c r="AY748" s="5">
        <f>IF(J748="","No SIC",IFERROR(VLOOKUP(J748,Ref!$A$4:$C$67,2,FALSE()),"Unclassified"))</f>
        <v/>
      </c>
      <c r="AZ748" s="5">
        <f>IF(E748="","",TEXT(E748,"YYYY")&amp;"-Q"&amp;ROUNDUP(MONTH(E748)/3,0))</f>
        <v/>
      </c>
      <c r="BA748" s="5">
        <f>IF(E748="","",TEXT(E748,"YYYY-MM"))</f>
        <v/>
      </c>
      <c r="BB748" s="5">
        <f>IF(E748="","",TEXT(E748,"YYYY"))</f>
        <v/>
      </c>
      <c r="BC748" s="92">
        <f>IF($E748="","",NETWORKDAYS($E748,Controls!$B$9,Ref!$F$4:$F$47))</f>
        <v/>
      </c>
      <c r="BD748" s="92">
        <f>IF(OR($AH748=1,$AJ748=1),1,0)</f>
        <v/>
      </c>
      <c r="BE748" s="95">
        <f>IF(OR($BD748=1,AND($AE748&lt;&gt;"",$BC748&gt;=Controls!$B$10*$AE748)),1,0)</f>
        <v/>
      </c>
    </row>
    <row r="749" ht="15.75" customHeight="1" s="79">
      <c r="A749" s="5" t="inlineStr">
        <is>
          <t>5674180868</t>
        </is>
      </c>
      <c r="B749" s="5" t="inlineStr">
        <is>
          <t>E-Z ELECTRIC LLC</t>
        </is>
      </c>
      <c r="C749" s="5" t="inlineStr">
        <is>
          <t>E-Z ELECTRIC LLC</t>
        </is>
      </c>
      <c r="D749" s="5" t="inlineStr">
        <is>
          <t>Closed</t>
        </is>
      </c>
      <c r="E749" s="16" t="n">
        <v>46107</v>
      </c>
      <c r="F749" s="16" t="n">
        <v>46164</v>
      </c>
      <c r="G749" s="17" t="n">
        <v>3</v>
      </c>
      <c r="H749" s="5" t="inlineStr">
        <is>
          <t>1731</t>
        </is>
      </c>
      <c r="I749" s="5" t="inlineStr">
        <is>
          <t>Electrical Contractors and Other Wiring Installation Contractors</t>
        </is>
      </c>
      <c r="J749" s="5" t="inlineStr">
        <is>
          <t>17</t>
        </is>
      </c>
      <c r="K749" s="5" t="n">
        <v>1731</v>
      </c>
      <c r="L749" s="5" t="inlineStr">
        <is>
          <t>OK</t>
        </is>
      </c>
      <c r="M749" s="5" t="inlineStr">
        <is>
          <t>United Secured Capital 8</t>
        </is>
      </c>
      <c r="N749" s="5" t="inlineStr">
        <is>
          <t>New Deal</t>
        </is>
      </c>
      <c r="O749" s="19" t="n">
        <v>1.49</v>
      </c>
      <c r="P749" s="20" t="n">
        <v>28000</v>
      </c>
      <c r="Q749" s="20" t="n">
        <v>3920</v>
      </c>
      <c r="R749" s="20" t="n">
        <v>41720</v>
      </c>
      <c r="S749" s="20" t="n">
        <v>41720</v>
      </c>
      <c r="T749" s="20" t="n">
        <v>0</v>
      </c>
      <c r="U749" s="21" t="n">
        <v>1</v>
      </c>
      <c r="V749" s="22" t="n">
        <v>20</v>
      </c>
      <c r="W749" s="17" t="n">
        <v>89</v>
      </c>
      <c r="X749" s="17" t="n">
        <v>2</v>
      </c>
      <c r="Y749" s="20" t="n">
        <v>57015.76</v>
      </c>
      <c r="Z749" s="21" t="n">
        <v>0.1463</v>
      </c>
      <c r="AA749" s="16" t="n">
        <v>44034</v>
      </c>
      <c r="AB749" s="5">
        <f>IF(V749="","",IF(V749&lt;12,"Months","Weeks"))</f>
        <v/>
      </c>
      <c r="AC749" s="5">
        <f>IF(AB749="","",IF(AB749="Months","Daily","Weekly"))</f>
        <v/>
      </c>
      <c r="AD749" s="17">
        <f>IF(V749="","",IF(AC749="Daily",V749*Controls!$B$13,V749))</f>
        <v/>
      </c>
      <c r="AE749" s="17">
        <f>IF(V749="","",IF(AC749="Daily",V749*Controls!$B$13,V749*Controls!$B$12))</f>
        <v/>
      </c>
      <c r="AF749" s="17">
        <f>IF(OR(E749="",F749=""),"",F749-E749)</f>
        <v/>
      </c>
      <c r="AG749" s="17">
        <f>IF(OR(E749="",F749=""),"",NETWORKDAYS(E749,F749,Ref!$F$4:$F$47))</f>
        <v/>
      </c>
      <c r="AH749" s="39">
        <f>IF(IFERROR(VLOOKUP(D749,Controls!$A$25:$D$35,2,FALSE()),"No")="Yes",1,0)</f>
        <v/>
      </c>
      <c r="AI749" s="39">
        <f>IF(IFERROR(VLOOKUP(D749,Controls!$A$25:$D$35,3,FALSE()),"No")="Yes",1,0)</f>
        <v/>
      </c>
      <c r="AJ749" s="39">
        <f>IF(IFERROR(VLOOKUP(D749,Controls!$A$25:$D$35,4,FALSE()),"No")="Yes",1,0)</f>
        <v/>
      </c>
      <c r="AK749" s="96">
        <f>IF(AND($E749&gt;=Controls!$B$5,$E749&lt;=Controls!$B$6,OR(Controls!$E$9&lt;&gt;"Y",$BE749=1)),1,0)</f>
        <v/>
      </c>
      <c r="AL749" s="39">
        <f>1</f>
        <v/>
      </c>
      <c r="AM749" s="20">
        <f>S749-P749</f>
        <v/>
      </c>
      <c r="AN749" s="20">
        <f>IF(AH749=1,MAX(0,P749-S749),0)</f>
        <v/>
      </c>
      <c r="AO749" s="21">
        <f>IFERROR(S749/P749,"")</f>
        <v/>
      </c>
      <c r="AP749" s="22">
        <f>IF(Y749="","",P749/Y749)</f>
        <v/>
      </c>
      <c r="AQ749" s="39">
        <f>IF(Y749="",0,1)</f>
        <v/>
      </c>
      <c r="AR749" s="39">
        <f>IF(S749&lt;=0,1,0)</f>
        <v/>
      </c>
      <c r="AS749" s="17">
        <f>IF(AH749=1,AG749,"")</f>
        <v/>
      </c>
      <c r="AT749" s="17">
        <f>IF(AND(AH749=0,AJ749=1),AG749,"")</f>
        <v/>
      </c>
      <c r="AU749" s="5">
        <f>IF(P749&lt;10000,"Under $10K",IF(P749&lt;20000,"$10-20K",IF(P749&lt;30000,"$20-30K",IF(P749&lt;50000,"$30-50K",IF(P749&lt;100000,"$50-100K","$100K+")))))</f>
        <v/>
      </c>
      <c r="AV749" s="5">
        <f>IF(O749&lt;=1.35,"1.35 and under",IF(O749&lt;=1.42,"1.36-1.42",IF(O749&lt;=1.45,"1.43-1.45",IF(O749&lt;1.49,"1.46-1.48",IF(O749&lt;=1.49,"1.49","Above 1.49")))))</f>
        <v/>
      </c>
      <c r="AW749" s="5">
        <f>IF(AE749="","",IF(AE749&lt;60,"Under 60",IF(AE749&lt;90,"60-89",IF(AE749&lt;120,"90-119",IF(AE749&lt;150,"120-149","150+")))))</f>
        <v/>
      </c>
      <c r="AX749" s="5">
        <f>IF(AP749="","No revenue data",IF(AP749&lt;0.15,"Under 0.15x",IF(AP749&lt;0.3,"0.15-0.30x",IF(AP749&lt;0.5,"0.30-0.50x",IF(AP749&lt;1,"0.50-1.00x","1.00x+")))))</f>
        <v/>
      </c>
      <c r="AY749" s="5">
        <f>IF(J749="","No SIC",IFERROR(VLOOKUP(J749,Ref!$A$4:$C$67,2,FALSE()),"Unclassified"))</f>
        <v/>
      </c>
      <c r="AZ749" s="5">
        <f>IF(E749="","",TEXT(E749,"YYYY")&amp;"-Q"&amp;ROUNDUP(MONTH(E749)/3,0))</f>
        <v/>
      </c>
      <c r="BA749" s="5">
        <f>IF(E749="","",TEXT(E749,"YYYY-MM"))</f>
        <v/>
      </c>
      <c r="BB749" s="5">
        <f>IF(E749="","",TEXT(E749,"YYYY"))</f>
        <v/>
      </c>
      <c r="BC749" s="92">
        <f>IF($E749="","",NETWORKDAYS($E749,Controls!$B$9,Ref!$F$4:$F$47))</f>
        <v/>
      </c>
      <c r="BD749" s="92">
        <f>IF(OR($AH749=1,$AJ749=1),1,0)</f>
        <v/>
      </c>
      <c r="BE749" s="95">
        <f>IF(OR($BD749=1,AND($AE749&lt;&gt;"",$BC749&gt;=Controls!$B$10*$AE749)),1,0)</f>
        <v/>
      </c>
    </row>
    <row r="750" ht="15.75" customHeight="1" s="79">
      <c r="A750" s="5" t="inlineStr">
        <is>
          <t>5674180889</t>
        </is>
      </c>
      <c r="B750" s="5" t="inlineStr">
        <is>
          <t>A Better Child Care 3</t>
        </is>
      </c>
      <c r="C750" s="5" t="inlineStr">
        <is>
          <t>A Better Child Care 3</t>
        </is>
      </c>
      <c r="D750" s="5" t="inlineStr">
        <is>
          <t>Closed</t>
        </is>
      </c>
      <c r="E750" s="16" t="n">
        <v>46107</v>
      </c>
      <c r="F750" s="16" t="n">
        <v>46182</v>
      </c>
      <c r="G750" s="17" t="n">
        <v>3</v>
      </c>
      <c r="H750" s="5" t="inlineStr">
        <is>
          <t>8351</t>
        </is>
      </c>
      <c r="I750" s="5" t="inlineStr">
        <is>
          <t>Child Day Care Services</t>
        </is>
      </c>
      <c r="J750" s="5" t="inlineStr">
        <is>
          <t>83</t>
        </is>
      </c>
      <c r="K750" s="5" t="n">
        <v>8351</v>
      </c>
      <c r="L750" s="5" t="inlineStr">
        <is>
          <t>WA</t>
        </is>
      </c>
      <c r="M750" s="5" t="inlineStr">
        <is>
          <t>United Secured Capital 8</t>
        </is>
      </c>
      <c r="N750" s="5" t="inlineStr">
        <is>
          <t>New Deal</t>
        </is>
      </c>
      <c r="O750" s="19" t="n">
        <v>1.49</v>
      </c>
      <c r="P750" s="20" t="n">
        <v>20000</v>
      </c>
      <c r="Q750" s="20" t="n">
        <v>2800</v>
      </c>
      <c r="R750" s="20" t="n">
        <v>29800</v>
      </c>
      <c r="S750" s="20" t="n">
        <v>29800</v>
      </c>
      <c r="T750" s="20" t="n">
        <v>0</v>
      </c>
      <c r="U750" s="21" t="n">
        <v>1</v>
      </c>
      <c r="V750" s="22" t="n">
        <v>22</v>
      </c>
      <c r="W750" s="17" t="n">
        <v>71</v>
      </c>
      <c r="X750" s="17" t="n">
        <v>0</v>
      </c>
      <c r="Y750" s="20" t="n">
        <v>24532.07</v>
      </c>
      <c r="Z750" s="21" t="n">
        <v>0.2209</v>
      </c>
      <c r="AA750" s="16" t="n">
        <v>43181</v>
      </c>
      <c r="AB750" s="5">
        <f>IF(V750="","",IF(V750&lt;12,"Months","Weeks"))</f>
        <v/>
      </c>
      <c r="AC750" s="5">
        <f>IF(AB750="","",IF(AB750="Months","Daily","Weekly"))</f>
        <v/>
      </c>
      <c r="AD750" s="17">
        <f>IF(V750="","",IF(AC750="Daily",V750*Controls!$B$13,V750))</f>
        <v/>
      </c>
      <c r="AE750" s="17">
        <f>IF(V750="","",IF(AC750="Daily",V750*Controls!$B$13,V750*Controls!$B$12))</f>
        <v/>
      </c>
      <c r="AF750" s="17">
        <f>IF(OR(E750="",F750=""),"",F750-E750)</f>
        <v/>
      </c>
      <c r="AG750" s="17">
        <f>IF(OR(E750="",F750=""),"",NETWORKDAYS(E750,F750,Ref!$F$4:$F$47))</f>
        <v/>
      </c>
      <c r="AH750" s="39">
        <f>IF(IFERROR(VLOOKUP(D750,Controls!$A$25:$D$35,2,FALSE()),"No")="Yes",1,0)</f>
        <v/>
      </c>
      <c r="AI750" s="39">
        <f>IF(IFERROR(VLOOKUP(D750,Controls!$A$25:$D$35,3,FALSE()),"No")="Yes",1,0)</f>
        <v/>
      </c>
      <c r="AJ750" s="39">
        <f>IF(IFERROR(VLOOKUP(D750,Controls!$A$25:$D$35,4,FALSE()),"No")="Yes",1,0)</f>
        <v/>
      </c>
      <c r="AK750" s="96">
        <f>IF(AND($E750&gt;=Controls!$B$5,$E750&lt;=Controls!$B$6,OR(Controls!$E$9&lt;&gt;"Y",$BE750=1)),1,0)</f>
        <v/>
      </c>
      <c r="AL750" s="39">
        <f>1</f>
        <v/>
      </c>
      <c r="AM750" s="20">
        <f>S750-P750</f>
        <v/>
      </c>
      <c r="AN750" s="20">
        <f>IF(AH750=1,MAX(0,P750-S750),0)</f>
        <v/>
      </c>
      <c r="AO750" s="21">
        <f>IFERROR(S750/P750,"")</f>
        <v/>
      </c>
      <c r="AP750" s="22">
        <f>IF(Y750="","",P750/Y750)</f>
        <v/>
      </c>
      <c r="AQ750" s="39">
        <f>IF(Y750="",0,1)</f>
        <v/>
      </c>
      <c r="AR750" s="39">
        <f>IF(S750&lt;=0,1,0)</f>
        <v/>
      </c>
      <c r="AS750" s="17">
        <f>IF(AH750=1,AG750,"")</f>
        <v/>
      </c>
      <c r="AT750" s="17">
        <f>IF(AND(AH750=0,AJ750=1),AG750,"")</f>
        <v/>
      </c>
      <c r="AU750" s="5">
        <f>IF(P750&lt;10000,"Under $10K",IF(P750&lt;20000,"$10-20K",IF(P750&lt;30000,"$20-30K",IF(P750&lt;50000,"$30-50K",IF(P750&lt;100000,"$50-100K","$100K+")))))</f>
        <v/>
      </c>
      <c r="AV750" s="5">
        <f>IF(O750&lt;=1.35,"1.35 and under",IF(O750&lt;=1.42,"1.36-1.42",IF(O750&lt;=1.45,"1.43-1.45",IF(O750&lt;1.49,"1.46-1.48",IF(O750&lt;=1.49,"1.49","Above 1.49")))))</f>
        <v/>
      </c>
      <c r="AW750" s="5">
        <f>IF(AE750="","",IF(AE750&lt;60,"Under 60",IF(AE750&lt;90,"60-89",IF(AE750&lt;120,"90-119",IF(AE750&lt;150,"120-149","150+")))))</f>
        <v/>
      </c>
      <c r="AX750" s="5">
        <f>IF(AP750="","No revenue data",IF(AP750&lt;0.15,"Under 0.15x",IF(AP750&lt;0.3,"0.15-0.30x",IF(AP750&lt;0.5,"0.30-0.50x",IF(AP750&lt;1,"0.50-1.00x","1.00x+")))))</f>
        <v/>
      </c>
      <c r="AY750" s="5">
        <f>IF(J750="","No SIC",IFERROR(VLOOKUP(J750,Ref!$A$4:$C$67,2,FALSE()),"Unclassified"))</f>
        <v/>
      </c>
      <c r="AZ750" s="5">
        <f>IF(E750="","",TEXT(E750,"YYYY")&amp;"-Q"&amp;ROUNDUP(MONTH(E750)/3,0))</f>
        <v/>
      </c>
      <c r="BA750" s="5">
        <f>IF(E750="","",TEXT(E750,"YYYY-MM"))</f>
        <v/>
      </c>
      <c r="BB750" s="5">
        <f>IF(E750="","",TEXT(E750,"YYYY"))</f>
        <v/>
      </c>
      <c r="BC750" s="92">
        <f>IF($E750="","",NETWORKDAYS($E750,Controls!$B$9,Ref!$F$4:$F$47))</f>
        <v/>
      </c>
      <c r="BD750" s="92">
        <f>IF(OR($AH750=1,$AJ750=1),1,0)</f>
        <v/>
      </c>
      <c r="BE750" s="95">
        <f>IF(OR($BD750=1,AND($AE750&lt;&gt;"",$BC750&gt;=Controls!$B$10*$AE750)),1,0)</f>
        <v/>
      </c>
    </row>
    <row r="751" ht="15.75" customHeight="1" s="79">
      <c r="A751" s="5" t="inlineStr">
        <is>
          <t>5674180906</t>
        </is>
      </c>
      <c r="B751" s="5" t="inlineStr">
        <is>
          <t>IPDR HAIL &amp; DENT REPAIR</t>
        </is>
      </c>
      <c r="C751" s="5" t="inlineStr">
        <is>
          <t>IPDR HAIL &amp; DENT REPAIR LLC</t>
        </is>
      </c>
      <c r="D751" s="5" t="inlineStr">
        <is>
          <t>Open</t>
        </is>
      </c>
      <c r="E751" s="16" t="n">
        <v>46107</v>
      </c>
      <c r="F751" s="16" t="n">
        <v>46253</v>
      </c>
      <c r="G751" s="17" t="n">
        <v>3</v>
      </c>
      <c r="H751" s="5" t="inlineStr">
        <is>
          <t>1711</t>
        </is>
      </c>
      <c r="I751" s="5" t="inlineStr">
        <is>
          <t>Plumbing, Heating, and Air Conditioning Contractors</t>
        </is>
      </c>
      <c r="J751" s="5" t="inlineStr">
        <is>
          <t>17</t>
        </is>
      </c>
      <c r="K751" s="5" t="n">
        <v>1711</v>
      </c>
      <c r="L751" s="5" t="inlineStr">
        <is>
          <t>TX</t>
        </is>
      </c>
      <c r="M751" s="5" t="inlineStr">
        <is>
          <t>Shore Funding USA</t>
        </is>
      </c>
      <c r="N751" s="5" t="inlineStr">
        <is>
          <t>Renewal</t>
        </is>
      </c>
      <c r="O751" s="19" t="n">
        <v>1.49</v>
      </c>
      <c r="P751" s="20" t="n">
        <v>15000</v>
      </c>
      <c r="Q751" s="20" t="n">
        <v>2100</v>
      </c>
      <c r="R751" s="20" t="n">
        <v>22350</v>
      </c>
      <c r="S751" s="20" t="n">
        <v>13657.76</v>
      </c>
      <c r="T751" s="20" t="n">
        <v>8692.24</v>
      </c>
      <c r="U751" s="21" t="n">
        <v>0.611085458612975</v>
      </c>
      <c r="V751" s="22" t="n">
        <v>4.59</v>
      </c>
      <c r="W751" s="17" t="n">
        <v>0</v>
      </c>
      <c r="X751" s="17" t="n">
        <v>15</v>
      </c>
      <c r="Y751" s="5" t="n"/>
      <c r="Z751" s="21" t="n">
        <v>0.0464</v>
      </c>
      <c r="AA751" s="16" t="n">
        <v>44562</v>
      </c>
      <c r="AB751" s="5">
        <f>IF(V751="","",IF(V751&lt;12,"Months","Weeks"))</f>
        <v/>
      </c>
      <c r="AC751" s="5">
        <f>IF(AB751="","",IF(AB751="Months","Daily","Weekly"))</f>
        <v/>
      </c>
      <c r="AD751" s="17">
        <f>IF(V751="","",IF(AC751="Daily",V751*Controls!$B$13,V751))</f>
        <v/>
      </c>
      <c r="AE751" s="17">
        <f>IF(V751="","",IF(AC751="Daily",V751*Controls!$B$13,V751*Controls!$B$12))</f>
        <v/>
      </c>
      <c r="AF751" s="17">
        <f>IF(OR(E751="",F751=""),"",F751-E751)</f>
        <v/>
      </c>
      <c r="AG751" s="17">
        <f>IF(OR(E751="",F751=""),"",NETWORKDAYS(E751,F751,Ref!$F$4:$F$47))</f>
        <v/>
      </c>
      <c r="AH751" s="39">
        <f>IF(IFERROR(VLOOKUP(D751,Controls!$A$25:$D$35,2,FALSE()),"No")="Yes",1,0)</f>
        <v/>
      </c>
      <c r="AI751" s="39">
        <f>IF(IFERROR(VLOOKUP(D751,Controls!$A$25:$D$35,3,FALSE()),"No")="Yes",1,0)</f>
        <v/>
      </c>
      <c r="AJ751" s="39">
        <f>IF(IFERROR(VLOOKUP(D751,Controls!$A$25:$D$35,4,FALSE()),"No")="Yes",1,0)</f>
        <v/>
      </c>
      <c r="AK751" s="96">
        <f>IF(AND($E751&gt;=Controls!$B$5,$E751&lt;=Controls!$B$6,OR(Controls!$E$9&lt;&gt;"Y",$BE751=1)),1,0)</f>
        <v/>
      </c>
      <c r="AL751" s="39">
        <f>1</f>
        <v/>
      </c>
      <c r="AM751" s="20">
        <f>S751-P751</f>
        <v/>
      </c>
      <c r="AN751" s="20">
        <f>IF(AH751=1,MAX(0,P751-S751),0)</f>
        <v/>
      </c>
      <c r="AO751" s="21">
        <f>IFERROR(S751/P751,"")</f>
        <v/>
      </c>
      <c r="AP751" s="22">
        <f>IF(Y751="","",P751/Y751)</f>
        <v/>
      </c>
      <c r="AQ751" s="39">
        <f>IF(Y751="",0,1)</f>
        <v/>
      </c>
      <c r="AR751" s="39">
        <f>IF(S751&lt;=0,1,0)</f>
        <v/>
      </c>
      <c r="AS751" s="17">
        <f>IF(AH751=1,AG751,"")</f>
        <v/>
      </c>
      <c r="AT751" s="17">
        <f>IF(AND(AH751=0,AJ751=1),AG751,"")</f>
        <v/>
      </c>
      <c r="AU751" s="5">
        <f>IF(P751&lt;10000,"Under $10K",IF(P751&lt;20000,"$10-20K",IF(P751&lt;30000,"$20-30K",IF(P751&lt;50000,"$30-50K",IF(P751&lt;100000,"$50-100K","$100K+")))))</f>
        <v/>
      </c>
      <c r="AV751" s="5">
        <f>IF(O751&lt;=1.35,"1.35 and under",IF(O751&lt;=1.42,"1.36-1.42",IF(O751&lt;=1.45,"1.43-1.45",IF(O751&lt;1.49,"1.46-1.48",IF(O751&lt;=1.49,"1.49","Above 1.49")))))</f>
        <v/>
      </c>
      <c r="AW751" s="5">
        <f>IF(AE751="","",IF(AE751&lt;60,"Under 60",IF(AE751&lt;90,"60-89",IF(AE751&lt;120,"90-119",IF(AE751&lt;150,"120-149","150+")))))</f>
        <v/>
      </c>
      <c r="AX751" s="5">
        <f>IF(AP751="","No revenue data",IF(AP751&lt;0.15,"Under 0.15x",IF(AP751&lt;0.3,"0.15-0.30x",IF(AP751&lt;0.5,"0.30-0.50x",IF(AP751&lt;1,"0.50-1.00x","1.00x+")))))</f>
        <v/>
      </c>
      <c r="AY751" s="5">
        <f>IF(J751="","No SIC",IFERROR(VLOOKUP(J751,Ref!$A$4:$C$67,2,FALSE()),"Unclassified"))</f>
        <v/>
      </c>
      <c r="AZ751" s="5">
        <f>IF(E751="","",TEXT(E751,"YYYY")&amp;"-Q"&amp;ROUNDUP(MONTH(E751)/3,0))</f>
        <v/>
      </c>
      <c r="BA751" s="5">
        <f>IF(E751="","",TEXT(E751,"YYYY-MM"))</f>
        <v/>
      </c>
      <c r="BB751" s="5">
        <f>IF(E751="","",TEXT(E751,"YYYY"))</f>
        <v/>
      </c>
      <c r="BC751" s="92">
        <f>IF($E751="","",NETWORKDAYS($E751,Controls!$B$9,Ref!$F$4:$F$47))</f>
        <v/>
      </c>
      <c r="BD751" s="92">
        <f>IF(OR($AH751=1,$AJ751=1),1,0)</f>
        <v/>
      </c>
      <c r="BE751" s="95">
        <f>IF(OR($BD751=1,AND($AE751&lt;&gt;"",$BC751&gt;=Controls!$B$10*$AE751)),1,0)</f>
        <v/>
      </c>
    </row>
    <row r="752" ht="15.75" customHeight="1" s="79">
      <c r="A752" s="5" t="inlineStr">
        <is>
          <t>5674180910</t>
        </is>
      </c>
      <c r="B752" s="5" t="inlineStr">
        <is>
          <t>CONSULTANT MANAGEMENT GROUP LLC</t>
        </is>
      </c>
      <c r="C752" s="5" t="inlineStr">
        <is>
          <t>CONSULTANT MANAGEMENT GROUP LLC</t>
        </is>
      </c>
      <c r="D752" s="5" t="inlineStr">
        <is>
          <t>Legal</t>
        </is>
      </c>
      <c r="E752" s="16" t="n">
        <v>46107</v>
      </c>
      <c r="F752" s="16" t="n">
        <v>46157</v>
      </c>
      <c r="G752" s="17" t="n">
        <v>3</v>
      </c>
      <c r="H752" s="5" t="inlineStr">
        <is>
          <t>8742</t>
        </is>
      </c>
      <c r="I752" s="5" t="inlineStr">
        <is>
          <t>Administrative Management and General Management Consulting Services</t>
        </is>
      </c>
      <c r="J752" s="5" t="inlineStr">
        <is>
          <t>87</t>
        </is>
      </c>
      <c r="K752" s="5" t="n">
        <v>7392</v>
      </c>
      <c r="L752" s="5" t="inlineStr">
        <is>
          <t>FL</t>
        </is>
      </c>
      <c r="M752" s="5" t="inlineStr">
        <is>
          <t>United Secured Capital 8</t>
        </is>
      </c>
      <c r="N752" s="5" t="inlineStr">
        <is>
          <t>New Deal</t>
        </is>
      </c>
      <c r="O752" s="19" t="n">
        <v>1.49</v>
      </c>
      <c r="P752" s="20" t="n">
        <v>26500</v>
      </c>
      <c r="Q752" s="20" t="n">
        <v>0</v>
      </c>
      <c r="R752" s="20" t="n">
        <v>39485</v>
      </c>
      <c r="S752" s="20" t="n">
        <v>5883.8</v>
      </c>
      <c r="T752" s="20" t="n">
        <v>33601.2</v>
      </c>
      <c r="U752" s="21" t="n">
        <v>0.149013549449158</v>
      </c>
      <c r="V752" s="22" t="n">
        <v>22</v>
      </c>
      <c r="W752" s="17" t="n">
        <v>117</v>
      </c>
      <c r="X752" s="17" t="n">
        <v>6</v>
      </c>
      <c r="Y752" s="20" t="n">
        <v>23015.11</v>
      </c>
      <c r="Z752" s="21" t="n">
        <v>0.3119</v>
      </c>
      <c r="AA752" s="16" t="n">
        <v>42441</v>
      </c>
      <c r="AB752" s="5">
        <f>IF(V752="","",IF(V752&lt;12,"Months","Weeks"))</f>
        <v/>
      </c>
      <c r="AC752" s="5">
        <f>IF(AB752="","",IF(AB752="Months","Daily","Weekly"))</f>
        <v/>
      </c>
      <c r="AD752" s="17">
        <f>IF(V752="","",IF(AC752="Daily",V752*Controls!$B$13,V752))</f>
        <v/>
      </c>
      <c r="AE752" s="17">
        <f>IF(V752="","",IF(AC752="Daily",V752*Controls!$B$13,V752*Controls!$B$12))</f>
        <v/>
      </c>
      <c r="AF752" s="17">
        <f>IF(OR(E752="",F752=""),"",F752-E752)</f>
        <v/>
      </c>
      <c r="AG752" s="17">
        <f>IF(OR(E752="",F752=""),"",NETWORKDAYS(E752,F752,Ref!$F$4:$F$47))</f>
        <v/>
      </c>
      <c r="AH752" s="39">
        <f>IF(IFERROR(VLOOKUP(D752,Controls!$A$25:$D$35,2,FALSE()),"No")="Yes",1,0)</f>
        <v/>
      </c>
      <c r="AI752" s="39">
        <f>IF(IFERROR(VLOOKUP(D752,Controls!$A$25:$D$35,3,FALSE()),"No")="Yes",1,0)</f>
        <v/>
      </c>
      <c r="AJ752" s="39">
        <f>IF(IFERROR(VLOOKUP(D752,Controls!$A$25:$D$35,4,FALSE()),"No")="Yes",1,0)</f>
        <v/>
      </c>
      <c r="AK752" s="96">
        <f>IF(AND($E752&gt;=Controls!$B$5,$E752&lt;=Controls!$B$6,OR(Controls!$E$9&lt;&gt;"Y",$BE752=1)),1,0)</f>
        <v/>
      </c>
      <c r="AL752" s="39">
        <f>1</f>
        <v/>
      </c>
      <c r="AM752" s="20">
        <f>S752-P752</f>
        <v/>
      </c>
      <c r="AN752" s="20">
        <f>IF(AH752=1,MAX(0,P752-S752),0)</f>
        <v/>
      </c>
      <c r="AO752" s="21">
        <f>IFERROR(S752/P752,"")</f>
        <v/>
      </c>
      <c r="AP752" s="22">
        <f>IF(Y752="","",P752/Y752)</f>
        <v/>
      </c>
      <c r="AQ752" s="39">
        <f>IF(Y752="",0,1)</f>
        <v/>
      </c>
      <c r="AR752" s="39">
        <f>IF(S752&lt;=0,1,0)</f>
        <v/>
      </c>
      <c r="AS752" s="17">
        <f>IF(AH752=1,AG752,"")</f>
        <v/>
      </c>
      <c r="AT752" s="17">
        <f>IF(AND(AH752=0,AJ752=1),AG752,"")</f>
        <v/>
      </c>
      <c r="AU752" s="5">
        <f>IF(P752&lt;10000,"Under $10K",IF(P752&lt;20000,"$10-20K",IF(P752&lt;30000,"$20-30K",IF(P752&lt;50000,"$30-50K",IF(P752&lt;100000,"$50-100K","$100K+")))))</f>
        <v/>
      </c>
      <c r="AV752" s="5">
        <f>IF(O752&lt;=1.35,"1.35 and under",IF(O752&lt;=1.42,"1.36-1.42",IF(O752&lt;=1.45,"1.43-1.45",IF(O752&lt;1.49,"1.46-1.48",IF(O752&lt;=1.49,"1.49","Above 1.49")))))</f>
        <v/>
      </c>
      <c r="AW752" s="5">
        <f>IF(AE752="","",IF(AE752&lt;60,"Under 60",IF(AE752&lt;90,"60-89",IF(AE752&lt;120,"90-119",IF(AE752&lt;150,"120-149","150+")))))</f>
        <v/>
      </c>
      <c r="AX752" s="5">
        <f>IF(AP752="","No revenue data",IF(AP752&lt;0.15,"Under 0.15x",IF(AP752&lt;0.3,"0.15-0.30x",IF(AP752&lt;0.5,"0.30-0.50x",IF(AP752&lt;1,"0.50-1.00x","1.00x+")))))</f>
        <v/>
      </c>
      <c r="AY752" s="5">
        <f>IF(J752="","No SIC",IFERROR(VLOOKUP(J752,Ref!$A$4:$C$67,2,FALSE()),"Unclassified"))</f>
        <v/>
      </c>
      <c r="AZ752" s="5">
        <f>IF(E752="","",TEXT(E752,"YYYY")&amp;"-Q"&amp;ROUNDUP(MONTH(E752)/3,0))</f>
        <v/>
      </c>
      <c r="BA752" s="5">
        <f>IF(E752="","",TEXT(E752,"YYYY-MM"))</f>
        <v/>
      </c>
      <c r="BB752" s="5">
        <f>IF(E752="","",TEXT(E752,"YYYY"))</f>
        <v/>
      </c>
      <c r="BC752" s="92">
        <f>IF($E752="","",NETWORKDAYS($E752,Controls!$B$9,Ref!$F$4:$F$47))</f>
        <v/>
      </c>
      <c r="BD752" s="92">
        <f>IF(OR($AH752=1,$AJ752=1),1,0)</f>
        <v/>
      </c>
      <c r="BE752" s="95">
        <f>IF(OR($BD752=1,AND($AE752&lt;&gt;"",$BC752&gt;=Controls!$B$10*$AE752)),1,0)</f>
        <v/>
      </c>
    </row>
    <row r="753" ht="15.75" customHeight="1" s="79">
      <c r="A753" s="5" t="inlineStr">
        <is>
          <t>5674180911</t>
        </is>
      </c>
      <c r="B753" s="5" t="inlineStr">
        <is>
          <t>Reece Renovations Inc</t>
        </is>
      </c>
      <c r="C753" s="5" t="inlineStr">
        <is>
          <t>Reece Renovations Inc</t>
        </is>
      </c>
      <c r="D753" s="5" t="inlineStr">
        <is>
          <t>In House Collection</t>
        </is>
      </c>
      <c r="E753" s="16" t="n">
        <v>46107</v>
      </c>
      <c r="F753" s="16" t="n">
        <v>46189</v>
      </c>
      <c r="G753" s="17" t="n">
        <v>3</v>
      </c>
      <c r="H753" s="5" t="inlineStr">
        <is>
          <t>1521</t>
        </is>
      </c>
      <c r="I753" s="5" t="inlineStr">
        <is>
          <t>Residential Remodelers</t>
        </is>
      </c>
      <c r="J753" s="5" t="inlineStr">
        <is>
          <t>15</t>
        </is>
      </c>
      <c r="K753" s="5" t="n">
        <v>1520</v>
      </c>
      <c r="L753" s="5" t="inlineStr">
        <is>
          <t>FL</t>
        </is>
      </c>
      <c r="M753" s="5" t="inlineStr">
        <is>
          <t>United Secured Capital 8</t>
        </is>
      </c>
      <c r="N753" s="5" t="inlineStr">
        <is>
          <t>New Deal</t>
        </is>
      </c>
      <c r="O753" s="19" t="n">
        <v>1.49</v>
      </c>
      <c r="P753" s="20" t="n">
        <v>10000</v>
      </c>
      <c r="Q753" s="20" t="n">
        <v>1400</v>
      </c>
      <c r="R753" s="20" t="n">
        <v>14900</v>
      </c>
      <c r="S753" s="20" t="n">
        <v>10858.92</v>
      </c>
      <c r="T753" s="20" t="n">
        <v>4041.08</v>
      </c>
      <c r="U753" s="21" t="n">
        <v>0.728786577181208</v>
      </c>
      <c r="V753" s="22" t="n">
        <v>2.295</v>
      </c>
      <c r="W753" s="17" t="n">
        <v>70</v>
      </c>
      <c r="X753" s="17" t="n">
        <v>6</v>
      </c>
      <c r="Y753" s="20" t="n">
        <v>41248.09</v>
      </c>
      <c r="Z753" s="21" t="n">
        <v>0.1084</v>
      </c>
      <c r="AA753" s="16" t="n">
        <v>26104</v>
      </c>
      <c r="AB753" s="5">
        <f>IF(V753="","",IF(V753&lt;12,"Months","Weeks"))</f>
        <v/>
      </c>
      <c r="AC753" s="5">
        <f>IF(AB753="","",IF(AB753="Months","Daily","Weekly"))</f>
        <v/>
      </c>
      <c r="AD753" s="17">
        <f>IF(V753="","",IF(AC753="Daily",V753*Controls!$B$13,V753))</f>
        <v/>
      </c>
      <c r="AE753" s="17">
        <f>IF(V753="","",IF(AC753="Daily",V753*Controls!$B$13,V753*Controls!$B$12))</f>
        <v/>
      </c>
      <c r="AF753" s="17">
        <f>IF(OR(E753="",F753=""),"",F753-E753)</f>
        <v/>
      </c>
      <c r="AG753" s="17">
        <f>IF(OR(E753="",F753=""),"",NETWORKDAYS(E753,F753,Ref!$F$4:$F$47))</f>
        <v/>
      </c>
      <c r="AH753" s="39">
        <f>IF(IFERROR(VLOOKUP(D753,Controls!$A$25:$D$35,2,FALSE()),"No")="Yes",1,0)</f>
        <v/>
      </c>
      <c r="AI753" s="39">
        <f>IF(IFERROR(VLOOKUP(D753,Controls!$A$25:$D$35,3,FALSE()),"No")="Yes",1,0)</f>
        <v/>
      </c>
      <c r="AJ753" s="39">
        <f>IF(IFERROR(VLOOKUP(D753,Controls!$A$25:$D$35,4,FALSE()),"No")="Yes",1,0)</f>
        <v/>
      </c>
      <c r="AK753" s="96">
        <f>IF(AND($E753&gt;=Controls!$B$5,$E753&lt;=Controls!$B$6,OR(Controls!$E$9&lt;&gt;"Y",$BE753=1)),1,0)</f>
        <v/>
      </c>
      <c r="AL753" s="39">
        <f>1</f>
        <v/>
      </c>
      <c r="AM753" s="20">
        <f>S753-P753</f>
        <v/>
      </c>
      <c r="AN753" s="20">
        <f>IF(AH753=1,MAX(0,P753-S753),0)</f>
        <v/>
      </c>
      <c r="AO753" s="21">
        <f>IFERROR(S753/P753,"")</f>
        <v/>
      </c>
      <c r="AP753" s="22">
        <f>IF(Y753="","",P753/Y753)</f>
        <v/>
      </c>
      <c r="AQ753" s="39">
        <f>IF(Y753="",0,1)</f>
        <v/>
      </c>
      <c r="AR753" s="39">
        <f>IF(S753&lt;=0,1,0)</f>
        <v/>
      </c>
      <c r="AS753" s="17">
        <f>IF(AH753=1,AG753,"")</f>
        <v/>
      </c>
      <c r="AT753" s="17">
        <f>IF(AND(AH753=0,AJ753=1),AG753,"")</f>
        <v/>
      </c>
      <c r="AU753" s="5">
        <f>IF(P753&lt;10000,"Under $10K",IF(P753&lt;20000,"$10-20K",IF(P753&lt;30000,"$20-30K",IF(P753&lt;50000,"$30-50K",IF(P753&lt;100000,"$50-100K","$100K+")))))</f>
        <v/>
      </c>
      <c r="AV753" s="5">
        <f>IF(O753&lt;=1.35,"1.35 and under",IF(O753&lt;=1.42,"1.36-1.42",IF(O753&lt;=1.45,"1.43-1.45",IF(O753&lt;1.49,"1.46-1.48",IF(O753&lt;=1.49,"1.49","Above 1.49")))))</f>
        <v/>
      </c>
      <c r="AW753" s="5">
        <f>IF(AE753="","",IF(AE753&lt;60,"Under 60",IF(AE753&lt;90,"60-89",IF(AE753&lt;120,"90-119",IF(AE753&lt;150,"120-149","150+")))))</f>
        <v/>
      </c>
      <c r="AX753" s="5">
        <f>IF(AP753="","No revenue data",IF(AP753&lt;0.15,"Under 0.15x",IF(AP753&lt;0.3,"0.15-0.30x",IF(AP753&lt;0.5,"0.30-0.50x",IF(AP753&lt;1,"0.50-1.00x","1.00x+")))))</f>
        <v/>
      </c>
      <c r="AY753" s="5">
        <f>IF(J753="","No SIC",IFERROR(VLOOKUP(J753,Ref!$A$4:$C$67,2,FALSE()),"Unclassified"))</f>
        <v/>
      </c>
      <c r="AZ753" s="5">
        <f>IF(E753="","",TEXT(E753,"YYYY")&amp;"-Q"&amp;ROUNDUP(MONTH(E753)/3,0))</f>
        <v/>
      </c>
      <c r="BA753" s="5">
        <f>IF(E753="","",TEXT(E753,"YYYY-MM"))</f>
        <v/>
      </c>
      <c r="BB753" s="5">
        <f>IF(E753="","",TEXT(E753,"YYYY"))</f>
        <v/>
      </c>
      <c r="BC753" s="92">
        <f>IF($E753="","",NETWORKDAYS($E753,Controls!$B$9,Ref!$F$4:$F$47))</f>
        <v/>
      </c>
      <c r="BD753" s="92">
        <f>IF(OR($AH753=1,$AJ753=1),1,0)</f>
        <v/>
      </c>
      <c r="BE753" s="95">
        <f>IF(OR($BD753=1,AND($AE753&lt;&gt;"",$BC753&gt;=Controls!$B$10*$AE753)),1,0)</f>
        <v/>
      </c>
    </row>
    <row r="754" ht="15.75" customHeight="1" s="79">
      <c r="A754" s="5" t="inlineStr">
        <is>
          <t>5674180915</t>
        </is>
      </c>
      <c r="B754" s="5" t="inlineStr">
        <is>
          <t>GOLDEN GROVE, USA DBA CAROLINA  NUT TRANSPORT, INC DBA GOLDEN GROVE</t>
        </is>
      </c>
      <c r="C754" s="5" t="inlineStr">
        <is>
          <t>GOLDEN GROVE, USA INC</t>
        </is>
      </c>
      <c r="D754" s="5" t="inlineStr">
        <is>
          <t>Legal</t>
        </is>
      </c>
      <c r="E754" s="16" t="n">
        <v>46107</v>
      </c>
      <c r="F754" s="16" t="n">
        <v>46177</v>
      </c>
      <c r="G754" s="17" t="n">
        <v>3</v>
      </c>
      <c r="H754" s="5" t="inlineStr">
        <is>
          <t>5191</t>
        </is>
      </c>
      <c r="I754" s="5" t="inlineStr">
        <is>
          <t>Farm Supplies Merchant Wholesalers</t>
        </is>
      </c>
      <c r="J754" s="5" t="inlineStr">
        <is>
          <t>51</t>
        </is>
      </c>
      <c r="K754" s="5" t="n">
        <v>5995</v>
      </c>
      <c r="L754" s="5" t="inlineStr">
        <is>
          <t>NC</t>
        </is>
      </c>
      <c r="M754" s="5" t="inlineStr">
        <is>
          <t>PMF</t>
        </is>
      </c>
      <c r="N754" s="5" t="inlineStr">
        <is>
          <t>New Deal</t>
        </is>
      </c>
      <c r="O754" s="19" t="n">
        <v>1.42</v>
      </c>
      <c r="P754" s="20" t="n">
        <v>250000</v>
      </c>
      <c r="Q754" s="20" t="n">
        <v>0</v>
      </c>
      <c r="R754" s="20" t="n">
        <v>355000</v>
      </c>
      <c r="S754" s="20" t="n">
        <v>23071.94</v>
      </c>
      <c r="T754" s="20" t="n">
        <v>331928.06</v>
      </c>
      <c r="U754" s="21" t="n">
        <v>0.0649913802816901</v>
      </c>
      <c r="V754" s="22" t="n">
        <v>3.279</v>
      </c>
      <c r="W754" s="17" t="n">
        <v>125</v>
      </c>
      <c r="X754" s="17" t="n">
        <v>32</v>
      </c>
      <c r="Y754" s="20" t="n">
        <v>2129544.31</v>
      </c>
      <c r="Z754" s="21" t="n">
        <v>0.0535</v>
      </c>
      <c r="AA754" s="16" t="n">
        <v>43017</v>
      </c>
      <c r="AB754" s="5">
        <f>IF(V754="","",IF(V754&lt;12,"Months","Weeks"))</f>
        <v/>
      </c>
      <c r="AC754" s="5">
        <f>IF(AB754="","",IF(AB754="Months","Daily","Weekly"))</f>
        <v/>
      </c>
      <c r="AD754" s="17">
        <f>IF(V754="","",IF(AC754="Daily",V754*Controls!$B$13,V754))</f>
        <v/>
      </c>
      <c r="AE754" s="17">
        <f>IF(V754="","",IF(AC754="Daily",V754*Controls!$B$13,V754*Controls!$B$12))</f>
        <v/>
      </c>
      <c r="AF754" s="17">
        <f>IF(OR(E754="",F754=""),"",F754-E754)</f>
        <v/>
      </c>
      <c r="AG754" s="17">
        <f>IF(OR(E754="",F754=""),"",NETWORKDAYS(E754,F754,Ref!$F$4:$F$47))</f>
        <v/>
      </c>
      <c r="AH754" s="39">
        <f>IF(IFERROR(VLOOKUP(D754,Controls!$A$25:$D$35,2,FALSE()),"No")="Yes",1,0)</f>
        <v/>
      </c>
      <c r="AI754" s="39">
        <f>IF(IFERROR(VLOOKUP(D754,Controls!$A$25:$D$35,3,FALSE()),"No")="Yes",1,0)</f>
        <v/>
      </c>
      <c r="AJ754" s="39">
        <f>IF(IFERROR(VLOOKUP(D754,Controls!$A$25:$D$35,4,FALSE()),"No")="Yes",1,0)</f>
        <v/>
      </c>
      <c r="AK754" s="96">
        <f>IF(AND($E754&gt;=Controls!$B$5,$E754&lt;=Controls!$B$6,OR(Controls!$E$9&lt;&gt;"Y",$BE754=1)),1,0)</f>
        <v/>
      </c>
      <c r="AL754" s="39">
        <f>1</f>
        <v/>
      </c>
      <c r="AM754" s="20">
        <f>S754-P754</f>
        <v/>
      </c>
      <c r="AN754" s="20">
        <f>IF(AH754=1,MAX(0,P754-S754),0)</f>
        <v/>
      </c>
      <c r="AO754" s="21">
        <f>IFERROR(S754/P754,"")</f>
        <v/>
      </c>
      <c r="AP754" s="22">
        <f>IF(Y754="","",P754/Y754)</f>
        <v/>
      </c>
      <c r="AQ754" s="39">
        <f>IF(Y754="",0,1)</f>
        <v/>
      </c>
      <c r="AR754" s="39">
        <f>IF(S754&lt;=0,1,0)</f>
        <v/>
      </c>
      <c r="AS754" s="17">
        <f>IF(AH754=1,AG754,"")</f>
        <v/>
      </c>
      <c r="AT754" s="17">
        <f>IF(AND(AH754=0,AJ754=1),AG754,"")</f>
        <v/>
      </c>
      <c r="AU754" s="5">
        <f>IF(P754&lt;10000,"Under $10K",IF(P754&lt;20000,"$10-20K",IF(P754&lt;30000,"$20-30K",IF(P754&lt;50000,"$30-50K",IF(P754&lt;100000,"$50-100K","$100K+")))))</f>
        <v/>
      </c>
      <c r="AV754" s="5">
        <f>IF(O754&lt;=1.35,"1.35 and under",IF(O754&lt;=1.42,"1.36-1.42",IF(O754&lt;=1.45,"1.43-1.45",IF(O754&lt;1.49,"1.46-1.48",IF(O754&lt;=1.49,"1.49","Above 1.49")))))</f>
        <v/>
      </c>
      <c r="AW754" s="5">
        <f>IF(AE754="","",IF(AE754&lt;60,"Under 60",IF(AE754&lt;90,"60-89",IF(AE754&lt;120,"90-119",IF(AE754&lt;150,"120-149","150+")))))</f>
        <v/>
      </c>
      <c r="AX754" s="5">
        <f>IF(AP754="","No revenue data",IF(AP754&lt;0.15,"Under 0.15x",IF(AP754&lt;0.3,"0.15-0.30x",IF(AP754&lt;0.5,"0.30-0.50x",IF(AP754&lt;1,"0.50-1.00x","1.00x+")))))</f>
        <v/>
      </c>
      <c r="AY754" s="5">
        <f>IF(J754="","No SIC",IFERROR(VLOOKUP(J754,Ref!$A$4:$C$67,2,FALSE()),"Unclassified"))</f>
        <v/>
      </c>
      <c r="AZ754" s="5">
        <f>IF(E754="","",TEXT(E754,"YYYY")&amp;"-Q"&amp;ROUNDUP(MONTH(E754)/3,0))</f>
        <v/>
      </c>
      <c r="BA754" s="5">
        <f>IF(E754="","",TEXT(E754,"YYYY-MM"))</f>
        <v/>
      </c>
      <c r="BB754" s="5">
        <f>IF(E754="","",TEXT(E754,"YYYY"))</f>
        <v/>
      </c>
      <c r="BC754" s="92">
        <f>IF($E754="","",NETWORKDAYS($E754,Controls!$B$9,Ref!$F$4:$F$47))</f>
        <v/>
      </c>
      <c r="BD754" s="92">
        <f>IF(OR($AH754=1,$AJ754=1),1,0)</f>
        <v/>
      </c>
      <c r="BE754" s="95">
        <f>IF(OR($BD754=1,AND($AE754&lt;&gt;"",$BC754&gt;=Controls!$B$10*$AE754)),1,0)</f>
        <v/>
      </c>
    </row>
    <row r="755" ht="15.75" customHeight="1" s="79">
      <c r="A755" s="5" t="inlineStr">
        <is>
          <t>5674180929</t>
        </is>
      </c>
      <c r="B755" s="5" t="inlineStr">
        <is>
          <t>Vets 4 Alltrades Dumping And Hauling</t>
        </is>
      </c>
      <c r="C755" s="5" t="inlineStr">
        <is>
          <t>Vets 4 Alltrades Dumping And Hauling</t>
        </is>
      </c>
      <c r="D755" s="5" t="inlineStr">
        <is>
          <t>In House Collection</t>
        </is>
      </c>
      <c r="E755" s="16" t="n">
        <v>46108</v>
      </c>
      <c r="F755" s="16" t="n">
        <v>46174</v>
      </c>
      <c r="G755" s="17" t="n">
        <v>3</v>
      </c>
      <c r="H755" s="5" t="inlineStr">
        <is>
          <t>3537</t>
        </is>
      </c>
      <c r="I755" s="5" t="inlineStr">
        <is>
          <t>Industrial Truck, Tractor, Trailer, and Stacker Machinery Mfg.</t>
        </is>
      </c>
      <c r="J755" s="5" t="inlineStr">
        <is>
          <t>35</t>
        </is>
      </c>
      <c r="K755" s="5" t="n">
        <v>1799</v>
      </c>
      <c r="L755" s="5" t="inlineStr">
        <is>
          <t>SC</t>
        </is>
      </c>
      <c r="M755" s="5" t="inlineStr">
        <is>
          <t>Ace Partners</t>
        </is>
      </c>
      <c r="N755" s="5" t="inlineStr">
        <is>
          <t>New Deal</t>
        </is>
      </c>
      <c r="O755" s="19" t="n">
        <v>1.45</v>
      </c>
      <c r="P755" s="20" t="n">
        <v>30000</v>
      </c>
      <c r="Q755" s="20" t="n">
        <v>3600</v>
      </c>
      <c r="R755" s="20" t="n">
        <v>43500</v>
      </c>
      <c r="S755" s="20" t="n">
        <v>15225</v>
      </c>
      <c r="T755" s="20" t="n">
        <v>28275</v>
      </c>
      <c r="U755" s="21" t="n">
        <v>0.35</v>
      </c>
      <c r="V755" s="22" t="n">
        <v>3.934</v>
      </c>
      <c r="W755" s="17" t="n">
        <v>85</v>
      </c>
      <c r="X755" s="17" t="n">
        <v>4</v>
      </c>
      <c r="Y755" s="20" t="n">
        <v>47194.8</v>
      </c>
      <c r="Z755" s="21" t="n">
        <v>0.1613</v>
      </c>
      <c r="AA755" s="16" t="n">
        <v>44511</v>
      </c>
      <c r="AB755" s="5">
        <f>IF(V755="","",IF(V755&lt;12,"Months","Weeks"))</f>
        <v/>
      </c>
      <c r="AC755" s="5">
        <f>IF(AB755="","",IF(AB755="Months","Daily","Weekly"))</f>
        <v/>
      </c>
      <c r="AD755" s="17">
        <f>IF(V755="","",IF(AC755="Daily",V755*Controls!$B$13,V755))</f>
        <v/>
      </c>
      <c r="AE755" s="17">
        <f>IF(V755="","",IF(AC755="Daily",V755*Controls!$B$13,V755*Controls!$B$12))</f>
        <v/>
      </c>
      <c r="AF755" s="17">
        <f>IF(OR(E755="",F755=""),"",F755-E755)</f>
        <v/>
      </c>
      <c r="AG755" s="17">
        <f>IF(OR(E755="",F755=""),"",NETWORKDAYS(E755,F755,Ref!$F$4:$F$47))</f>
        <v/>
      </c>
      <c r="AH755" s="39">
        <f>IF(IFERROR(VLOOKUP(D755,Controls!$A$25:$D$35,2,FALSE()),"No")="Yes",1,0)</f>
        <v/>
      </c>
      <c r="AI755" s="39">
        <f>IF(IFERROR(VLOOKUP(D755,Controls!$A$25:$D$35,3,FALSE()),"No")="Yes",1,0)</f>
        <v/>
      </c>
      <c r="AJ755" s="39">
        <f>IF(IFERROR(VLOOKUP(D755,Controls!$A$25:$D$35,4,FALSE()),"No")="Yes",1,0)</f>
        <v/>
      </c>
      <c r="AK755" s="96">
        <f>IF(AND($E755&gt;=Controls!$B$5,$E755&lt;=Controls!$B$6,OR(Controls!$E$9&lt;&gt;"Y",$BE755=1)),1,0)</f>
        <v/>
      </c>
      <c r="AL755" s="39">
        <f>1</f>
        <v/>
      </c>
      <c r="AM755" s="20">
        <f>S755-P755</f>
        <v/>
      </c>
      <c r="AN755" s="20">
        <f>IF(AH755=1,MAX(0,P755-S755),0)</f>
        <v/>
      </c>
      <c r="AO755" s="21">
        <f>IFERROR(S755/P755,"")</f>
        <v/>
      </c>
      <c r="AP755" s="22">
        <f>IF(Y755="","",P755/Y755)</f>
        <v/>
      </c>
      <c r="AQ755" s="39">
        <f>IF(Y755="",0,1)</f>
        <v/>
      </c>
      <c r="AR755" s="39">
        <f>IF(S755&lt;=0,1,0)</f>
        <v/>
      </c>
      <c r="AS755" s="17">
        <f>IF(AH755=1,AG755,"")</f>
        <v/>
      </c>
      <c r="AT755" s="17">
        <f>IF(AND(AH755=0,AJ755=1),AG755,"")</f>
        <v/>
      </c>
      <c r="AU755" s="5">
        <f>IF(P755&lt;10000,"Under $10K",IF(P755&lt;20000,"$10-20K",IF(P755&lt;30000,"$20-30K",IF(P755&lt;50000,"$30-50K",IF(P755&lt;100000,"$50-100K","$100K+")))))</f>
        <v/>
      </c>
      <c r="AV755" s="5">
        <f>IF(O755&lt;=1.35,"1.35 and under",IF(O755&lt;=1.42,"1.36-1.42",IF(O755&lt;=1.45,"1.43-1.45",IF(O755&lt;1.49,"1.46-1.48",IF(O755&lt;=1.49,"1.49","Above 1.49")))))</f>
        <v/>
      </c>
      <c r="AW755" s="5">
        <f>IF(AE755="","",IF(AE755&lt;60,"Under 60",IF(AE755&lt;90,"60-89",IF(AE755&lt;120,"90-119",IF(AE755&lt;150,"120-149","150+")))))</f>
        <v/>
      </c>
      <c r="AX755" s="5">
        <f>IF(AP755="","No revenue data",IF(AP755&lt;0.15,"Under 0.15x",IF(AP755&lt;0.3,"0.15-0.30x",IF(AP755&lt;0.5,"0.30-0.50x",IF(AP755&lt;1,"0.50-1.00x","1.00x+")))))</f>
        <v/>
      </c>
      <c r="AY755" s="5">
        <f>IF(J755="","No SIC",IFERROR(VLOOKUP(J755,Ref!$A$4:$C$67,2,FALSE()),"Unclassified"))</f>
        <v/>
      </c>
      <c r="AZ755" s="5">
        <f>IF(E755="","",TEXT(E755,"YYYY")&amp;"-Q"&amp;ROUNDUP(MONTH(E755)/3,0))</f>
        <v/>
      </c>
      <c r="BA755" s="5">
        <f>IF(E755="","",TEXT(E755,"YYYY-MM"))</f>
        <v/>
      </c>
      <c r="BB755" s="5">
        <f>IF(E755="","",TEXT(E755,"YYYY"))</f>
        <v/>
      </c>
      <c r="BC755" s="92">
        <f>IF($E755="","",NETWORKDAYS($E755,Controls!$B$9,Ref!$F$4:$F$47))</f>
        <v/>
      </c>
      <c r="BD755" s="92">
        <f>IF(OR($AH755=1,$AJ755=1),1,0)</f>
        <v/>
      </c>
      <c r="BE755" s="95">
        <f>IF(OR($BD755=1,AND($AE755&lt;&gt;"",$BC755&gt;=Controls!$B$10*$AE755)),1,0)</f>
        <v/>
      </c>
    </row>
    <row r="756" ht="15.75" customHeight="1" s="79">
      <c r="A756" s="5" t="inlineStr">
        <is>
          <t>5674180949</t>
        </is>
      </c>
      <c r="B756" s="5" t="inlineStr">
        <is>
          <t>Escapade Games</t>
        </is>
      </c>
      <c r="C756" s="5" t="inlineStr">
        <is>
          <t>ZOE ESCAPE LLC</t>
        </is>
      </c>
      <c r="D756" s="5" t="inlineStr">
        <is>
          <t>Closed</t>
        </is>
      </c>
      <c r="E756" s="16" t="n">
        <v>46108</v>
      </c>
      <c r="F756" s="16" t="n">
        <v>46237</v>
      </c>
      <c r="G756" s="17" t="n">
        <v>1</v>
      </c>
      <c r="H756" s="5" t="inlineStr">
        <is>
          <t>5812</t>
        </is>
      </c>
      <c r="I756" s="5" t="inlineStr">
        <is>
          <t>Snack and Nonalcoholic Beverage Bars</t>
        </is>
      </c>
      <c r="J756" s="5" t="inlineStr">
        <is>
          <t>58</t>
        </is>
      </c>
      <c r="K756" s="5" t="n">
        <v>5812</v>
      </c>
      <c r="L756" s="5" t="inlineStr">
        <is>
          <t>CA</t>
        </is>
      </c>
      <c r="M756" s="5" t="inlineStr">
        <is>
          <t>Platform Funding</t>
        </is>
      </c>
      <c r="N756" s="5" t="inlineStr">
        <is>
          <t>Renewal</t>
        </is>
      </c>
      <c r="O756" s="19" t="n">
        <v>1.49</v>
      </c>
      <c r="P756" s="20" t="n">
        <v>20000</v>
      </c>
      <c r="Q756" s="20" t="n">
        <v>2800</v>
      </c>
      <c r="R756" s="20" t="n">
        <v>29800</v>
      </c>
      <c r="S756" s="20" t="n">
        <v>29800</v>
      </c>
      <c r="T756" s="20" t="n">
        <v>0</v>
      </c>
      <c r="U756" s="21" t="n">
        <v>1</v>
      </c>
      <c r="V756" s="22" t="n">
        <v>3.016</v>
      </c>
      <c r="W756" s="17" t="n">
        <v>16</v>
      </c>
      <c r="X756" s="17" t="n">
        <v>1</v>
      </c>
      <c r="Y756" s="20" t="n">
        <v>36941.24</v>
      </c>
      <c r="Z756" s="21" t="n">
        <v>0.0746</v>
      </c>
      <c r="AA756" s="16" t="n">
        <v>45139</v>
      </c>
      <c r="AB756" s="5">
        <f>IF(V756="","",IF(V756&lt;12,"Months","Weeks"))</f>
        <v/>
      </c>
      <c r="AC756" s="5">
        <f>IF(AB756="","",IF(AB756="Months","Daily","Weekly"))</f>
        <v/>
      </c>
      <c r="AD756" s="17">
        <f>IF(V756="","",IF(AC756="Daily",V756*Controls!$B$13,V756))</f>
        <v/>
      </c>
      <c r="AE756" s="17">
        <f>IF(V756="","",IF(AC756="Daily",V756*Controls!$B$13,V756*Controls!$B$12))</f>
        <v/>
      </c>
      <c r="AF756" s="17">
        <f>IF(OR(E756="",F756=""),"",F756-E756)</f>
        <v/>
      </c>
      <c r="AG756" s="17">
        <f>IF(OR(E756="",F756=""),"",NETWORKDAYS(E756,F756,Ref!$F$4:$F$47))</f>
        <v/>
      </c>
      <c r="AH756" s="39">
        <f>IF(IFERROR(VLOOKUP(D756,Controls!$A$25:$D$35,2,FALSE()),"No")="Yes",1,0)</f>
        <v/>
      </c>
      <c r="AI756" s="39">
        <f>IF(IFERROR(VLOOKUP(D756,Controls!$A$25:$D$35,3,FALSE()),"No")="Yes",1,0)</f>
        <v/>
      </c>
      <c r="AJ756" s="39">
        <f>IF(IFERROR(VLOOKUP(D756,Controls!$A$25:$D$35,4,FALSE()),"No")="Yes",1,0)</f>
        <v/>
      </c>
      <c r="AK756" s="96">
        <f>IF(AND($E756&gt;=Controls!$B$5,$E756&lt;=Controls!$B$6,OR(Controls!$E$9&lt;&gt;"Y",$BE756=1)),1,0)</f>
        <v/>
      </c>
      <c r="AL756" s="39">
        <f>1</f>
        <v/>
      </c>
      <c r="AM756" s="20">
        <f>S756-P756</f>
        <v/>
      </c>
      <c r="AN756" s="20">
        <f>IF(AH756=1,MAX(0,P756-S756),0)</f>
        <v/>
      </c>
      <c r="AO756" s="21">
        <f>IFERROR(S756/P756,"")</f>
        <v/>
      </c>
      <c r="AP756" s="22">
        <f>IF(Y756="","",P756/Y756)</f>
        <v/>
      </c>
      <c r="AQ756" s="39">
        <f>IF(Y756="",0,1)</f>
        <v/>
      </c>
      <c r="AR756" s="39">
        <f>IF(S756&lt;=0,1,0)</f>
        <v/>
      </c>
      <c r="AS756" s="17">
        <f>IF(AH756=1,AG756,"")</f>
        <v/>
      </c>
      <c r="AT756" s="17">
        <f>IF(AND(AH756=0,AJ756=1),AG756,"")</f>
        <v/>
      </c>
      <c r="AU756" s="5">
        <f>IF(P756&lt;10000,"Under $10K",IF(P756&lt;20000,"$10-20K",IF(P756&lt;30000,"$20-30K",IF(P756&lt;50000,"$30-50K",IF(P756&lt;100000,"$50-100K","$100K+")))))</f>
        <v/>
      </c>
      <c r="AV756" s="5">
        <f>IF(O756&lt;=1.35,"1.35 and under",IF(O756&lt;=1.42,"1.36-1.42",IF(O756&lt;=1.45,"1.43-1.45",IF(O756&lt;1.49,"1.46-1.48",IF(O756&lt;=1.49,"1.49","Above 1.49")))))</f>
        <v/>
      </c>
      <c r="AW756" s="5">
        <f>IF(AE756="","",IF(AE756&lt;60,"Under 60",IF(AE756&lt;90,"60-89",IF(AE756&lt;120,"90-119",IF(AE756&lt;150,"120-149","150+")))))</f>
        <v/>
      </c>
      <c r="AX756" s="5">
        <f>IF(AP756="","No revenue data",IF(AP756&lt;0.15,"Under 0.15x",IF(AP756&lt;0.3,"0.15-0.30x",IF(AP756&lt;0.5,"0.30-0.50x",IF(AP756&lt;1,"0.50-1.00x","1.00x+")))))</f>
        <v/>
      </c>
      <c r="AY756" s="5">
        <f>IF(J756="","No SIC",IFERROR(VLOOKUP(J756,Ref!$A$4:$C$67,2,FALSE()),"Unclassified"))</f>
        <v/>
      </c>
      <c r="AZ756" s="5">
        <f>IF(E756="","",TEXT(E756,"YYYY")&amp;"-Q"&amp;ROUNDUP(MONTH(E756)/3,0))</f>
        <v/>
      </c>
      <c r="BA756" s="5">
        <f>IF(E756="","",TEXT(E756,"YYYY-MM"))</f>
        <v/>
      </c>
      <c r="BB756" s="5">
        <f>IF(E756="","",TEXT(E756,"YYYY"))</f>
        <v/>
      </c>
      <c r="BC756" s="92">
        <f>IF($E756="","",NETWORKDAYS($E756,Controls!$B$9,Ref!$F$4:$F$47))</f>
        <v/>
      </c>
      <c r="BD756" s="92">
        <f>IF(OR($AH756=1,$AJ756=1),1,0)</f>
        <v/>
      </c>
      <c r="BE756" s="95">
        <f>IF(OR($BD756=1,AND($AE756&lt;&gt;"",$BC756&gt;=Controls!$B$10*$AE756)),1,0)</f>
        <v/>
      </c>
    </row>
    <row r="757" ht="15.75" customHeight="1" s="79">
      <c r="A757" s="5" t="inlineStr">
        <is>
          <t>5674180955</t>
        </is>
      </c>
      <c r="B757" s="5" t="inlineStr">
        <is>
          <t>JERICHO AUDIO/VISUAL, L.L.C.</t>
        </is>
      </c>
      <c r="C757" s="5" t="inlineStr">
        <is>
          <t>JERICHO AUDIO/VISUAL, L.L.C.</t>
        </is>
      </c>
      <c r="D757" s="5" t="inlineStr">
        <is>
          <t>Open</t>
        </is>
      </c>
      <c r="E757" s="16" t="n">
        <v>46108</v>
      </c>
      <c r="F757" s="16" t="n">
        <v>46253</v>
      </c>
      <c r="G757" s="17" t="n">
        <v>2</v>
      </c>
      <c r="H757" s="5" t="inlineStr">
        <is>
          <t>3651</t>
        </is>
      </c>
      <c r="I757" s="5" t="inlineStr">
        <is>
          <t>Audio and Video Equipment Mfg.</t>
        </is>
      </c>
      <c r="J757" s="5" t="inlineStr">
        <is>
          <t>36</t>
        </is>
      </c>
      <c r="K757" s="5" t="n">
        <v>5065</v>
      </c>
      <c r="L757" s="5" t="inlineStr">
        <is>
          <t>NC</t>
        </is>
      </c>
      <c r="M757" s="5" t="inlineStr">
        <is>
          <t>Fundwell</t>
        </is>
      </c>
      <c r="N757" s="5" t="inlineStr">
        <is>
          <t>Renewal</t>
        </is>
      </c>
      <c r="O757" s="19" t="n">
        <v>1.45</v>
      </c>
      <c r="P757" s="20" t="n">
        <v>20000</v>
      </c>
      <c r="Q757" s="20" t="n">
        <v>2960</v>
      </c>
      <c r="R757" s="20" t="n">
        <v>29000</v>
      </c>
      <c r="S757" s="20" t="n">
        <v>20053.63</v>
      </c>
      <c r="T757" s="20" t="n">
        <v>8946.370000000001</v>
      </c>
      <c r="U757" s="21" t="n">
        <v>0.691504482758621</v>
      </c>
      <c r="V757" s="22" t="n">
        <v>3.934</v>
      </c>
      <c r="W757" s="17" t="n">
        <v>0</v>
      </c>
      <c r="X757" s="17" t="n">
        <v>11</v>
      </c>
      <c r="Y757" s="20" t="n">
        <v>37312.1</v>
      </c>
      <c r="Z757" s="21" t="n">
        <v>0.1443</v>
      </c>
      <c r="AA757" s="16" t="n">
        <v>40922</v>
      </c>
      <c r="AB757" s="5">
        <f>IF(V757="","",IF(V757&lt;12,"Months","Weeks"))</f>
        <v/>
      </c>
      <c r="AC757" s="5">
        <f>IF(AB757="","",IF(AB757="Months","Daily","Weekly"))</f>
        <v/>
      </c>
      <c r="AD757" s="17">
        <f>IF(V757="","",IF(AC757="Daily",V757*Controls!$B$13,V757))</f>
        <v/>
      </c>
      <c r="AE757" s="17">
        <f>IF(V757="","",IF(AC757="Daily",V757*Controls!$B$13,V757*Controls!$B$12))</f>
        <v/>
      </c>
      <c r="AF757" s="17">
        <f>IF(OR(E757="",F757=""),"",F757-E757)</f>
        <v/>
      </c>
      <c r="AG757" s="17">
        <f>IF(OR(E757="",F757=""),"",NETWORKDAYS(E757,F757,Ref!$F$4:$F$47))</f>
        <v/>
      </c>
      <c r="AH757" s="39">
        <f>IF(IFERROR(VLOOKUP(D757,Controls!$A$25:$D$35,2,FALSE()),"No")="Yes",1,0)</f>
        <v/>
      </c>
      <c r="AI757" s="39">
        <f>IF(IFERROR(VLOOKUP(D757,Controls!$A$25:$D$35,3,FALSE()),"No")="Yes",1,0)</f>
        <v/>
      </c>
      <c r="AJ757" s="39">
        <f>IF(IFERROR(VLOOKUP(D757,Controls!$A$25:$D$35,4,FALSE()),"No")="Yes",1,0)</f>
        <v/>
      </c>
      <c r="AK757" s="96">
        <f>IF(AND($E757&gt;=Controls!$B$5,$E757&lt;=Controls!$B$6,OR(Controls!$E$9&lt;&gt;"Y",$BE757=1)),1,0)</f>
        <v/>
      </c>
      <c r="AL757" s="39">
        <f>1</f>
        <v/>
      </c>
      <c r="AM757" s="20">
        <f>S757-P757</f>
        <v/>
      </c>
      <c r="AN757" s="20">
        <f>IF(AH757=1,MAX(0,P757-S757),0)</f>
        <v/>
      </c>
      <c r="AO757" s="21">
        <f>IFERROR(S757/P757,"")</f>
        <v/>
      </c>
      <c r="AP757" s="22">
        <f>IF(Y757="","",P757/Y757)</f>
        <v/>
      </c>
      <c r="AQ757" s="39">
        <f>IF(Y757="",0,1)</f>
        <v/>
      </c>
      <c r="AR757" s="39">
        <f>IF(S757&lt;=0,1,0)</f>
        <v/>
      </c>
      <c r="AS757" s="17">
        <f>IF(AH757=1,AG757,"")</f>
        <v/>
      </c>
      <c r="AT757" s="17">
        <f>IF(AND(AH757=0,AJ757=1),AG757,"")</f>
        <v/>
      </c>
      <c r="AU757" s="5">
        <f>IF(P757&lt;10000,"Under $10K",IF(P757&lt;20000,"$10-20K",IF(P757&lt;30000,"$20-30K",IF(P757&lt;50000,"$30-50K",IF(P757&lt;100000,"$50-100K","$100K+")))))</f>
        <v/>
      </c>
      <c r="AV757" s="5">
        <f>IF(O757&lt;=1.35,"1.35 and under",IF(O757&lt;=1.42,"1.36-1.42",IF(O757&lt;=1.45,"1.43-1.45",IF(O757&lt;1.49,"1.46-1.48",IF(O757&lt;=1.49,"1.49","Above 1.49")))))</f>
        <v/>
      </c>
      <c r="AW757" s="5">
        <f>IF(AE757="","",IF(AE757&lt;60,"Under 60",IF(AE757&lt;90,"60-89",IF(AE757&lt;120,"90-119",IF(AE757&lt;150,"120-149","150+")))))</f>
        <v/>
      </c>
      <c r="AX757" s="5">
        <f>IF(AP757="","No revenue data",IF(AP757&lt;0.15,"Under 0.15x",IF(AP757&lt;0.3,"0.15-0.30x",IF(AP757&lt;0.5,"0.30-0.50x",IF(AP757&lt;1,"0.50-1.00x","1.00x+")))))</f>
        <v/>
      </c>
      <c r="AY757" s="5">
        <f>IF(J757="","No SIC",IFERROR(VLOOKUP(J757,Ref!$A$4:$C$67,2,FALSE()),"Unclassified"))</f>
        <v/>
      </c>
      <c r="AZ757" s="5">
        <f>IF(E757="","",TEXT(E757,"YYYY")&amp;"-Q"&amp;ROUNDUP(MONTH(E757)/3,0))</f>
        <v/>
      </c>
      <c r="BA757" s="5">
        <f>IF(E757="","",TEXT(E757,"YYYY-MM"))</f>
        <v/>
      </c>
      <c r="BB757" s="5">
        <f>IF(E757="","",TEXT(E757,"YYYY"))</f>
        <v/>
      </c>
      <c r="BC757" s="92">
        <f>IF($E757="","",NETWORKDAYS($E757,Controls!$B$9,Ref!$F$4:$F$47))</f>
        <v/>
      </c>
      <c r="BD757" s="92">
        <f>IF(OR($AH757=1,$AJ757=1),1,0)</f>
        <v/>
      </c>
      <c r="BE757" s="95">
        <f>IF(OR($BD757=1,AND($AE757&lt;&gt;"",$BC757&gt;=Controls!$B$10*$AE757)),1,0)</f>
        <v/>
      </c>
    </row>
    <row r="758" ht="15.75" customHeight="1" s="79">
      <c r="A758" s="5" t="inlineStr">
        <is>
          <t>5674180967</t>
        </is>
      </c>
      <c r="B758" s="5" t="inlineStr">
        <is>
          <t>FSP CONTRACTING LLC</t>
        </is>
      </c>
      <c r="C758" s="5" t="inlineStr">
        <is>
          <t>FSP CONTRACTING LLC</t>
        </is>
      </c>
      <c r="D758" s="5" t="inlineStr">
        <is>
          <t>In House Collection</t>
        </is>
      </c>
      <c r="E758" s="16" t="n">
        <v>46108</v>
      </c>
      <c r="F758" s="16" t="n">
        <v>46223</v>
      </c>
      <c r="G758" s="17" t="n">
        <v>3</v>
      </c>
      <c r="H758" s="5" t="inlineStr">
        <is>
          <t>1521</t>
        </is>
      </c>
      <c r="I758" s="5" t="inlineStr">
        <is>
          <t>Residential Remodelers</t>
        </is>
      </c>
      <c r="J758" s="5" t="inlineStr">
        <is>
          <t>15</t>
        </is>
      </c>
      <c r="K758" s="5" t="n">
        <v>1520</v>
      </c>
      <c r="L758" s="5" t="inlineStr">
        <is>
          <t>KS</t>
        </is>
      </c>
      <c r="M758" s="5" t="inlineStr">
        <is>
          <t>United Secured Capital 8</t>
        </is>
      </c>
      <c r="N758" s="5" t="inlineStr">
        <is>
          <t>New Deal</t>
        </is>
      </c>
      <c r="O758" s="19" t="n">
        <v>1.49</v>
      </c>
      <c r="P758" s="20" t="n">
        <v>5000</v>
      </c>
      <c r="Q758" s="20" t="n">
        <v>0</v>
      </c>
      <c r="R758" s="20" t="n">
        <v>7450</v>
      </c>
      <c r="S758" s="20" t="n">
        <v>1304.17</v>
      </c>
      <c r="T758" s="20" t="n">
        <v>6145.83</v>
      </c>
      <c r="U758" s="21" t="n">
        <v>0.175056375838926</v>
      </c>
      <c r="V758" s="22" t="n">
        <v>2.623</v>
      </c>
      <c r="W758" s="17" t="n">
        <v>76</v>
      </c>
      <c r="X758" s="17" t="n">
        <v>49</v>
      </c>
      <c r="Y758" s="20" t="n">
        <v>39596.57</v>
      </c>
      <c r="Z758" s="21" t="n">
        <v>0.0494</v>
      </c>
      <c r="AA758" s="16" t="n">
        <v>45860</v>
      </c>
      <c r="AB758" s="5">
        <f>IF(V758="","",IF(V758&lt;12,"Months","Weeks"))</f>
        <v/>
      </c>
      <c r="AC758" s="5">
        <f>IF(AB758="","",IF(AB758="Months","Daily","Weekly"))</f>
        <v/>
      </c>
      <c r="AD758" s="17">
        <f>IF(V758="","",IF(AC758="Daily",V758*Controls!$B$13,V758))</f>
        <v/>
      </c>
      <c r="AE758" s="17">
        <f>IF(V758="","",IF(AC758="Daily",V758*Controls!$B$13,V758*Controls!$B$12))</f>
        <v/>
      </c>
      <c r="AF758" s="17">
        <f>IF(OR(E758="",F758=""),"",F758-E758)</f>
        <v/>
      </c>
      <c r="AG758" s="17">
        <f>IF(OR(E758="",F758=""),"",NETWORKDAYS(E758,F758,Ref!$F$4:$F$47))</f>
        <v/>
      </c>
      <c r="AH758" s="39">
        <f>IF(IFERROR(VLOOKUP(D758,Controls!$A$25:$D$35,2,FALSE()),"No")="Yes",1,0)</f>
        <v/>
      </c>
      <c r="AI758" s="39">
        <f>IF(IFERROR(VLOOKUP(D758,Controls!$A$25:$D$35,3,FALSE()),"No")="Yes",1,0)</f>
        <v/>
      </c>
      <c r="AJ758" s="39">
        <f>IF(IFERROR(VLOOKUP(D758,Controls!$A$25:$D$35,4,FALSE()),"No")="Yes",1,0)</f>
        <v/>
      </c>
      <c r="AK758" s="96">
        <f>IF(AND($E758&gt;=Controls!$B$5,$E758&lt;=Controls!$B$6,OR(Controls!$E$9&lt;&gt;"Y",$BE758=1)),1,0)</f>
        <v/>
      </c>
      <c r="AL758" s="39">
        <f>1</f>
        <v/>
      </c>
      <c r="AM758" s="20">
        <f>S758-P758</f>
        <v/>
      </c>
      <c r="AN758" s="20">
        <f>IF(AH758=1,MAX(0,P758-S758),0)</f>
        <v/>
      </c>
      <c r="AO758" s="21">
        <f>IFERROR(S758/P758,"")</f>
        <v/>
      </c>
      <c r="AP758" s="22">
        <f>IF(Y758="","",P758/Y758)</f>
        <v/>
      </c>
      <c r="AQ758" s="39">
        <f>IF(Y758="",0,1)</f>
        <v/>
      </c>
      <c r="AR758" s="39">
        <f>IF(S758&lt;=0,1,0)</f>
        <v/>
      </c>
      <c r="AS758" s="17">
        <f>IF(AH758=1,AG758,"")</f>
        <v/>
      </c>
      <c r="AT758" s="17">
        <f>IF(AND(AH758=0,AJ758=1),AG758,"")</f>
        <v/>
      </c>
      <c r="AU758" s="5">
        <f>IF(P758&lt;10000,"Under $10K",IF(P758&lt;20000,"$10-20K",IF(P758&lt;30000,"$20-30K",IF(P758&lt;50000,"$30-50K",IF(P758&lt;100000,"$50-100K","$100K+")))))</f>
        <v/>
      </c>
      <c r="AV758" s="5">
        <f>IF(O758&lt;=1.35,"1.35 and under",IF(O758&lt;=1.42,"1.36-1.42",IF(O758&lt;=1.45,"1.43-1.45",IF(O758&lt;1.49,"1.46-1.48",IF(O758&lt;=1.49,"1.49","Above 1.49")))))</f>
        <v/>
      </c>
      <c r="AW758" s="5">
        <f>IF(AE758="","",IF(AE758&lt;60,"Under 60",IF(AE758&lt;90,"60-89",IF(AE758&lt;120,"90-119",IF(AE758&lt;150,"120-149","150+")))))</f>
        <v/>
      </c>
      <c r="AX758" s="5">
        <f>IF(AP758="","No revenue data",IF(AP758&lt;0.15,"Under 0.15x",IF(AP758&lt;0.3,"0.15-0.30x",IF(AP758&lt;0.5,"0.30-0.50x",IF(AP758&lt;1,"0.50-1.00x","1.00x+")))))</f>
        <v/>
      </c>
      <c r="AY758" s="5">
        <f>IF(J758="","No SIC",IFERROR(VLOOKUP(J758,Ref!$A$4:$C$67,2,FALSE()),"Unclassified"))</f>
        <v/>
      </c>
      <c r="AZ758" s="5">
        <f>IF(E758="","",TEXT(E758,"YYYY")&amp;"-Q"&amp;ROUNDUP(MONTH(E758)/3,0))</f>
        <v/>
      </c>
      <c r="BA758" s="5">
        <f>IF(E758="","",TEXT(E758,"YYYY-MM"))</f>
        <v/>
      </c>
      <c r="BB758" s="5">
        <f>IF(E758="","",TEXT(E758,"YYYY"))</f>
        <v/>
      </c>
      <c r="BC758" s="92">
        <f>IF($E758="","",NETWORKDAYS($E758,Controls!$B$9,Ref!$F$4:$F$47))</f>
        <v/>
      </c>
      <c r="BD758" s="92">
        <f>IF(OR($AH758=1,$AJ758=1),1,0)</f>
        <v/>
      </c>
      <c r="BE758" s="95">
        <f>IF(OR($BD758=1,AND($AE758&lt;&gt;"",$BC758&gt;=Controls!$B$10*$AE758)),1,0)</f>
        <v/>
      </c>
    </row>
    <row r="759" ht="15.75" customHeight="1" s="79">
      <c r="A759" s="5" t="inlineStr">
        <is>
          <t>5674181000</t>
        </is>
      </c>
      <c r="B759" s="5" t="inlineStr">
        <is>
          <t>AISB ENTERPRISES, INC.</t>
        </is>
      </c>
      <c r="C759" s="5" t="inlineStr">
        <is>
          <t>AISB ENTERPRISES, INC.</t>
        </is>
      </c>
      <c r="D759" s="5" t="inlineStr">
        <is>
          <t>Legal</t>
        </is>
      </c>
      <c r="E759" s="16" t="n">
        <v>46108</v>
      </c>
      <c r="F759" s="16" t="n">
        <v>46136</v>
      </c>
      <c r="G759" s="17" t="n">
        <v>3</v>
      </c>
      <c r="H759" s="5" t="inlineStr">
        <is>
          <t>7378</t>
        </is>
      </c>
      <c r="I759" s="5" t="inlineStr">
        <is>
          <t>Computer and Office Machine Repair and Maintenance</t>
        </is>
      </c>
      <c r="J759" s="5" t="inlineStr">
        <is>
          <t>73</t>
        </is>
      </c>
      <c r="K759" s="5" t="n">
        <v>7379</v>
      </c>
      <c r="L759" s="5" t="inlineStr">
        <is>
          <t>TX</t>
        </is>
      </c>
      <c r="M759" s="5" t="inlineStr">
        <is>
          <t>United Secured Capital 8</t>
        </is>
      </c>
      <c r="N759" s="5" t="inlineStr">
        <is>
          <t>New Deal</t>
        </is>
      </c>
      <c r="O759" s="19" t="n">
        <v>1.39</v>
      </c>
      <c r="P759" s="20" t="n">
        <v>30000</v>
      </c>
      <c r="Q759" s="20" t="n">
        <v>0</v>
      </c>
      <c r="R759" s="20" t="n">
        <v>41700</v>
      </c>
      <c r="S759" s="20" t="n">
        <v>6575.73</v>
      </c>
      <c r="T759" s="20" t="n">
        <v>35124.27</v>
      </c>
      <c r="U759" s="21" t="n">
        <v>0.157691366906475</v>
      </c>
      <c r="V759" s="22" t="n">
        <v>19</v>
      </c>
      <c r="W759" s="17" t="n">
        <v>124</v>
      </c>
      <c r="X759" s="17" t="n">
        <v>1</v>
      </c>
      <c r="Y759" s="20" t="n">
        <v>301293.75</v>
      </c>
      <c r="Z759" s="21" t="n">
        <v>0.0291</v>
      </c>
      <c r="AA759" s="16" t="n">
        <v>43101</v>
      </c>
      <c r="AB759" s="5">
        <f>IF(V759="","",IF(V759&lt;12,"Months","Weeks"))</f>
        <v/>
      </c>
      <c r="AC759" s="5">
        <f>IF(AB759="","",IF(AB759="Months","Daily","Weekly"))</f>
        <v/>
      </c>
      <c r="AD759" s="17">
        <f>IF(V759="","",IF(AC759="Daily",V759*Controls!$B$13,V759))</f>
        <v/>
      </c>
      <c r="AE759" s="17">
        <f>IF(V759="","",IF(AC759="Daily",V759*Controls!$B$13,V759*Controls!$B$12))</f>
        <v/>
      </c>
      <c r="AF759" s="17">
        <f>IF(OR(E759="",F759=""),"",F759-E759)</f>
        <v/>
      </c>
      <c r="AG759" s="17">
        <f>IF(OR(E759="",F759=""),"",NETWORKDAYS(E759,F759,Ref!$F$4:$F$47))</f>
        <v/>
      </c>
      <c r="AH759" s="39">
        <f>IF(IFERROR(VLOOKUP(D759,Controls!$A$25:$D$35,2,FALSE()),"No")="Yes",1,0)</f>
        <v/>
      </c>
      <c r="AI759" s="39">
        <f>IF(IFERROR(VLOOKUP(D759,Controls!$A$25:$D$35,3,FALSE()),"No")="Yes",1,0)</f>
        <v/>
      </c>
      <c r="AJ759" s="39">
        <f>IF(IFERROR(VLOOKUP(D759,Controls!$A$25:$D$35,4,FALSE()),"No")="Yes",1,0)</f>
        <v/>
      </c>
      <c r="AK759" s="96">
        <f>IF(AND($E759&gt;=Controls!$B$5,$E759&lt;=Controls!$B$6,OR(Controls!$E$9&lt;&gt;"Y",$BE759=1)),1,0)</f>
        <v/>
      </c>
      <c r="AL759" s="39">
        <f>1</f>
        <v/>
      </c>
      <c r="AM759" s="20">
        <f>S759-P759</f>
        <v/>
      </c>
      <c r="AN759" s="20">
        <f>IF(AH759=1,MAX(0,P759-S759),0)</f>
        <v/>
      </c>
      <c r="AO759" s="21">
        <f>IFERROR(S759/P759,"")</f>
        <v/>
      </c>
      <c r="AP759" s="22">
        <f>IF(Y759="","",P759/Y759)</f>
        <v/>
      </c>
      <c r="AQ759" s="39">
        <f>IF(Y759="",0,1)</f>
        <v/>
      </c>
      <c r="AR759" s="39">
        <f>IF(S759&lt;=0,1,0)</f>
        <v/>
      </c>
      <c r="AS759" s="17">
        <f>IF(AH759=1,AG759,"")</f>
        <v/>
      </c>
      <c r="AT759" s="17">
        <f>IF(AND(AH759=0,AJ759=1),AG759,"")</f>
        <v/>
      </c>
      <c r="AU759" s="5">
        <f>IF(P759&lt;10000,"Under $10K",IF(P759&lt;20000,"$10-20K",IF(P759&lt;30000,"$20-30K",IF(P759&lt;50000,"$30-50K",IF(P759&lt;100000,"$50-100K","$100K+")))))</f>
        <v/>
      </c>
      <c r="AV759" s="5">
        <f>IF(O759&lt;=1.35,"1.35 and under",IF(O759&lt;=1.42,"1.36-1.42",IF(O759&lt;=1.45,"1.43-1.45",IF(O759&lt;1.49,"1.46-1.48",IF(O759&lt;=1.49,"1.49","Above 1.49")))))</f>
        <v/>
      </c>
      <c r="AW759" s="5">
        <f>IF(AE759="","",IF(AE759&lt;60,"Under 60",IF(AE759&lt;90,"60-89",IF(AE759&lt;120,"90-119",IF(AE759&lt;150,"120-149","150+")))))</f>
        <v/>
      </c>
      <c r="AX759" s="5">
        <f>IF(AP759="","No revenue data",IF(AP759&lt;0.15,"Under 0.15x",IF(AP759&lt;0.3,"0.15-0.30x",IF(AP759&lt;0.5,"0.30-0.50x",IF(AP759&lt;1,"0.50-1.00x","1.00x+")))))</f>
        <v/>
      </c>
      <c r="AY759" s="5">
        <f>IF(J759="","No SIC",IFERROR(VLOOKUP(J759,Ref!$A$4:$C$67,2,FALSE()),"Unclassified"))</f>
        <v/>
      </c>
      <c r="AZ759" s="5">
        <f>IF(E759="","",TEXT(E759,"YYYY")&amp;"-Q"&amp;ROUNDUP(MONTH(E759)/3,0))</f>
        <v/>
      </c>
      <c r="BA759" s="5">
        <f>IF(E759="","",TEXT(E759,"YYYY-MM"))</f>
        <v/>
      </c>
      <c r="BB759" s="5">
        <f>IF(E759="","",TEXT(E759,"YYYY"))</f>
        <v/>
      </c>
      <c r="BC759" s="92">
        <f>IF($E759="","",NETWORKDAYS($E759,Controls!$B$9,Ref!$F$4:$F$47))</f>
        <v/>
      </c>
      <c r="BD759" s="92">
        <f>IF(OR($AH759=1,$AJ759=1),1,0)</f>
        <v/>
      </c>
      <c r="BE759" s="95">
        <f>IF(OR($BD759=1,AND($AE759&lt;&gt;"",$BC759&gt;=Controls!$B$10*$AE759)),1,0)</f>
        <v/>
      </c>
    </row>
    <row r="760" ht="15.75" customHeight="1" s="79">
      <c r="A760" s="5" t="inlineStr">
        <is>
          <t>5674181035</t>
        </is>
      </c>
      <c r="B760" s="5" t="inlineStr">
        <is>
          <t>STRAIGHTWAY TRANSPORTATION DBA ANTHONY BETHEL SOLE MBR</t>
        </is>
      </c>
      <c r="C760" s="5" t="inlineStr">
        <is>
          <t>STRAIGHTWAY TRANSPORTATION INC.</t>
        </is>
      </c>
      <c r="D760" s="5" t="inlineStr">
        <is>
          <t>Open</t>
        </is>
      </c>
      <c r="E760" s="16" t="n">
        <v>46111</v>
      </c>
      <c r="F760" s="16" t="n">
        <v>46252</v>
      </c>
      <c r="G760" s="17" t="n">
        <v>2</v>
      </c>
      <c r="H760" s="5" t="inlineStr">
        <is>
          <t>4212</t>
        </is>
      </c>
      <c r="I760" s="5" t="inlineStr">
        <is>
          <t>Specialized Freight (Except Used Goods) Trucking, Local</t>
        </is>
      </c>
      <c r="J760" s="5" t="inlineStr">
        <is>
          <t>42</t>
        </is>
      </c>
      <c r="K760" s="5" t="n">
        <v>4214</v>
      </c>
      <c r="L760" s="5" t="inlineStr">
        <is>
          <t>NC</t>
        </is>
      </c>
      <c r="M760" s="5" t="inlineStr">
        <is>
          <t>United Secured Capital 8</t>
        </is>
      </c>
      <c r="N760" s="5" t="inlineStr">
        <is>
          <t>New Deal</t>
        </is>
      </c>
      <c r="O760" s="19" t="n">
        <v>1.36</v>
      </c>
      <c r="P760" s="20" t="n">
        <v>30000</v>
      </c>
      <c r="Q760" s="20" t="n">
        <v>2250</v>
      </c>
      <c r="R760" s="20" t="n">
        <v>40800</v>
      </c>
      <c r="S760" s="20" t="n">
        <v>40800</v>
      </c>
      <c r="T760" s="20" t="n">
        <v>0</v>
      </c>
      <c r="U760" s="21" t="n">
        <v>1</v>
      </c>
      <c r="V760" s="22" t="n">
        <v>3.279</v>
      </c>
      <c r="W760" s="17" t="n">
        <v>1</v>
      </c>
      <c r="X760" s="17" t="n">
        <v>0</v>
      </c>
      <c r="Y760" s="20" t="n">
        <v>101082.98</v>
      </c>
      <c r="Z760" s="21" t="n">
        <v>0.0848</v>
      </c>
      <c r="AA760" s="16" t="n">
        <v>43466</v>
      </c>
      <c r="AB760" s="5">
        <f>IF(V760="","",IF(V760&lt;12,"Months","Weeks"))</f>
        <v/>
      </c>
      <c r="AC760" s="5">
        <f>IF(AB760="","",IF(AB760="Months","Daily","Weekly"))</f>
        <v/>
      </c>
      <c r="AD760" s="17">
        <f>IF(V760="","",IF(AC760="Daily",V760*Controls!$B$13,V760))</f>
        <v/>
      </c>
      <c r="AE760" s="17">
        <f>IF(V760="","",IF(AC760="Daily",V760*Controls!$B$13,V760*Controls!$B$12))</f>
        <v/>
      </c>
      <c r="AF760" s="17">
        <f>IF(OR(E760="",F760=""),"",F760-E760)</f>
        <v/>
      </c>
      <c r="AG760" s="17">
        <f>IF(OR(E760="",F760=""),"",NETWORKDAYS(E760,F760,Ref!$F$4:$F$47))</f>
        <v/>
      </c>
      <c r="AH760" s="39">
        <f>IF(IFERROR(VLOOKUP(D760,Controls!$A$25:$D$35,2,FALSE()),"No")="Yes",1,0)</f>
        <v/>
      </c>
      <c r="AI760" s="39">
        <f>IF(IFERROR(VLOOKUP(D760,Controls!$A$25:$D$35,3,FALSE()),"No")="Yes",1,0)</f>
        <v/>
      </c>
      <c r="AJ760" s="39">
        <f>IF(IFERROR(VLOOKUP(D760,Controls!$A$25:$D$35,4,FALSE()),"No")="Yes",1,0)</f>
        <v/>
      </c>
      <c r="AK760" s="96">
        <f>IF(AND($E760&gt;=Controls!$B$5,$E760&lt;=Controls!$B$6,OR(Controls!$E$9&lt;&gt;"Y",$BE760=1)),1,0)</f>
        <v/>
      </c>
      <c r="AL760" s="39">
        <f>1</f>
        <v/>
      </c>
      <c r="AM760" s="20">
        <f>S760-P760</f>
        <v/>
      </c>
      <c r="AN760" s="20">
        <f>IF(AH760=1,MAX(0,P760-S760),0)</f>
        <v/>
      </c>
      <c r="AO760" s="21">
        <f>IFERROR(S760/P760,"")</f>
        <v/>
      </c>
      <c r="AP760" s="22">
        <f>IF(Y760="","",P760/Y760)</f>
        <v/>
      </c>
      <c r="AQ760" s="39">
        <f>IF(Y760="",0,1)</f>
        <v/>
      </c>
      <c r="AR760" s="39">
        <f>IF(S760&lt;=0,1,0)</f>
        <v/>
      </c>
      <c r="AS760" s="17">
        <f>IF(AH760=1,AG760,"")</f>
        <v/>
      </c>
      <c r="AT760" s="17">
        <f>IF(AND(AH760=0,AJ760=1),AG760,"")</f>
        <v/>
      </c>
      <c r="AU760" s="5">
        <f>IF(P760&lt;10000,"Under $10K",IF(P760&lt;20000,"$10-20K",IF(P760&lt;30000,"$20-30K",IF(P760&lt;50000,"$30-50K",IF(P760&lt;100000,"$50-100K","$100K+")))))</f>
        <v/>
      </c>
      <c r="AV760" s="5">
        <f>IF(O760&lt;=1.35,"1.35 and under",IF(O760&lt;=1.42,"1.36-1.42",IF(O760&lt;=1.45,"1.43-1.45",IF(O760&lt;1.49,"1.46-1.48",IF(O760&lt;=1.49,"1.49","Above 1.49")))))</f>
        <v/>
      </c>
      <c r="AW760" s="5">
        <f>IF(AE760="","",IF(AE760&lt;60,"Under 60",IF(AE760&lt;90,"60-89",IF(AE760&lt;120,"90-119",IF(AE760&lt;150,"120-149","150+")))))</f>
        <v/>
      </c>
      <c r="AX760" s="5">
        <f>IF(AP760="","No revenue data",IF(AP760&lt;0.15,"Under 0.15x",IF(AP760&lt;0.3,"0.15-0.30x",IF(AP760&lt;0.5,"0.30-0.50x",IF(AP760&lt;1,"0.50-1.00x","1.00x+")))))</f>
        <v/>
      </c>
      <c r="AY760" s="5">
        <f>IF(J760="","No SIC",IFERROR(VLOOKUP(J760,Ref!$A$4:$C$67,2,FALSE()),"Unclassified"))</f>
        <v/>
      </c>
      <c r="AZ760" s="5">
        <f>IF(E760="","",TEXT(E760,"YYYY")&amp;"-Q"&amp;ROUNDUP(MONTH(E760)/3,0))</f>
        <v/>
      </c>
      <c r="BA760" s="5">
        <f>IF(E760="","",TEXT(E760,"YYYY-MM"))</f>
        <v/>
      </c>
      <c r="BB760" s="5">
        <f>IF(E760="","",TEXT(E760,"YYYY"))</f>
        <v/>
      </c>
      <c r="BC760" s="92">
        <f>IF($E760="","",NETWORKDAYS($E760,Controls!$B$9,Ref!$F$4:$F$47))</f>
        <v/>
      </c>
      <c r="BD760" s="92">
        <f>IF(OR($AH760=1,$AJ760=1),1,0)</f>
        <v/>
      </c>
      <c r="BE760" s="95">
        <f>IF(OR($BD760=1,AND($AE760&lt;&gt;"",$BC760&gt;=Controls!$B$10*$AE760)),1,0)</f>
        <v/>
      </c>
    </row>
    <row r="761" ht="15.75" customHeight="1" s="79">
      <c r="A761" s="5" t="inlineStr">
        <is>
          <t>5674181052</t>
        </is>
      </c>
      <c r="B761" s="5" t="inlineStr">
        <is>
          <t>SR UNBOUNDED</t>
        </is>
      </c>
      <c r="C761" s="5" t="inlineStr">
        <is>
          <t>SR UNBOUNDED LLC</t>
        </is>
      </c>
      <c r="D761" s="5" t="inlineStr">
        <is>
          <t>Open</t>
        </is>
      </c>
      <c r="E761" s="16" t="n">
        <v>46111</v>
      </c>
      <c r="F761" s="16" t="n">
        <v>46253</v>
      </c>
      <c r="G761" s="17" t="n">
        <v>3</v>
      </c>
      <c r="H761" s="5" t="inlineStr">
        <is>
          <t>5999</t>
        </is>
      </c>
      <c r="I761" s="5" t="inlineStr">
        <is>
          <t>All Other Health and Personal Care Stores</t>
        </is>
      </c>
      <c r="J761" s="5" t="inlineStr">
        <is>
          <t>59</t>
        </is>
      </c>
      <c r="K761" s="5" t="n">
        <v>5999</v>
      </c>
      <c r="L761" s="5" t="inlineStr">
        <is>
          <t>CA</t>
        </is>
      </c>
      <c r="M761" s="5" t="inlineStr">
        <is>
          <t>Shore Funding USA</t>
        </is>
      </c>
      <c r="N761" s="5" t="inlineStr">
        <is>
          <t>Renewal</t>
        </is>
      </c>
      <c r="O761" s="19" t="n">
        <v>1.49</v>
      </c>
      <c r="P761" s="20" t="n">
        <v>16000</v>
      </c>
      <c r="Q761" s="20" t="n">
        <v>2240</v>
      </c>
      <c r="R761" s="20" t="n">
        <v>23840</v>
      </c>
      <c r="S761" s="20" t="n">
        <v>7368.82</v>
      </c>
      <c r="T761" s="20" t="n">
        <v>16471.18</v>
      </c>
      <c r="U761" s="21" t="n">
        <v>0.309094798657718</v>
      </c>
      <c r="V761" s="22" t="n">
        <v>3.607</v>
      </c>
      <c r="W761" s="17" t="n">
        <v>0</v>
      </c>
      <c r="X761" s="17" t="n">
        <v>24</v>
      </c>
      <c r="Y761" s="20" t="n">
        <v>19576</v>
      </c>
      <c r="Z761" s="21" t="n">
        <v>0.2325</v>
      </c>
      <c r="AA761" s="16" t="n">
        <v>43863</v>
      </c>
      <c r="AB761" s="5">
        <f>IF(V761="","",IF(V761&lt;12,"Months","Weeks"))</f>
        <v/>
      </c>
      <c r="AC761" s="5">
        <f>IF(AB761="","",IF(AB761="Months","Daily","Weekly"))</f>
        <v/>
      </c>
      <c r="AD761" s="17">
        <f>IF(V761="","",IF(AC761="Daily",V761*Controls!$B$13,V761))</f>
        <v/>
      </c>
      <c r="AE761" s="17">
        <f>IF(V761="","",IF(AC761="Daily",V761*Controls!$B$13,V761*Controls!$B$12))</f>
        <v/>
      </c>
      <c r="AF761" s="17">
        <f>IF(OR(E761="",F761=""),"",F761-E761)</f>
        <v/>
      </c>
      <c r="AG761" s="17">
        <f>IF(OR(E761="",F761=""),"",NETWORKDAYS(E761,F761,Ref!$F$4:$F$47))</f>
        <v/>
      </c>
      <c r="AH761" s="39">
        <f>IF(IFERROR(VLOOKUP(D761,Controls!$A$25:$D$35,2,FALSE()),"No")="Yes",1,0)</f>
        <v/>
      </c>
      <c r="AI761" s="39">
        <f>IF(IFERROR(VLOOKUP(D761,Controls!$A$25:$D$35,3,FALSE()),"No")="Yes",1,0)</f>
        <v/>
      </c>
      <c r="AJ761" s="39">
        <f>IF(IFERROR(VLOOKUP(D761,Controls!$A$25:$D$35,4,FALSE()),"No")="Yes",1,0)</f>
        <v/>
      </c>
      <c r="AK761" s="96">
        <f>IF(AND($E761&gt;=Controls!$B$5,$E761&lt;=Controls!$B$6,OR(Controls!$E$9&lt;&gt;"Y",$BE761=1)),1,0)</f>
        <v/>
      </c>
      <c r="AL761" s="39">
        <f>1</f>
        <v/>
      </c>
      <c r="AM761" s="20">
        <f>S761-P761</f>
        <v/>
      </c>
      <c r="AN761" s="20">
        <f>IF(AH761=1,MAX(0,P761-S761),0)</f>
        <v/>
      </c>
      <c r="AO761" s="21">
        <f>IFERROR(S761/P761,"")</f>
        <v/>
      </c>
      <c r="AP761" s="22">
        <f>IF(Y761="","",P761/Y761)</f>
        <v/>
      </c>
      <c r="AQ761" s="39">
        <f>IF(Y761="",0,1)</f>
        <v/>
      </c>
      <c r="AR761" s="39">
        <f>IF(S761&lt;=0,1,0)</f>
        <v/>
      </c>
      <c r="AS761" s="17">
        <f>IF(AH761=1,AG761,"")</f>
        <v/>
      </c>
      <c r="AT761" s="17">
        <f>IF(AND(AH761=0,AJ761=1),AG761,"")</f>
        <v/>
      </c>
      <c r="AU761" s="5">
        <f>IF(P761&lt;10000,"Under $10K",IF(P761&lt;20000,"$10-20K",IF(P761&lt;30000,"$20-30K",IF(P761&lt;50000,"$30-50K",IF(P761&lt;100000,"$50-100K","$100K+")))))</f>
        <v/>
      </c>
      <c r="AV761" s="5">
        <f>IF(O761&lt;=1.35,"1.35 and under",IF(O761&lt;=1.42,"1.36-1.42",IF(O761&lt;=1.45,"1.43-1.45",IF(O761&lt;1.49,"1.46-1.48",IF(O761&lt;=1.49,"1.49","Above 1.49")))))</f>
        <v/>
      </c>
      <c r="AW761" s="5">
        <f>IF(AE761="","",IF(AE761&lt;60,"Under 60",IF(AE761&lt;90,"60-89",IF(AE761&lt;120,"90-119",IF(AE761&lt;150,"120-149","150+")))))</f>
        <v/>
      </c>
      <c r="AX761" s="5">
        <f>IF(AP761="","No revenue data",IF(AP761&lt;0.15,"Under 0.15x",IF(AP761&lt;0.3,"0.15-0.30x",IF(AP761&lt;0.5,"0.30-0.50x",IF(AP761&lt;1,"0.50-1.00x","1.00x+")))))</f>
        <v/>
      </c>
      <c r="AY761" s="5">
        <f>IF(J761="","No SIC",IFERROR(VLOOKUP(J761,Ref!$A$4:$C$67,2,FALSE()),"Unclassified"))</f>
        <v/>
      </c>
      <c r="AZ761" s="5">
        <f>IF(E761="","",TEXT(E761,"YYYY")&amp;"-Q"&amp;ROUNDUP(MONTH(E761)/3,0))</f>
        <v/>
      </c>
      <c r="BA761" s="5">
        <f>IF(E761="","",TEXT(E761,"YYYY-MM"))</f>
        <v/>
      </c>
      <c r="BB761" s="5">
        <f>IF(E761="","",TEXT(E761,"YYYY"))</f>
        <v/>
      </c>
      <c r="BC761" s="92">
        <f>IF($E761="","",NETWORKDAYS($E761,Controls!$B$9,Ref!$F$4:$F$47))</f>
        <v/>
      </c>
      <c r="BD761" s="92">
        <f>IF(OR($AH761=1,$AJ761=1),1,0)</f>
        <v/>
      </c>
      <c r="BE761" s="95">
        <f>IF(OR($BD761=1,AND($AE761&lt;&gt;"",$BC761&gt;=Controls!$B$10*$AE761)),1,0)</f>
        <v/>
      </c>
    </row>
    <row r="762" ht="15.75" customHeight="1" s="79">
      <c r="A762" s="5" t="inlineStr">
        <is>
          <t>5674181104</t>
        </is>
      </c>
      <c r="B762" s="5" t="inlineStr">
        <is>
          <t>Baby Boss Auto Shop</t>
        </is>
      </c>
      <c r="C762" s="5" t="inlineStr">
        <is>
          <t>Carlos A Jamie</t>
        </is>
      </c>
      <c r="D762" s="5" t="inlineStr">
        <is>
          <t>Open</t>
        </is>
      </c>
      <c r="E762" s="16" t="n">
        <v>46112</v>
      </c>
      <c r="F762" s="16" t="n">
        <v>46247</v>
      </c>
      <c r="G762" s="17" t="n">
        <v>3</v>
      </c>
      <c r="H762" s="5" t="inlineStr">
        <is>
          <t>7538</t>
        </is>
      </c>
      <c r="I762" s="5" t="inlineStr">
        <is>
          <t>General Automotive Repair</t>
        </is>
      </c>
      <c r="J762" s="5" t="inlineStr">
        <is>
          <t>75</t>
        </is>
      </c>
      <c r="K762" s="5" t="n">
        <v>7538</v>
      </c>
      <c r="L762" s="5" t="inlineStr">
        <is>
          <t>TX</t>
        </is>
      </c>
      <c r="M762" s="5" t="inlineStr">
        <is>
          <t>Ballicci</t>
        </is>
      </c>
      <c r="N762" s="5" t="inlineStr">
        <is>
          <t>Renewal</t>
        </is>
      </c>
      <c r="O762" s="19" t="n">
        <v>1.49</v>
      </c>
      <c r="P762" s="20" t="n">
        <v>30000</v>
      </c>
      <c r="Q762" s="20" t="n">
        <v>4500</v>
      </c>
      <c r="R762" s="20" t="n">
        <v>44700</v>
      </c>
      <c r="S762" s="20" t="n">
        <v>17139.14</v>
      </c>
      <c r="T762" s="20" t="n">
        <v>27560.86</v>
      </c>
      <c r="U762" s="21" t="n">
        <v>0.383425950782998</v>
      </c>
      <c r="V762" s="22" t="n">
        <v>3.934</v>
      </c>
      <c r="W762" s="17" t="n">
        <v>75</v>
      </c>
      <c r="X762" s="17" t="n">
        <v>49</v>
      </c>
      <c r="Y762" s="20" t="n">
        <v>50675.93</v>
      </c>
      <c r="Z762" s="21" t="n">
        <v>0.1544</v>
      </c>
      <c r="AA762" s="16" t="n">
        <v>44845</v>
      </c>
      <c r="AB762" s="5">
        <f>IF(V762="","",IF(V762&lt;12,"Months","Weeks"))</f>
        <v/>
      </c>
      <c r="AC762" s="5">
        <f>IF(AB762="","",IF(AB762="Months","Daily","Weekly"))</f>
        <v/>
      </c>
      <c r="AD762" s="17">
        <f>IF(V762="","",IF(AC762="Daily",V762*Controls!$B$13,V762))</f>
        <v/>
      </c>
      <c r="AE762" s="17">
        <f>IF(V762="","",IF(AC762="Daily",V762*Controls!$B$13,V762*Controls!$B$12))</f>
        <v/>
      </c>
      <c r="AF762" s="17">
        <f>IF(OR(E762="",F762=""),"",F762-E762)</f>
        <v/>
      </c>
      <c r="AG762" s="17">
        <f>IF(OR(E762="",F762=""),"",NETWORKDAYS(E762,F762,Ref!$F$4:$F$47))</f>
        <v/>
      </c>
      <c r="AH762" s="39">
        <f>IF(IFERROR(VLOOKUP(D762,Controls!$A$25:$D$35,2,FALSE()),"No")="Yes",1,0)</f>
        <v/>
      </c>
      <c r="AI762" s="39">
        <f>IF(IFERROR(VLOOKUP(D762,Controls!$A$25:$D$35,3,FALSE()),"No")="Yes",1,0)</f>
        <v/>
      </c>
      <c r="AJ762" s="39">
        <f>IF(IFERROR(VLOOKUP(D762,Controls!$A$25:$D$35,4,FALSE()),"No")="Yes",1,0)</f>
        <v/>
      </c>
      <c r="AK762" s="96">
        <f>IF(AND($E762&gt;=Controls!$B$5,$E762&lt;=Controls!$B$6,OR(Controls!$E$9&lt;&gt;"Y",$BE762=1)),1,0)</f>
        <v/>
      </c>
      <c r="AL762" s="39">
        <f>1</f>
        <v/>
      </c>
      <c r="AM762" s="20">
        <f>S762-P762</f>
        <v/>
      </c>
      <c r="AN762" s="20">
        <f>IF(AH762=1,MAX(0,P762-S762),0)</f>
        <v/>
      </c>
      <c r="AO762" s="21">
        <f>IFERROR(S762/P762,"")</f>
        <v/>
      </c>
      <c r="AP762" s="22">
        <f>IF(Y762="","",P762/Y762)</f>
        <v/>
      </c>
      <c r="AQ762" s="39">
        <f>IF(Y762="",0,1)</f>
        <v/>
      </c>
      <c r="AR762" s="39">
        <f>IF(S762&lt;=0,1,0)</f>
        <v/>
      </c>
      <c r="AS762" s="17">
        <f>IF(AH762=1,AG762,"")</f>
        <v/>
      </c>
      <c r="AT762" s="17">
        <f>IF(AND(AH762=0,AJ762=1),AG762,"")</f>
        <v/>
      </c>
      <c r="AU762" s="5">
        <f>IF(P762&lt;10000,"Under $10K",IF(P762&lt;20000,"$10-20K",IF(P762&lt;30000,"$20-30K",IF(P762&lt;50000,"$30-50K",IF(P762&lt;100000,"$50-100K","$100K+")))))</f>
        <v/>
      </c>
      <c r="AV762" s="5">
        <f>IF(O762&lt;=1.35,"1.35 and under",IF(O762&lt;=1.42,"1.36-1.42",IF(O762&lt;=1.45,"1.43-1.45",IF(O762&lt;1.49,"1.46-1.48",IF(O762&lt;=1.49,"1.49","Above 1.49")))))</f>
        <v/>
      </c>
      <c r="AW762" s="5">
        <f>IF(AE762="","",IF(AE762&lt;60,"Under 60",IF(AE762&lt;90,"60-89",IF(AE762&lt;120,"90-119",IF(AE762&lt;150,"120-149","150+")))))</f>
        <v/>
      </c>
      <c r="AX762" s="5">
        <f>IF(AP762="","No revenue data",IF(AP762&lt;0.15,"Under 0.15x",IF(AP762&lt;0.3,"0.15-0.30x",IF(AP762&lt;0.5,"0.30-0.50x",IF(AP762&lt;1,"0.50-1.00x","1.00x+")))))</f>
        <v/>
      </c>
      <c r="AY762" s="5">
        <f>IF(J762="","No SIC",IFERROR(VLOOKUP(J762,Ref!$A$4:$C$67,2,FALSE()),"Unclassified"))</f>
        <v/>
      </c>
      <c r="AZ762" s="5">
        <f>IF(E762="","",TEXT(E762,"YYYY")&amp;"-Q"&amp;ROUNDUP(MONTH(E762)/3,0))</f>
        <v/>
      </c>
      <c r="BA762" s="5">
        <f>IF(E762="","",TEXT(E762,"YYYY-MM"))</f>
        <v/>
      </c>
      <c r="BB762" s="5">
        <f>IF(E762="","",TEXT(E762,"YYYY"))</f>
        <v/>
      </c>
      <c r="BC762" s="92">
        <f>IF($E762="","",NETWORKDAYS($E762,Controls!$B$9,Ref!$F$4:$F$47))</f>
        <v/>
      </c>
      <c r="BD762" s="92">
        <f>IF(OR($AH762=1,$AJ762=1),1,0)</f>
        <v/>
      </c>
      <c r="BE762" s="95">
        <f>IF(OR($BD762=1,AND($AE762&lt;&gt;"",$BC762&gt;=Controls!$B$10*$AE762)),1,0)</f>
        <v/>
      </c>
    </row>
    <row r="763" ht="15.75" customHeight="1" s="79">
      <c r="A763" s="5" t="inlineStr">
        <is>
          <t>5674181110</t>
        </is>
      </c>
      <c r="B763" s="5" t="inlineStr">
        <is>
          <t>Hollins &amp; Associates</t>
        </is>
      </c>
      <c r="C763" s="5" t="inlineStr">
        <is>
          <t>Hollins &amp; Associates</t>
        </is>
      </c>
      <c r="D763" s="5" t="inlineStr">
        <is>
          <t>Closed</t>
        </is>
      </c>
      <c r="E763" s="16" t="n">
        <v>46112</v>
      </c>
      <c r="F763" s="16" t="n">
        <v>46169</v>
      </c>
      <c r="G763" s="17" t="n">
        <v>3</v>
      </c>
      <c r="H763" s="5" t="inlineStr">
        <is>
          <t>8721</t>
        </is>
      </c>
      <c r="I763" s="5" t="inlineStr">
        <is>
          <t>Other Accounting Services</t>
        </is>
      </c>
      <c r="J763" s="5" t="inlineStr">
        <is>
          <t>87</t>
        </is>
      </c>
      <c r="K763" s="5" t="n">
        <v>8931</v>
      </c>
      <c r="L763" s="5" t="inlineStr">
        <is>
          <t>TX</t>
        </is>
      </c>
      <c r="M763" s="5" t="inlineStr">
        <is>
          <t>TRUSTFI</t>
        </is>
      </c>
      <c r="N763" s="5" t="inlineStr">
        <is>
          <t>New Deal</t>
        </is>
      </c>
      <c r="O763" s="19" t="n">
        <v>1.3972744</v>
      </c>
      <c r="P763" s="20" t="n">
        <v>25000</v>
      </c>
      <c r="Q763" s="20" t="n">
        <v>3000</v>
      </c>
      <c r="R763" s="20" t="n">
        <v>34931.86</v>
      </c>
      <c r="S763" s="20" t="n">
        <v>34931.86</v>
      </c>
      <c r="T763" s="20" t="n">
        <v>0</v>
      </c>
      <c r="U763" s="21" t="n">
        <v>1</v>
      </c>
      <c r="V763" s="22" t="n">
        <v>22</v>
      </c>
      <c r="W763" s="17" t="n">
        <v>91</v>
      </c>
      <c r="X763" s="17" t="n">
        <v>0</v>
      </c>
      <c r="Y763" s="20" t="n">
        <v>14086.41</v>
      </c>
      <c r="Z763" s="21" t="n">
        <v>0.4679</v>
      </c>
      <c r="AA763" s="16" t="n">
        <v>42005</v>
      </c>
      <c r="AB763" s="5">
        <f>IF(V763="","",IF(V763&lt;12,"Months","Weeks"))</f>
        <v/>
      </c>
      <c r="AC763" s="5">
        <f>IF(AB763="","",IF(AB763="Months","Daily","Weekly"))</f>
        <v/>
      </c>
      <c r="AD763" s="17">
        <f>IF(V763="","",IF(AC763="Daily",V763*Controls!$B$13,V763))</f>
        <v/>
      </c>
      <c r="AE763" s="17">
        <f>IF(V763="","",IF(AC763="Daily",V763*Controls!$B$13,V763*Controls!$B$12))</f>
        <v/>
      </c>
      <c r="AF763" s="17">
        <f>IF(OR(E763="",F763=""),"",F763-E763)</f>
        <v/>
      </c>
      <c r="AG763" s="17">
        <f>IF(OR(E763="",F763=""),"",NETWORKDAYS(E763,F763,Ref!$F$4:$F$47))</f>
        <v/>
      </c>
      <c r="AH763" s="39">
        <f>IF(IFERROR(VLOOKUP(D763,Controls!$A$25:$D$35,2,FALSE()),"No")="Yes",1,0)</f>
        <v/>
      </c>
      <c r="AI763" s="39">
        <f>IF(IFERROR(VLOOKUP(D763,Controls!$A$25:$D$35,3,FALSE()),"No")="Yes",1,0)</f>
        <v/>
      </c>
      <c r="AJ763" s="39">
        <f>IF(IFERROR(VLOOKUP(D763,Controls!$A$25:$D$35,4,FALSE()),"No")="Yes",1,0)</f>
        <v/>
      </c>
      <c r="AK763" s="96">
        <f>IF(AND($E763&gt;=Controls!$B$5,$E763&lt;=Controls!$B$6,OR(Controls!$E$9&lt;&gt;"Y",$BE763=1)),1,0)</f>
        <v/>
      </c>
      <c r="AL763" s="39">
        <f>1</f>
        <v/>
      </c>
      <c r="AM763" s="20">
        <f>S763-P763</f>
        <v/>
      </c>
      <c r="AN763" s="20">
        <f>IF(AH763=1,MAX(0,P763-S763),0)</f>
        <v/>
      </c>
      <c r="AO763" s="21">
        <f>IFERROR(S763/P763,"")</f>
        <v/>
      </c>
      <c r="AP763" s="22">
        <f>IF(Y763="","",P763/Y763)</f>
        <v/>
      </c>
      <c r="AQ763" s="39">
        <f>IF(Y763="",0,1)</f>
        <v/>
      </c>
      <c r="AR763" s="39">
        <f>IF(S763&lt;=0,1,0)</f>
        <v/>
      </c>
      <c r="AS763" s="17">
        <f>IF(AH763=1,AG763,"")</f>
        <v/>
      </c>
      <c r="AT763" s="17">
        <f>IF(AND(AH763=0,AJ763=1),AG763,"")</f>
        <v/>
      </c>
      <c r="AU763" s="5">
        <f>IF(P763&lt;10000,"Under $10K",IF(P763&lt;20000,"$10-20K",IF(P763&lt;30000,"$20-30K",IF(P763&lt;50000,"$30-50K",IF(P763&lt;100000,"$50-100K","$100K+")))))</f>
        <v/>
      </c>
      <c r="AV763" s="5">
        <f>IF(O763&lt;=1.35,"1.35 and under",IF(O763&lt;=1.42,"1.36-1.42",IF(O763&lt;=1.45,"1.43-1.45",IF(O763&lt;1.49,"1.46-1.48",IF(O763&lt;=1.49,"1.49","Above 1.49")))))</f>
        <v/>
      </c>
      <c r="AW763" s="5">
        <f>IF(AE763="","",IF(AE763&lt;60,"Under 60",IF(AE763&lt;90,"60-89",IF(AE763&lt;120,"90-119",IF(AE763&lt;150,"120-149","150+")))))</f>
        <v/>
      </c>
      <c r="AX763" s="5">
        <f>IF(AP763="","No revenue data",IF(AP763&lt;0.15,"Under 0.15x",IF(AP763&lt;0.3,"0.15-0.30x",IF(AP763&lt;0.5,"0.30-0.50x",IF(AP763&lt;1,"0.50-1.00x","1.00x+")))))</f>
        <v/>
      </c>
      <c r="AY763" s="5">
        <f>IF(J763="","No SIC",IFERROR(VLOOKUP(J763,Ref!$A$4:$C$67,2,FALSE()),"Unclassified"))</f>
        <v/>
      </c>
      <c r="AZ763" s="5">
        <f>IF(E763="","",TEXT(E763,"YYYY")&amp;"-Q"&amp;ROUNDUP(MONTH(E763)/3,0))</f>
        <v/>
      </c>
      <c r="BA763" s="5">
        <f>IF(E763="","",TEXT(E763,"YYYY-MM"))</f>
        <v/>
      </c>
      <c r="BB763" s="5">
        <f>IF(E763="","",TEXT(E763,"YYYY"))</f>
        <v/>
      </c>
      <c r="BC763" s="92">
        <f>IF($E763="","",NETWORKDAYS($E763,Controls!$B$9,Ref!$F$4:$F$47))</f>
        <v/>
      </c>
      <c r="BD763" s="92">
        <f>IF(OR($AH763=1,$AJ763=1),1,0)</f>
        <v/>
      </c>
      <c r="BE763" s="95">
        <f>IF(OR($BD763=1,AND($AE763&lt;&gt;"",$BC763&gt;=Controls!$B$10*$AE763)),1,0)</f>
        <v/>
      </c>
    </row>
    <row r="764" ht="15.75" customHeight="1" s="79">
      <c r="A764" s="5" t="inlineStr">
        <is>
          <t>5674181173</t>
        </is>
      </c>
      <c r="B764" s="5" t="inlineStr">
        <is>
          <t>FEDL Monique Bakery</t>
        </is>
      </c>
      <c r="C764" s="5" t="inlineStr">
        <is>
          <t>FEDL MONIQUE BAKERIES INC</t>
        </is>
      </c>
      <c r="D764" s="5" t="inlineStr">
        <is>
          <t>Open</t>
        </is>
      </c>
      <c r="E764" s="16" t="n">
        <v>46112</v>
      </c>
      <c r="F764" s="16" t="n">
        <v>46252</v>
      </c>
      <c r="G764" s="17" t="n">
        <v>2</v>
      </c>
      <c r="H764" s="5" t="inlineStr">
        <is>
          <t>2051</t>
        </is>
      </c>
      <c r="I764" s="5" t="inlineStr">
        <is>
          <t>Frozen Cakes, Pies, and Other Pastries Mfg.</t>
        </is>
      </c>
      <c r="J764" s="5" t="inlineStr">
        <is>
          <t>20</t>
        </is>
      </c>
      <c r="K764" s="5" t="n">
        <v>5462</v>
      </c>
      <c r="L764" s="5" t="inlineStr">
        <is>
          <t>TX</t>
        </is>
      </c>
      <c r="M764" s="5" t="inlineStr">
        <is>
          <t>Fidelity Funding</t>
        </is>
      </c>
      <c r="N764" s="5" t="inlineStr">
        <is>
          <t>Renewal</t>
        </is>
      </c>
      <c r="O764" s="19" t="n">
        <v>1.49</v>
      </c>
      <c r="P764" s="20" t="n">
        <v>55000</v>
      </c>
      <c r="Q764" s="20" t="n">
        <v>7700</v>
      </c>
      <c r="R764" s="20" t="n">
        <v>81950</v>
      </c>
      <c r="S764" s="20" t="n">
        <v>46114.56</v>
      </c>
      <c r="T764" s="20" t="n">
        <v>35835.44</v>
      </c>
      <c r="U764" s="21" t="n">
        <v>0.5627158023184869</v>
      </c>
      <c r="V764" s="22" t="n">
        <v>32</v>
      </c>
      <c r="W764" s="17" t="n">
        <v>1</v>
      </c>
      <c r="X764" s="17" t="n">
        <v>2</v>
      </c>
      <c r="Y764" s="20" t="n">
        <v>94974</v>
      </c>
      <c r="Z764" s="21" t="n">
        <v>0.1079</v>
      </c>
      <c r="AA764" s="5" t="n"/>
      <c r="AB764" s="5">
        <f>IF(V764="","",IF(V764&lt;12,"Months","Weeks"))</f>
        <v/>
      </c>
      <c r="AC764" s="5">
        <f>IF(AB764="","",IF(AB764="Months","Daily","Weekly"))</f>
        <v/>
      </c>
      <c r="AD764" s="17">
        <f>IF(V764="","",IF(AC764="Daily",V764*Controls!$B$13,V764))</f>
        <v/>
      </c>
      <c r="AE764" s="17">
        <f>IF(V764="","",IF(AC764="Daily",V764*Controls!$B$13,V764*Controls!$B$12))</f>
        <v/>
      </c>
      <c r="AF764" s="17">
        <f>IF(OR(E764="",F764=""),"",F764-E764)</f>
        <v/>
      </c>
      <c r="AG764" s="17">
        <f>IF(OR(E764="",F764=""),"",NETWORKDAYS(E764,F764,Ref!$F$4:$F$47))</f>
        <v/>
      </c>
      <c r="AH764" s="39">
        <f>IF(IFERROR(VLOOKUP(D764,Controls!$A$25:$D$35,2,FALSE()),"No")="Yes",1,0)</f>
        <v/>
      </c>
      <c r="AI764" s="39">
        <f>IF(IFERROR(VLOOKUP(D764,Controls!$A$25:$D$35,3,FALSE()),"No")="Yes",1,0)</f>
        <v/>
      </c>
      <c r="AJ764" s="39">
        <f>IF(IFERROR(VLOOKUP(D764,Controls!$A$25:$D$35,4,FALSE()),"No")="Yes",1,0)</f>
        <v/>
      </c>
      <c r="AK764" s="96">
        <f>IF(AND($E764&gt;=Controls!$B$5,$E764&lt;=Controls!$B$6,OR(Controls!$E$9&lt;&gt;"Y",$BE764=1)),1,0)</f>
        <v/>
      </c>
      <c r="AL764" s="39">
        <f>1</f>
        <v/>
      </c>
      <c r="AM764" s="20">
        <f>S764-P764</f>
        <v/>
      </c>
      <c r="AN764" s="20">
        <f>IF(AH764=1,MAX(0,P764-S764),0)</f>
        <v/>
      </c>
      <c r="AO764" s="21">
        <f>IFERROR(S764/P764,"")</f>
        <v/>
      </c>
      <c r="AP764" s="22">
        <f>IF(Y764="","",P764/Y764)</f>
        <v/>
      </c>
      <c r="AQ764" s="39">
        <f>IF(Y764="",0,1)</f>
        <v/>
      </c>
      <c r="AR764" s="39">
        <f>IF(S764&lt;=0,1,0)</f>
        <v/>
      </c>
      <c r="AS764" s="17">
        <f>IF(AH764=1,AG764,"")</f>
        <v/>
      </c>
      <c r="AT764" s="17">
        <f>IF(AND(AH764=0,AJ764=1),AG764,"")</f>
        <v/>
      </c>
      <c r="AU764" s="5">
        <f>IF(P764&lt;10000,"Under $10K",IF(P764&lt;20000,"$10-20K",IF(P764&lt;30000,"$20-30K",IF(P764&lt;50000,"$30-50K",IF(P764&lt;100000,"$50-100K","$100K+")))))</f>
        <v/>
      </c>
      <c r="AV764" s="5">
        <f>IF(O764&lt;=1.35,"1.35 and under",IF(O764&lt;=1.42,"1.36-1.42",IF(O764&lt;=1.45,"1.43-1.45",IF(O764&lt;1.49,"1.46-1.48",IF(O764&lt;=1.49,"1.49","Above 1.49")))))</f>
        <v/>
      </c>
      <c r="AW764" s="5">
        <f>IF(AE764="","",IF(AE764&lt;60,"Under 60",IF(AE764&lt;90,"60-89",IF(AE764&lt;120,"90-119",IF(AE764&lt;150,"120-149","150+")))))</f>
        <v/>
      </c>
      <c r="AX764" s="5">
        <f>IF(AP764="","No revenue data",IF(AP764&lt;0.15,"Under 0.15x",IF(AP764&lt;0.3,"0.15-0.30x",IF(AP764&lt;0.5,"0.30-0.50x",IF(AP764&lt;1,"0.50-1.00x","1.00x+")))))</f>
        <v/>
      </c>
      <c r="AY764" s="5">
        <f>IF(J764="","No SIC",IFERROR(VLOOKUP(J764,Ref!$A$4:$C$67,2,FALSE()),"Unclassified"))</f>
        <v/>
      </c>
      <c r="AZ764" s="5">
        <f>IF(E764="","",TEXT(E764,"YYYY")&amp;"-Q"&amp;ROUNDUP(MONTH(E764)/3,0))</f>
        <v/>
      </c>
      <c r="BA764" s="5">
        <f>IF(E764="","",TEXT(E764,"YYYY-MM"))</f>
        <v/>
      </c>
      <c r="BB764" s="5">
        <f>IF(E764="","",TEXT(E764,"YYYY"))</f>
        <v/>
      </c>
      <c r="BC764" s="92">
        <f>IF($E764="","",NETWORKDAYS($E764,Controls!$B$9,Ref!$F$4:$F$47))</f>
        <v/>
      </c>
      <c r="BD764" s="92">
        <f>IF(OR($AH764=1,$AJ764=1),1,0)</f>
        <v/>
      </c>
      <c r="BE764" s="95">
        <f>IF(OR($BD764=1,AND($AE764&lt;&gt;"",$BC764&gt;=Controls!$B$10*$AE764)),1,0)</f>
        <v/>
      </c>
    </row>
    <row r="765" ht="15.75" customHeight="1" s="79">
      <c r="A765" s="5" t="inlineStr">
        <is>
          <t>5674181224</t>
        </is>
      </c>
      <c r="B765" s="5" t="inlineStr">
        <is>
          <t>THP</t>
        </is>
      </c>
      <c r="C765" s="5" t="inlineStr">
        <is>
          <t>RELAXATION GROUP LLC</t>
        </is>
      </c>
      <c r="D765" s="5" t="inlineStr">
        <is>
          <t>In House Collection</t>
        </is>
      </c>
      <c r="E765" s="16" t="n">
        <v>46113</v>
      </c>
      <c r="F765" s="16" t="n">
        <v>46190</v>
      </c>
      <c r="G765" s="17" t="n">
        <v>3</v>
      </c>
      <c r="H765" s="5" t="inlineStr">
        <is>
          <t>5399</t>
        </is>
      </c>
      <c r="I765" s="5" t="inlineStr">
        <is>
          <t>All Other General Merchandise Stores</t>
        </is>
      </c>
      <c r="J765" s="5" t="inlineStr">
        <is>
          <t>53</t>
        </is>
      </c>
      <c r="K765" s="5" t="n">
        <v>5399</v>
      </c>
      <c r="L765" s="5" t="inlineStr">
        <is>
          <t>TX</t>
        </is>
      </c>
      <c r="M765" s="5" t="inlineStr">
        <is>
          <t>Upwise capital</t>
        </is>
      </c>
      <c r="N765" s="5" t="inlineStr">
        <is>
          <t>New Deal</t>
        </is>
      </c>
      <c r="O765" s="19" t="n">
        <v>1.49</v>
      </c>
      <c r="P765" s="20" t="n">
        <v>3000</v>
      </c>
      <c r="Q765" s="20" t="n">
        <v>420</v>
      </c>
      <c r="R765" s="20" t="n">
        <v>4470</v>
      </c>
      <c r="S765" s="20" t="n">
        <v>2554</v>
      </c>
      <c r="T765" s="20" t="n">
        <v>1916</v>
      </c>
      <c r="U765" s="21" t="n">
        <v>0.571364653243848</v>
      </c>
      <c r="V765" s="22" t="n">
        <v>2.295</v>
      </c>
      <c r="W765" s="17" t="n">
        <v>65</v>
      </c>
      <c r="X765" s="17" t="n">
        <v>9</v>
      </c>
      <c r="Y765" s="20" t="n">
        <v>11618.3</v>
      </c>
      <c r="Z765" s="21" t="n">
        <v>0.1154</v>
      </c>
      <c r="AA765" s="16" t="n">
        <v>45675</v>
      </c>
      <c r="AB765" s="5">
        <f>IF(V765="","",IF(V765&lt;12,"Months","Weeks"))</f>
        <v/>
      </c>
      <c r="AC765" s="5">
        <f>IF(AB765="","",IF(AB765="Months","Daily","Weekly"))</f>
        <v/>
      </c>
      <c r="AD765" s="17">
        <f>IF(V765="","",IF(AC765="Daily",V765*Controls!$B$13,V765))</f>
        <v/>
      </c>
      <c r="AE765" s="17">
        <f>IF(V765="","",IF(AC765="Daily",V765*Controls!$B$13,V765*Controls!$B$12))</f>
        <v/>
      </c>
      <c r="AF765" s="17">
        <f>IF(OR(E765="",F765=""),"",F765-E765)</f>
        <v/>
      </c>
      <c r="AG765" s="17">
        <f>IF(OR(E765="",F765=""),"",NETWORKDAYS(E765,F765,Ref!$F$4:$F$47))</f>
        <v/>
      </c>
      <c r="AH765" s="39">
        <f>IF(IFERROR(VLOOKUP(D765,Controls!$A$25:$D$35,2,FALSE()),"No")="Yes",1,0)</f>
        <v/>
      </c>
      <c r="AI765" s="39">
        <f>IF(IFERROR(VLOOKUP(D765,Controls!$A$25:$D$35,3,FALSE()),"No")="Yes",1,0)</f>
        <v/>
      </c>
      <c r="AJ765" s="39">
        <f>IF(IFERROR(VLOOKUP(D765,Controls!$A$25:$D$35,4,FALSE()),"No")="Yes",1,0)</f>
        <v/>
      </c>
      <c r="AK765" s="96">
        <f>IF(AND($E765&gt;=Controls!$B$5,$E765&lt;=Controls!$B$6,OR(Controls!$E$9&lt;&gt;"Y",$BE765=1)),1,0)</f>
        <v/>
      </c>
      <c r="AL765" s="39">
        <f>1</f>
        <v/>
      </c>
      <c r="AM765" s="20">
        <f>S765-P765</f>
        <v/>
      </c>
      <c r="AN765" s="20">
        <f>IF(AH765=1,MAX(0,P765-S765),0)</f>
        <v/>
      </c>
      <c r="AO765" s="21">
        <f>IFERROR(S765/P765,"")</f>
        <v/>
      </c>
      <c r="AP765" s="22">
        <f>IF(Y765="","",P765/Y765)</f>
        <v/>
      </c>
      <c r="AQ765" s="39">
        <f>IF(Y765="",0,1)</f>
        <v/>
      </c>
      <c r="AR765" s="39">
        <f>IF(S765&lt;=0,1,0)</f>
        <v/>
      </c>
      <c r="AS765" s="17">
        <f>IF(AH765=1,AG765,"")</f>
        <v/>
      </c>
      <c r="AT765" s="17">
        <f>IF(AND(AH765=0,AJ765=1),AG765,"")</f>
        <v/>
      </c>
      <c r="AU765" s="5">
        <f>IF(P765&lt;10000,"Under $10K",IF(P765&lt;20000,"$10-20K",IF(P765&lt;30000,"$20-30K",IF(P765&lt;50000,"$30-50K",IF(P765&lt;100000,"$50-100K","$100K+")))))</f>
        <v/>
      </c>
      <c r="AV765" s="5">
        <f>IF(O765&lt;=1.35,"1.35 and under",IF(O765&lt;=1.42,"1.36-1.42",IF(O765&lt;=1.45,"1.43-1.45",IF(O765&lt;1.49,"1.46-1.48",IF(O765&lt;=1.49,"1.49","Above 1.49")))))</f>
        <v/>
      </c>
      <c r="AW765" s="5">
        <f>IF(AE765="","",IF(AE765&lt;60,"Under 60",IF(AE765&lt;90,"60-89",IF(AE765&lt;120,"90-119",IF(AE765&lt;150,"120-149","150+")))))</f>
        <v/>
      </c>
      <c r="AX765" s="5">
        <f>IF(AP765="","No revenue data",IF(AP765&lt;0.15,"Under 0.15x",IF(AP765&lt;0.3,"0.15-0.30x",IF(AP765&lt;0.5,"0.30-0.50x",IF(AP765&lt;1,"0.50-1.00x","1.00x+")))))</f>
        <v/>
      </c>
      <c r="AY765" s="5">
        <f>IF(J765="","No SIC",IFERROR(VLOOKUP(J765,Ref!$A$4:$C$67,2,FALSE()),"Unclassified"))</f>
        <v/>
      </c>
      <c r="AZ765" s="5">
        <f>IF(E765="","",TEXT(E765,"YYYY")&amp;"-Q"&amp;ROUNDUP(MONTH(E765)/3,0))</f>
        <v/>
      </c>
      <c r="BA765" s="5">
        <f>IF(E765="","",TEXT(E765,"YYYY-MM"))</f>
        <v/>
      </c>
      <c r="BB765" s="5">
        <f>IF(E765="","",TEXT(E765,"YYYY"))</f>
        <v/>
      </c>
      <c r="BC765" s="92">
        <f>IF($E765="","",NETWORKDAYS($E765,Controls!$B$9,Ref!$F$4:$F$47))</f>
        <v/>
      </c>
      <c r="BD765" s="92">
        <f>IF(OR($AH765=1,$AJ765=1),1,0)</f>
        <v/>
      </c>
      <c r="BE765" s="95">
        <f>IF(OR($BD765=1,AND($AE765&lt;&gt;"",$BC765&gt;=Controls!$B$10*$AE765)),1,0)</f>
        <v/>
      </c>
    </row>
    <row r="766" ht="15.75" customHeight="1" s="79">
      <c r="A766" s="5" t="inlineStr">
        <is>
          <t>5674181227</t>
        </is>
      </c>
      <c r="B766" s="5" t="inlineStr">
        <is>
          <t>SHIINES TRUCKING LLC</t>
        </is>
      </c>
      <c r="C766" s="5" t="inlineStr">
        <is>
          <t>SHIINES TRUCKING LLC</t>
        </is>
      </c>
      <c r="D766" s="5" t="inlineStr">
        <is>
          <t>Legal</t>
        </is>
      </c>
      <c r="E766" s="16" t="n">
        <v>46113</v>
      </c>
      <c r="F766" s="16" t="n">
        <v>46147</v>
      </c>
      <c r="G766" s="17" t="n">
        <v>3</v>
      </c>
      <c r="H766" s="5" t="inlineStr">
        <is>
          <t>4212</t>
        </is>
      </c>
      <c r="I766" s="5" t="inlineStr">
        <is>
          <t>Specialized Freight (Except Used Goods) Trucking, Local</t>
        </is>
      </c>
      <c r="J766" s="5" t="inlineStr">
        <is>
          <t>42</t>
        </is>
      </c>
      <c r="K766" s="5" t="n">
        <v>4214</v>
      </c>
      <c r="L766" s="5" t="inlineStr">
        <is>
          <t>NC</t>
        </is>
      </c>
      <c r="M766" s="5" t="inlineStr">
        <is>
          <t>Ballicci</t>
        </is>
      </c>
      <c r="N766" s="5" t="inlineStr">
        <is>
          <t>New Deal</t>
        </is>
      </c>
      <c r="O766" s="19" t="n">
        <v>1.49</v>
      </c>
      <c r="P766" s="20" t="n">
        <v>20000</v>
      </c>
      <c r="Q766" s="20" t="n">
        <v>0</v>
      </c>
      <c r="R766" s="20" t="n">
        <v>29800</v>
      </c>
      <c r="S766" s="20" t="n">
        <v>743.5599999999999</v>
      </c>
      <c r="T766" s="20" t="n">
        <v>29056.44</v>
      </c>
      <c r="U766" s="21" t="n">
        <v>0.024951677852349</v>
      </c>
      <c r="V766" s="22" t="n">
        <v>2.623</v>
      </c>
      <c r="W766" s="17" t="n">
        <v>139</v>
      </c>
      <c r="X766" s="17" t="n">
        <v>21</v>
      </c>
      <c r="Y766" s="20" t="n">
        <v>361452.41</v>
      </c>
      <c r="Z766" s="21" t="n">
        <v>0.0216</v>
      </c>
      <c r="AA766" s="16" t="n">
        <v>43466</v>
      </c>
      <c r="AB766" s="5">
        <f>IF(V766="","",IF(V766&lt;12,"Months","Weeks"))</f>
        <v/>
      </c>
      <c r="AC766" s="5">
        <f>IF(AB766="","",IF(AB766="Months","Daily","Weekly"))</f>
        <v/>
      </c>
      <c r="AD766" s="17">
        <f>IF(V766="","",IF(AC766="Daily",V766*Controls!$B$13,V766))</f>
        <v/>
      </c>
      <c r="AE766" s="17">
        <f>IF(V766="","",IF(AC766="Daily",V766*Controls!$B$13,V766*Controls!$B$12))</f>
        <v/>
      </c>
      <c r="AF766" s="17">
        <f>IF(OR(E766="",F766=""),"",F766-E766)</f>
        <v/>
      </c>
      <c r="AG766" s="17">
        <f>IF(OR(E766="",F766=""),"",NETWORKDAYS(E766,F766,Ref!$F$4:$F$47))</f>
        <v/>
      </c>
      <c r="AH766" s="39">
        <f>IF(IFERROR(VLOOKUP(D766,Controls!$A$25:$D$35,2,FALSE()),"No")="Yes",1,0)</f>
        <v/>
      </c>
      <c r="AI766" s="39">
        <f>IF(IFERROR(VLOOKUP(D766,Controls!$A$25:$D$35,3,FALSE()),"No")="Yes",1,0)</f>
        <v/>
      </c>
      <c r="AJ766" s="39">
        <f>IF(IFERROR(VLOOKUP(D766,Controls!$A$25:$D$35,4,FALSE()),"No")="Yes",1,0)</f>
        <v/>
      </c>
      <c r="AK766" s="96">
        <f>IF(AND($E766&gt;=Controls!$B$5,$E766&lt;=Controls!$B$6,OR(Controls!$E$9&lt;&gt;"Y",$BE766=1)),1,0)</f>
        <v/>
      </c>
      <c r="AL766" s="39">
        <f>1</f>
        <v/>
      </c>
      <c r="AM766" s="20">
        <f>S766-P766</f>
        <v/>
      </c>
      <c r="AN766" s="20">
        <f>IF(AH766=1,MAX(0,P766-S766),0)</f>
        <v/>
      </c>
      <c r="AO766" s="21">
        <f>IFERROR(S766/P766,"")</f>
        <v/>
      </c>
      <c r="AP766" s="22">
        <f>IF(Y766="","",P766/Y766)</f>
        <v/>
      </c>
      <c r="AQ766" s="39">
        <f>IF(Y766="",0,1)</f>
        <v/>
      </c>
      <c r="AR766" s="39">
        <f>IF(S766&lt;=0,1,0)</f>
        <v/>
      </c>
      <c r="AS766" s="17">
        <f>IF(AH766=1,AG766,"")</f>
        <v/>
      </c>
      <c r="AT766" s="17">
        <f>IF(AND(AH766=0,AJ766=1),AG766,"")</f>
        <v/>
      </c>
      <c r="AU766" s="5">
        <f>IF(P766&lt;10000,"Under $10K",IF(P766&lt;20000,"$10-20K",IF(P766&lt;30000,"$20-30K",IF(P766&lt;50000,"$30-50K",IF(P766&lt;100000,"$50-100K","$100K+")))))</f>
        <v/>
      </c>
      <c r="AV766" s="5">
        <f>IF(O766&lt;=1.35,"1.35 and under",IF(O766&lt;=1.42,"1.36-1.42",IF(O766&lt;=1.45,"1.43-1.45",IF(O766&lt;1.49,"1.46-1.48",IF(O766&lt;=1.49,"1.49","Above 1.49")))))</f>
        <v/>
      </c>
      <c r="AW766" s="5">
        <f>IF(AE766="","",IF(AE766&lt;60,"Under 60",IF(AE766&lt;90,"60-89",IF(AE766&lt;120,"90-119",IF(AE766&lt;150,"120-149","150+")))))</f>
        <v/>
      </c>
      <c r="AX766" s="5">
        <f>IF(AP766="","No revenue data",IF(AP766&lt;0.15,"Under 0.15x",IF(AP766&lt;0.3,"0.15-0.30x",IF(AP766&lt;0.5,"0.30-0.50x",IF(AP766&lt;1,"0.50-1.00x","1.00x+")))))</f>
        <v/>
      </c>
      <c r="AY766" s="5">
        <f>IF(J766="","No SIC",IFERROR(VLOOKUP(J766,Ref!$A$4:$C$67,2,FALSE()),"Unclassified"))</f>
        <v/>
      </c>
      <c r="AZ766" s="5">
        <f>IF(E766="","",TEXT(E766,"YYYY")&amp;"-Q"&amp;ROUNDUP(MONTH(E766)/3,0))</f>
        <v/>
      </c>
      <c r="BA766" s="5">
        <f>IF(E766="","",TEXT(E766,"YYYY-MM"))</f>
        <v/>
      </c>
      <c r="BB766" s="5">
        <f>IF(E766="","",TEXT(E766,"YYYY"))</f>
        <v/>
      </c>
      <c r="BC766" s="92">
        <f>IF($E766="","",NETWORKDAYS($E766,Controls!$B$9,Ref!$F$4:$F$47))</f>
        <v/>
      </c>
      <c r="BD766" s="92">
        <f>IF(OR($AH766=1,$AJ766=1),1,0)</f>
        <v/>
      </c>
      <c r="BE766" s="95">
        <f>IF(OR($BD766=1,AND($AE766&lt;&gt;"",$BC766&gt;=Controls!$B$10*$AE766)),1,0)</f>
        <v/>
      </c>
    </row>
    <row r="767" ht="15.75" customHeight="1" s="79">
      <c r="A767" s="5" t="inlineStr">
        <is>
          <t>5674181234</t>
        </is>
      </c>
      <c r="B767" s="5" t="inlineStr">
        <is>
          <t>ON SITE REPAIR SERVICES LLC</t>
        </is>
      </c>
      <c r="C767" s="5" t="inlineStr">
        <is>
          <t>ON SITE REPAIR SERVICES LLC</t>
        </is>
      </c>
      <c r="D767" s="5" t="inlineStr">
        <is>
          <t>Open</t>
        </is>
      </c>
      <c r="E767" s="16" t="n">
        <v>46113</v>
      </c>
      <c r="F767" s="16" t="n">
        <v>46253</v>
      </c>
      <c r="G767" s="17" t="n">
        <v>3</v>
      </c>
      <c r="H767" s="5" t="inlineStr">
        <is>
          <t>1521</t>
        </is>
      </c>
      <c r="I767" s="5" t="inlineStr">
        <is>
          <t>Residential Remodelers</t>
        </is>
      </c>
      <c r="J767" s="5" t="inlineStr">
        <is>
          <t>15</t>
        </is>
      </c>
      <c r="K767" s="5" t="n">
        <v>1520</v>
      </c>
      <c r="L767" s="5" t="inlineStr">
        <is>
          <t>TX</t>
        </is>
      </c>
      <c r="M767" s="5" t="inlineStr">
        <is>
          <t>Ballicci</t>
        </is>
      </c>
      <c r="N767" s="5" t="inlineStr">
        <is>
          <t>Renewal</t>
        </is>
      </c>
      <c r="O767" s="19" t="n">
        <v>1.35</v>
      </c>
      <c r="P767" s="20" t="n">
        <v>50000</v>
      </c>
      <c r="Q767" s="20" t="n">
        <v>4000</v>
      </c>
      <c r="R767" s="20" t="n">
        <v>67500</v>
      </c>
      <c r="S767" s="20" t="n">
        <v>41343.26</v>
      </c>
      <c r="T767" s="20" t="n">
        <v>26156.74</v>
      </c>
      <c r="U767" s="21" t="n">
        <v>0.612492740740741</v>
      </c>
      <c r="V767" s="22" t="n">
        <v>5.246</v>
      </c>
      <c r="W767" s="17" t="n">
        <v>0</v>
      </c>
      <c r="X767" s="17" t="n">
        <v>0</v>
      </c>
      <c r="Y767" s="20" t="n">
        <v>63010.24</v>
      </c>
      <c r="Z767" s="21" t="n">
        <v>0.1406</v>
      </c>
      <c r="AA767" s="5" t="n"/>
      <c r="AB767" s="5">
        <f>IF(V767="","",IF(V767&lt;12,"Months","Weeks"))</f>
        <v/>
      </c>
      <c r="AC767" s="5">
        <f>IF(AB767="","",IF(AB767="Months","Daily","Weekly"))</f>
        <v/>
      </c>
      <c r="AD767" s="17">
        <f>IF(V767="","",IF(AC767="Daily",V767*Controls!$B$13,V767))</f>
        <v/>
      </c>
      <c r="AE767" s="17">
        <f>IF(V767="","",IF(AC767="Daily",V767*Controls!$B$13,V767*Controls!$B$12))</f>
        <v/>
      </c>
      <c r="AF767" s="17">
        <f>IF(OR(E767="",F767=""),"",F767-E767)</f>
        <v/>
      </c>
      <c r="AG767" s="17">
        <f>IF(OR(E767="",F767=""),"",NETWORKDAYS(E767,F767,Ref!$F$4:$F$47))</f>
        <v/>
      </c>
      <c r="AH767" s="39">
        <f>IF(IFERROR(VLOOKUP(D767,Controls!$A$25:$D$35,2,FALSE()),"No")="Yes",1,0)</f>
        <v/>
      </c>
      <c r="AI767" s="39">
        <f>IF(IFERROR(VLOOKUP(D767,Controls!$A$25:$D$35,3,FALSE()),"No")="Yes",1,0)</f>
        <v/>
      </c>
      <c r="AJ767" s="39">
        <f>IF(IFERROR(VLOOKUP(D767,Controls!$A$25:$D$35,4,FALSE()),"No")="Yes",1,0)</f>
        <v/>
      </c>
      <c r="AK767" s="96">
        <f>IF(AND($E767&gt;=Controls!$B$5,$E767&lt;=Controls!$B$6,OR(Controls!$E$9&lt;&gt;"Y",$BE767=1)),1,0)</f>
        <v/>
      </c>
      <c r="AL767" s="39">
        <f>1</f>
        <v/>
      </c>
      <c r="AM767" s="20">
        <f>S767-P767</f>
        <v/>
      </c>
      <c r="AN767" s="20">
        <f>IF(AH767=1,MAX(0,P767-S767),0)</f>
        <v/>
      </c>
      <c r="AO767" s="21">
        <f>IFERROR(S767/P767,"")</f>
        <v/>
      </c>
      <c r="AP767" s="22">
        <f>IF(Y767="","",P767/Y767)</f>
        <v/>
      </c>
      <c r="AQ767" s="39">
        <f>IF(Y767="",0,1)</f>
        <v/>
      </c>
      <c r="AR767" s="39">
        <f>IF(S767&lt;=0,1,0)</f>
        <v/>
      </c>
      <c r="AS767" s="17">
        <f>IF(AH767=1,AG767,"")</f>
        <v/>
      </c>
      <c r="AT767" s="17">
        <f>IF(AND(AH767=0,AJ767=1),AG767,"")</f>
        <v/>
      </c>
      <c r="AU767" s="5">
        <f>IF(P767&lt;10000,"Under $10K",IF(P767&lt;20000,"$10-20K",IF(P767&lt;30000,"$20-30K",IF(P767&lt;50000,"$30-50K",IF(P767&lt;100000,"$50-100K","$100K+")))))</f>
        <v/>
      </c>
      <c r="AV767" s="5">
        <f>IF(O767&lt;=1.35,"1.35 and under",IF(O767&lt;=1.42,"1.36-1.42",IF(O767&lt;=1.45,"1.43-1.45",IF(O767&lt;1.49,"1.46-1.48",IF(O767&lt;=1.49,"1.49","Above 1.49")))))</f>
        <v/>
      </c>
      <c r="AW767" s="5">
        <f>IF(AE767="","",IF(AE767&lt;60,"Under 60",IF(AE767&lt;90,"60-89",IF(AE767&lt;120,"90-119",IF(AE767&lt;150,"120-149","150+")))))</f>
        <v/>
      </c>
      <c r="AX767" s="5">
        <f>IF(AP767="","No revenue data",IF(AP767&lt;0.15,"Under 0.15x",IF(AP767&lt;0.3,"0.15-0.30x",IF(AP767&lt;0.5,"0.30-0.50x",IF(AP767&lt;1,"0.50-1.00x","1.00x+")))))</f>
        <v/>
      </c>
      <c r="AY767" s="5">
        <f>IF(J767="","No SIC",IFERROR(VLOOKUP(J767,Ref!$A$4:$C$67,2,FALSE()),"Unclassified"))</f>
        <v/>
      </c>
      <c r="AZ767" s="5">
        <f>IF(E767="","",TEXT(E767,"YYYY")&amp;"-Q"&amp;ROUNDUP(MONTH(E767)/3,0))</f>
        <v/>
      </c>
      <c r="BA767" s="5">
        <f>IF(E767="","",TEXT(E767,"YYYY-MM"))</f>
        <v/>
      </c>
      <c r="BB767" s="5">
        <f>IF(E767="","",TEXT(E767,"YYYY"))</f>
        <v/>
      </c>
      <c r="BC767" s="92">
        <f>IF($E767="","",NETWORKDAYS($E767,Controls!$B$9,Ref!$F$4:$F$47))</f>
        <v/>
      </c>
      <c r="BD767" s="92">
        <f>IF(OR($AH767=1,$AJ767=1),1,0)</f>
        <v/>
      </c>
      <c r="BE767" s="95">
        <f>IF(OR($BD767=1,AND($AE767&lt;&gt;"",$BC767&gt;=Controls!$B$10*$AE767)),1,0)</f>
        <v/>
      </c>
    </row>
    <row r="768" ht="15.75" customHeight="1" s="79">
      <c r="A768" s="5" t="inlineStr">
        <is>
          <t>5674181256</t>
        </is>
      </c>
      <c r="B768" s="5" t="inlineStr">
        <is>
          <t>NORTH VALLEY TRANSPORT</t>
        </is>
      </c>
      <c r="C768" s="5" t="inlineStr">
        <is>
          <t>NORTH VALLEY TRANSPORT LLC</t>
        </is>
      </c>
      <c r="D768" s="5" t="inlineStr">
        <is>
          <t>Open</t>
        </is>
      </c>
      <c r="E768" s="16" t="n">
        <v>46114</v>
      </c>
      <c r="F768" s="16" t="n">
        <v>46247</v>
      </c>
      <c r="G768" s="17" t="n">
        <v>2</v>
      </c>
      <c r="H768" s="5" t="inlineStr">
        <is>
          <t>4212</t>
        </is>
      </c>
      <c r="I768" s="5" t="inlineStr">
        <is>
          <t>Specialized Freight (Except Used Goods) Trucking, Local</t>
        </is>
      </c>
      <c r="J768" s="5" t="inlineStr">
        <is>
          <t>42</t>
        </is>
      </c>
      <c r="K768" s="5" t="n">
        <v>4214</v>
      </c>
      <c r="L768" s="5" t="inlineStr">
        <is>
          <t>No state</t>
        </is>
      </c>
      <c r="M768" s="5" t="inlineStr">
        <is>
          <t>ez alternative solutions</t>
        </is>
      </c>
      <c r="N768" s="5" t="inlineStr">
        <is>
          <t>New Deal</t>
        </is>
      </c>
      <c r="O768" s="19" t="n">
        <v>1.37</v>
      </c>
      <c r="P768" s="20" t="n">
        <v>160000</v>
      </c>
      <c r="Q768" s="20" t="n">
        <v>12800</v>
      </c>
      <c r="R768" s="20" t="n">
        <v>219200</v>
      </c>
      <c r="S768" s="20" t="n">
        <v>138810.77</v>
      </c>
      <c r="T768" s="20" t="n">
        <v>80389.23</v>
      </c>
      <c r="U768" s="21" t="n">
        <v>0.633260812043796</v>
      </c>
      <c r="V768" s="22" t="n">
        <v>30</v>
      </c>
      <c r="W768" s="17" t="n">
        <v>6</v>
      </c>
      <c r="X768" s="17" t="n">
        <v>0</v>
      </c>
      <c r="Y768" s="20" t="n">
        <v>716257.36</v>
      </c>
      <c r="Z768" s="21" t="n">
        <v>0.0408</v>
      </c>
      <c r="AA768" s="16" t="n">
        <v>43259</v>
      </c>
      <c r="AB768" s="5">
        <f>IF(V768="","",IF(V768&lt;12,"Months","Weeks"))</f>
        <v/>
      </c>
      <c r="AC768" s="5">
        <f>IF(AB768="","",IF(AB768="Months","Daily","Weekly"))</f>
        <v/>
      </c>
      <c r="AD768" s="17">
        <f>IF(V768="","",IF(AC768="Daily",V768*Controls!$B$13,V768))</f>
        <v/>
      </c>
      <c r="AE768" s="17">
        <f>IF(V768="","",IF(AC768="Daily",V768*Controls!$B$13,V768*Controls!$B$12))</f>
        <v/>
      </c>
      <c r="AF768" s="17">
        <f>IF(OR(E768="",F768=""),"",F768-E768)</f>
        <v/>
      </c>
      <c r="AG768" s="17">
        <f>IF(OR(E768="",F768=""),"",NETWORKDAYS(E768,F768,Ref!$F$4:$F$47))</f>
        <v/>
      </c>
      <c r="AH768" s="39">
        <f>IF(IFERROR(VLOOKUP(D768,Controls!$A$25:$D$35,2,FALSE()),"No")="Yes",1,0)</f>
        <v/>
      </c>
      <c r="AI768" s="39">
        <f>IF(IFERROR(VLOOKUP(D768,Controls!$A$25:$D$35,3,FALSE()),"No")="Yes",1,0)</f>
        <v/>
      </c>
      <c r="AJ768" s="39">
        <f>IF(IFERROR(VLOOKUP(D768,Controls!$A$25:$D$35,4,FALSE()),"No")="Yes",1,0)</f>
        <v/>
      </c>
      <c r="AK768" s="96">
        <f>IF(AND($E768&gt;=Controls!$B$5,$E768&lt;=Controls!$B$6,OR(Controls!$E$9&lt;&gt;"Y",$BE768=1)),1,0)</f>
        <v/>
      </c>
      <c r="AL768" s="39">
        <f>1</f>
        <v/>
      </c>
      <c r="AM768" s="20">
        <f>S768-P768</f>
        <v/>
      </c>
      <c r="AN768" s="20">
        <f>IF(AH768=1,MAX(0,P768-S768),0)</f>
        <v/>
      </c>
      <c r="AO768" s="21">
        <f>IFERROR(S768/P768,"")</f>
        <v/>
      </c>
      <c r="AP768" s="22">
        <f>IF(Y768="","",P768/Y768)</f>
        <v/>
      </c>
      <c r="AQ768" s="39">
        <f>IF(Y768="",0,1)</f>
        <v/>
      </c>
      <c r="AR768" s="39">
        <f>IF(S768&lt;=0,1,0)</f>
        <v/>
      </c>
      <c r="AS768" s="17">
        <f>IF(AH768=1,AG768,"")</f>
        <v/>
      </c>
      <c r="AT768" s="17">
        <f>IF(AND(AH768=0,AJ768=1),AG768,"")</f>
        <v/>
      </c>
      <c r="AU768" s="5">
        <f>IF(P768&lt;10000,"Under $10K",IF(P768&lt;20000,"$10-20K",IF(P768&lt;30000,"$20-30K",IF(P768&lt;50000,"$30-50K",IF(P768&lt;100000,"$50-100K","$100K+")))))</f>
        <v/>
      </c>
      <c r="AV768" s="5">
        <f>IF(O768&lt;=1.35,"1.35 and under",IF(O768&lt;=1.42,"1.36-1.42",IF(O768&lt;=1.45,"1.43-1.45",IF(O768&lt;1.49,"1.46-1.48",IF(O768&lt;=1.49,"1.49","Above 1.49")))))</f>
        <v/>
      </c>
      <c r="AW768" s="5">
        <f>IF(AE768="","",IF(AE768&lt;60,"Under 60",IF(AE768&lt;90,"60-89",IF(AE768&lt;120,"90-119",IF(AE768&lt;150,"120-149","150+")))))</f>
        <v/>
      </c>
      <c r="AX768" s="5">
        <f>IF(AP768="","No revenue data",IF(AP768&lt;0.15,"Under 0.15x",IF(AP768&lt;0.3,"0.15-0.30x",IF(AP768&lt;0.5,"0.30-0.50x",IF(AP768&lt;1,"0.50-1.00x","1.00x+")))))</f>
        <v/>
      </c>
      <c r="AY768" s="5">
        <f>IF(J768="","No SIC",IFERROR(VLOOKUP(J768,Ref!$A$4:$C$67,2,FALSE()),"Unclassified"))</f>
        <v/>
      </c>
      <c r="AZ768" s="5">
        <f>IF(E768="","",TEXT(E768,"YYYY")&amp;"-Q"&amp;ROUNDUP(MONTH(E768)/3,0))</f>
        <v/>
      </c>
      <c r="BA768" s="5">
        <f>IF(E768="","",TEXT(E768,"YYYY-MM"))</f>
        <v/>
      </c>
      <c r="BB768" s="5">
        <f>IF(E768="","",TEXT(E768,"YYYY"))</f>
        <v/>
      </c>
      <c r="BC768" s="92">
        <f>IF($E768="","",NETWORKDAYS($E768,Controls!$B$9,Ref!$F$4:$F$47))</f>
        <v/>
      </c>
      <c r="BD768" s="92">
        <f>IF(OR($AH768=1,$AJ768=1),1,0)</f>
        <v/>
      </c>
      <c r="BE768" s="95">
        <f>IF(OR($BD768=1,AND($AE768&lt;&gt;"",$BC768&gt;=Controls!$B$10*$AE768)),1,0)</f>
        <v/>
      </c>
    </row>
    <row r="769" ht="15.75" customHeight="1" s="79">
      <c r="A769" s="5" t="inlineStr">
        <is>
          <t>5674181270</t>
        </is>
      </c>
      <c r="B769" s="5" t="inlineStr">
        <is>
          <t>h-h transport</t>
        </is>
      </c>
      <c r="C769" s="5" t="inlineStr">
        <is>
          <t>H-H transport</t>
        </is>
      </c>
      <c r="D769" s="5" t="inlineStr">
        <is>
          <t>Closed</t>
        </is>
      </c>
      <c r="E769" s="16" t="n">
        <v>46114</v>
      </c>
      <c r="F769" s="16" t="n">
        <v>46168</v>
      </c>
      <c r="G769" s="17" t="n">
        <v>3</v>
      </c>
      <c r="H769" s="5" t="inlineStr">
        <is>
          <t>4212</t>
        </is>
      </c>
      <c r="I769" s="5" t="inlineStr">
        <is>
          <t>Specialized Freight (Except Used Goods) Trucking, Local</t>
        </is>
      </c>
      <c r="J769" s="5" t="inlineStr">
        <is>
          <t>42</t>
        </is>
      </c>
      <c r="K769" s="5" t="n">
        <v>4214</v>
      </c>
      <c r="L769" s="5" t="inlineStr">
        <is>
          <t>AZ</t>
        </is>
      </c>
      <c r="M769" s="5" t="inlineStr">
        <is>
          <t>Westwood</t>
        </is>
      </c>
      <c r="N769" s="5" t="inlineStr">
        <is>
          <t>New Deal</t>
        </is>
      </c>
      <c r="O769" s="19" t="n">
        <v>1.49</v>
      </c>
      <c r="P769" s="20" t="n">
        <v>20000</v>
      </c>
      <c r="Q769" s="20" t="n">
        <v>2800</v>
      </c>
      <c r="R769" s="20" t="n">
        <v>29800</v>
      </c>
      <c r="S769" s="20" t="n">
        <v>29800</v>
      </c>
      <c r="T769" s="20" t="n">
        <v>0</v>
      </c>
      <c r="U769" s="21" t="n">
        <v>1</v>
      </c>
      <c r="V769" s="22" t="n">
        <v>1.639</v>
      </c>
      <c r="W769" s="17" t="n">
        <v>85</v>
      </c>
      <c r="X769" s="17" t="n">
        <v>0</v>
      </c>
      <c r="Y769" s="20" t="n">
        <v>80000</v>
      </c>
      <c r="Z769" s="21" t="n">
        <v>0.1422</v>
      </c>
      <c r="AA769" s="16" t="n">
        <v>44621</v>
      </c>
      <c r="AB769" s="5">
        <f>IF(V769="","",IF(V769&lt;12,"Months","Weeks"))</f>
        <v/>
      </c>
      <c r="AC769" s="5">
        <f>IF(AB769="","",IF(AB769="Months","Daily","Weekly"))</f>
        <v/>
      </c>
      <c r="AD769" s="17">
        <f>IF(V769="","",IF(AC769="Daily",V769*Controls!$B$13,V769))</f>
        <v/>
      </c>
      <c r="AE769" s="17">
        <f>IF(V769="","",IF(AC769="Daily",V769*Controls!$B$13,V769*Controls!$B$12))</f>
        <v/>
      </c>
      <c r="AF769" s="17">
        <f>IF(OR(E769="",F769=""),"",F769-E769)</f>
        <v/>
      </c>
      <c r="AG769" s="17">
        <f>IF(OR(E769="",F769=""),"",NETWORKDAYS(E769,F769,Ref!$F$4:$F$47))</f>
        <v/>
      </c>
      <c r="AH769" s="39">
        <f>IF(IFERROR(VLOOKUP(D769,Controls!$A$25:$D$35,2,FALSE()),"No")="Yes",1,0)</f>
        <v/>
      </c>
      <c r="AI769" s="39">
        <f>IF(IFERROR(VLOOKUP(D769,Controls!$A$25:$D$35,3,FALSE()),"No")="Yes",1,0)</f>
        <v/>
      </c>
      <c r="AJ769" s="39">
        <f>IF(IFERROR(VLOOKUP(D769,Controls!$A$25:$D$35,4,FALSE()),"No")="Yes",1,0)</f>
        <v/>
      </c>
      <c r="AK769" s="96">
        <f>IF(AND($E769&gt;=Controls!$B$5,$E769&lt;=Controls!$B$6,OR(Controls!$E$9&lt;&gt;"Y",$BE769=1)),1,0)</f>
        <v/>
      </c>
      <c r="AL769" s="39">
        <f>1</f>
        <v/>
      </c>
      <c r="AM769" s="20">
        <f>S769-P769</f>
        <v/>
      </c>
      <c r="AN769" s="20">
        <f>IF(AH769=1,MAX(0,P769-S769),0)</f>
        <v/>
      </c>
      <c r="AO769" s="21">
        <f>IFERROR(S769/P769,"")</f>
        <v/>
      </c>
      <c r="AP769" s="22">
        <f>IF(Y769="","",P769/Y769)</f>
        <v/>
      </c>
      <c r="AQ769" s="39">
        <f>IF(Y769="",0,1)</f>
        <v/>
      </c>
      <c r="AR769" s="39">
        <f>IF(S769&lt;=0,1,0)</f>
        <v/>
      </c>
      <c r="AS769" s="17">
        <f>IF(AH769=1,AG769,"")</f>
        <v/>
      </c>
      <c r="AT769" s="17">
        <f>IF(AND(AH769=0,AJ769=1),AG769,"")</f>
        <v/>
      </c>
      <c r="AU769" s="5">
        <f>IF(P769&lt;10000,"Under $10K",IF(P769&lt;20000,"$10-20K",IF(P769&lt;30000,"$20-30K",IF(P769&lt;50000,"$30-50K",IF(P769&lt;100000,"$50-100K","$100K+")))))</f>
        <v/>
      </c>
      <c r="AV769" s="5">
        <f>IF(O769&lt;=1.35,"1.35 and under",IF(O769&lt;=1.42,"1.36-1.42",IF(O769&lt;=1.45,"1.43-1.45",IF(O769&lt;1.49,"1.46-1.48",IF(O769&lt;=1.49,"1.49","Above 1.49")))))</f>
        <v/>
      </c>
      <c r="AW769" s="5">
        <f>IF(AE769="","",IF(AE769&lt;60,"Under 60",IF(AE769&lt;90,"60-89",IF(AE769&lt;120,"90-119",IF(AE769&lt;150,"120-149","150+")))))</f>
        <v/>
      </c>
      <c r="AX769" s="5">
        <f>IF(AP769="","No revenue data",IF(AP769&lt;0.15,"Under 0.15x",IF(AP769&lt;0.3,"0.15-0.30x",IF(AP769&lt;0.5,"0.30-0.50x",IF(AP769&lt;1,"0.50-1.00x","1.00x+")))))</f>
        <v/>
      </c>
      <c r="AY769" s="5">
        <f>IF(J769="","No SIC",IFERROR(VLOOKUP(J769,Ref!$A$4:$C$67,2,FALSE()),"Unclassified"))</f>
        <v/>
      </c>
      <c r="AZ769" s="5">
        <f>IF(E769="","",TEXT(E769,"YYYY")&amp;"-Q"&amp;ROUNDUP(MONTH(E769)/3,0))</f>
        <v/>
      </c>
      <c r="BA769" s="5">
        <f>IF(E769="","",TEXT(E769,"YYYY-MM"))</f>
        <v/>
      </c>
      <c r="BB769" s="5">
        <f>IF(E769="","",TEXT(E769,"YYYY"))</f>
        <v/>
      </c>
      <c r="BC769" s="92">
        <f>IF($E769="","",NETWORKDAYS($E769,Controls!$B$9,Ref!$F$4:$F$47))</f>
        <v/>
      </c>
      <c r="BD769" s="92">
        <f>IF(OR($AH769=1,$AJ769=1),1,0)</f>
        <v/>
      </c>
      <c r="BE769" s="95">
        <f>IF(OR($BD769=1,AND($AE769&lt;&gt;"",$BC769&gt;=Controls!$B$10*$AE769)),1,0)</f>
        <v/>
      </c>
    </row>
    <row r="770" ht="15.75" customHeight="1" s="79">
      <c r="A770" s="5" t="inlineStr">
        <is>
          <t>5674181276</t>
        </is>
      </c>
      <c r="B770" s="5" t="inlineStr">
        <is>
          <t>FIRST CLASS REPAIR CORPORATION</t>
        </is>
      </c>
      <c r="C770" s="5" t="inlineStr">
        <is>
          <t>FIRST CLASS REPAIR CORPORATION</t>
        </is>
      </c>
      <c r="D770" s="5" t="inlineStr">
        <is>
          <t>Bankruptcy</t>
        </is>
      </c>
      <c r="E770" s="16" t="n">
        <v>46114</v>
      </c>
      <c r="F770" s="16" t="n">
        <v>46234</v>
      </c>
      <c r="G770" s="17" t="n">
        <v>3</v>
      </c>
      <c r="H770" s="5" t="inlineStr">
        <is>
          <t>1521</t>
        </is>
      </c>
      <c r="I770" s="5" t="inlineStr">
        <is>
          <t>Residential Remodelers</t>
        </is>
      </c>
      <c r="J770" s="5" t="inlineStr">
        <is>
          <t>15</t>
        </is>
      </c>
      <c r="K770" s="5" t="n">
        <v>1520</v>
      </c>
      <c r="L770" s="5" t="inlineStr">
        <is>
          <t>IA</t>
        </is>
      </c>
      <c r="M770" s="5" t="inlineStr">
        <is>
          <t>TRUSTFI</t>
        </is>
      </c>
      <c r="N770" s="5" t="inlineStr">
        <is>
          <t>New Deal</t>
        </is>
      </c>
      <c r="O770" s="19" t="n">
        <v>1.49</v>
      </c>
      <c r="P770" s="20" t="n">
        <v>20000</v>
      </c>
      <c r="Q770" s="20" t="n">
        <v>2800</v>
      </c>
      <c r="R770" s="20" t="n">
        <v>29800</v>
      </c>
      <c r="S770" s="20" t="n">
        <v>19206.12</v>
      </c>
      <c r="T770" s="20" t="n">
        <v>10593.88</v>
      </c>
      <c r="U770" s="21" t="n">
        <v>0.64450067114094</v>
      </c>
      <c r="V770" s="22" t="n">
        <v>2.951</v>
      </c>
      <c r="W770" s="17" t="n">
        <v>26</v>
      </c>
      <c r="X770" s="17" t="n">
        <v>19</v>
      </c>
      <c r="Y770" s="20" t="n">
        <v>74692.34</v>
      </c>
      <c r="Z770" s="21" t="n">
        <v>0.0931</v>
      </c>
      <c r="AA770" s="16" t="n">
        <v>45797</v>
      </c>
      <c r="AB770" s="5">
        <f>IF(V770="","",IF(V770&lt;12,"Months","Weeks"))</f>
        <v/>
      </c>
      <c r="AC770" s="5">
        <f>IF(AB770="","",IF(AB770="Months","Daily","Weekly"))</f>
        <v/>
      </c>
      <c r="AD770" s="17">
        <f>IF(V770="","",IF(AC770="Daily",V770*Controls!$B$13,V770))</f>
        <v/>
      </c>
      <c r="AE770" s="17">
        <f>IF(V770="","",IF(AC770="Daily",V770*Controls!$B$13,V770*Controls!$B$12))</f>
        <v/>
      </c>
      <c r="AF770" s="17">
        <f>IF(OR(E770="",F770=""),"",F770-E770)</f>
        <v/>
      </c>
      <c r="AG770" s="17">
        <f>IF(OR(E770="",F770=""),"",NETWORKDAYS(E770,F770,Ref!$F$4:$F$47))</f>
        <v/>
      </c>
      <c r="AH770" s="39">
        <f>IF(IFERROR(VLOOKUP(D770,Controls!$A$25:$D$35,2,FALSE()),"No")="Yes",1,0)</f>
        <v/>
      </c>
      <c r="AI770" s="39">
        <f>IF(IFERROR(VLOOKUP(D770,Controls!$A$25:$D$35,3,FALSE()),"No")="Yes",1,0)</f>
        <v/>
      </c>
      <c r="AJ770" s="39">
        <f>IF(IFERROR(VLOOKUP(D770,Controls!$A$25:$D$35,4,FALSE()),"No")="Yes",1,0)</f>
        <v/>
      </c>
      <c r="AK770" s="96">
        <f>IF(AND($E770&gt;=Controls!$B$5,$E770&lt;=Controls!$B$6,OR(Controls!$E$9&lt;&gt;"Y",$BE770=1)),1,0)</f>
        <v/>
      </c>
      <c r="AL770" s="39">
        <f>1</f>
        <v/>
      </c>
      <c r="AM770" s="20">
        <f>S770-P770</f>
        <v/>
      </c>
      <c r="AN770" s="20">
        <f>IF(AH770=1,MAX(0,P770-S770),0)</f>
        <v/>
      </c>
      <c r="AO770" s="21">
        <f>IFERROR(S770/P770,"")</f>
        <v/>
      </c>
      <c r="AP770" s="22">
        <f>IF(Y770="","",P770/Y770)</f>
        <v/>
      </c>
      <c r="AQ770" s="39">
        <f>IF(Y770="",0,1)</f>
        <v/>
      </c>
      <c r="AR770" s="39">
        <f>IF(S770&lt;=0,1,0)</f>
        <v/>
      </c>
      <c r="AS770" s="17">
        <f>IF(AH770=1,AG770,"")</f>
        <v/>
      </c>
      <c r="AT770" s="17">
        <f>IF(AND(AH770=0,AJ770=1),AG770,"")</f>
        <v/>
      </c>
      <c r="AU770" s="5">
        <f>IF(P770&lt;10000,"Under $10K",IF(P770&lt;20000,"$10-20K",IF(P770&lt;30000,"$20-30K",IF(P770&lt;50000,"$30-50K",IF(P770&lt;100000,"$50-100K","$100K+")))))</f>
        <v/>
      </c>
      <c r="AV770" s="5">
        <f>IF(O770&lt;=1.35,"1.35 and under",IF(O770&lt;=1.42,"1.36-1.42",IF(O770&lt;=1.45,"1.43-1.45",IF(O770&lt;1.49,"1.46-1.48",IF(O770&lt;=1.49,"1.49","Above 1.49")))))</f>
        <v/>
      </c>
      <c r="AW770" s="5">
        <f>IF(AE770="","",IF(AE770&lt;60,"Under 60",IF(AE770&lt;90,"60-89",IF(AE770&lt;120,"90-119",IF(AE770&lt;150,"120-149","150+")))))</f>
        <v/>
      </c>
      <c r="AX770" s="5">
        <f>IF(AP770="","No revenue data",IF(AP770&lt;0.15,"Under 0.15x",IF(AP770&lt;0.3,"0.15-0.30x",IF(AP770&lt;0.5,"0.30-0.50x",IF(AP770&lt;1,"0.50-1.00x","1.00x+")))))</f>
        <v/>
      </c>
      <c r="AY770" s="5">
        <f>IF(J770="","No SIC",IFERROR(VLOOKUP(J770,Ref!$A$4:$C$67,2,FALSE()),"Unclassified"))</f>
        <v/>
      </c>
      <c r="AZ770" s="5">
        <f>IF(E770="","",TEXT(E770,"YYYY")&amp;"-Q"&amp;ROUNDUP(MONTH(E770)/3,0))</f>
        <v/>
      </c>
      <c r="BA770" s="5">
        <f>IF(E770="","",TEXT(E770,"YYYY-MM"))</f>
        <v/>
      </c>
      <c r="BB770" s="5">
        <f>IF(E770="","",TEXT(E770,"YYYY"))</f>
        <v/>
      </c>
      <c r="BC770" s="92">
        <f>IF($E770="","",NETWORKDAYS($E770,Controls!$B$9,Ref!$F$4:$F$47))</f>
        <v/>
      </c>
      <c r="BD770" s="92">
        <f>IF(OR($AH770=1,$AJ770=1),1,0)</f>
        <v/>
      </c>
      <c r="BE770" s="95">
        <f>IF(OR($BD770=1,AND($AE770&lt;&gt;"",$BC770&gt;=Controls!$B$10*$AE770)),1,0)</f>
        <v/>
      </c>
    </row>
    <row r="771" ht="15.75" customHeight="1" s="79">
      <c r="A771" s="5" t="inlineStr">
        <is>
          <t>5674181280</t>
        </is>
      </c>
      <c r="B771" s="5" t="inlineStr">
        <is>
          <t>Hecto Group, LLC</t>
        </is>
      </c>
      <c r="C771" s="5" t="inlineStr">
        <is>
          <t>Hecto Group, LLC</t>
        </is>
      </c>
      <c r="D771" s="5" t="inlineStr">
        <is>
          <t>Closed</t>
        </is>
      </c>
      <c r="E771" s="16" t="n">
        <v>46114</v>
      </c>
      <c r="F771" s="16" t="n">
        <v>46218</v>
      </c>
      <c r="G771" s="17" t="n">
        <v>2</v>
      </c>
      <c r="H771" s="5" t="inlineStr">
        <is>
          <t>8732</t>
        </is>
      </c>
      <c r="I771" s="5" t="inlineStr">
        <is>
          <t>Research and Development in Biotechnology</t>
        </is>
      </c>
      <c r="J771" s="5" t="inlineStr">
        <is>
          <t>87</t>
        </is>
      </c>
      <c r="K771" s="5" t="n">
        <v>8734</v>
      </c>
      <c r="L771" s="5" t="inlineStr">
        <is>
          <t>KS</t>
        </is>
      </c>
      <c r="M771" s="5" t="inlineStr">
        <is>
          <t>Westwood</t>
        </is>
      </c>
      <c r="N771" s="5" t="inlineStr">
        <is>
          <t>New Deal</t>
        </is>
      </c>
      <c r="O771" s="19" t="n">
        <v>1.49</v>
      </c>
      <c r="P771" s="20" t="n">
        <v>30000</v>
      </c>
      <c r="Q771" s="20" t="n">
        <v>4200</v>
      </c>
      <c r="R771" s="20" t="n">
        <v>44700</v>
      </c>
      <c r="S771" s="20" t="n">
        <v>44700</v>
      </c>
      <c r="T771" s="20" t="n">
        <v>0</v>
      </c>
      <c r="U771" s="21" t="n">
        <v>1</v>
      </c>
      <c r="V771" s="22" t="n">
        <v>23</v>
      </c>
      <c r="W771" s="17" t="n">
        <v>35</v>
      </c>
      <c r="X771" s="17" t="n">
        <v>3</v>
      </c>
      <c r="Y771" s="20" t="n">
        <v>103955.24</v>
      </c>
      <c r="Z771" s="21" t="n">
        <v>0.07480000000000001</v>
      </c>
      <c r="AA771" s="16" t="n">
        <v>40380</v>
      </c>
      <c r="AB771" s="5">
        <f>IF(V771="","",IF(V771&lt;12,"Months","Weeks"))</f>
        <v/>
      </c>
      <c r="AC771" s="5">
        <f>IF(AB771="","",IF(AB771="Months","Daily","Weekly"))</f>
        <v/>
      </c>
      <c r="AD771" s="17">
        <f>IF(V771="","",IF(AC771="Daily",V771*Controls!$B$13,V771))</f>
        <v/>
      </c>
      <c r="AE771" s="17">
        <f>IF(V771="","",IF(AC771="Daily",V771*Controls!$B$13,V771*Controls!$B$12))</f>
        <v/>
      </c>
      <c r="AF771" s="17">
        <f>IF(OR(E771="",F771=""),"",F771-E771)</f>
        <v/>
      </c>
      <c r="AG771" s="17">
        <f>IF(OR(E771="",F771=""),"",NETWORKDAYS(E771,F771,Ref!$F$4:$F$47))</f>
        <v/>
      </c>
      <c r="AH771" s="39">
        <f>IF(IFERROR(VLOOKUP(D771,Controls!$A$25:$D$35,2,FALSE()),"No")="Yes",1,0)</f>
        <v/>
      </c>
      <c r="AI771" s="39">
        <f>IF(IFERROR(VLOOKUP(D771,Controls!$A$25:$D$35,3,FALSE()),"No")="Yes",1,0)</f>
        <v/>
      </c>
      <c r="AJ771" s="39">
        <f>IF(IFERROR(VLOOKUP(D771,Controls!$A$25:$D$35,4,FALSE()),"No")="Yes",1,0)</f>
        <v/>
      </c>
      <c r="AK771" s="96">
        <f>IF(AND($E771&gt;=Controls!$B$5,$E771&lt;=Controls!$B$6,OR(Controls!$E$9&lt;&gt;"Y",$BE771=1)),1,0)</f>
        <v/>
      </c>
      <c r="AL771" s="39">
        <f>1</f>
        <v/>
      </c>
      <c r="AM771" s="20">
        <f>S771-P771</f>
        <v/>
      </c>
      <c r="AN771" s="20">
        <f>IF(AH771=1,MAX(0,P771-S771),0)</f>
        <v/>
      </c>
      <c r="AO771" s="21">
        <f>IFERROR(S771/P771,"")</f>
        <v/>
      </c>
      <c r="AP771" s="22">
        <f>IF(Y771="","",P771/Y771)</f>
        <v/>
      </c>
      <c r="AQ771" s="39">
        <f>IF(Y771="",0,1)</f>
        <v/>
      </c>
      <c r="AR771" s="39">
        <f>IF(S771&lt;=0,1,0)</f>
        <v/>
      </c>
      <c r="AS771" s="17">
        <f>IF(AH771=1,AG771,"")</f>
        <v/>
      </c>
      <c r="AT771" s="17">
        <f>IF(AND(AH771=0,AJ771=1),AG771,"")</f>
        <v/>
      </c>
      <c r="AU771" s="5">
        <f>IF(P771&lt;10000,"Under $10K",IF(P771&lt;20000,"$10-20K",IF(P771&lt;30000,"$20-30K",IF(P771&lt;50000,"$30-50K",IF(P771&lt;100000,"$50-100K","$100K+")))))</f>
        <v/>
      </c>
      <c r="AV771" s="5">
        <f>IF(O771&lt;=1.35,"1.35 and under",IF(O771&lt;=1.42,"1.36-1.42",IF(O771&lt;=1.45,"1.43-1.45",IF(O771&lt;1.49,"1.46-1.48",IF(O771&lt;=1.49,"1.49","Above 1.49")))))</f>
        <v/>
      </c>
      <c r="AW771" s="5">
        <f>IF(AE771="","",IF(AE771&lt;60,"Under 60",IF(AE771&lt;90,"60-89",IF(AE771&lt;120,"90-119",IF(AE771&lt;150,"120-149","150+")))))</f>
        <v/>
      </c>
      <c r="AX771" s="5">
        <f>IF(AP771="","No revenue data",IF(AP771&lt;0.15,"Under 0.15x",IF(AP771&lt;0.3,"0.15-0.30x",IF(AP771&lt;0.5,"0.30-0.50x",IF(AP771&lt;1,"0.50-1.00x","1.00x+")))))</f>
        <v/>
      </c>
      <c r="AY771" s="5">
        <f>IF(J771="","No SIC",IFERROR(VLOOKUP(J771,Ref!$A$4:$C$67,2,FALSE()),"Unclassified"))</f>
        <v/>
      </c>
      <c r="AZ771" s="5">
        <f>IF(E771="","",TEXT(E771,"YYYY")&amp;"-Q"&amp;ROUNDUP(MONTH(E771)/3,0))</f>
        <v/>
      </c>
      <c r="BA771" s="5">
        <f>IF(E771="","",TEXT(E771,"YYYY-MM"))</f>
        <v/>
      </c>
      <c r="BB771" s="5">
        <f>IF(E771="","",TEXT(E771,"YYYY"))</f>
        <v/>
      </c>
      <c r="BC771" s="92">
        <f>IF($E771="","",NETWORKDAYS($E771,Controls!$B$9,Ref!$F$4:$F$47))</f>
        <v/>
      </c>
      <c r="BD771" s="92">
        <f>IF(OR($AH771=1,$AJ771=1),1,0)</f>
        <v/>
      </c>
      <c r="BE771" s="95">
        <f>IF(OR($BD771=1,AND($AE771&lt;&gt;"",$BC771&gt;=Controls!$B$10*$AE771)),1,0)</f>
        <v/>
      </c>
    </row>
    <row r="772" ht="15.75" customHeight="1" s="79">
      <c r="A772" s="5" t="inlineStr">
        <is>
          <t>5674181302</t>
        </is>
      </c>
      <c r="B772" s="5" t="inlineStr">
        <is>
          <t>CENTER HARBOR SUTTON HOUSE B&amp;B</t>
        </is>
      </c>
      <c r="C772" s="5" t="inlineStr">
        <is>
          <t>THAIS D ST CLAIR</t>
        </is>
      </c>
      <c r="D772" s="5" t="inlineStr">
        <is>
          <t>Open</t>
        </is>
      </c>
      <c r="E772" s="16" t="n">
        <v>46115</v>
      </c>
      <c r="F772" s="16" t="n">
        <v>46248</v>
      </c>
      <c r="G772" s="17" t="n">
        <v>3</v>
      </c>
      <c r="H772" s="5" t="inlineStr">
        <is>
          <t>5812</t>
        </is>
      </c>
      <c r="I772" s="5" t="inlineStr">
        <is>
          <t>Snack and Nonalcoholic Beverage Bars</t>
        </is>
      </c>
      <c r="J772" s="5" t="inlineStr">
        <is>
          <t>58</t>
        </is>
      </c>
      <c r="K772" s="5" t="n">
        <v>5812</v>
      </c>
      <c r="L772" s="5" t="inlineStr">
        <is>
          <t>NH</t>
        </is>
      </c>
      <c r="M772" s="5" t="inlineStr">
        <is>
          <t>Ballicci</t>
        </is>
      </c>
      <c r="N772" s="5" t="inlineStr">
        <is>
          <t>New Deal</t>
        </is>
      </c>
      <c r="O772" s="19" t="n">
        <v>1.49</v>
      </c>
      <c r="P772" s="20" t="n">
        <v>25000</v>
      </c>
      <c r="Q772" s="20" t="n">
        <v>3500</v>
      </c>
      <c r="R772" s="20" t="n">
        <v>37250</v>
      </c>
      <c r="S772" s="20" t="n">
        <v>14165.35</v>
      </c>
      <c r="T772" s="20" t="n">
        <v>23084.65</v>
      </c>
      <c r="U772" s="21" t="n">
        <v>0.380277852348993</v>
      </c>
      <c r="V772" s="22" t="n">
        <v>26</v>
      </c>
      <c r="W772" s="17" t="n">
        <v>5</v>
      </c>
      <c r="X772" s="17" t="n">
        <v>0</v>
      </c>
      <c r="Y772" s="20" t="n">
        <v>47968.78</v>
      </c>
      <c r="Z772" s="21" t="n">
        <v>0.1195</v>
      </c>
      <c r="AA772" s="16" t="n">
        <v>41377</v>
      </c>
      <c r="AB772" s="5">
        <f>IF(V772="","",IF(V772&lt;12,"Months","Weeks"))</f>
        <v/>
      </c>
      <c r="AC772" s="5">
        <f>IF(AB772="","",IF(AB772="Months","Daily","Weekly"))</f>
        <v/>
      </c>
      <c r="AD772" s="17">
        <f>IF(V772="","",IF(AC772="Daily",V772*Controls!$B$13,V772))</f>
        <v/>
      </c>
      <c r="AE772" s="17">
        <f>IF(V772="","",IF(AC772="Daily",V772*Controls!$B$13,V772*Controls!$B$12))</f>
        <v/>
      </c>
      <c r="AF772" s="17">
        <f>IF(OR(E772="",F772=""),"",F772-E772)</f>
        <v/>
      </c>
      <c r="AG772" s="17">
        <f>IF(OR(E772="",F772=""),"",NETWORKDAYS(E772,F772,Ref!$F$4:$F$47))</f>
        <v/>
      </c>
      <c r="AH772" s="39">
        <f>IF(IFERROR(VLOOKUP(D772,Controls!$A$25:$D$35,2,FALSE()),"No")="Yes",1,0)</f>
        <v/>
      </c>
      <c r="AI772" s="39">
        <f>IF(IFERROR(VLOOKUP(D772,Controls!$A$25:$D$35,3,FALSE()),"No")="Yes",1,0)</f>
        <v/>
      </c>
      <c r="AJ772" s="39">
        <f>IF(IFERROR(VLOOKUP(D772,Controls!$A$25:$D$35,4,FALSE()),"No")="Yes",1,0)</f>
        <v/>
      </c>
      <c r="AK772" s="96">
        <f>IF(AND($E772&gt;=Controls!$B$5,$E772&lt;=Controls!$B$6,OR(Controls!$E$9&lt;&gt;"Y",$BE772=1)),1,0)</f>
        <v/>
      </c>
      <c r="AL772" s="39">
        <f>1</f>
        <v/>
      </c>
      <c r="AM772" s="20">
        <f>S772-P772</f>
        <v/>
      </c>
      <c r="AN772" s="20">
        <f>IF(AH772=1,MAX(0,P772-S772),0)</f>
        <v/>
      </c>
      <c r="AO772" s="21">
        <f>IFERROR(S772/P772,"")</f>
        <v/>
      </c>
      <c r="AP772" s="22">
        <f>IF(Y772="","",P772/Y772)</f>
        <v/>
      </c>
      <c r="AQ772" s="39">
        <f>IF(Y772="",0,1)</f>
        <v/>
      </c>
      <c r="AR772" s="39">
        <f>IF(S772&lt;=0,1,0)</f>
        <v/>
      </c>
      <c r="AS772" s="17">
        <f>IF(AH772=1,AG772,"")</f>
        <v/>
      </c>
      <c r="AT772" s="17">
        <f>IF(AND(AH772=0,AJ772=1),AG772,"")</f>
        <v/>
      </c>
      <c r="AU772" s="5">
        <f>IF(P772&lt;10000,"Under $10K",IF(P772&lt;20000,"$10-20K",IF(P772&lt;30000,"$20-30K",IF(P772&lt;50000,"$30-50K",IF(P772&lt;100000,"$50-100K","$100K+")))))</f>
        <v/>
      </c>
      <c r="AV772" s="5">
        <f>IF(O772&lt;=1.35,"1.35 and under",IF(O772&lt;=1.42,"1.36-1.42",IF(O772&lt;=1.45,"1.43-1.45",IF(O772&lt;1.49,"1.46-1.48",IF(O772&lt;=1.49,"1.49","Above 1.49")))))</f>
        <v/>
      </c>
      <c r="AW772" s="5">
        <f>IF(AE772="","",IF(AE772&lt;60,"Under 60",IF(AE772&lt;90,"60-89",IF(AE772&lt;120,"90-119",IF(AE772&lt;150,"120-149","150+")))))</f>
        <v/>
      </c>
      <c r="AX772" s="5">
        <f>IF(AP772="","No revenue data",IF(AP772&lt;0.15,"Under 0.15x",IF(AP772&lt;0.3,"0.15-0.30x",IF(AP772&lt;0.5,"0.30-0.50x",IF(AP772&lt;1,"0.50-1.00x","1.00x+")))))</f>
        <v/>
      </c>
      <c r="AY772" s="5">
        <f>IF(J772="","No SIC",IFERROR(VLOOKUP(J772,Ref!$A$4:$C$67,2,FALSE()),"Unclassified"))</f>
        <v/>
      </c>
      <c r="AZ772" s="5">
        <f>IF(E772="","",TEXT(E772,"YYYY")&amp;"-Q"&amp;ROUNDUP(MONTH(E772)/3,0))</f>
        <v/>
      </c>
      <c r="BA772" s="5">
        <f>IF(E772="","",TEXT(E772,"YYYY-MM"))</f>
        <v/>
      </c>
      <c r="BB772" s="5">
        <f>IF(E772="","",TEXT(E772,"YYYY"))</f>
        <v/>
      </c>
      <c r="BC772" s="92">
        <f>IF($E772="","",NETWORKDAYS($E772,Controls!$B$9,Ref!$F$4:$F$47))</f>
        <v/>
      </c>
      <c r="BD772" s="92">
        <f>IF(OR($AH772=1,$AJ772=1),1,0)</f>
        <v/>
      </c>
      <c r="BE772" s="95">
        <f>IF(OR($BD772=1,AND($AE772&lt;&gt;"",$BC772&gt;=Controls!$B$10*$AE772)),1,0)</f>
        <v/>
      </c>
    </row>
    <row r="773" ht="15.75" customHeight="1" s="79">
      <c r="A773" s="5" t="inlineStr">
        <is>
          <t>5674181345</t>
        </is>
      </c>
      <c r="B773" s="5" t="inlineStr">
        <is>
          <t>Obys Auto Restoration LLC</t>
        </is>
      </c>
      <c r="C773" s="5" t="inlineStr">
        <is>
          <t>Obys Auto Restoration LLC</t>
        </is>
      </c>
      <c r="D773" s="5" t="inlineStr">
        <is>
          <t>Closed</t>
        </is>
      </c>
      <c r="E773" s="16" t="n">
        <v>46118</v>
      </c>
      <c r="F773" s="16" t="n">
        <v>46213</v>
      </c>
      <c r="G773" s="17" t="n">
        <v>3</v>
      </c>
      <c r="H773" s="5" t="inlineStr">
        <is>
          <t>7538</t>
        </is>
      </c>
      <c r="I773" s="5" t="inlineStr">
        <is>
          <t>General Automotive Repair</t>
        </is>
      </c>
      <c r="J773" s="5" t="inlineStr">
        <is>
          <t>75</t>
        </is>
      </c>
      <c r="K773" s="5" t="n">
        <v>7538</v>
      </c>
      <c r="L773" s="5" t="inlineStr">
        <is>
          <t>WI</t>
        </is>
      </c>
      <c r="M773" s="5" t="inlineStr">
        <is>
          <t>United Secured Capital 8</t>
        </is>
      </c>
      <c r="N773" s="5" t="inlineStr">
        <is>
          <t>Renewal</t>
        </is>
      </c>
      <c r="O773" s="19" t="n">
        <v>1.45</v>
      </c>
      <c r="P773" s="20" t="n">
        <v>25000</v>
      </c>
      <c r="Q773" s="20" t="n">
        <v>3000</v>
      </c>
      <c r="R773" s="20" t="n">
        <v>36250</v>
      </c>
      <c r="S773" s="20" t="n">
        <v>36250</v>
      </c>
      <c r="T773" s="20" t="n">
        <v>0</v>
      </c>
      <c r="U773" s="21" t="n">
        <v>1</v>
      </c>
      <c r="V773" s="22" t="n">
        <v>30</v>
      </c>
      <c r="W773" s="17" t="n">
        <v>40</v>
      </c>
      <c r="X773" s="17" t="n">
        <v>0</v>
      </c>
      <c r="Y773" s="20" t="n">
        <v>36089.77</v>
      </c>
      <c r="Z773" s="21" t="n">
        <v>0.1339</v>
      </c>
      <c r="AA773" s="16" t="n">
        <v>45812</v>
      </c>
      <c r="AB773" s="5">
        <f>IF(V773="","",IF(V773&lt;12,"Months","Weeks"))</f>
        <v/>
      </c>
      <c r="AC773" s="5">
        <f>IF(AB773="","",IF(AB773="Months","Daily","Weekly"))</f>
        <v/>
      </c>
      <c r="AD773" s="17">
        <f>IF(V773="","",IF(AC773="Daily",V773*Controls!$B$13,V773))</f>
        <v/>
      </c>
      <c r="AE773" s="17">
        <f>IF(V773="","",IF(AC773="Daily",V773*Controls!$B$13,V773*Controls!$B$12))</f>
        <v/>
      </c>
      <c r="AF773" s="17">
        <f>IF(OR(E773="",F773=""),"",F773-E773)</f>
        <v/>
      </c>
      <c r="AG773" s="17">
        <f>IF(OR(E773="",F773=""),"",NETWORKDAYS(E773,F773,Ref!$F$4:$F$47))</f>
        <v/>
      </c>
      <c r="AH773" s="39">
        <f>IF(IFERROR(VLOOKUP(D773,Controls!$A$25:$D$35,2,FALSE()),"No")="Yes",1,0)</f>
        <v/>
      </c>
      <c r="AI773" s="39">
        <f>IF(IFERROR(VLOOKUP(D773,Controls!$A$25:$D$35,3,FALSE()),"No")="Yes",1,0)</f>
        <v/>
      </c>
      <c r="AJ773" s="39">
        <f>IF(IFERROR(VLOOKUP(D773,Controls!$A$25:$D$35,4,FALSE()),"No")="Yes",1,0)</f>
        <v/>
      </c>
      <c r="AK773" s="96">
        <f>IF(AND($E773&gt;=Controls!$B$5,$E773&lt;=Controls!$B$6,OR(Controls!$E$9&lt;&gt;"Y",$BE773=1)),1,0)</f>
        <v/>
      </c>
      <c r="AL773" s="39">
        <f>1</f>
        <v/>
      </c>
      <c r="AM773" s="20">
        <f>S773-P773</f>
        <v/>
      </c>
      <c r="AN773" s="20">
        <f>IF(AH773=1,MAX(0,P773-S773),0)</f>
        <v/>
      </c>
      <c r="AO773" s="21">
        <f>IFERROR(S773/P773,"")</f>
        <v/>
      </c>
      <c r="AP773" s="22">
        <f>IF(Y773="","",P773/Y773)</f>
        <v/>
      </c>
      <c r="AQ773" s="39">
        <f>IF(Y773="",0,1)</f>
        <v/>
      </c>
      <c r="AR773" s="39">
        <f>IF(S773&lt;=0,1,0)</f>
        <v/>
      </c>
      <c r="AS773" s="17">
        <f>IF(AH773=1,AG773,"")</f>
        <v/>
      </c>
      <c r="AT773" s="17">
        <f>IF(AND(AH773=0,AJ773=1),AG773,"")</f>
        <v/>
      </c>
      <c r="AU773" s="5">
        <f>IF(P773&lt;10000,"Under $10K",IF(P773&lt;20000,"$10-20K",IF(P773&lt;30000,"$20-30K",IF(P773&lt;50000,"$30-50K",IF(P773&lt;100000,"$50-100K","$100K+")))))</f>
        <v/>
      </c>
      <c r="AV773" s="5">
        <f>IF(O773&lt;=1.35,"1.35 and under",IF(O773&lt;=1.42,"1.36-1.42",IF(O773&lt;=1.45,"1.43-1.45",IF(O773&lt;1.49,"1.46-1.48",IF(O773&lt;=1.49,"1.49","Above 1.49")))))</f>
        <v/>
      </c>
      <c r="AW773" s="5">
        <f>IF(AE773="","",IF(AE773&lt;60,"Under 60",IF(AE773&lt;90,"60-89",IF(AE773&lt;120,"90-119",IF(AE773&lt;150,"120-149","150+")))))</f>
        <v/>
      </c>
      <c r="AX773" s="5">
        <f>IF(AP773="","No revenue data",IF(AP773&lt;0.15,"Under 0.15x",IF(AP773&lt;0.3,"0.15-0.30x",IF(AP773&lt;0.5,"0.30-0.50x",IF(AP773&lt;1,"0.50-1.00x","1.00x+")))))</f>
        <v/>
      </c>
      <c r="AY773" s="5">
        <f>IF(J773="","No SIC",IFERROR(VLOOKUP(J773,Ref!$A$4:$C$67,2,FALSE()),"Unclassified"))</f>
        <v/>
      </c>
      <c r="AZ773" s="5">
        <f>IF(E773="","",TEXT(E773,"YYYY")&amp;"-Q"&amp;ROUNDUP(MONTH(E773)/3,0))</f>
        <v/>
      </c>
      <c r="BA773" s="5">
        <f>IF(E773="","",TEXT(E773,"YYYY-MM"))</f>
        <v/>
      </c>
      <c r="BB773" s="5">
        <f>IF(E773="","",TEXT(E773,"YYYY"))</f>
        <v/>
      </c>
      <c r="BC773" s="92">
        <f>IF($E773="","",NETWORKDAYS($E773,Controls!$B$9,Ref!$F$4:$F$47))</f>
        <v/>
      </c>
      <c r="BD773" s="92">
        <f>IF(OR($AH773=1,$AJ773=1),1,0)</f>
        <v/>
      </c>
      <c r="BE773" s="95">
        <f>IF(OR($BD773=1,AND($AE773&lt;&gt;"",$BC773&gt;=Controls!$B$10*$AE773)),1,0)</f>
        <v/>
      </c>
    </row>
    <row r="774" ht="15.75" customHeight="1" s="79">
      <c r="A774" s="5" t="inlineStr">
        <is>
          <t>5674181352</t>
        </is>
      </c>
      <c r="B774" s="5" t="inlineStr">
        <is>
          <t>Free Flow Plumbing</t>
        </is>
      </c>
      <c r="C774" s="5" t="inlineStr">
        <is>
          <t>FREE FLOW PLUMBING LLC</t>
        </is>
      </c>
      <c r="D774" s="5" t="inlineStr">
        <is>
          <t>Open</t>
        </is>
      </c>
      <c r="E774" s="16" t="n">
        <v>46118</v>
      </c>
      <c r="F774" s="16" t="n">
        <v>46248</v>
      </c>
      <c r="G774" s="17" t="n">
        <v>2</v>
      </c>
      <c r="H774" s="5" t="inlineStr">
        <is>
          <t>1711</t>
        </is>
      </c>
      <c r="I774" s="5" t="inlineStr">
        <is>
          <t>Plumbing, Heating, and Air Conditioning Contractors</t>
        </is>
      </c>
      <c r="J774" s="5" t="inlineStr">
        <is>
          <t>17</t>
        </is>
      </c>
      <c r="K774" s="5" t="n">
        <v>5074</v>
      </c>
      <c r="L774" s="5" t="inlineStr">
        <is>
          <t>TX</t>
        </is>
      </c>
      <c r="M774" s="5" t="inlineStr">
        <is>
          <t>Fundwell</t>
        </is>
      </c>
      <c r="N774" s="5" t="inlineStr">
        <is>
          <t>New Deal</t>
        </is>
      </c>
      <c r="O774" s="19" t="n">
        <v>1.4</v>
      </c>
      <c r="P774" s="20" t="n">
        <v>12000</v>
      </c>
      <c r="Q774" s="20" t="n">
        <v>1560</v>
      </c>
      <c r="R774" s="20" t="n">
        <v>16800</v>
      </c>
      <c r="S774" s="20" t="n">
        <v>8400.6</v>
      </c>
      <c r="T774" s="20" t="n">
        <v>8399.4</v>
      </c>
      <c r="U774" s="21" t="n">
        <v>0.500035714285714</v>
      </c>
      <c r="V774" s="22" t="n">
        <v>20</v>
      </c>
      <c r="W774" s="17" t="n">
        <v>54</v>
      </c>
      <c r="X774" s="17" t="n">
        <v>9</v>
      </c>
      <c r="Y774" s="20" t="n">
        <v>26129.33</v>
      </c>
      <c r="Z774" s="21" t="n">
        <v>0.1286</v>
      </c>
      <c r="AA774" s="16" t="n">
        <v>42170</v>
      </c>
      <c r="AB774" s="5">
        <f>IF(V774="","",IF(V774&lt;12,"Months","Weeks"))</f>
        <v/>
      </c>
      <c r="AC774" s="5">
        <f>IF(AB774="","",IF(AB774="Months","Daily","Weekly"))</f>
        <v/>
      </c>
      <c r="AD774" s="17">
        <f>IF(V774="","",IF(AC774="Daily",V774*Controls!$B$13,V774))</f>
        <v/>
      </c>
      <c r="AE774" s="17">
        <f>IF(V774="","",IF(AC774="Daily",V774*Controls!$B$13,V774*Controls!$B$12))</f>
        <v/>
      </c>
      <c r="AF774" s="17">
        <f>IF(OR(E774="",F774=""),"",F774-E774)</f>
        <v/>
      </c>
      <c r="AG774" s="17">
        <f>IF(OR(E774="",F774=""),"",NETWORKDAYS(E774,F774,Ref!$F$4:$F$47))</f>
        <v/>
      </c>
      <c r="AH774" s="39">
        <f>IF(IFERROR(VLOOKUP(D774,Controls!$A$25:$D$35,2,FALSE()),"No")="Yes",1,0)</f>
        <v/>
      </c>
      <c r="AI774" s="39">
        <f>IF(IFERROR(VLOOKUP(D774,Controls!$A$25:$D$35,3,FALSE()),"No")="Yes",1,0)</f>
        <v/>
      </c>
      <c r="AJ774" s="39">
        <f>IF(IFERROR(VLOOKUP(D774,Controls!$A$25:$D$35,4,FALSE()),"No")="Yes",1,0)</f>
        <v/>
      </c>
      <c r="AK774" s="96">
        <f>IF(AND($E774&gt;=Controls!$B$5,$E774&lt;=Controls!$B$6,OR(Controls!$E$9&lt;&gt;"Y",$BE774=1)),1,0)</f>
        <v/>
      </c>
      <c r="AL774" s="39">
        <f>1</f>
        <v/>
      </c>
      <c r="AM774" s="20">
        <f>S774-P774</f>
        <v/>
      </c>
      <c r="AN774" s="20">
        <f>IF(AH774=1,MAX(0,P774-S774),0)</f>
        <v/>
      </c>
      <c r="AO774" s="21">
        <f>IFERROR(S774/P774,"")</f>
        <v/>
      </c>
      <c r="AP774" s="22">
        <f>IF(Y774="","",P774/Y774)</f>
        <v/>
      </c>
      <c r="AQ774" s="39">
        <f>IF(Y774="",0,1)</f>
        <v/>
      </c>
      <c r="AR774" s="39">
        <f>IF(S774&lt;=0,1,0)</f>
        <v/>
      </c>
      <c r="AS774" s="17">
        <f>IF(AH774=1,AG774,"")</f>
        <v/>
      </c>
      <c r="AT774" s="17">
        <f>IF(AND(AH774=0,AJ774=1),AG774,"")</f>
        <v/>
      </c>
      <c r="AU774" s="5">
        <f>IF(P774&lt;10000,"Under $10K",IF(P774&lt;20000,"$10-20K",IF(P774&lt;30000,"$20-30K",IF(P774&lt;50000,"$30-50K",IF(P774&lt;100000,"$50-100K","$100K+")))))</f>
        <v/>
      </c>
      <c r="AV774" s="5">
        <f>IF(O774&lt;=1.35,"1.35 and under",IF(O774&lt;=1.42,"1.36-1.42",IF(O774&lt;=1.45,"1.43-1.45",IF(O774&lt;1.49,"1.46-1.48",IF(O774&lt;=1.49,"1.49","Above 1.49")))))</f>
        <v/>
      </c>
      <c r="AW774" s="5">
        <f>IF(AE774="","",IF(AE774&lt;60,"Under 60",IF(AE774&lt;90,"60-89",IF(AE774&lt;120,"90-119",IF(AE774&lt;150,"120-149","150+")))))</f>
        <v/>
      </c>
      <c r="AX774" s="5">
        <f>IF(AP774="","No revenue data",IF(AP774&lt;0.15,"Under 0.15x",IF(AP774&lt;0.3,"0.15-0.30x",IF(AP774&lt;0.5,"0.30-0.50x",IF(AP774&lt;1,"0.50-1.00x","1.00x+")))))</f>
        <v/>
      </c>
      <c r="AY774" s="5">
        <f>IF(J774="","No SIC",IFERROR(VLOOKUP(J774,Ref!$A$4:$C$67,2,FALSE()),"Unclassified"))</f>
        <v/>
      </c>
      <c r="AZ774" s="5">
        <f>IF(E774="","",TEXT(E774,"YYYY")&amp;"-Q"&amp;ROUNDUP(MONTH(E774)/3,0))</f>
        <v/>
      </c>
      <c r="BA774" s="5">
        <f>IF(E774="","",TEXT(E774,"YYYY-MM"))</f>
        <v/>
      </c>
      <c r="BB774" s="5">
        <f>IF(E774="","",TEXT(E774,"YYYY"))</f>
        <v/>
      </c>
      <c r="BC774" s="92">
        <f>IF($E774="","",NETWORKDAYS($E774,Controls!$B$9,Ref!$F$4:$F$47))</f>
        <v/>
      </c>
      <c r="BD774" s="92">
        <f>IF(OR($AH774=1,$AJ774=1),1,0)</f>
        <v/>
      </c>
      <c r="BE774" s="95">
        <f>IF(OR($BD774=1,AND($AE774&lt;&gt;"",$BC774&gt;=Controls!$B$10*$AE774)),1,0)</f>
        <v/>
      </c>
    </row>
    <row r="775" ht="15.75" customHeight="1" s="79">
      <c r="A775" s="5" t="inlineStr">
        <is>
          <t>5674181355</t>
        </is>
      </c>
      <c r="B775" s="5" t="inlineStr">
        <is>
          <t>ECH TOOLS MATCO DISTRIBUTOR</t>
        </is>
      </c>
      <c r="C775" s="5" t="inlineStr">
        <is>
          <t>ECH TOOLS MATCO DISTRIBUTOR</t>
        </is>
      </c>
      <c r="D775" s="5" t="inlineStr">
        <is>
          <t>Open</t>
        </is>
      </c>
      <c r="E775" s="16" t="n">
        <v>46118</v>
      </c>
      <c r="F775" s="16" t="n">
        <v>46253</v>
      </c>
      <c r="G775" s="17" t="n">
        <v>3</v>
      </c>
      <c r="H775" s="5" t="inlineStr">
        <is>
          <t>3541</t>
        </is>
      </c>
      <c r="I775" s="5" t="inlineStr">
        <is>
          <t>Machine Tool Mfg.</t>
        </is>
      </c>
      <c r="J775" s="5" t="inlineStr">
        <is>
          <t>35</t>
        </is>
      </c>
      <c r="K775" s="5" t="n">
        <v>7394</v>
      </c>
      <c r="L775" s="5" t="inlineStr">
        <is>
          <t>CA</t>
        </is>
      </c>
      <c r="M775" s="5" t="inlineStr">
        <is>
          <t>Ballicci</t>
        </is>
      </c>
      <c r="N775" s="5" t="inlineStr">
        <is>
          <t>New Deal</t>
        </is>
      </c>
      <c r="O775" s="19" t="n">
        <v>1.45</v>
      </c>
      <c r="P775" s="20" t="n">
        <v>25000</v>
      </c>
      <c r="Q775" s="20" t="n">
        <v>3000</v>
      </c>
      <c r="R775" s="20" t="n">
        <v>36250</v>
      </c>
      <c r="S775" s="20" t="n">
        <v>21750.75</v>
      </c>
      <c r="T775" s="20" t="n">
        <v>14499.25</v>
      </c>
      <c r="U775" s="21" t="n">
        <v>0.600020689655172</v>
      </c>
      <c r="V775" s="22" t="n">
        <v>4.098</v>
      </c>
      <c r="W775" s="17" t="n">
        <v>0</v>
      </c>
      <c r="X775" s="17" t="n">
        <v>20</v>
      </c>
      <c r="Y775" s="20" t="n">
        <v>25882.4</v>
      </c>
      <c r="Z775" s="21" t="n">
        <v>0.2353</v>
      </c>
      <c r="AA775" s="16" t="n">
        <v>43472</v>
      </c>
      <c r="AB775" s="5">
        <f>IF(V775="","",IF(V775&lt;12,"Months","Weeks"))</f>
        <v/>
      </c>
      <c r="AC775" s="5">
        <f>IF(AB775="","",IF(AB775="Months","Daily","Weekly"))</f>
        <v/>
      </c>
      <c r="AD775" s="17">
        <f>IF(V775="","",IF(AC775="Daily",V775*Controls!$B$13,V775))</f>
        <v/>
      </c>
      <c r="AE775" s="17">
        <f>IF(V775="","",IF(AC775="Daily",V775*Controls!$B$13,V775*Controls!$B$12))</f>
        <v/>
      </c>
      <c r="AF775" s="17">
        <f>IF(OR(E775="",F775=""),"",F775-E775)</f>
        <v/>
      </c>
      <c r="AG775" s="17">
        <f>IF(OR(E775="",F775=""),"",NETWORKDAYS(E775,F775,Ref!$F$4:$F$47))</f>
        <v/>
      </c>
      <c r="AH775" s="39">
        <f>IF(IFERROR(VLOOKUP(D775,Controls!$A$25:$D$35,2,FALSE()),"No")="Yes",1,0)</f>
        <v/>
      </c>
      <c r="AI775" s="39">
        <f>IF(IFERROR(VLOOKUP(D775,Controls!$A$25:$D$35,3,FALSE()),"No")="Yes",1,0)</f>
        <v/>
      </c>
      <c r="AJ775" s="39">
        <f>IF(IFERROR(VLOOKUP(D775,Controls!$A$25:$D$35,4,FALSE()),"No")="Yes",1,0)</f>
        <v/>
      </c>
      <c r="AK775" s="96">
        <f>IF(AND($E775&gt;=Controls!$B$5,$E775&lt;=Controls!$B$6,OR(Controls!$E$9&lt;&gt;"Y",$BE775=1)),1,0)</f>
        <v/>
      </c>
      <c r="AL775" s="39">
        <f>1</f>
        <v/>
      </c>
      <c r="AM775" s="20">
        <f>S775-P775</f>
        <v/>
      </c>
      <c r="AN775" s="20">
        <f>IF(AH775=1,MAX(0,P775-S775),0)</f>
        <v/>
      </c>
      <c r="AO775" s="21">
        <f>IFERROR(S775/P775,"")</f>
        <v/>
      </c>
      <c r="AP775" s="22">
        <f>IF(Y775="","",P775/Y775)</f>
        <v/>
      </c>
      <c r="AQ775" s="39">
        <f>IF(Y775="",0,1)</f>
        <v/>
      </c>
      <c r="AR775" s="39">
        <f>IF(S775&lt;=0,1,0)</f>
        <v/>
      </c>
      <c r="AS775" s="17">
        <f>IF(AH775=1,AG775,"")</f>
        <v/>
      </c>
      <c r="AT775" s="17">
        <f>IF(AND(AH775=0,AJ775=1),AG775,"")</f>
        <v/>
      </c>
      <c r="AU775" s="5">
        <f>IF(P775&lt;10000,"Under $10K",IF(P775&lt;20000,"$10-20K",IF(P775&lt;30000,"$20-30K",IF(P775&lt;50000,"$30-50K",IF(P775&lt;100000,"$50-100K","$100K+")))))</f>
        <v/>
      </c>
      <c r="AV775" s="5">
        <f>IF(O775&lt;=1.35,"1.35 and under",IF(O775&lt;=1.42,"1.36-1.42",IF(O775&lt;=1.45,"1.43-1.45",IF(O775&lt;1.49,"1.46-1.48",IF(O775&lt;=1.49,"1.49","Above 1.49")))))</f>
        <v/>
      </c>
      <c r="AW775" s="5">
        <f>IF(AE775="","",IF(AE775&lt;60,"Under 60",IF(AE775&lt;90,"60-89",IF(AE775&lt;120,"90-119",IF(AE775&lt;150,"120-149","150+")))))</f>
        <v/>
      </c>
      <c r="AX775" s="5">
        <f>IF(AP775="","No revenue data",IF(AP775&lt;0.15,"Under 0.15x",IF(AP775&lt;0.3,"0.15-0.30x",IF(AP775&lt;0.5,"0.30-0.50x",IF(AP775&lt;1,"0.50-1.00x","1.00x+")))))</f>
        <v/>
      </c>
      <c r="AY775" s="5">
        <f>IF(J775="","No SIC",IFERROR(VLOOKUP(J775,Ref!$A$4:$C$67,2,FALSE()),"Unclassified"))</f>
        <v/>
      </c>
      <c r="AZ775" s="5">
        <f>IF(E775="","",TEXT(E775,"YYYY")&amp;"-Q"&amp;ROUNDUP(MONTH(E775)/3,0))</f>
        <v/>
      </c>
      <c r="BA775" s="5">
        <f>IF(E775="","",TEXT(E775,"YYYY-MM"))</f>
        <v/>
      </c>
      <c r="BB775" s="5">
        <f>IF(E775="","",TEXT(E775,"YYYY"))</f>
        <v/>
      </c>
      <c r="BC775" s="92">
        <f>IF($E775="","",NETWORKDAYS($E775,Controls!$B$9,Ref!$F$4:$F$47))</f>
        <v/>
      </c>
      <c r="BD775" s="92">
        <f>IF(OR($AH775=1,$AJ775=1),1,0)</f>
        <v/>
      </c>
      <c r="BE775" s="95">
        <f>IF(OR($BD775=1,AND($AE775&lt;&gt;"",$BC775&gt;=Controls!$B$10*$AE775)),1,0)</f>
        <v/>
      </c>
    </row>
    <row r="776" ht="15.75" customHeight="1" s="79">
      <c r="A776" s="5" t="inlineStr">
        <is>
          <t>5674181361</t>
        </is>
      </c>
      <c r="B776" s="5" t="inlineStr">
        <is>
          <t>Ur Power Source Llc</t>
        </is>
      </c>
      <c r="C776" s="5" t="inlineStr">
        <is>
          <t>Ur Power Source Llc</t>
        </is>
      </c>
      <c r="D776" s="5" t="inlineStr">
        <is>
          <t>Legal</t>
        </is>
      </c>
      <c r="E776" s="16" t="n">
        <v>46118</v>
      </c>
      <c r="F776" s="16" t="n">
        <v>46163</v>
      </c>
      <c r="G776" s="17" t="n">
        <v>3</v>
      </c>
      <c r="H776" s="5" t="inlineStr">
        <is>
          <t>1731</t>
        </is>
      </c>
      <c r="I776" s="5" t="inlineStr">
        <is>
          <t>Electrical Contractors and Other Wiring Installation Contractors</t>
        </is>
      </c>
      <c r="J776" s="5" t="inlineStr">
        <is>
          <t>17</t>
        </is>
      </c>
      <c r="K776" s="5" t="n">
        <v>1731</v>
      </c>
      <c r="L776" s="5" t="inlineStr">
        <is>
          <t>GA</t>
        </is>
      </c>
      <c r="M776" s="5" t="inlineStr">
        <is>
          <t>Ballicci</t>
        </is>
      </c>
      <c r="N776" s="5" t="inlineStr">
        <is>
          <t>New Deal</t>
        </is>
      </c>
      <c r="O776" s="19" t="n">
        <v>1.49</v>
      </c>
      <c r="P776" s="20" t="n">
        <v>20000</v>
      </c>
      <c r="Q776" s="20" t="n">
        <v>0</v>
      </c>
      <c r="R776" s="20" t="n">
        <v>29800</v>
      </c>
      <c r="S776" s="20" t="n">
        <v>7945.44</v>
      </c>
      <c r="T776" s="20" t="n">
        <v>21854.56</v>
      </c>
      <c r="U776" s="21" t="n">
        <v>0.266625503355705</v>
      </c>
      <c r="V776" s="22" t="n">
        <v>2.951</v>
      </c>
      <c r="W776" s="17" t="n">
        <v>91</v>
      </c>
      <c r="X776" s="17" t="n">
        <v>6</v>
      </c>
      <c r="Y776" s="20" t="n">
        <v>66592.34</v>
      </c>
      <c r="Z776" s="21" t="n">
        <v>0.1044</v>
      </c>
      <c r="AA776" s="16" t="n">
        <v>44927</v>
      </c>
      <c r="AB776" s="5">
        <f>IF(V776="","",IF(V776&lt;12,"Months","Weeks"))</f>
        <v/>
      </c>
      <c r="AC776" s="5">
        <f>IF(AB776="","",IF(AB776="Months","Daily","Weekly"))</f>
        <v/>
      </c>
      <c r="AD776" s="17">
        <f>IF(V776="","",IF(AC776="Daily",V776*Controls!$B$13,V776))</f>
        <v/>
      </c>
      <c r="AE776" s="17">
        <f>IF(V776="","",IF(AC776="Daily",V776*Controls!$B$13,V776*Controls!$B$12))</f>
        <v/>
      </c>
      <c r="AF776" s="17">
        <f>IF(OR(E776="",F776=""),"",F776-E776)</f>
        <v/>
      </c>
      <c r="AG776" s="17">
        <f>IF(OR(E776="",F776=""),"",NETWORKDAYS(E776,F776,Ref!$F$4:$F$47))</f>
        <v/>
      </c>
      <c r="AH776" s="39">
        <f>IF(IFERROR(VLOOKUP(D776,Controls!$A$25:$D$35,2,FALSE()),"No")="Yes",1,0)</f>
        <v/>
      </c>
      <c r="AI776" s="39">
        <f>IF(IFERROR(VLOOKUP(D776,Controls!$A$25:$D$35,3,FALSE()),"No")="Yes",1,0)</f>
        <v/>
      </c>
      <c r="AJ776" s="39">
        <f>IF(IFERROR(VLOOKUP(D776,Controls!$A$25:$D$35,4,FALSE()),"No")="Yes",1,0)</f>
        <v/>
      </c>
      <c r="AK776" s="96">
        <f>IF(AND($E776&gt;=Controls!$B$5,$E776&lt;=Controls!$B$6,OR(Controls!$E$9&lt;&gt;"Y",$BE776=1)),1,0)</f>
        <v/>
      </c>
      <c r="AL776" s="39">
        <f>1</f>
        <v/>
      </c>
      <c r="AM776" s="20">
        <f>S776-P776</f>
        <v/>
      </c>
      <c r="AN776" s="20">
        <f>IF(AH776=1,MAX(0,P776-S776),0)</f>
        <v/>
      </c>
      <c r="AO776" s="21">
        <f>IFERROR(S776/P776,"")</f>
        <v/>
      </c>
      <c r="AP776" s="22">
        <f>IF(Y776="","",P776/Y776)</f>
        <v/>
      </c>
      <c r="AQ776" s="39">
        <f>IF(Y776="",0,1)</f>
        <v/>
      </c>
      <c r="AR776" s="39">
        <f>IF(S776&lt;=0,1,0)</f>
        <v/>
      </c>
      <c r="AS776" s="17">
        <f>IF(AH776=1,AG776,"")</f>
        <v/>
      </c>
      <c r="AT776" s="17">
        <f>IF(AND(AH776=0,AJ776=1),AG776,"")</f>
        <v/>
      </c>
      <c r="AU776" s="5">
        <f>IF(P776&lt;10000,"Under $10K",IF(P776&lt;20000,"$10-20K",IF(P776&lt;30000,"$20-30K",IF(P776&lt;50000,"$30-50K",IF(P776&lt;100000,"$50-100K","$100K+")))))</f>
        <v/>
      </c>
      <c r="AV776" s="5">
        <f>IF(O776&lt;=1.35,"1.35 and under",IF(O776&lt;=1.42,"1.36-1.42",IF(O776&lt;=1.45,"1.43-1.45",IF(O776&lt;1.49,"1.46-1.48",IF(O776&lt;=1.49,"1.49","Above 1.49")))))</f>
        <v/>
      </c>
      <c r="AW776" s="5">
        <f>IF(AE776="","",IF(AE776&lt;60,"Under 60",IF(AE776&lt;90,"60-89",IF(AE776&lt;120,"90-119",IF(AE776&lt;150,"120-149","150+")))))</f>
        <v/>
      </c>
      <c r="AX776" s="5">
        <f>IF(AP776="","No revenue data",IF(AP776&lt;0.15,"Under 0.15x",IF(AP776&lt;0.3,"0.15-0.30x",IF(AP776&lt;0.5,"0.30-0.50x",IF(AP776&lt;1,"0.50-1.00x","1.00x+")))))</f>
        <v/>
      </c>
      <c r="AY776" s="5">
        <f>IF(J776="","No SIC",IFERROR(VLOOKUP(J776,Ref!$A$4:$C$67,2,FALSE()),"Unclassified"))</f>
        <v/>
      </c>
      <c r="AZ776" s="5">
        <f>IF(E776="","",TEXT(E776,"YYYY")&amp;"-Q"&amp;ROUNDUP(MONTH(E776)/3,0))</f>
        <v/>
      </c>
      <c r="BA776" s="5">
        <f>IF(E776="","",TEXT(E776,"YYYY-MM"))</f>
        <v/>
      </c>
      <c r="BB776" s="5">
        <f>IF(E776="","",TEXT(E776,"YYYY"))</f>
        <v/>
      </c>
      <c r="BC776" s="92">
        <f>IF($E776="","",NETWORKDAYS($E776,Controls!$B$9,Ref!$F$4:$F$47))</f>
        <v/>
      </c>
      <c r="BD776" s="92">
        <f>IF(OR($AH776=1,$AJ776=1),1,0)</f>
        <v/>
      </c>
      <c r="BE776" s="95">
        <f>IF(OR($BD776=1,AND($AE776&lt;&gt;"",$BC776&gt;=Controls!$B$10*$AE776)),1,0)</f>
        <v/>
      </c>
    </row>
    <row r="777" ht="15.75" customHeight="1" s="79">
      <c r="A777" s="5" t="inlineStr">
        <is>
          <t>5674181378</t>
        </is>
      </c>
      <c r="B777" s="5" t="inlineStr">
        <is>
          <t>Guided Property Solutions LLC</t>
        </is>
      </c>
      <c r="C777" s="5" t="inlineStr">
        <is>
          <t>Guided Property Solutions LLC</t>
        </is>
      </c>
      <c r="D777" s="5" t="inlineStr">
        <is>
          <t>In House Collection</t>
        </is>
      </c>
      <c r="E777" s="16" t="n">
        <v>46119</v>
      </c>
      <c r="F777" s="16" t="n">
        <v>46248</v>
      </c>
      <c r="G777" s="17" t="n">
        <v>3</v>
      </c>
      <c r="H777" s="5" t="inlineStr">
        <is>
          <t>6531</t>
        </is>
      </c>
      <c r="I777" s="5" t="inlineStr">
        <is>
          <t>Offices of Real Estate Agents and Brokerages</t>
        </is>
      </c>
      <c r="J777" s="5" t="inlineStr">
        <is>
          <t>65</t>
        </is>
      </c>
      <c r="K777" s="5" t="n">
        <v>6513</v>
      </c>
      <c r="L777" s="5" t="inlineStr">
        <is>
          <t>TX</t>
        </is>
      </c>
      <c r="M777" s="5" t="inlineStr">
        <is>
          <t>United Secured Capital 8</t>
        </is>
      </c>
      <c r="N777" s="5" t="inlineStr">
        <is>
          <t>New Deal</t>
        </is>
      </c>
      <c r="O777" s="19" t="n">
        <v>1.43</v>
      </c>
      <c r="P777" s="20" t="n">
        <v>25000</v>
      </c>
      <c r="Q777" s="20" t="n">
        <v>2750</v>
      </c>
      <c r="R777" s="20" t="n">
        <v>35750</v>
      </c>
      <c r="S777" s="20" t="n">
        <v>3715.2</v>
      </c>
      <c r="T777" s="20" t="n">
        <v>32034.8</v>
      </c>
      <c r="U777" s="21" t="n">
        <v>0.103921678321678</v>
      </c>
      <c r="V777" s="22" t="n">
        <v>25</v>
      </c>
      <c r="W777" s="17" t="n">
        <v>22</v>
      </c>
      <c r="X777" s="17" t="n">
        <v>13</v>
      </c>
      <c r="Y777" s="20" t="n">
        <v>196465.29</v>
      </c>
      <c r="Z777" s="21" t="n">
        <v>0.0291</v>
      </c>
      <c r="AA777" s="16" t="n">
        <v>42704</v>
      </c>
      <c r="AB777" s="5">
        <f>IF(V777="","",IF(V777&lt;12,"Months","Weeks"))</f>
        <v/>
      </c>
      <c r="AC777" s="5">
        <f>IF(AB777="","",IF(AB777="Months","Daily","Weekly"))</f>
        <v/>
      </c>
      <c r="AD777" s="17">
        <f>IF(V777="","",IF(AC777="Daily",V777*Controls!$B$13,V777))</f>
        <v/>
      </c>
      <c r="AE777" s="17">
        <f>IF(V777="","",IF(AC777="Daily",V777*Controls!$B$13,V777*Controls!$B$12))</f>
        <v/>
      </c>
      <c r="AF777" s="17">
        <f>IF(OR(E777="",F777=""),"",F777-E777)</f>
        <v/>
      </c>
      <c r="AG777" s="17">
        <f>IF(OR(E777="",F777=""),"",NETWORKDAYS(E777,F777,Ref!$F$4:$F$47))</f>
        <v/>
      </c>
      <c r="AH777" s="39">
        <f>IF(IFERROR(VLOOKUP(D777,Controls!$A$25:$D$35,2,FALSE()),"No")="Yes",1,0)</f>
        <v/>
      </c>
      <c r="AI777" s="39">
        <f>IF(IFERROR(VLOOKUP(D777,Controls!$A$25:$D$35,3,FALSE()),"No")="Yes",1,0)</f>
        <v/>
      </c>
      <c r="AJ777" s="39">
        <f>IF(IFERROR(VLOOKUP(D777,Controls!$A$25:$D$35,4,FALSE()),"No")="Yes",1,0)</f>
        <v/>
      </c>
      <c r="AK777" s="96">
        <f>IF(AND($E777&gt;=Controls!$B$5,$E777&lt;=Controls!$B$6,OR(Controls!$E$9&lt;&gt;"Y",$BE777=1)),1,0)</f>
        <v/>
      </c>
      <c r="AL777" s="39">
        <f>1</f>
        <v/>
      </c>
      <c r="AM777" s="20">
        <f>S777-P777</f>
        <v/>
      </c>
      <c r="AN777" s="20">
        <f>IF(AH777=1,MAX(0,P777-S777),0)</f>
        <v/>
      </c>
      <c r="AO777" s="21">
        <f>IFERROR(S777/P777,"")</f>
        <v/>
      </c>
      <c r="AP777" s="22">
        <f>IF(Y777="","",P777/Y777)</f>
        <v/>
      </c>
      <c r="AQ777" s="39">
        <f>IF(Y777="",0,1)</f>
        <v/>
      </c>
      <c r="AR777" s="39">
        <f>IF(S777&lt;=0,1,0)</f>
        <v/>
      </c>
      <c r="AS777" s="17">
        <f>IF(AH777=1,AG777,"")</f>
        <v/>
      </c>
      <c r="AT777" s="17">
        <f>IF(AND(AH777=0,AJ777=1),AG777,"")</f>
        <v/>
      </c>
      <c r="AU777" s="5">
        <f>IF(P777&lt;10000,"Under $10K",IF(P777&lt;20000,"$10-20K",IF(P777&lt;30000,"$20-30K",IF(P777&lt;50000,"$30-50K",IF(P777&lt;100000,"$50-100K","$100K+")))))</f>
        <v/>
      </c>
      <c r="AV777" s="5">
        <f>IF(O777&lt;=1.35,"1.35 and under",IF(O777&lt;=1.42,"1.36-1.42",IF(O777&lt;=1.45,"1.43-1.45",IF(O777&lt;1.49,"1.46-1.48",IF(O777&lt;=1.49,"1.49","Above 1.49")))))</f>
        <v/>
      </c>
      <c r="AW777" s="5">
        <f>IF(AE777="","",IF(AE777&lt;60,"Under 60",IF(AE777&lt;90,"60-89",IF(AE777&lt;120,"90-119",IF(AE777&lt;150,"120-149","150+")))))</f>
        <v/>
      </c>
      <c r="AX777" s="5">
        <f>IF(AP777="","No revenue data",IF(AP777&lt;0.15,"Under 0.15x",IF(AP777&lt;0.3,"0.15-0.30x",IF(AP777&lt;0.5,"0.30-0.50x",IF(AP777&lt;1,"0.50-1.00x","1.00x+")))))</f>
        <v/>
      </c>
      <c r="AY777" s="5">
        <f>IF(J777="","No SIC",IFERROR(VLOOKUP(J777,Ref!$A$4:$C$67,2,FALSE()),"Unclassified"))</f>
        <v/>
      </c>
      <c r="AZ777" s="5">
        <f>IF(E777="","",TEXT(E777,"YYYY")&amp;"-Q"&amp;ROUNDUP(MONTH(E777)/3,0))</f>
        <v/>
      </c>
      <c r="BA777" s="5">
        <f>IF(E777="","",TEXT(E777,"YYYY-MM"))</f>
        <v/>
      </c>
      <c r="BB777" s="5">
        <f>IF(E777="","",TEXT(E777,"YYYY"))</f>
        <v/>
      </c>
      <c r="BC777" s="92">
        <f>IF($E777="","",NETWORKDAYS($E777,Controls!$B$9,Ref!$F$4:$F$47))</f>
        <v/>
      </c>
      <c r="BD777" s="92">
        <f>IF(OR($AH777=1,$AJ777=1),1,0)</f>
        <v/>
      </c>
      <c r="BE777" s="95">
        <f>IF(OR($BD777=1,AND($AE777&lt;&gt;"",$BC777&gt;=Controls!$B$10*$AE777)),1,0)</f>
        <v/>
      </c>
    </row>
    <row r="778" ht="15.75" customHeight="1" s="79">
      <c r="A778" s="5" t="inlineStr">
        <is>
          <t>5674181380</t>
        </is>
      </c>
      <c r="B778" s="5" t="inlineStr">
        <is>
          <t>ANB PASTRY EMPIRE</t>
        </is>
      </c>
      <c r="C778" s="5" t="inlineStr">
        <is>
          <t>ANB PASTRY EMPIRE LLC</t>
        </is>
      </c>
      <c r="D778" s="5" t="inlineStr">
        <is>
          <t>Open</t>
        </is>
      </c>
      <c r="E778" s="16" t="n">
        <v>46119</v>
      </c>
      <c r="F778" s="16" t="n">
        <v>46246</v>
      </c>
      <c r="G778" s="17" t="n">
        <v>3</v>
      </c>
      <c r="H778" s="5" t="inlineStr">
        <is>
          <t>5812</t>
        </is>
      </c>
      <c r="I778" s="5" t="inlineStr">
        <is>
          <t>Snack and Nonalcoholic Beverage Bars</t>
        </is>
      </c>
      <c r="J778" s="5" t="inlineStr">
        <is>
          <t>58</t>
        </is>
      </c>
      <c r="K778" s="5" t="n">
        <v>5812</v>
      </c>
      <c r="L778" s="5" t="inlineStr">
        <is>
          <t>TX</t>
        </is>
      </c>
      <c r="M778" s="5" t="inlineStr">
        <is>
          <t>Fundwell</t>
        </is>
      </c>
      <c r="N778" s="5" t="inlineStr">
        <is>
          <t>Renewal</t>
        </is>
      </c>
      <c r="O778" s="19" t="n">
        <v>1.49</v>
      </c>
      <c r="P778" s="20" t="n">
        <v>10000</v>
      </c>
      <c r="Q778" s="20" t="n">
        <v>1600</v>
      </c>
      <c r="R778" s="20" t="n">
        <v>14900</v>
      </c>
      <c r="S778" s="20" t="n">
        <v>14900</v>
      </c>
      <c r="T778" s="20" t="n">
        <v>0</v>
      </c>
      <c r="U778" s="21" t="n">
        <v>1</v>
      </c>
      <c r="V778" s="22" t="n">
        <v>2.951</v>
      </c>
      <c r="W778" s="17" t="n">
        <v>7</v>
      </c>
      <c r="X778" s="17" t="n">
        <v>0</v>
      </c>
      <c r="Y778" s="20" t="n">
        <v>25456</v>
      </c>
      <c r="Z778" s="21" t="n">
        <v>0.1537</v>
      </c>
      <c r="AA778" s="16" t="n">
        <v>43623</v>
      </c>
      <c r="AB778" s="5">
        <f>IF(V778="","",IF(V778&lt;12,"Months","Weeks"))</f>
        <v/>
      </c>
      <c r="AC778" s="5">
        <f>IF(AB778="","",IF(AB778="Months","Daily","Weekly"))</f>
        <v/>
      </c>
      <c r="AD778" s="17">
        <f>IF(V778="","",IF(AC778="Daily",V778*Controls!$B$13,V778))</f>
        <v/>
      </c>
      <c r="AE778" s="17">
        <f>IF(V778="","",IF(AC778="Daily",V778*Controls!$B$13,V778*Controls!$B$12))</f>
        <v/>
      </c>
      <c r="AF778" s="17">
        <f>IF(OR(E778="",F778=""),"",F778-E778)</f>
        <v/>
      </c>
      <c r="AG778" s="17">
        <f>IF(OR(E778="",F778=""),"",NETWORKDAYS(E778,F778,Ref!$F$4:$F$47))</f>
        <v/>
      </c>
      <c r="AH778" s="39">
        <f>IF(IFERROR(VLOOKUP(D778,Controls!$A$25:$D$35,2,FALSE()),"No")="Yes",1,0)</f>
        <v/>
      </c>
      <c r="AI778" s="39">
        <f>IF(IFERROR(VLOOKUP(D778,Controls!$A$25:$D$35,3,FALSE()),"No")="Yes",1,0)</f>
        <v/>
      </c>
      <c r="AJ778" s="39">
        <f>IF(IFERROR(VLOOKUP(D778,Controls!$A$25:$D$35,4,FALSE()),"No")="Yes",1,0)</f>
        <v/>
      </c>
      <c r="AK778" s="96">
        <f>IF(AND($E778&gt;=Controls!$B$5,$E778&lt;=Controls!$B$6,OR(Controls!$E$9&lt;&gt;"Y",$BE778=1)),1,0)</f>
        <v/>
      </c>
      <c r="AL778" s="39">
        <f>1</f>
        <v/>
      </c>
      <c r="AM778" s="20">
        <f>S778-P778</f>
        <v/>
      </c>
      <c r="AN778" s="20">
        <f>IF(AH778=1,MAX(0,P778-S778),0)</f>
        <v/>
      </c>
      <c r="AO778" s="21">
        <f>IFERROR(S778/P778,"")</f>
        <v/>
      </c>
      <c r="AP778" s="22">
        <f>IF(Y778="","",P778/Y778)</f>
        <v/>
      </c>
      <c r="AQ778" s="39">
        <f>IF(Y778="",0,1)</f>
        <v/>
      </c>
      <c r="AR778" s="39">
        <f>IF(S778&lt;=0,1,0)</f>
        <v/>
      </c>
      <c r="AS778" s="17">
        <f>IF(AH778=1,AG778,"")</f>
        <v/>
      </c>
      <c r="AT778" s="17">
        <f>IF(AND(AH778=0,AJ778=1),AG778,"")</f>
        <v/>
      </c>
      <c r="AU778" s="5">
        <f>IF(P778&lt;10000,"Under $10K",IF(P778&lt;20000,"$10-20K",IF(P778&lt;30000,"$20-30K",IF(P778&lt;50000,"$30-50K",IF(P778&lt;100000,"$50-100K","$100K+")))))</f>
        <v/>
      </c>
      <c r="AV778" s="5">
        <f>IF(O778&lt;=1.35,"1.35 and under",IF(O778&lt;=1.42,"1.36-1.42",IF(O778&lt;=1.45,"1.43-1.45",IF(O778&lt;1.49,"1.46-1.48",IF(O778&lt;=1.49,"1.49","Above 1.49")))))</f>
        <v/>
      </c>
      <c r="AW778" s="5">
        <f>IF(AE778="","",IF(AE778&lt;60,"Under 60",IF(AE778&lt;90,"60-89",IF(AE778&lt;120,"90-119",IF(AE778&lt;150,"120-149","150+")))))</f>
        <v/>
      </c>
      <c r="AX778" s="5">
        <f>IF(AP778="","No revenue data",IF(AP778&lt;0.15,"Under 0.15x",IF(AP778&lt;0.3,"0.15-0.30x",IF(AP778&lt;0.5,"0.30-0.50x",IF(AP778&lt;1,"0.50-1.00x","1.00x+")))))</f>
        <v/>
      </c>
      <c r="AY778" s="5">
        <f>IF(J778="","No SIC",IFERROR(VLOOKUP(J778,Ref!$A$4:$C$67,2,FALSE()),"Unclassified"))</f>
        <v/>
      </c>
      <c r="AZ778" s="5">
        <f>IF(E778="","",TEXT(E778,"YYYY")&amp;"-Q"&amp;ROUNDUP(MONTH(E778)/3,0))</f>
        <v/>
      </c>
      <c r="BA778" s="5">
        <f>IF(E778="","",TEXT(E778,"YYYY-MM"))</f>
        <v/>
      </c>
      <c r="BB778" s="5">
        <f>IF(E778="","",TEXT(E778,"YYYY"))</f>
        <v/>
      </c>
      <c r="BC778" s="92">
        <f>IF($E778="","",NETWORKDAYS($E778,Controls!$B$9,Ref!$F$4:$F$47))</f>
        <v/>
      </c>
      <c r="BD778" s="92">
        <f>IF(OR($AH778=1,$AJ778=1),1,0)</f>
        <v/>
      </c>
      <c r="BE778" s="95">
        <f>IF(OR($BD778=1,AND($AE778&lt;&gt;"",$BC778&gt;=Controls!$B$10*$AE778)),1,0)</f>
        <v/>
      </c>
    </row>
    <row r="779" ht="15.75" customHeight="1" s="79">
      <c r="A779" s="5" t="inlineStr">
        <is>
          <t>5674181387</t>
        </is>
      </c>
      <c r="B779" s="5" t="inlineStr">
        <is>
          <t>TECHNOLOGY INTEGRATORS OF TEXAS</t>
        </is>
      </c>
      <c r="C779" s="5" t="inlineStr">
        <is>
          <t>TECHNOLOGY INTEGRATORS OF TEXAS, LLC</t>
        </is>
      </c>
      <c r="D779" s="5" t="inlineStr">
        <is>
          <t>Legal</t>
        </is>
      </c>
      <c r="E779" s="16" t="n">
        <v>46119</v>
      </c>
      <c r="F779" s="16" t="n">
        <v>46204</v>
      </c>
      <c r="G779" s="17" t="n">
        <v>2</v>
      </c>
      <c r="H779" s="5" t="inlineStr">
        <is>
          <t>7371</t>
        </is>
      </c>
      <c r="I779" s="5" t="inlineStr">
        <is>
          <t>Custom Computer Programming Services</t>
        </is>
      </c>
      <c r="J779" s="5" t="inlineStr">
        <is>
          <t>73</t>
        </is>
      </c>
      <c r="K779" s="5" t="n">
        <v>7372</v>
      </c>
      <c r="L779" s="5" t="inlineStr">
        <is>
          <t>TX</t>
        </is>
      </c>
      <c r="M779" s="5" t="inlineStr">
        <is>
          <t>Fundwell</t>
        </is>
      </c>
      <c r="N779" s="5" t="inlineStr">
        <is>
          <t>New Deal</t>
        </is>
      </c>
      <c r="O779" s="19" t="n">
        <v>1.42</v>
      </c>
      <c r="P779" s="20" t="n">
        <v>10000</v>
      </c>
      <c r="Q779" s="20" t="n">
        <v>0</v>
      </c>
      <c r="R779" s="20" t="n">
        <v>14200</v>
      </c>
      <c r="S779" s="20" t="n">
        <v>6394.86</v>
      </c>
      <c r="T779" s="20" t="n">
        <v>7805.14</v>
      </c>
      <c r="U779" s="21" t="n">
        <v>0.450342253521127</v>
      </c>
      <c r="V779" s="22" t="n">
        <v>20</v>
      </c>
      <c r="W779" s="17" t="n">
        <v>56</v>
      </c>
      <c r="X779" s="17" t="n">
        <v>3</v>
      </c>
      <c r="Y779" s="20" t="n">
        <v>47369.23</v>
      </c>
      <c r="Z779" s="21" t="n">
        <v>0.06</v>
      </c>
      <c r="AA779" s="16" t="n">
        <v>44089</v>
      </c>
      <c r="AB779" s="5">
        <f>IF(V779="","",IF(V779&lt;12,"Months","Weeks"))</f>
        <v/>
      </c>
      <c r="AC779" s="5">
        <f>IF(AB779="","",IF(AB779="Months","Daily","Weekly"))</f>
        <v/>
      </c>
      <c r="AD779" s="17">
        <f>IF(V779="","",IF(AC779="Daily",V779*Controls!$B$13,V779))</f>
        <v/>
      </c>
      <c r="AE779" s="17">
        <f>IF(V779="","",IF(AC779="Daily",V779*Controls!$B$13,V779*Controls!$B$12))</f>
        <v/>
      </c>
      <c r="AF779" s="17">
        <f>IF(OR(E779="",F779=""),"",F779-E779)</f>
        <v/>
      </c>
      <c r="AG779" s="17">
        <f>IF(OR(E779="",F779=""),"",NETWORKDAYS(E779,F779,Ref!$F$4:$F$47))</f>
        <v/>
      </c>
      <c r="AH779" s="39">
        <f>IF(IFERROR(VLOOKUP(D779,Controls!$A$25:$D$35,2,FALSE()),"No")="Yes",1,0)</f>
        <v/>
      </c>
      <c r="AI779" s="39">
        <f>IF(IFERROR(VLOOKUP(D779,Controls!$A$25:$D$35,3,FALSE()),"No")="Yes",1,0)</f>
        <v/>
      </c>
      <c r="AJ779" s="39">
        <f>IF(IFERROR(VLOOKUP(D779,Controls!$A$25:$D$35,4,FALSE()),"No")="Yes",1,0)</f>
        <v/>
      </c>
      <c r="AK779" s="96">
        <f>IF(AND($E779&gt;=Controls!$B$5,$E779&lt;=Controls!$B$6,OR(Controls!$E$9&lt;&gt;"Y",$BE779=1)),1,0)</f>
        <v/>
      </c>
      <c r="AL779" s="39">
        <f>1</f>
        <v/>
      </c>
      <c r="AM779" s="20">
        <f>S779-P779</f>
        <v/>
      </c>
      <c r="AN779" s="20">
        <f>IF(AH779=1,MAX(0,P779-S779),0)</f>
        <v/>
      </c>
      <c r="AO779" s="21">
        <f>IFERROR(S779/P779,"")</f>
        <v/>
      </c>
      <c r="AP779" s="22">
        <f>IF(Y779="","",P779/Y779)</f>
        <v/>
      </c>
      <c r="AQ779" s="39">
        <f>IF(Y779="",0,1)</f>
        <v/>
      </c>
      <c r="AR779" s="39">
        <f>IF(S779&lt;=0,1,0)</f>
        <v/>
      </c>
      <c r="AS779" s="17">
        <f>IF(AH779=1,AG779,"")</f>
        <v/>
      </c>
      <c r="AT779" s="17">
        <f>IF(AND(AH779=0,AJ779=1),AG779,"")</f>
        <v/>
      </c>
      <c r="AU779" s="5">
        <f>IF(P779&lt;10000,"Under $10K",IF(P779&lt;20000,"$10-20K",IF(P779&lt;30000,"$20-30K",IF(P779&lt;50000,"$30-50K",IF(P779&lt;100000,"$50-100K","$100K+")))))</f>
        <v/>
      </c>
      <c r="AV779" s="5">
        <f>IF(O779&lt;=1.35,"1.35 and under",IF(O779&lt;=1.42,"1.36-1.42",IF(O779&lt;=1.45,"1.43-1.45",IF(O779&lt;1.49,"1.46-1.48",IF(O779&lt;=1.49,"1.49","Above 1.49")))))</f>
        <v/>
      </c>
      <c r="AW779" s="5">
        <f>IF(AE779="","",IF(AE779&lt;60,"Under 60",IF(AE779&lt;90,"60-89",IF(AE779&lt;120,"90-119",IF(AE779&lt;150,"120-149","150+")))))</f>
        <v/>
      </c>
      <c r="AX779" s="5">
        <f>IF(AP779="","No revenue data",IF(AP779&lt;0.15,"Under 0.15x",IF(AP779&lt;0.3,"0.15-0.30x",IF(AP779&lt;0.5,"0.30-0.50x",IF(AP779&lt;1,"0.50-1.00x","1.00x+")))))</f>
        <v/>
      </c>
      <c r="AY779" s="5">
        <f>IF(J779="","No SIC",IFERROR(VLOOKUP(J779,Ref!$A$4:$C$67,2,FALSE()),"Unclassified"))</f>
        <v/>
      </c>
      <c r="AZ779" s="5">
        <f>IF(E779="","",TEXT(E779,"YYYY")&amp;"-Q"&amp;ROUNDUP(MONTH(E779)/3,0))</f>
        <v/>
      </c>
      <c r="BA779" s="5">
        <f>IF(E779="","",TEXT(E779,"YYYY-MM"))</f>
        <v/>
      </c>
      <c r="BB779" s="5">
        <f>IF(E779="","",TEXT(E779,"YYYY"))</f>
        <v/>
      </c>
      <c r="BC779" s="92">
        <f>IF($E779="","",NETWORKDAYS($E779,Controls!$B$9,Ref!$F$4:$F$47))</f>
        <v/>
      </c>
      <c r="BD779" s="92">
        <f>IF(OR($AH779=1,$AJ779=1),1,0)</f>
        <v/>
      </c>
      <c r="BE779" s="95">
        <f>IF(OR($BD779=1,AND($AE779&lt;&gt;"",$BC779&gt;=Controls!$B$10*$AE779)),1,0)</f>
        <v/>
      </c>
    </row>
    <row r="780" ht="15.75" customHeight="1" s="79">
      <c r="A780" s="5" t="inlineStr">
        <is>
          <t>5674181431</t>
        </is>
      </c>
      <c r="B780" s="5" t="inlineStr">
        <is>
          <t>MC SITE WORK INC</t>
        </is>
      </c>
      <c r="C780" s="5" t="inlineStr">
        <is>
          <t>MC SITE WORK INC</t>
        </is>
      </c>
      <c r="D780" s="5" t="inlineStr">
        <is>
          <t>Legal</t>
        </is>
      </c>
      <c r="E780" s="16" t="n">
        <v>46120</v>
      </c>
      <c r="F780" s="16" t="n">
        <v>46212</v>
      </c>
      <c r="G780" s="17" t="n">
        <v>3</v>
      </c>
      <c r="H780" s="5" t="inlineStr">
        <is>
          <t>1521</t>
        </is>
      </c>
      <c r="I780" s="5" t="inlineStr">
        <is>
          <t>Residential Remodelers</t>
        </is>
      </c>
      <c r="J780" s="5" t="inlineStr">
        <is>
          <t>15</t>
        </is>
      </c>
      <c r="K780" s="5" t="n">
        <v>1520</v>
      </c>
      <c r="L780" s="5" t="inlineStr">
        <is>
          <t>IA</t>
        </is>
      </c>
      <c r="M780" s="5" t="inlineStr">
        <is>
          <t>ALLSTATE FUND PROS LLC</t>
        </is>
      </c>
      <c r="N780" s="5" t="inlineStr">
        <is>
          <t>New Deal</t>
        </is>
      </c>
      <c r="O780" s="19" t="n">
        <v>1.45</v>
      </c>
      <c r="P780" s="20" t="n">
        <v>10000</v>
      </c>
      <c r="Q780" s="20" t="n">
        <v>1200</v>
      </c>
      <c r="R780" s="20" t="n">
        <v>14500</v>
      </c>
      <c r="S780" s="20" t="n">
        <v>5478.08</v>
      </c>
      <c r="T780" s="20" t="n">
        <v>9021.92</v>
      </c>
      <c r="U780" s="21" t="n">
        <v>0.377798620689655</v>
      </c>
      <c r="V780" s="22" t="n">
        <v>2.951</v>
      </c>
      <c r="W780" s="17" t="n">
        <v>82</v>
      </c>
      <c r="X780" s="17" t="n">
        <v>19</v>
      </c>
      <c r="Y780" s="20" t="n">
        <v>58058.07</v>
      </c>
      <c r="Z780" s="21" t="n">
        <v>0.0572</v>
      </c>
      <c r="AA780" s="16" t="n">
        <v>44409</v>
      </c>
      <c r="AB780" s="5">
        <f>IF(V780="","",IF(V780&lt;12,"Months","Weeks"))</f>
        <v/>
      </c>
      <c r="AC780" s="5">
        <f>IF(AB780="","",IF(AB780="Months","Daily","Weekly"))</f>
        <v/>
      </c>
      <c r="AD780" s="17">
        <f>IF(V780="","",IF(AC780="Daily",V780*Controls!$B$13,V780))</f>
        <v/>
      </c>
      <c r="AE780" s="17">
        <f>IF(V780="","",IF(AC780="Daily",V780*Controls!$B$13,V780*Controls!$B$12))</f>
        <v/>
      </c>
      <c r="AF780" s="17">
        <f>IF(OR(E780="",F780=""),"",F780-E780)</f>
        <v/>
      </c>
      <c r="AG780" s="17">
        <f>IF(OR(E780="",F780=""),"",NETWORKDAYS(E780,F780,Ref!$F$4:$F$47))</f>
        <v/>
      </c>
      <c r="AH780" s="39">
        <f>IF(IFERROR(VLOOKUP(D780,Controls!$A$25:$D$35,2,FALSE()),"No")="Yes",1,0)</f>
        <v/>
      </c>
      <c r="AI780" s="39">
        <f>IF(IFERROR(VLOOKUP(D780,Controls!$A$25:$D$35,3,FALSE()),"No")="Yes",1,0)</f>
        <v/>
      </c>
      <c r="AJ780" s="39">
        <f>IF(IFERROR(VLOOKUP(D780,Controls!$A$25:$D$35,4,FALSE()),"No")="Yes",1,0)</f>
        <v/>
      </c>
      <c r="AK780" s="96">
        <f>IF(AND($E780&gt;=Controls!$B$5,$E780&lt;=Controls!$B$6,OR(Controls!$E$9&lt;&gt;"Y",$BE780=1)),1,0)</f>
        <v/>
      </c>
      <c r="AL780" s="39">
        <f>1</f>
        <v/>
      </c>
      <c r="AM780" s="20">
        <f>S780-P780</f>
        <v/>
      </c>
      <c r="AN780" s="20">
        <f>IF(AH780=1,MAX(0,P780-S780),0)</f>
        <v/>
      </c>
      <c r="AO780" s="21">
        <f>IFERROR(S780/P780,"")</f>
        <v/>
      </c>
      <c r="AP780" s="22">
        <f>IF(Y780="","",P780/Y780)</f>
        <v/>
      </c>
      <c r="AQ780" s="39">
        <f>IF(Y780="",0,1)</f>
        <v/>
      </c>
      <c r="AR780" s="39">
        <f>IF(S780&lt;=0,1,0)</f>
        <v/>
      </c>
      <c r="AS780" s="17">
        <f>IF(AH780=1,AG780,"")</f>
        <v/>
      </c>
      <c r="AT780" s="17">
        <f>IF(AND(AH780=0,AJ780=1),AG780,"")</f>
        <v/>
      </c>
      <c r="AU780" s="5">
        <f>IF(P780&lt;10000,"Under $10K",IF(P780&lt;20000,"$10-20K",IF(P780&lt;30000,"$20-30K",IF(P780&lt;50000,"$30-50K",IF(P780&lt;100000,"$50-100K","$100K+")))))</f>
        <v/>
      </c>
      <c r="AV780" s="5">
        <f>IF(O780&lt;=1.35,"1.35 and under",IF(O780&lt;=1.42,"1.36-1.42",IF(O780&lt;=1.45,"1.43-1.45",IF(O780&lt;1.49,"1.46-1.48",IF(O780&lt;=1.49,"1.49","Above 1.49")))))</f>
        <v/>
      </c>
      <c r="AW780" s="5">
        <f>IF(AE780="","",IF(AE780&lt;60,"Under 60",IF(AE780&lt;90,"60-89",IF(AE780&lt;120,"90-119",IF(AE780&lt;150,"120-149","150+")))))</f>
        <v/>
      </c>
      <c r="AX780" s="5">
        <f>IF(AP780="","No revenue data",IF(AP780&lt;0.15,"Under 0.15x",IF(AP780&lt;0.3,"0.15-0.30x",IF(AP780&lt;0.5,"0.30-0.50x",IF(AP780&lt;1,"0.50-1.00x","1.00x+")))))</f>
        <v/>
      </c>
      <c r="AY780" s="5">
        <f>IF(J780="","No SIC",IFERROR(VLOOKUP(J780,Ref!$A$4:$C$67,2,FALSE()),"Unclassified"))</f>
        <v/>
      </c>
      <c r="AZ780" s="5">
        <f>IF(E780="","",TEXT(E780,"YYYY")&amp;"-Q"&amp;ROUNDUP(MONTH(E780)/3,0))</f>
        <v/>
      </c>
      <c r="BA780" s="5">
        <f>IF(E780="","",TEXT(E780,"YYYY-MM"))</f>
        <v/>
      </c>
      <c r="BB780" s="5">
        <f>IF(E780="","",TEXT(E780,"YYYY"))</f>
        <v/>
      </c>
      <c r="BC780" s="92">
        <f>IF($E780="","",NETWORKDAYS($E780,Controls!$B$9,Ref!$F$4:$F$47))</f>
        <v/>
      </c>
      <c r="BD780" s="92">
        <f>IF(OR($AH780=1,$AJ780=1),1,0)</f>
        <v/>
      </c>
      <c r="BE780" s="95">
        <f>IF(OR($BD780=1,AND($AE780&lt;&gt;"",$BC780&gt;=Controls!$B$10*$AE780)),1,0)</f>
        <v/>
      </c>
    </row>
    <row r="781" ht="15.75" customHeight="1" s="79">
      <c r="A781" s="5" t="inlineStr">
        <is>
          <t>5674181443</t>
        </is>
      </c>
      <c r="B781" s="5" t="inlineStr">
        <is>
          <t>AS ONE TRANSPORTATION</t>
        </is>
      </c>
      <c r="C781" s="5" t="inlineStr">
        <is>
          <t>AS ONE TRANSPORTATION</t>
        </is>
      </c>
      <c r="D781" s="5" t="inlineStr">
        <is>
          <t>Closed</t>
        </is>
      </c>
      <c r="E781" s="16" t="n">
        <v>46120</v>
      </c>
      <c r="F781" s="16" t="n">
        <v>46231</v>
      </c>
      <c r="G781" s="17" t="n">
        <v>3</v>
      </c>
      <c r="H781" s="5" t="inlineStr">
        <is>
          <t>4212</t>
        </is>
      </c>
      <c r="I781" s="5" t="inlineStr">
        <is>
          <t>Specialized Freight (Except Used Goods) Trucking, Local</t>
        </is>
      </c>
      <c r="J781" s="5" t="inlineStr">
        <is>
          <t>42</t>
        </is>
      </c>
      <c r="K781" s="5" t="n">
        <v>4214</v>
      </c>
      <c r="L781" s="5" t="inlineStr">
        <is>
          <t>MO</t>
        </is>
      </c>
      <c r="M781" s="5" t="inlineStr">
        <is>
          <t>Westwood</t>
        </is>
      </c>
      <c r="N781" s="5" t="inlineStr">
        <is>
          <t>Renewal</t>
        </is>
      </c>
      <c r="O781" s="19" t="n">
        <v>1.4</v>
      </c>
      <c r="P781" s="20" t="n">
        <v>30000</v>
      </c>
      <c r="Q781" s="20" t="n">
        <v>2850</v>
      </c>
      <c r="R781" s="20" t="n">
        <v>42000</v>
      </c>
      <c r="S781" s="20" t="n">
        <v>42000</v>
      </c>
      <c r="T781" s="20" t="n">
        <v>0</v>
      </c>
      <c r="U781" s="21" t="n">
        <v>1</v>
      </c>
      <c r="V781" s="22" t="n">
        <v>3.934</v>
      </c>
      <c r="W781" s="17" t="n">
        <v>22</v>
      </c>
      <c r="X781" s="17" t="n">
        <v>0</v>
      </c>
      <c r="Y781" s="20" t="n">
        <v>99070.63</v>
      </c>
      <c r="Z781" s="21" t="n">
        <v>0.0742</v>
      </c>
      <c r="AA781" s="16" t="n">
        <v>44047</v>
      </c>
      <c r="AB781" s="5">
        <f>IF(V781="","",IF(V781&lt;12,"Months","Weeks"))</f>
        <v/>
      </c>
      <c r="AC781" s="5">
        <f>IF(AB781="","",IF(AB781="Months","Daily","Weekly"))</f>
        <v/>
      </c>
      <c r="AD781" s="17">
        <f>IF(V781="","",IF(AC781="Daily",V781*Controls!$B$13,V781))</f>
        <v/>
      </c>
      <c r="AE781" s="17">
        <f>IF(V781="","",IF(AC781="Daily",V781*Controls!$B$13,V781*Controls!$B$12))</f>
        <v/>
      </c>
      <c r="AF781" s="17">
        <f>IF(OR(E781="",F781=""),"",F781-E781)</f>
        <v/>
      </c>
      <c r="AG781" s="17">
        <f>IF(OR(E781="",F781=""),"",NETWORKDAYS(E781,F781,Ref!$F$4:$F$47))</f>
        <v/>
      </c>
      <c r="AH781" s="39">
        <f>IF(IFERROR(VLOOKUP(D781,Controls!$A$25:$D$35,2,FALSE()),"No")="Yes",1,0)</f>
        <v/>
      </c>
      <c r="AI781" s="39">
        <f>IF(IFERROR(VLOOKUP(D781,Controls!$A$25:$D$35,3,FALSE()),"No")="Yes",1,0)</f>
        <v/>
      </c>
      <c r="AJ781" s="39">
        <f>IF(IFERROR(VLOOKUP(D781,Controls!$A$25:$D$35,4,FALSE()),"No")="Yes",1,0)</f>
        <v/>
      </c>
      <c r="AK781" s="96">
        <f>IF(AND($E781&gt;=Controls!$B$5,$E781&lt;=Controls!$B$6,OR(Controls!$E$9&lt;&gt;"Y",$BE781=1)),1,0)</f>
        <v/>
      </c>
      <c r="AL781" s="39">
        <f>1</f>
        <v/>
      </c>
      <c r="AM781" s="20">
        <f>S781-P781</f>
        <v/>
      </c>
      <c r="AN781" s="20">
        <f>IF(AH781=1,MAX(0,P781-S781),0)</f>
        <v/>
      </c>
      <c r="AO781" s="21">
        <f>IFERROR(S781/P781,"")</f>
        <v/>
      </c>
      <c r="AP781" s="22">
        <f>IF(Y781="","",P781/Y781)</f>
        <v/>
      </c>
      <c r="AQ781" s="39">
        <f>IF(Y781="",0,1)</f>
        <v/>
      </c>
      <c r="AR781" s="39">
        <f>IF(S781&lt;=0,1,0)</f>
        <v/>
      </c>
      <c r="AS781" s="17">
        <f>IF(AH781=1,AG781,"")</f>
        <v/>
      </c>
      <c r="AT781" s="17">
        <f>IF(AND(AH781=0,AJ781=1),AG781,"")</f>
        <v/>
      </c>
      <c r="AU781" s="5">
        <f>IF(P781&lt;10000,"Under $10K",IF(P781&lt;20000,"$10-20K",IF(P781&lt;30000,"$20-30K",IF(P781&lt;50000,"$30-50K",IF(P781&lt;100000,"$50-100K","$100K+")))))</f>
        <v/>
      </c>
      <c r="AV781" s="5">
        <f>IF(O781&lt;=1.35,"1.35 and under",IF(O781&lt;=1.42,"1.36-1.42",IF(O781&lt;=1.45,"1.43-1.45",IF(O781&lt;1.49,"1.46-1.48",IF(O781&lt;=1.49,"1.49","Above 1.49")))))</f>
        <v/>
      </c>
      <c r="AW781" s="5">
        <f>IF(AE781="","",IF(AE781&lt;60,"Under 60",IF(AE781&lt;90,"60-89",IF(AE781&lt;120,"90-119",IF(AE781&lt;150,"120-149","150+")))))</f>
        <v/>
      </c>
      <c r="AX781" s="5">
        <f>IF(AP781="","No revenue data",IF(AP781&lt;0.15,"Under 0.15x",IF(AP781&lt;0.3,"0.15-0.30x",IF(AP781&lt;0.5,"0.30-0.50x",IF(AP781&lt;1,"0.50-1.00x","1.00x+")))))</f>
        <v/>
      </c>
      <c r="AY781" s="5">
        <f>IF(J781="","No SIC",IFERROR(VLOOKUP(J781,Ref!$A$4:$C$67,2,FALSE()),"Unclassified"))</f>
        <v/>
      </c>
      <c r="AZ781" s="5">
        <f>IF(E781="","",TEXT(E781,"YYYY")&amp;"-Q"&amp;ROUNDUP(MONTH(E781)/3,0))</f>
        <v/>
      </c>
      <c r="BA781" s="5">
        <f>IF(E781="","",TEXT(E781,"YYYY-MM"))</f>
        <v/>
      </c>
      <c r="BB781" s="5">
        <f>IF(E781="","",TEXT(E781,"YYYY"))</f>
        <v/>
      </c>
      <c r="BC781" s="92">
        <f>IF($E781="","",NETWORKDAYS($E781,Controls!$B$9,Ref!$F$4:$F$47))</f>
        <v/>
      </c>
      <c r="BD781" s="92">
        <f>IF(OR($AH781=1,$AJ781=1),1,0)</f>
        <v/>
      </c>
      <c r="BE781" s="95">
        <f>IF(OR($BD781=1,AND($AE781&lt;&gt;"",$BC781&gt;=Controls!$B$10*$AE781)),1,0)</f>
        <v/>
      </c>
    </row>
    <row r="782" ht="15.75" customHeight="1" s="79">
      <c r="A782" s="5" t="inlineStr">
        <is>
          <t>5674181446</t>
        </is>
      </c>
      <c r="B782" s="5" t="inlineStr">
        <is>
          <t>DBA EL TACO LOCO AL VAPOR</t>
        </is>
      </c>
      <c r="C782" s="5" t="inlineStr">
        <is>
          <t>DBA EL TACO LOCO AL VAPOR</t>
        </is>
      </c>
      <c r="D782" s="5" t="inlineStr">
        <is>
          <t>Closed</t>
        </is>
      </c>
      <c r="E782" s="16" t="n">
        <v>46120</v>
      </c>
      <c r="F782" s="16" t="n">
        <v>46225</v>
      </c>
      <c r="G782" s="17" t="n">
        <v>3</v>
      </c>
      <c r="H782" s="5" t="inlineStr">
        <is>
          <t>5812</t>
        </is>
      </c>
      <c r="I782" s="5" t="inlineStr">
        <is>
          <t>Snack and Nonalcoholic Beverage Bars</t>
        </is>
      </c>
      <c r="J782" s="5" t="inlineStr">
        <is>
          <t>58</t>
        </is>
      </c>
      <c r="K782" s="5" t="n">
        <v>5812</v>
      </c>
      <c r="L782" s="5" t="inlineStr">
        <is>
          <t>TX</t>
        </is>
      </c>
      <c r="M782" s="5" t="inlineStr">
        <is>
          <t>Westwood</t>
        </is>
      </c>
      <c r="N782" s="5" t="inlineStr">
        <is>
          <t>Renewal</t>
        </is>
      </c>
      <c r="O782" s="19" t="n">
        <v>1.49</v>
      </c>
      <c r="P782" s="20" t="n">
        <v>25000</v>
      </c>
      <c r="Q782" s="20" t="n">
        <v>3500</v>
      </c>
      <c r="R782" s="20" t="n">
        <v>37250</v>
      </c>
      <c r="S782" s="20" t="n">
        <v>37250</v>
      </c>
      <c r="T782" s="20" t="n">
        <v>0</v>
      </c>
      <c r="U782" s="21" t="n">
        <v>1</v>
      </c>
      <c r="V782" s="22" t="n">
        <v>20</v>
      </c>
      <c r="W782" s="17" t="n">
        <v>28</v>
      </c>
      <c r="X782" s="17" t="n">
        <v>0</v>
      </c>
      <c r="Y782" s="20" t="n">
        <v>42000</v>
      </c>
      <c r="Z782" s="21" t="n">
        <v>0.149</v>
      </c>
      <c r="AA782" s="16" t="n">
        <v>44977</v>
      </c>
      <c r="AB782" s="5">
        <f>IF(V782="","",IF(V782&lt;12,"Months","Weeks"))</f>
        <v/>
      </c>
      <c r="AC782" s="5">
        <f>IF(AB782="","",IF(AB782="Months","Daily","Weekly"))</f>
        <v/>
      </c>
      <c r="AD782" s="17">
        <f>IF(V782="","",IF(AC782="Daily",V782*Controls!$B$13,V782))</f>
        <v/>
      </c>
      <c r="AE782" s="17">
        <f>IF(V782="","",IF(AC782="Daily",V782*Controls!$B$13,V782*Controls!$B$12))</f>
        <v/>
      </c>
      <c r="AF782" s="17">
        <f>IF(OR(E782="",F782=""),"",F782-E782)</f>
        <v/>
      </c>
      <c r="AG782" s="17">
        <f>IF(OR(E782="",F782=""),"",NETWORKDAYS(E782,F782,Ref!$F$4:$F$47))</f>
        <v/>
      </c>
      <c r="AH782" s="39">
        <f>IF(IFERROR(VLOOKUP(D782,Controls!$A$25:$D$35,2,FALSE()),"No")="Yes",1,0)</f>
        <v/>
      </c>
      <c r="AI782" s="39">
        <f>IF(IFERROR(VLOOKUP(D782,Controls!$A$25:$D$35,3,FALSE()),"No")="Yes",1,0)</f>
        <v/>
      </c>
      <c r="AJ782" s="39">
        <f>IF(IFERROR(VLOOKUP(D782,Controls!$A$25:$D$35,4,FALSE()),"No")="Yes",1,0)</f>
        <v/>
      </c>
      <c r="AK782" s="96">
        <f>IF(AND($E782&gt;=Controls!$B$5,$E782&lt;=Controls!$B$6,OR(Controls!$E$9&lt;&gt;"Y",$BE782=1)),1,0)</f>
        <v/>
      </c>
      <c r="AL782" s="39">
        <f>1</f>
        <v/>
      </c>
      <c r="AM782" s="20">
        <f>S782-P782</f>
        <v/>
      </c>
      <c r="AN782" s="20">
        <f>IF(AH782=1,MAX(0,P782-S782),0)</f>
        <v/>
      </c>
      <c r="AO782" s="21">
        <f>IFERROR(S782/P782,"")</f>
        <v/>
      </c>
      <c r="AP782" s="22">
        <f>IF(Y782="","",P782/Y782)</f>
        <v/>
      </c>
      <c r="AQ782" s="39">
        <f>IF(Y782="",0,1)</f>
        <v/>
      </c>
      <c r="AR782" s="39">
        <f>IF(S782&lt;=0,1,0)</f>
        <v/>
      </c>
      <c r="AS782" s="17">
        <f>IF(AH782=1,AG782,"")</f>
        <v/>
      </c>
      <c r="AT782" s="17">
        <f>IF(AND(AH782=0,AJ782=1),AG782,"")</f>
        <v/>
      </c>
      <c r="AU782" s="5">
        <f>IF(P782&lt;10000,"Under $10K",IF(P782&lt;20000,"$10-20K",IF(P782&lt;30000,"$20-30K",IF(P782&lt;50000,"$30-50K",IF(P782&lt;100000,"$50-100K","$100K+")))))</f>
        <v/>
      </c>
      <c r="AV782" s="5">
        <f>IF(O782&lt;=1.35,"1.35 and under",IF(O782&lt;=1.42,"1.36-1.42",IF(O782&lt;=1.45,"1.43-1.45",IF(O782&lt;1.49,"1.46-1.48",IF(O782&lt;=1.49,"1.49","Above 1.49")))))</f>
        <v/>
      </c>
      <c r="AW782" s="5">
        <f>IF(AE782="","",IF(AE782&lt;60,"Under 60",IF(AE782&lt;90,"60-89",IF(AE782&lt;120,"90-119",IF(AE782&lt;150,"120-149","150+")))))</f>
        <v/>
      </c>
      <c r="AX782" s="5">
        <f>IF(AP782="","No revenue data",IF(AP782&lt;0.15,"Under 0.15x",IF(AP782&lt;0.3,"0.15-0.30x",IF(AP782&lt;0.5,"0.30-0.50x",IF(AP782&lt;1,"0.50-1.00x","1.00x+")))))</f>
        <v/>
      </c>
      <c r="AY782" s="5">
        <f>IF(J782="","No SIC",IFERROR(VLOOKUP(J782,Ref!$A$4:$C$67,2,FALSE()),"Unclassified"))</f>
        <v/>
      </c>
      <c r="AZ782" s="5">
        <f>IF(E782="","",TEXT(E782,"YYYY")&amp;"-Q"&amp;ROUNDUP(MONTH(E782)/3,0))</f>
        <v/>
      </c>
      <c r="BA782" s="5">
        <f>IF(E782="","",TEXT(E782,"YYYY-MM"))</f>
        <v/>
      </c>
      <c r="BB782" s="5">
        <f>IF(E782="","",TEXT(E782,"YYYY"))</f>
        <v/>
      </c>
      <c r="BC782" s="92">
        <f>IF($E782="","",NETWORKDAYS($E782,Controls!$B$9,Ref!$F$4:$F$47))</f>
        <v/>
      </c>
      <c r="BD782" s="92">
        <f>IF(OR($AH782=1,$AJ782=1),1,0)</f>
        <v/>
      </c>
      <c r="BE782" s="95">
        <f>IF(OR($BD782=1,AND($AE782&lt;&gt;"",$BC782&gt;=Controls!$B$10*$AE782)),1,0)</f>
        <v/>
      </c>
    </row>
    <row r="783" ht="15.75" customHeight="1" s="79">
      <c r="A783" s="5" t="inlineStr">
        <is>
          <t>5674181461</t>
        </is>
      </c>
      <c r="B783" s="5" t="inlineStr">
        <is>
          <t>paredes construction inc</t>
        </is>
      </c>
      <c r="C783" s="5" t="inlineStr">
        <is>
          <t>paredes construction inc</t>
        </is>
      </c>
      <c r="D783" s="5" t="inlineStr">
        <is>
          <t>In House Collection</t>
        </is>
      </c>
      <c r="E783" s="16" t="n">
        <v>46121</v>
      </c>
      <c r="F783" s="16" t="n">
        <v>46175</v>
      </c>
      <c r="G783" s="17" t="n">
        <v>3</v>
      </c>
      <c r="H783" s="5" t="inlineStr">
        <is>
          <t>1521</t>
        </is>
      </c>
      <c r="I783" s="5" t="inlineStr">
        <is>
          <t>Residential Remodelers</t>
        </is>
      </c>
      <c r="J783" s="5" t="inlineStr">
        <is>
          <t>15</t>
        </is>
      </c>
      <c r="K783" s="5" t="n">
        <v>1520</v>
      </c>
      <c r="L783" s="5" t="inlineStr">
        <is>
          <t>KS</t>
        </is>
      </c>
      <c r="M783" s="5" t="inlineStr">
        <is>
          <t>Ballicci</t>
        </is>
      </c>
      <c r="N783" s="5" t="inlineStr">
        <is>
          <t>New Deal</t>
        </is>
      </c>
      <c r="O783" s="19" t="n">
        <v>1.49</v>
      </c>
      <c r="P783" s="20" t="n">
        <v>10000</v>
      </c>
      <c r="Q783" s="20" t="n">
        <v>0</v>
      </c>
      <c r="R783" s="20" t="n">
        <v>14900</v>
      </c>
      <c r="S783" s="20" t="n">
        <v>4285.12</v>
      </c>
      <c r="T783" s="20" t="n">
        <v>10614.88</v>
      </c>
      <c r="U783" s="21" t="n">
        <v>0.287591946308725</v>
      </c>
      <c r="V783" s="22" t="n">
        <v>2.623</v>
      </c>
      <c r="W783" s="17" t="n">
        <v>78</v>
      </c>
      <c r="X783" s="17" t="n">
        <v>12</v>
      </c>
      <c r="Y783" s="20" t="n">
        <v>28127.66</v>
      </c>
      <c r="Z783" s="21" t="n">
        <v>0.1391</v>
      </c>
      <c r="AA783" s="16" t="n">
        <v>36942</v>
      </c>
      <c r="AB783" s="5">
        <f>IF(V783="","",IF(V783&lt;12,"Months","Weeks"))</f>
        <v/>
      </c>
      <c r="AC783" s="5">
        <f>IF(AB783="","",IF(AB783="Months","Daily","Weekly"))</f>
        <v/>
      </c>
      <c r="AD783" s="17">
        <f>IF(V783="","",IF(AC783="Daily",V783*Controls!$B$13,V783))</f>
        <v/>
      </c>
      <c r="AE783" s="17">
        <f>IF(V783="","",IF(AC783="Daily",V783*Controls!$B$13,V783*Controls!$B$12))</f>
        <v/>
      </c>
      <c r="AF783" s="17">
        <f>IF(OR(E783="",F783=""),"",F783-E783)</f>
        <v/>
      </c>
      <c r="AG783" s="17">
        <f>IF(OR(E783="",F783=""),"",NETWORKDAYS(E783,F783,Ref!$F$4:$F$47))</f>
        <v/>
      </c>
      <c r="AH783" s="39">
        <f>IF(IFERROR(VLOOKUP(D783,Controls!$A$25:$D$35,2,FALSE()),"No")="Yes",1,0)</f>
        <v/>
      </c>
      <c r="AI783" s="39">
        <f>IF(IFERROR(VLOOKUP(D783,Controls!$A$25:$D$35,3,FALSE()),"No")="Yes",1,0)</f>
        <v/>
      </c>
      <c r="AJ783" s="39">
        <f>IF(IFERROR(VLOOKUP(D783,Controls!$A$25:$D$35,4,FALSE()),"No")="Yes",1,0)</f>
        <v/>
      </c>
      <c r="AK783" s="96">
        <f>IF(AND($E783&gt;=Controls!$B$5,$E783&lt;=Controls!$B$6,OR(Controls!$E$9&lt;&gt;"Y",$BE783=1)),1,0)</f>
        <v/>
      </c>
      <c r="AL783" s="39">
        <f>1</f>
        <v/>
      </c>
      <c r="AM783" s="20">
        <f>S783-P783</f>
        <v/>
      </c>
      <c r="AN783" s="20">
        <f>IF(AH783=1,MAX(0,P783-S783),0)</f>
        <v/>
      </c>
      <c r="AO783" s="21">
        <f>IFERROR(S783/P783,"")</f>
        <v/>
      </c>
      <c r="AP783" s="22">
        <f>IF(Y783="","",P783/Y783)</f>
        <v/>
      </c>
      <c r="AQ783" s="39">
        <f>IF(Y783="",0,1)</f>
        <v/>
      </c>
      <c r="AR783" s="39">
        <f>IF(S783&lt;=0,1,0)</f>
        <v/>
      </c>
      <c r="AS783" s="17">
        <f>IF(AH783=1,AG783,"")</f>
        <v/>
      </c>
      <c r="AT783" s="17">
        <f>IF(AND(AH783=0,AJ783=1),AG783,"")</f>
        <v/>
      </c>
      <c r="AU783" s="5">
        <f>IF(P783&lt;10000,"Under $10K",IF(P783&lt;20000,"$10-20K",IF(P783&lt;30000,"$20-30K",IF(P783&lt;50000,"$30-50K",IF(P783&lt;100000,"$50-100K","$100K+")))))</f>
        <v/>
      </c>
      <c r="AV783" s="5">
        <f>IF(O783&lt;=1.35,"1.35 and under",IF(O783&lt;=1.42,"1.36-1.42",IF(O783&lt;=1.45,"1.43-1.45",IF(O783&lt;1.49,"1.46-1.48",IF(O783&lt;=1.49,"1.49","Above 1.49")))))</f>
        <v/>
      </c>
      <c r="AW783" s="5">
        <f>IF(AE783="","",IF(AE783&lt;60,"Under 60",IF(AE783&lt;90,"60-89",IF(AE783&lt;120,"90-119",IF(AE783&lt;150,"120-149","150+")))))</f>
        <v/>
      </c>
      <c r="AX783" s="5">
        <f>IF(AP783="","No revenue data",IF(AP783&lt;0.15,"Under 0.15x",IF(AP783&lt;0.3,"0.15-0.30x",IF(AP783&lt;0.5,"0.30-0.50x",IF(AP783&lt;1,"0.50-1.00x","1.00x+")))))</f>
        <v/>
      </c>
      <c r="AY783" s="5">
        <f>IF(J783="","No SIC",IFERROR(VLOOKUP(J783,Ref!$A$4:$C$67,2,FALSE()),"Unclassified"))</f>
        <v/>
      </c>
      <c r="AZ783" s="5">
        <f>IF(E783="","",TEXT(E783,"YYYY")&amp;"-Q"&amp;ROUNDUP(MONTH(E783)/3,0))</f>
        <v/>
      </c>
      <c r="BA783" s="5">
        <f>IF(E783="","",TEXT(E783,"YYYY-MM"))</f>
        <v/>
      </c>
      <c r="BB783" s="5">
        <f>IF(E783="","",TEXT(E783,"YYYY"))</f>
        <v/>
      </c>
      <c r="BC783" s="92">
        <f>IF($E783="","",NETWORKDAYS($E783,Controls!$B$9,Ref!$F$4:$F$47))</f>
        <v/>
      </c>
      <c r="BD783" s="92">
        <f>IF(OR($AH783=1,$AJ783=1),1,0)</f>
        <v/>
      </c>
      <c r="BE783" s="95">
        <f>IF(OR($BD783=1,AND($AE783&lt;&gt;"",$BC783&gt;=Controls!$B$10*$AE783)),1,0)</f>
        <v/>
      </c>
    </row>
    <row r="784" ht="15.75" customHeight="1" s="79">
      <c r="A784" s="5" t="inlineStr">
        <is>
          <t>5674181471</t>
        </is>
      </c>
      <c r="B784" s="5" t="inlineStr">
        <is>
          <t>The Face Place</t>
        </is>
      </c>
      <c r="C784" s="5" t="inlineStr">
        <is>
          <t>Green Chrysalis Enterprise LLC</t>
        </is>
      </c>
      <c r="D784" s="5" t="inlineStr">
        <is>
          <t>Open</t>
        </is>
      </c>
      <c r="E784" s="16" t="n">
        <v>46121</v>
      </c>
      <c r="F784" s="16" t="n">
        <v>46247</v>
      </c>
      <c r="G784" s="17" t="n">
        <v>3</v>
      </c>
      <c r="H784" s="5" t="inlineStr">
        <is>
          <t>7231</t>
        </is>
      </c>
      <c r="I784" s="5" t="inlineStr">
        <is>
          <t>Cosmetology and Barber Schools</t>
        </is>
      </c>
      <c r="J784" s="5" t="inlineStr">
        <is>
          <t>72</t>
        </is>
      </c>
      <c r="K784" s="5" t="n">
        <v>7230</v>
      </c>
      <c r="L784" s="5" t="inlineStr">
        <is>
          <t>TX</t>
        </is>
      </c>
      <c r="M784" s="5" t="inlineStr">
        <is>
          <t>Ballicci</t>
        </is>
      </c>
      <c r="N784" s="5" t="inlineStr">
        <is>
          <t>New Deal</t>
        </is>
      </c>
      <c r="O784" s="19" t="n">
        <v>1.49</v>
      </c>
      <c r="P784" s="20" t="n">
        <v>20000</v>
      </c>
      <c r="Q784" s="20" t="n">
        <v>2800</v>
      </c>
      <c r="R784" s="20" t="n">
        <v>29800</v>
      </c>
      <c r="S784" s="20" t="n">
        <v>5297.12</v>
      </c>
      <c r="T784" s="20" t="n">
        <v>24502.88</v>
      </c>
      <c r="U784" s="21" t="n">
        <v>0.177755704697987</v>
      </c>
      <c r="V784" s="22" t="n">
        <v>2.951</v>
      </c>
      <c r="W784" s="17" t="n">
        <v>20</v>
      </c>
      <c r="X784" s="17" t="n">
        <v>7</v>
      </c>
      <c r="Y784" s="20" t="n">
        <v>48000</v>
      </c>
      <c r="Z784" s="21" t="n">
        <v>0.1545</v>
      </c>
      <c r="AA784" s="16" t="n">
        <v>41091</v>
      </c>
      <c r="AB784" s="5">
        <f>IF(V784="","",IF(V784&lt;12,"Months","Weeks"))</f>
        <v/>
      </c>
      <c r="AC784" s="5">
        <f>IF(AB784="","",IF(AB784="Months","Daily","Weekly"))</f>
        <v/>
      </c>
      <c r="AD784" s="17">
        <f>IF(V784="","",IF(AC784="Daily",V784*Controls!$B$13,V784))</f>
        <v/>
      </c>
      <c r="AE784" s="17">
        <f>IF(V784="","",IF(AC784="Daily",V784*Controls!$B$13,V784*Controls!$B$12))</f>
        <v/>
      </c>
      <c r="AF784" s="17">
        <f>IF(OR(E784="",F784=""),"",F784-E784)</f>
        <v/>
      </c>
      <c r="AG784" s="17">
        <f>IF(OR(E784="",F784=""),"",NETWORKDAYS(E784,F784,Ref!$F$4:$F$47))</f>
        <v/>
      </c>
      <c r="AH784" s="39">
        <f>IF(IFERROR(VLOOKUP(D784,Controls!$A$25:$D$35,2,FALSE()),"No")="Yes",1,0)</f>
        <v/>
      </c>
      <c r="AI784" s="39">
        <f>IF(IFERROR(VLOOKUP(D784,Controls!$A$25:$D$35,3,FALSE()),"No")="Yes",1,0)</f>
        <v/>
      </c>
      <c r="AJ784" s="39">
        <f>IF(IFERROR(VLOOKUP(D784,Controls!$A$25:$D$35,4,FALSE()),"No")="Yes",1,0)</f>
        <v/>
      </c>
      <c r="AK784" s="96">
        <f>IF(AND($E784&gt;=Controls!$B$5,$E784&lt;=Controls!$B$6,OR(Controls!$E$9&lt;&gt;"Y",$BE784=1)),1,0)</f>
        <v/>
      </c>
      <c r="AL784" s="39">
        <f>1</f>
        <v/>
      </c>
      <c r="AM784" s="20">
        <f>S784-P784</f>
        <v/>
      </c>
      <c r="AN784" s="20">
        <f>IF(AH784=1,MAX(0,P784-S784),0)</f>
        <v/>
      </c>
      <c r="AO784" s="21">
        <f>IFERROR(S784/P784,"")</f>
        <v/>
      </c>
      <c r="AP784" s="22">
        <f>IF(Y784="","",P784/Y784)</f>
        <v/>
      </c>
      <c r="AQ784" s="39">
        <f>IF(Y784="",0,1)</f>
        <v/>
      </c>
      <c r="AR784" s="39">
        <f>IF(S784&lt;=0,1,0)</f>
        <v/>
      </c>
      <c r="AS784" s="17">
        <f>IF(AH784=1,AG784,"")</f>
        <v/>
      </c>
      <c r="AT784" s="17">
        <f>IF(AND(AH784=0,AJ784=1),AG784,"")</f>
        <v/>
      </c>
      <c r="AU784" s="5">
        <f>IF(P784&lt;10000,"Under $10K",IF(P784&lt;20000,"$10-20K",IF(P784&lt;30000,"$20-30K",IF(P784&lt;50000,"$30-50K",IF(P784&lt;100000,"$50-100K","$100K+")))))</f>
        <v/>
      </c>
      <c r="AV784" s="5">
        <f>IF(O784&lt;=1.35,"1.35 and under",IF(O784&lt;=1.42,"1.36-1.42",IF(O784&lt;=1.45,"1.43-1.45",IF(O784&lt;1.49,"1.46-1.48",IF(O784&lt;=1.49,"1.49","Above 1.49")))))</f>
        <v/>
      </c>
      <c r="AW784" s="5">
        <f>IF(AE784="","",IF(AE784&lt;60,"Under 60",IF(AE784&lt;90,"60-89",IF(AE784&lt;120,"90-119",IF(AE784&lt;150,"120-149","150+")))))</f>
        <v/>
      </c>
      <c r="AX784" s="5">
        <f>IF(AP784="","No revenue data",IF(AP784&lt;0.15,"Under 0.15x",IF(AP784&lt;0.3,"0.15-0.30x",IF(AP784&lt;0.5,"0.30-0.50x",IF(AP784&lt;1,"0.50-1.00x","1.00x+")))))</f>
        <v/>
      </c>
      <c r="AY784" s="5">
        <f>IF(J784="","No SIC",IFERROR(VLOOKUP(J784,Ref!$A$4:$C$67,2,FALSE()),"Unclassified"))</f>
        <v/>
      </c>
      <c r="AZ784" s="5">
        <f>IF(E784="","",TEXT(E784,"YYYY")&amp;"-Q"&amp;ROUNDUP(MONTH(E784)/3,0))</f>
        <v/>
      </c>
      <c r="BA784" s="5">
        <f>IF(E784="","",TEXT(E784,"YYYY-MM"))</f>
        <v/>
      </c>
      <c r="BB784" s="5">
        <f>IF(E784="","",TEXT(E784,"YYYY"))</f>
        <v/>
      </c>
      <c r="BC784" s="92">
        <f>IF($E784="","",NETWORKDAYS($E784,Controls!$B$9,Ref!$F$4:$F$47))</f>
        <v/>
      </c>
      <c r="BD784" s="92">
        <f>IF(OR($AH784=1,$AJ784=1),1,0)</f>
        <v/>
      </c>
      <c r="BE784" s="95">
        <f>IF(OR($BD784=1,AND($AE784&lt;&gt;"",$BC784&gt;=Controls!$B$10*$AE784)),1,0)</f>
        <v/>
      </c>
    </row>
    <row r="785" ht="15.75" customHeight="1" s="79">
      <c r="A785" s="5" t="inlineStr">
        <is>
          <t>5674181477</t>
        </is>
      </c>
      <c r="B785" s="5" t="inlineStr">
        <is>
          <t>GP AUTO SERVICES LLC</t>
        </is>
      </c>
      <c r="C785" s="5" t="inlineStr">
        <is>
          <t>GP AUTO SERVICES LLC</t>
        </is>
      </c>
      <c r="D785" s="5" t="inlineStr">
        <is>
          <t>Open</t>
        </is>
      </c>
      <c r="E785" s="16" t="n">
        <v>46121</v>
      </c>
      <c r="F785" s="16" t="n">
        <v>46248</v>
      </c>
      <c r="G785" s="17" t="n">
        <v>3</v>
      </c>
      <c r="H785" s="5" t="inlineStr">
        <is>
          <t>7538</t>
        </is>
      </c>
      <c r="I785" s="5" t="inlineStr">
        <is>
          <t>General Automotive Repair</t>
        </is>
      </c>
      <c r="J785" s="5" t="inlineStr">
        <is>
          <t>75</t>
        </is>
      </c>
      <c r="K785" s="5" t="n">
        <v>7538</v>
      </c>
      <c r="L785" s="5" t="inlineStr">
        <is>
          <t>MD</t>
        </is>
      </c>
      <c r="M785" s="5" t="inlineStr">
        <is>
          <t>Linked In Funding</t>
        </is>
      </c>
      <c r="N785" s="5" t="inlineStr">
        <is>
          <t>New Deal</t>
        </is>
      </c>
      <c r="O785" s="19" t="n">
        <v>1.49</v>
      </c>
      <c r="P785" s="20" t="n">
        <v>35000</v>
      </c>
      <c r="Q785" s="20" t="n">
        <v>4900</v>
      </c>
      <c r="R785" s="20" t="n">
        <v>52150</v>
      </c>
      <c r="S785" s="20" t="n">
        <v>33542.1</v>
      </c>
      <c r="T785" s="20" t="n">
        <v>18607.9</v>
      </c>
      <c r="U785" s="21" t="n">
        <v>0.643185043144775</v>
      </c>
      <c r="V785" s="22" t="n">
        <v>28</v>
      </c>
      <c r="W785" s="17" t="n">
        <v>5</v>
      </c>
      <c r="X785" s="17" t="n">
        <v>0</v>
      </c>
      <c r="Y785" s="20" t="n">
        <v>80000</v>
      </c>
      <c r="Z785" s="21" t="n">
        <v>0.09089999999999999</v>
      </c>
      <c r="AA785" s="16" t="n">
        <v>44854</v>
      </c>
      <c r="AB785" s="5">
        <f>IF(V785="","",IF(V785&lt;12,"Months","Weeks"))</f>
        <v/>
      </c>
      <c r="AC785" s="5">
        <f>IF(AB785="","",IF(AB785="Months","Daily","Weekly"))</f>
        <v/>
      </c>
      <c r="AD785" s="17">
        <f>IF(V785="","",IF(AC785="Daily",V785*Controls!$B$13,V785))</f>
        <v/>
      </c>
      <c r="AE785" s="17">
        <f>IF(V785="","",IF(AC785="Daily",V785*Controls!$B$13,V785*Controls!$B$12))</f>
        <v/>
      </c>
      <c r="AF785" s="17">
        <f>IF(OR(E785="",F785=""),"",F785-E785)</f>
        <v/>
      </c>
      <c r="AG785" s="17">
        <f>IF(OR(E785="",F785=""),"",NETWORKDAYS(E785,F785,Ref!$F$4:$F$47))</f>
        <v/>
      </c>
      <c r="AH785" s="39">
        <f>IF(IFERROR(VLOOKUP(D785,Controls!$A$25:$D$35,2,FALSE()),"No")="Yes",1,0)</f>
        <v/>
      </c>
      <c r="AI785" s="39">
        <f>IF(IFERROR(VLOOKUP(D785,Controls!$A$25:$D$35,3,FALSE()),"No")="Yes",1,0)</f>
        <v/>
      </c>
      <c r="AJ785" s="39">
        <f>IF(IFERROR(VLOOKUP(D785,Controls!$A$25:$D$35,4,FALSE()),"No")="Yes",1,0)</f>
        <v/>
      </c>
      <c r="AK785" s="96">
        <f>IF(AND($E785&gt;=Controls!$B$5,$E785&lt;=Controls!$B$6,OR(Controls!$E$9&lt;&gt;"Y",$BE785=1)),1,0)</f>
        <v/>
      </c>
      <c r="AL785" s="39">
        <f>1</f>
        <v/>
      </c>
      <c r="AM785" s="20">
        <f>S785-P785</f>
        <v/>
      </c>
      <c r="AN785" s="20">
        <f>IF(AH785=1,MAX(0,P785-S785),0)</f>
        <v/>
      </c>
      <c r="AO785" s="21">
        <f>IFERROR(S785/P785,"")</f>
        <v/>
      </c>
      <c r="AP785" s="22">
        <f>IF(Y785="","",P785/Y785)</f>
        <v/>
      </c>
      <c r="AQ785" s="39">
        <f>IF(Y785="",0,1)</f>
        <v/>
      </c>
      <c r="AR785" s="39">
        <f>IF(S785&lt;=0,1,0)</f>
        <v/>
      </c>
      <c r="AS785" s="17">
        <f>IF(AH785=1,AG785,"")</f>
        <v/>
      </c>
      <c r="AT785" s="17">
        <f>IF(AND(AH785=0,AJ785=1),AG785,"")</f>
        <v/>
      </c>
      <c r="AU785" s="5">
        <f>IF(P785&lt;10000,"Under $10K",IF(P785&lt;20000,"$10-20K",IF(P785&lt;30000,"$20-30K",IF(P785&lt;50000,"$30-50K",IF(P785&lt;100000,"$50-100K","$100K+")))))</f>
        <v/>
      </c>
      <c r="AV785" s="5">
        <f>IF(O785&lt;=1.35,"1.35 and under",IF(O785&lt;=1.42,"1.36-1.42",IF(O785&lt;=1.45,"1.43-1.45",IF(O785&lt;1.49,"1.46-1.48",IF(O785&lt;=1.49,"1.49","Above 1.49")))))</f>
        <v/>
      </c>
      <c r="AW785" s="5">
        <f>IF(AE785="","",IF(AE785&lt;60,"Under 60",IF(AE785&lt;90,"60-89",IF(AE785&lt;120,"90-119",IF(AE785&lt;150,"120-149","150+")))))</f>
        <v/>
      </c>
      <c r="AX785" s="5">
        <f>IF(AP785="","No revenue data",IF(AP785&lt;0.15,"Under 0.15x",IF(AP785&lt;0.3,"0.15-0.30x",IF(AP785&lt;0.5,"0.30-0.50x",IF(AP785&lt;1,"0.50-1.00x","1.00x+")))))</f>
        <v/>
      </c>
      <c r="AY785" s="5">
        <f>IF(J785="","No SIC",IFERROR(VLOOKUP(J785,Ref!$A$4:$C$67,2,FALSE()),"Unclassified"))</f>
        <v/>
      </c>
      <c r="AZ785" s="5">
        <f>IF(E785="","",TEXT(E785,"YYYY")&amp;"-Q"&amp;ROUNDUP(MONTH(E785)/3,0))</f>
        <v/>
      </c>
      <c r="BA785" s="5">
        <f>IF(E785="","",TEXT(E785,"YYYY-MM"))</f>
        <v/>
      </c>
      <c r="BB785" s="5">
        <f>IF(E785="","",TEXT(E785,"YYYY"))</f>
        <v/>
      </c>
      <c r="BC785" s="92">
        <f>IF($E785="","",NETWORKDAYS($E785,Controls!$B$9,Ref!$F$4:$F$47))</f>
        <v/>
      </c>
      <c r="BD785" s="92">
        <f>IF(OR($AH785=1,$AJ785=1),1,0)</f>
        <v/>
      </c>
      <c r="BE785" s="95">
        <f>IF(OR($BD785=1,AND($AE785&lt;&gt;"",$BC785&gt;=Controls!$B$10*$AE785)),1,0)</f>
        <v/>
      </c>
    </row>
    <row r="786" ht="15.75" customHeight="1" s="79">
      <c r="A786" s="5" t="inlineStr">
        <is>
          <t>5674181502</t>
        </is>
      </c>
      <c r="B786" s="5" t="inlineStr">
        <is>
          <t>STAYLO GROUP LLC</t>
        </is>
      </c>
      <c r="C786" s="5" t="inlineStr">
        <is>
          <t>STAYLO GROUP LLC</t>
        </is>
      </c>
      <c r="D786" s="5" t="inlineStr">
        <is>
          <t>Open</t>
        </is>
      </c>
      <c r="E786" s="16" t="n">
        <v>46122</v>
      </c>
      <c r="F786" s="16" t="n">
        <v>46253</v>
      </c>
      <c r="G786" s="17" t="n">
        <v>3</v>
      </c>
      <c r="H786" s="5" t="inlineStr">
        <is>
          <t>5999</t>
        </is>
      </c>
      <c r="I786" s="5" t="inlineStr">
        <is>
          <t>All Other Health and Personal Care Stores</t>
        </is>
      </c>
      <c r="J786" s="5" t="inlineStr">
        <is>
          <t>59</t>
        </is>
      </c>
      <c r="K786" s="5" t="n">
        <v>5999</v>
      </c>
      <c r="L786" s="5" t="inlineStr">
        <is>
          <t>FL</t>
        </is>
      </c>
      <c r="M786" s="5" t="inlineStr">
        <is>
          <t>Westwood</t>
        </is>
      </c>
      <c r="N786" s="5" t="inlineStr">
        <is>
          <t>New Deal</t>
        </is>
      </c>
      <c r="O786" s="19" t="n">
        <v>1.46</v>
      </c>
      <c r="P786" s="20" t="n">
        <v>17500</v>
      </c>
      <c r="Q786" s="20" t="n">
        <v>2187.5</v>
      </c>
      <c r="R786" s="20" t="n">
        <v>25550</v>
      </c>
      <c r="S786" s="20" t="n">
        <v>11500.38</v>
      </c>
      <c r="T786" s="20" t="n">
        <v>14049.62</v>
      </c>
      <c r="U786" s="21" t="n">
        <v>0.450112720156556</v>
      </c>
      <c r="V786" s="22" t="n">
        <v>3.934</v>
      </c>
      <c r="W786" s="17" t="n">
        <v>0</v>
      </c>
      <c r="X786" s="17" t="n">
        <v>32</v>
      </c>
      <c r="Y786" s="20" t="n">
        <v>41680.35</v>
      </c>
      <c r="Z786" s="21" t="n">
        <v>0.1073</v>
      </c>
      <c r="AA786" s="16" t="n">
        <v>45575</v>
      </c>
      <c r="AB786" s="5">
        <f>IF(V786="","",IF(V786&lt;12,"Months","Weeks"))</f>
        <v/>
      </c>
      <c r="AC786" s="5">
        <f>IF(AB786="","",IF(AB786="Months","Daily","Weekly"))</f>
        <v/>
      </c>
      <c r="AD786" s="17">
        <f>IF(V786="","",IF(AC786="Daily",V786*Controls!$B$13,V786))</f>
        <v/>
      </c>
      <c r="AE786" s="17">
        <f>IF(V786="","",IF(AC786="Daily",V786*Controls!$B$13,V786*Controls!$B$12))</f>
        <v/>
      </c>
      <c r="AF786" s="17">
        <f>IF(OR(E786="",F786=""),"",F786-E786)</f>
        <v/>
      </c>
      <c r="AG786" s="17">
        <f>IF(OR(E786="",F786=""),"",NETWORKDAYS(E786,F786,Ref!$F$4:$F$47))</f>
        <v/>
      </c>
      <c r="AH786" s="39">
        <f>IF(IFERROR(VLOOKUP(D786,Controls!$A$25:$D$35,2,FALSE()),"No")="Yes",1,0)</f>
        <v/>
      </c>
      <c r="AI786" s="39">
        <f>IF(IFERROR(VLOOKUP(D786,Controls!$A$25:$D$35,3,FALSE()),"No")="Yes",1,0)</f>
        <v/>
      </c>
      <c r="AJ786" s="39">
        <f>IF(IFERROR(VLOOKUP(D786,Controls!$A$25:$D$35,4,FALSE()),"No")="Yes",1,0)</f>
        <v/>
      </c>
      <c r="AK786" s="96">
        <f>IF(AND($E786&gt;=Controls!$B$5,$E786&lt;=Controls!$B$6,OR(Controls!$E$9&lt;&gt;"Y",$BE786=1)),1,0)</f>
        <v/>
      </c>
      <c r="AL786" s="39">
        <f>1</f>
        <v/>
      </c>
      <c r="AM786" s="20">
        <f>S786-P786</f>
        <v/>
      </c>
      <c r="AN786" s="20">
        <f>IF(AH786=1,MAX(0,P786-S786),0)</f>
        <v/>
      </c>
      <c r="AO786" s="21">
        <f>IFERROR(S786/P786,"")</f>
        <v/>
      </c>
      <c r="AP786" s="22">
        <f>IF(Y786="","",P786/Y786)</f>
        <v/>
      </c>
      <c r="AQ786" s="39">
        <f>IF(Y786="",0,1)</f>
        <v/>
      </c>
      <c r="AR786" s="39">
        <f>IF(S786&lt;=0,1,0)</f>
        <v/>
      </c>
      <c r="AS786" s="17">
        <f>IF(AH786=1,AG786,"")</f>
        <v/>
      </c>
      <c r="AT786" s="17">
        <f>IF(AND(AH786=0,AJ786=1),AG786,"")</f>
        <v/>
      </c>
      <c r="AU786" s="5">
        <f>IF(P786&lt;10000,"Under $10K",IF(P786&lt;20000,"$10-20K",IF(P786&lt;30000,"$20-30K",IF(P786&lt;50000,"$30-50K",IF(P786&lt;100000,"$50-100K","$100K+")))))</f>
        <v/>
      </c>
      <c r="AV786" s="5">
        <f>IF(O786&lt;=1.35,"1.35 and under",IF(O786&lt;=1.42,"1.36-1.42",IF(O786&lt;=1.45,"1.43-1.45",IF(O786&lt;1.49,"1.46-1.48",IF(O786&lt;=1.49,"1.49","Above 1.49")))))</f>
        <v/>
      </c>
      <c r="AW786" s="5">
        <f>IF(AE786="","",IF(AE786&lt;60,"Under 60",IF(AE786&lt;90,"60-89",IF(AE786&lt;120,"90-119",IF(AE786&lt;150,"120-149","150+")))))</f>
        <v/>
      </c>
      <c r="AX786" s="5">
        <f>IF(AP786="","No revenue data",IF(AP786&lt;0.15,"Under 0.15x",IF(AP786&lt;0.3,"0.15-0.30x",IF(AP786&lt;0.5,"0.30-0.50x",IF(AP786&lt;1,"0.50-1.00x","1.00x+")))))</f>
        <v/>
      </c>
      <c r="AY786" s="5">
        <f>IF(J786="","No SIC",IFERROR(VLOOKUP(J786,Ref!$A$4:$C$67,2,FALSE()),"Unclassified"))</f>
        <v/>
      </c>
      <c r="AZ786" s="5">
        <f>IF(E786="","",TEXT(E786,"YYYY")&amp;"-Q"&amp;ROUNDUP(MONTH(E786)/3,0))</f>
        <v/>
      </c>
      <c r="BA786" s="5">
        <f>IF(E786="","",TEXT(E786,"YYYY-MM"))</f>
        <v/>
      </c>
      <c r="BB786" s="5">
        <f>IF(E786="","",TEXT(E786,"YYYY"))</f>
        <v/>
      </c>
      <c r="BC786" s="92">
        <f>IF($E786="","",NETWORKDAYS($E786,Controls!$B$9,Ref!$F$4:$F$47))</f>
        <v/>
      </c>
      <c r="BD786" s="92">
        <f>IF(OR($AH786=1,$AJ786=1),1,0)</f>
        <v/>
      </c>
      <c r="BE786" s="95">
        <f>IF(OR($BD786=1,AND($AE786&lt;&gt;"",$BC786&gt;=Controls!$B$10*$AE786)),1,0)</f>
        <v/>
      </c>
    </row>
    <row r="787" ht="15.75" customHeight="1" s="79">
      <c r="A787" s="5" t="inlineStr">
        <is>
          <t>5674181521</t>
        </is>
      </c>
      <c r="B787" s="5" t="inlineStr">
        <is>
          <t>National Food Equipment LLC</t>
        </is>
      </c>
      <c r="C787" s="5" t="inlineStr">
        <is>
          <t>National Food Equipment LLC</t>
        </is>
      </c>
      <c r="D787" s="5" t="inlineStr">
        <is>
          <t>Closed</t>
        </is>
      </c>
      <c r="E787" s="16" t="n">
        <v>46122</v>
      </c>
      <c r="F787" s="16" t="n">
        <v>46213</v>
      </c>
      <c r="G787" s="17" t="n">
        <v>3</v>
      </c>
      <c r="H787" s="5" t="inlineStr">
        <is>
          <t>5999</t>
        </is>
      </c>
      <c r="I787" s="5" t="inlineStr">
        <is>
          <t>All Other Health and Personal Care Stores</t>
        </is>
      </c>
      <c r="J787" s="5" t="inlineStr">
        <is>
          <t>59</t>
        </is>
      </c>
      <c r="K787" s="5" t="n">
        <v>5999</v>
      </c>
      <c r="L787" s="5" t="inlineStr">
        <is>
          <t>CA</t>
        </is>
      </c>
      <c r="M787" s="5" t="inlineStr">
        <is>
          <t>AVON ADVANCE</t>
        </is>
      </c>
      <c r="N787" s="5" t="inlineStr">
        <is>
          <t>Renewal</t>
        </is>
      </c>
      <c r="O787" s="19" t="n">
        <v>1.49</v>
      </c>
      <c r="P787" s="20" t="n">
        <v>15000</v>
      </c>
      <c r="Q787" s="20" t="n">
        <v>2100</v>
      </c>
      <c r="R787" s="20" t="n">
        <v>22350</v>
      </c>
      <c r="S787" s="20" t="n">
        <v>22350</v>
      </c>
      <c r="T787" s="20" t="n">
        <v>0</v>
      </c>
      <c r="U787" s="21" t="n">
        <v>1</v>
      </c>
      <c r="V787" s="22" t="n">
        <v>2.951</v>
      </c>
      <c r="W787" s="17" t="n">
        <v>40</v>
      </c>
      <c r="X787" s="17" t="n">
        <v>6</v>
      </c>
      <c r="Y787" s="20" t="n">
        <v>14538.12</v>
      </c>
      <c r="Z787" s="21" t="n">
        <v>0.2037</v>
      </c>
      <c r="AA787" s="16" t="n">
        <v>42370</v>
      </c>
      <c r="AB787" s="5">
        <f>IF(V787="","",IF(V787&lt;12,"Months","Weeks"))</f>
        <v/>
      </c>
      <c r="AC787" s="5">
        <f>IF(AB787="","",IF(AB787="Months","Daily","Weekly"))</f>
        <v/>
      </c>
      <c r="AD787" s="17">
        <f>IF(V787="","",IF(AC787="Daily",V787*Controls!$B$13,V787))</f>
        <v/>
      </c>
      <c r="AE787" s="17">
        <f>IF(V787="","",IF(AC787="Daily",V787*Controls!$B$13,V787*Controls!$B$12))</f>
        <v/>
      </c>
      <c r="AF787" s="17">
        <f>IF(OR(E787="",F787=""),"",F787-E787)</f>
        <v/>
      </c>
      <c r="AG787" s="17">
        <f>IF(OR(E787="",F787=""),"",NETWORKDAYS(E787,F787,Ref!$F$4:$F$47))</f>
        <v/>
      </c>
      <c r="AH787" s="39">
        <f>IF(IFERROR(VLOOKUP(D787,Controls!$A$25:$D$35,2,FALSE()),"No")="Yes",1,0)</f>
        <v/>
      </c>
      <c r="AI787" s="39">
        <f>IF(IFERROR(VLOOKUP(D787,Controls!$A$25:$D$35,3,FALSE()),"No")="Yes",1,0)</f>
        <v/>
      </c>
      <c r="AJ787" s="39">
        <f>IF(IFERROR(VLOOKUP(D787,Controls!$A$25:$D$35,4,FALSE()),"No")="Yes",1,0)</f>
        <v/>
      </c>
      <c r="AK787" s="96">
        <f>IF(AND($E787&gt;=Controls!$B$5,$E787&lt;=Controls!$B$6,OR(Controls!$E$9&lt;&gt;"Y",$BE787=1)),1,0)</f>
        <v/>
      </c>
      <c r="AL787" s="39">
        <f>1</f>
        <v/>
      </c>
      <c r="AM787" s="20">
        <f>S787-P787</f>
        <v/>
      </c>
      <c r="AN787" s="20">
        <f>IF(AH787=1,MAX(0,P787-S787),0)</f>
        <v/>
      </c>
      <c r="AO787" s="21">
        <f>IFERROR(S787/P787,"")</f>
        <v/>
      </c>
      <c r="AP787" s="22">
        <f>IF(Y787="","",P787/Y787)</f>
        <v/>
      </c>
      <c r="AQ787" s="39">
        <f>IF(Y787="",0,1)</f>
        <v/>
      </c>
      <c r="AR787" s="39">
        <f>IF(S787&lt;=0,1,0)</f>
        <v/>
      </c>
      <c r="AS787" s="17">
        <f>IF(AH787=1,AG787,"")</f>
        <v/>
      </c>
      <c r="AT787" s="17">
        <f>IF(AND(AH787=0,AJ787=1),AG787,"")</f>
        <v/>
      </c>
      <c r="AU787" s="5">
        <f>IF(P787&lt;10000,"Under $10K",IF(P787&lt;20000,"$10-20K",IF(P787&lt;30000,"$20-30K",IF(P787&lt;50000,"$30-50K",IF(P787&lt;100000,"$50-100K","$100K+")))))</f>
        <v/>
      </c>
      <c r="AV787" s="5">
        <f>IF(O787&lt;=1.35,"1.35 and under",IF(O787&lt;=1.42,"1.36-1.42",IF(O787&lt;=1.45,"1.43-1.45",IF(O787&lt;1.49,"1.46-1.48",IF(O787&lt;=1.49,"1.49","Above 1.49")))))</f>
        <v/>
      </c>
      <c r="AW787" s="5">
        <f>IF(AE787="","",IF(AE787&lt;60,"Under 60",IF(AE787&lt;90,"60-89",IF(AE787&lt;120,"90-119",IF(AE787&lt;150,"120-149","150+")))))</f>
        <v/>
      </c>
      <c r="AX787" s="5">
        <f>IF(AP787="","No revenue data",IF(AP787&lt;0.15,"Under 0.15x",IF(AP787&lt;0.3,"0.15-0.30x",IF(AP787&lt;0.5,"0.30-0.50x",IF(AP787&lt;1,"0.50-1.00x","1.00x+")))))</f>
        <v/>
      </c>
      <c r="AY787" s="5">
        <f>IF(J787="","No SIC",IFERROR(VLOOKUP(J787,Ref!$A$4:$C$67,2,FALSE()),"Unclassified"))</f>
        <v/>
      </c>
      <c r="AZ787" s="5">
        <f>IF(E787="","",TEXT(E787,"YYYY")&amp;"-Q"&amp;ROUNDUP(MONTH(E787)/3,0))</f>
        <v/>
      </c>
      <c r="BA787" s="5">
        <f>IF(E787="","",TEXT(E787,"YYYY-MM"))</f>
        <v/>
      </c>
      <c r="BB787" s="5">
        <f>IF(E787="","",TEXT(E787,"YYYY"))</f>
        <v/>
      </c>
      <c r="BC787" s="92">
        <f>IF($E787="","",NETWORKDAYS($E787,Controls!$B$9,Ref!$F$4:$F$47))</f>
        <v/>
      </c>
      <c r="BD787" s="92">
        <f>IF(OR($AH787=1,$AJ787=1),1,0)</f>
        <v/>
      </c>
      <c r="BE787" s="95">
        <f>IF(OR($BD787=1,AND($AE787&lt;&gt;"",$BC787&gt;=Controls!$B$10*$AE787)),1,0)</f>
        <v/>
      </c>
    </row>
    <row r="788" ht="15.75" customHeight="1" s="79">
      <c r="A788" s="5" t="inlineStr">
        <is>
          <t>5674181523</t>
        </is>
      </c>
      <c r="B788" s="5" t="inlineStr">
        <is>
          <t>LONDON'S LITTLE ANGELS LEARNING ACADEMY INC</t>
        </is>
      </c>
      <c r="C788" s="5" t="inlineStr">
        <is>
          <t>LONDON'S LITTLE ANGELS LEARNING ACADEMY INC</t>
        </is>
      </c>
      <c r="D788" s="5" t="inlineStr">
        <is>
          <t>Open</t>
        </is>
      </c>
      <c r="E788" s="16" t="n">
        <v>46122</v>
      </c>
      <c r="F788" s="16" t="n">
        <v>46247</v>
      </c>
      <c r="G788" s="17" t="n">
        <v>3</v>
      </c>
      <c r="H788" s="5" t="inlineStr">
        <is>
          <t>8351</t>
        </is>
      </c>
      <c r="I788" s="5" t="inlineStr">
        <is>
          <t>Child Day Care Services</t>
        </is>
      </c>
      <c r="J788" s="5" t="inlineStr">
        <is>
          <t>83</t>
        </is>
      </c>
      <c r="K788" s="5" t="n">
        <v>8351</v>
      </c>
      <c r="L788" s="5" t="inlineStr">
        <is>
          <t>GA</t>
        </is>
      </c>
      <c r="M788" s="5" t="inlineStr">
        <is>
          <t>Ballicci</t>
        </is>
      </c>
      <c r="N788" s="5" t="inlineStr">
        <is>
          <t>Renewal</t>
        </is>
      </c>
      <c r="O788" s="19" t="n">
        <v>1.49</v>
      </c>
      <c r="P788" s="20" t="n">
        <v>25000</v>
      </c>
      <c r="Q788" s="20" t="n">
        <v>3500</v>
      </c>
      <c r="R788" s="20" t="n">
        <v>37250</v>
      </c>
      <c r="S788" s="20" t="n">
        <v>15410.64</v>
      </c>
      <c r="T788" s="20" t="n">
        <v>21839.36</v>
      </c>
      <c r="U788" s="21" t="n">
        <v>0.413708456375839</v>
      </c>
      <c r="V788" s="22" t="n">
        <v>3.934</v>
      </c>
      <c r="W788" s="17" t="n">
        <v>13</v>
      </c>
      <c r="X788" s="17" t="n">
        <v>5</v>
      </c>
      <c r="Y788" s="20" t="n">
        <v>43810.35</v>
      </c>
      <c r="Z788" s="21" t="n">
        <v>0.1488</v>
      </c>
      <c r="AA788" s="16" t="n">
        <v>43621</v>
      </c>
      <c r="AB788" s="5">
        <f>IF(V788="","",IF(V788&lt;12,"Months","Weeks"))</f>
        <v/>
      </c>
      <c r="AC788" s="5">
        <f>IF(AB788="","",IF(AB788="Months","Daily","Weekly"))</f>
        <v/>
      </c>
      <c r="AD788" s="17">
        <f>IF(V788="","",IF(AC788="Daily",V788*Controls!$B$13,V788))</f>
        <v/>
      </c>
      <c r="AE788" s="17">
        <f>IF(V788="","",IF(AC788="Daily",V788*Controls!$B$13,V788*Controls!$B$12))</f>
        <v/>
      </c>
      <c r="AF788" s="17">
        <f>IF(OR(E788="",F788=""),"",F788-E788)</f>
        <v/>
      </c>
      <c r="AG788" s="17">
        <f>IF(OR(E788="",F788=""),"",NETWORKDAYS(E788,F788,Ref!$F$4:$F$47))</f>
        <v/>
      </c>
      <c r="AH788" s="39">
        <f>IF(IFERROR(VLOOKUP(D788,Controls!$A$25:$D$35,2,FALSE()),"No")="Yes",1,0)</f>
        <v/>
      </c>
      <c r="AI788" s="39">
        <f>IF(IFERROR(VLOOKUP(D788,Controls!$A$25:$D$35,3,FALSE()),"No")="Yes",1,0)</f>
        <v/>
      </c>
      <c r="AJ788" s="39">
        <f>IF(IFERROR(VLOOKUP(D788,Controls!$A$25:$D$35,4,FALSE()),"No")="Yes",1,0)</f>
        <v/>
      </c>
      <c r="AK788" s="96">
        <f>IF(AND($E788&gt;=Controls!$B$5,$E788&lt;=Controls!$B$6,OR(Controls!$E$9&lt;&gt;"Y",$BE788=1)),1,0)</f>
        <v/>
      </c>
      <c r="AL788" s="39">
        <f>1</f>
        <v/>
      </c>
      <c r="AM788" s="20">
        <f>S788-P788</f>
        <v/>
      </c>
      <c r="AN788" s="20">
        <f>IF(AH788=1,MAX(0,P788-S788),0)</f>
        <v/>
      </c>
      <c r="AO788" s="21">
        <f>IFERROR(S788/P788,"")</f>
        <v/>
      </c>
      <c r="AP788" s="22">
        <f>IF(Y788="","",P788/Y788)</f>
        <v/>
      </c>
      <c r="AQ788" s="39">
        <f>IF(Y788="",0,1)</f>
        <v/>
      </c>
      <c r="AR788" s="39">
        <f>IF(S788&lt;=0,1,0)</f>
        <v/>
      </c>
      <c r="AS788" s="17">
        <f>IF(AH788=1,AG788,"")</f>
        <v/>
      </c>
      <c r="AT788" s="17">
        <f>IF(AND(AH788=0,AJ788=1),AG788,"")</f>
        <v/>
      </c>
      <c r="AU788" s="5">
        <f>IF(P788&lt;10000,"Under $10K",IF(P788&lt;20000,"$10-20K",IF(P788&lt;30000,"$20-30K",IF(P788&lt;50000,"$30-50K",IF(P788&lt;100000,"$50-100K","$100K+")))))</f>
        <v/>
      </c>
      <c r="AV788" s="5">
        <f>IF(O788&lt;=1.35,"1.35 and under",IF(O788&lt;=1.42,"1.36-1.42",IF(O788&lt;=1.45,"1.43-1.45",IF(O788&lt;1.49,"1.46-1.48",IF(O788&lt;=1.49,"1.49","Above 1.49")))))</f>
        <v/>
      </c>
      <c r="AW788" s="5">
        <f>IF(AE788="","",IF(AE788&lt;60,"Under 60",IF(AE788&lt;90,"60-89",IF(AE788&lt;120,"90-119",IF(AE788&lt;150,"120-149","150+")))))</f>
        <v/>
      </c>
      <c r="AX788" s="5">
        <f>IF(AP788="","No revenue data",IF(AP788&lt;0.15,"Under 0.15x",IF(AP788&lt;0.3,"0.15-0.30x",IF(AP788&lt;0.5,"0.30-0.50x",IF(AP788&lt;1,"0.50-1.00x","1.00x+")))))</f>
        <v/>
      </c>
      <c r="AY788" s="5">
        <f>IF(J788="","No SIC",IFERROR(VLOOKUP(J788,Ref!$A$4:$C$67,2,FALSE()),"Unclassified"))</f>
        <v/>
      </c>
      <c r="AZ788" s="5">
        <f>IF(E788="","",TEXT(E788,"YYYY")&amp;"-Q"&amp;ROUNDUP(MONTH(E788)/3,0))</f>
        <v/>
      </c>
      <c r="BA788" s="5">
        <f>IF(E788="","",TEXT(E788,"YYYY-MM"))</f>
        <v/>
      </c>
      <c r="BB788" s="5">
        <f>IF(E788="","",TEXT(E788,"YYYY"))</f>
        <v/>
      </c>
      <c r="BC788" s="92">
        <f>IF($E788="","",NETWORKDAYS($E788,Controls!$B$9,Ref!$F$4:$F$47))</f>
        <v/>
      </c>
      <c r="BD788" s="92">
        <f>IF(OR($AH788=1,$AJ788=1),1,0)</f>
        <v/>
      </c>
      <c r="BE788" s="95">
        <f>IF(OR($BD788=1,AND($AE788&lt;&gt;"",$BC788&gt;=Controls!$B$10*$AE788)),1,0)</f>
        <v/>
      </c>
    </row>
    <row r="789" ht="15.75" customHeight="1" s="79">
      <c r="A789" s="5" t="inlineStr">
        <is>
          <t>5674181642</t>
        </is>
      </c>
      <c r="B789" s="5" t="inlineStr">
        <is>
          <t>Wolf Inn Llc</t>
        </is>
      </c>
      <c r="C789" s="5" t="inlineStr">
        <is>
          <t>Wolf Inn Llc</t>
        </is>
      </c>
      <c r="D789" s="5" t="inlineStr">
        <is>
          <t>Open</t>
        </is>
      </c>
      <c r="E789" s="16" t="n">
        <v>46125</v>
      </c>
      <c r="F789" s="16" t="n">
        <v>46248</v>
      </c>
      <c r="G789" s="17" t="n">
        <v>3</v>
      </c>
      <c r="H789" s="5" t="inlineStr">
        <is>
          <t>7011</t>
        </is>
      </c>
      <c r="I789" s="5" t="inlineStr">
        <is>
          <t>Casino Hotels</t>
        </is>
      </c>
      <c r="J789" s="5" t="inlineStr">
        <is>
          <t>70</t>
        </is>
      </c>
      <c r="K789" s="5" t="n">
        <v>7011</v>
      </c>
      <c r="L789" s="5" t="inlineStr">
        <is>
          <t>OH</t>
        </is>
      </c>
      <c r="M789" s="5" t="inlineStr">
        <is>
          <t>United Secured Capital 8</t>
        </is>
      </c>
      <c r="N789" s="5" t="inlineStr">
        <is>
          <t>New Deal</t>
        </is>
      </c>
      <c r="O789" s="19" t="n">
        <v>1.49</v>
      </c>
      <c r="P789" s="20" t="n">
        <v>20000</v>
      </c>
      <c r="Q789" s="20" t="n">
        <v>2800</v>
      </c>
      <c r="R789" s="20" t="n">
        <v>29800</v>
      </c>
      <c r="S789" s="20" t="n">
        <v>15608.43</v>
      </c>
      <c r="T789" s="20" t="n">
        <v>14191.57</v>
      </c>
      <c r="U789" s="21" t="n">
        <v>0.523772818791946</v>
      </c>
      <c r="V789" s="22" t="n">
        <v>24</v>
      </c>
      <c r="W789" s="17" t="n">
        <v>5</v>
      </c>
      <c r="X789" s="17" t="n">
        <v>1</v>
      </c>
      <c r="Y789" s="20" t="n">
        <v>124047.57</v>
      </c>
      <c r="Z789" s="21" t="n">
        <v>0.2089</v>
      </c>
      <c r="AA789" s="16" t="n">
        <v>43160</v>
      </c>
      <c r="AB789" s="5">
        <f>IF(V789="","",IF(V789&lt;12,"Months","Weeks"))</f>
        <v/>
      </c>
      <c r="AC789" s="5">
        <f>IF(AB789="","",IF(AB789="Months","Daily","Weekly"))</f>
        <v/>
      </c>
      <c r="AD789" s="17">
        <f>IF(V789="","",IF(AC789="Daily",V789*Controls!$B$13,V789))</f>
        <v/>
      </c>
      <c r="AE789" s="17">
        <f>IF(V789="","",IF(AC789="Daily",V789*Controls!$B$13,V789*Controls!$B$12))</f>
        <v/>
      </c>
      <c r="AF789" s="17">
        <f>IF(OR(E789="",F789=""),"",F789-E789)</f>
        <v/>
      </c>
      <c r="AG789" s="17">
        <f>IF(OR(E789="",F789=""),"",NETWORKDAYS(E789,F789,Ref!$F$4:$F$47))</f>
        <v/>
      </c>
      <c r="AH789" s="39">
        <f>IF(IFERROR(VLOOKUP(D789,Controls!$A$25:$D$35,2,FALSE()),"No")="Yes",1,0)</f>
        <v/>
      </c>
      <c r="AI789" s="39">
        <f>IF(IFERROR(VLOOKUP(D789,Controls!$A$25:$D$35,3,FALSE()),"No")="Yes",1,0)</f>
        <v/>
      </c>
      <c r="AJ789" s="39">
        <f>IF(IFERROR(VLOOKUP(D789,Controls!$A$25:$D$35,4,FALSE()),"No")="Yes",1,0)</f>
        <v/>
      </c>
      <c r="AK789" s="96">
        <f>IF(AND($E789&gt;=Controls!$B$5,$E789&lt;=Controls!$B$6,OR(Controls!$E$9&lt;&gt;"Y",$BE789=1)),1,0)</f>
        <v/>
      </c>
      <c r="AL789" s="39">
        <f>1</f>
        <v/>
      </c>
      <c r="AM789" s="20">
        <f>S789-P789</f>
        <v/>
      </c>
      <c r="AN789" s="20">
        <f>IF(AH789=1,MAX(0,P789-S789),0)</f>
        <v/>
      </c>
      <c r="AO789" s="21">
        <f>IFERROR(S789/P789,"")</f>
        <v/>
      </c>
      <c r="AP789" s="22">
        <f>IF(Y789="","",P789/Y789)</f>
        <v/>
      </c>
      <c r="AQ789" s="39">
        <f>IF(Y789="",0,1)</f>
        <v/>
      </c>
      <c r="AR789" s="39">
        <f>IF(S789&lt;=0,1,0)</f>
        <v/>
      </c>
      <c r="AS789" s="17">
        <f>IF(AH789=1,AG789,"")</f>
        <v/>
      </c>
      <c r="AT789" s="17">
        <f>IF(AND(AH789=0,AJ789=1),AG789,"")</f>
        <v/>
      </c>
      <c r="AU789" s="5">
        <f>IF(P789&lt;10000,"Under $10K",IF(P789&lt;20000,"$10-20K",IF(P789&lt;30000,"$20-30K",IF(P789&lt;50000,"$30-50K",IF(P789&lt;100000,"$50-100K","$100K+")))))</f>
        <v/>
      </c>
      <c r="AV789" s="5">
        <f>IF(O789&lt;=1.35,"1.35 and under",IF(O789&lt;=1.42,"1.36-1.42",IF(O789&lt;=1.45,"1.43-1.45",IF(O789&lt;1.49,"1.46-1.48",IF(O789&lt;=1.49,"1.49","Above 1.49")))))</f>
        <v/>
      </c>
      <c r="AW789" s="5">
        <f>IF(AE789="","",IF(AE789&lt;60,"Under 60",IF(AE789&lt;90,"60-89",IF(AE789&lt;120,"90-119",IF(AE789&lt;150,"120-149","150+")))))</f>
        <v/>
      </c>
      <c r="AX789" s="5">
        <f>IF(AP789="","No revenue data",IF(AP789&lt;0.15,"Under 0.15x",IF(AP789&lt;0.3,"0.15-0.30x",IF(AP789&lt;0.5,"0.30-0.50x",IF(AP789&lt;1,"0.50-1.00x","1.00x+")))))</f>
        <v/>
      </c>
      <c r="AY789" s="5">
        <f>IF(J789="","No SIC",IFERROR(VLOOKUP(J789,Ref!$A$4:$C$67,2,FALSE()),"Unclassified"))</f>
        <v/>
      </c>
      <c r="AZ789" s="5">
        <f>IF(E789="","",TEXT(E789,"YYYY")&amp;"-Q"&amp;ROUNDUP(MONTH(E789)/3,0))</f>
        <v/>
      </c>
      <c r="BA789" s="5">
        <f>IF(E789="","",TEXT(E789,"YYYY-MM"))</f>
        <v/>
      </c>
      <c r="BB789" s="5">
        <f>IF(E789="","",TEXT(E789,"YYYY"))</f>
        <v/>
      </c>
      <c r="BC789" s="92">
        <f>IF($E789="","",NETWORKDAYS($E789,Controls!$B$9,Ref!$F$4:$F$47))</f>
        <v/>
      </c>
      <c r="BD789" s="92">
        <f>IF(OR($AH789=1,$AJ789=1),1,0)</f>
        <v/>
      </c>
      <c r="BE789" s="95">
        <f>IF(OR($BD789=1,AND($AE789&lt;&gt;"",$BC789&gt;=Controls!$B$10*$AE789)),1,0)</f>
        <v/>
      </c>
    </row>
    <row r="790" ht="15.75" customHeight="1" s="79">
      <c r="A790" s="5" t="inlineStr">
        <is>
          <t>5674181662</t>
        </is>
      </c>
      <c r="B790" s="5" t="inlineStr">
        <is>
          <t>BUG BUSTERS LLC</t>
        </is>
      </c>
      <c r="C790" s="5" t="inlineStr">
        <is>
          <t>BUG BUSTERS LLC</t>
        </is>
      </c>
      <c r="D790" s="5" t="inlineStr">
        <is>
          <t>Open</t>
        </is>
      </c>
      <c r="E790" s="16" t="n">
        <v>46126</v>
      </c>
      <c r="F790" s="16" t="n">
        <v>46253</v>
      </c>
      <c r="G790" s="17" t="n">
        <v>3</v>
      </c>
      <c r="H790" s="5" t="inlineStr">
        <is>
          <t>7342</t>
        </is>
      </c>
      <c r="I790" s="5" t="inlineStr">
        <is>
          <t>Exterminating and Pest Control Services</t>
        </is>
      </c>
      <c r="J790" s="5" t="inlineStr">
        <is>
          <t>73</t>
        </is>
      </c>
      <c r="K790" s="5" t="n">
        <v>7342</v>
      </c>
      <c r="L790" s="5" t="inlineStr">
        <is>
          <t>SD</t>
        </is>
      </c>
      <c r="M790" s="5" t="inlineStr">
        <is>
          <t>Llama Loan</t>
        </is>
      </c>
      <c r="N790" s="5" t="inlineStr">
        <is>
          <t>New Deal</t>
        </is>
      </c>
      <c r="O790" s="19" t="n">
        <v>1.49</v>
      </c>
      <c r="P790" s="20" t="n">
        <v>10000</v>
      </c>
      <c r="Q790" s="20" t="n">
        <v>1400</v>
      </c>
      <c r="R790" s="20" t="n">
        <v>14900</v>
      </c>
      <c r="S790" s="20" t="n">
        <v>13409.1</v>
      </c>
      <c r="T790" s="20" t="n">
        <v>1490.9</v>
      </c>
      <c r="U790" s="21" t="n">
        <v>0.899939597315436</v>
      </c>
      <c r="V790" s="22" t="n">
        <v>3.279</v>
      </c>
      <c r="W790" s="17" t="n">
        <v>0</v>
      </c>
      <c r="X790" s="17" t="n">
        <v>0</v>
      </c>
      <c r="Y790" s="20" t="n">
        <v>22590.58</v>
      </c>
      <c r="Z790" s="21" t="n">
        <v>0.1385</v>
      </c>
      <c r="AA790" s="16" t="n">
        <v>39569</v>
      </c>
      <c r="AB790" s="5">
        <f>IF(V790="","",IF(V790&lt;12,"Months","Weeks"))</f>
        <v/>
      </c>
      <c r="AC790" s="5">
        <f>IF(AB790="","",IF(AB790="Months","Daily","Weekly"))</f>
        <v/>
      </c>
      <c r="AD790" s="17">
        <f>IF(V790="","",IF(AC790="Daily",V790*Controls!$B$13,V790))</f>
        <v/>
      </c>
      <c r="AE790" s="17">
        <f>IF(V790="","",IF(AC790="Daily",V790*Controls!$B$13,V790*Controls!$B$12))</f>
        <v/>
      </c>
      <c r="AF790" s="17">
        <f>IF(OR(E790="",F790=""),"",F790-E790)</f>
        <v/>
      </c>
      <c r="AG790" s="17">
        <f>IF(OR(E790="",F790=""),"",NETWORKDAYS(E790,F790,Ref!$F$4:$F$47))</f>
        <v/>
      </c>
      <c r="AH790" s="39">
        <f>IF(IFERROR(VLOOKUP(D790,Controls!$A$25:$D$35,2,FALSE()),"No")="Yes",1,0)</f>
        <v/>
      </c>
      <c r="AI790" s="39">
        <f>IF(IFERROR(VLOOKUP(D790,Controls!$A$25:$D$35,3,FALSE()),"No")="Yes",1,0)</f>
        <v/>
      </c>
      <c r="AJ790" s="39">
        <f>IF(IFERROR(VLOOKUP(D790,Controls!$A$25:$D$35,4,FALSE()),"No")="Yes",1,0)</f>
        <v/>
      </c>
      <c r="AK790" s="96">
        <f>IF(AND($E790&gt;=Controls!$B$5,$E790&lt;=Controls!$B$6,OR(Controls!$E$9&lt;&gt;"Y",$BE790=1)),1,0)</f>
        <v/>
      </c>
      <c r="AL790" s="39">
        <f>1</f>
        <v/>
      </c>
      <c r="AM790" s="20">
        <f>S790-P790</f>
        <v/>
      </c>
      <c r="AN790" s="20">
        <f>IF(AH790=1,MAX(0,P790-S790),0)</f>
        <v/>
      </c>
      <c r="AO790" s="21">
        <f>IFERROR(S790/P790,"")</f>
        <v/>
      </c>
      <c r="AP790" s="22">
        <f>IF(Y790="","",P790/Y790)</f>
        <v/>
      </c>
      <c r="AQ790" s="39">
        <f>IF(Y790="",0,1)</f>
        <v/>
      </c>
      <c r="AR790" s="39">
        <f>IF(S790&lt;=0,1,0)</f>
        <v/>
      </c>
      <c r="AS790" s="17">
        <f>IF(AH790=1,AG790,"")</f>
        <v/>
      </c>
      <c r="AT790" s="17">
        <f>IF(AND(AH790=0,AJ790=1),AG790,"")</f>
        <v/>
      </c>
      <c r="AU790" s="5">
        <f>IF(P790&lt;10000,"Under $10K",IF(P790&lt;20000,"$10-20K",IF(P790&lt;30000,"$20-30K",IF(P790&lt;50000,"$30-50K",IF(P790&lt;100000,"$50-100K","$100K+")))))</f>
        <v/>
      </c>
      <c r="AV790" s="5">
        <f>IF(O790&lt;=1.35,"1.35 and under",IF(O790&lt;=1.42,"1.36-1.42",IF(O790&lt;=1.45,"1.43-1.45",IF(O790&lt;1.49,"1.46-1.48",IF(O790&lt;=1.49,"1.49","Above 1.49")))))</f>
        <v/>
      </c>
      <c r="AW790" s="5">
        <f>IF(AE790="","",IF(AE790&lt;60,"Under 60",IF(AE790&lt;90,"60-89",IF(AE790&lt;120,"90-119",IF(AE790&lt;150,"120-149","150+")))))</f>
        <v/>
      </c>
      <c r="AX790" s="5">
        <f>IF(AP790="","No revenue data",IF(AP790&lt;0.15,"Under 0.15x",IF(AP790&lt;0.3,"0.15-0.30x",IF(AP790&lt;0.5,"0.30-0.50x",IF(AP790&lt;1,"0.50-1.00x","1.00x+")))))</f>
        <v/>
      </c>
      <c r="AY790" s="5">
        <f>IF(J790="","No SIC",IFERROR(VLOOKUP(J790,Ref!$A$4:$C$67,2,FALSE()),"Unclassified"))</f>
        <v/>
      </c>
      <c r="AZ790" s="5">
        <f>IF(E790="","",TEXT(E790,"YYYY")&amp;"-Q"&amp;ROUNDUP(MONTH(E790)/3,0))</f>
        <v/>
      </c>
      <c r="BA790" s="5">
        <f>IF(E790="","",TEXT(E790,"YYYY-MM"))</f>
        <v/>
      </c>
      <c r="BB790" s="5">
        <f>IF(E790="","",TEXT(E790,"YYYY"))</f>
        <v/>
      </c>
      <c r="BC790" s="92">
        <f>IF($E790="","",NETWORKDAYS($E790,Controls!$B$9,Ref!$F$4:$F$47))</f>
        <v/>
      </c>
      <c r="BD790" s="92">
        <f>IF(OR($AH790=1,$AJ790=1),1,0)</f>
        <v/>
      </c>
      <c r="BE790" s="95">
        <f>IF(OR($BD790=1,AND($AE790&lt;&gt;"",$BC790&gt;=Controls!$B$10*$AE790)),1,0)</f>
        <v/>
      </c>
    </row>
    <row r="791" ht="15.75" customHeight="1" s="79">
      <c r="A791" s="5" t="inlineStr">
        <is>
          <t>5674181703</t>
        </is>
      </c>
      <c r="B791" s="5" t="inlineStr">
        <is>
          <t>SANSAN USA</t>
        </is>
      </c>
      <c r="C791" s="5" t="inlineStr">
        <is>
          <t>SANSAN USA</t>
        </is>
      </c>
      <c r="D791" s="5" t="inlineStr">
        <is>
          <t>Closed</t>
        </is>
      </c>
      <c r="E791" s="16" t="n">
        <v>46126</v>
      </c>
      <c r="F791" s="16" t="n">
        <v>46188</v>
      </c>
      <c r="G791" s="17" t="n">
        <v>3</v>
      </c>
      <c r="H791" s="5" t="inlineStr">
        <is>
          <t>8748</t>
        </is>
      </c>
      <c r="I791" s="5" t="inlineStr">
        <is>
          <t>Other Management Consulting Services</t>
        </is>
      </c>
      <c r="J791" s="5" t="inlineStr">
        <is>
          <t>87</t>
        </is>
      </c>
      <c r="K791" s="5" t="n">
        <v>7392</v>
      </c>
      <c r="L791" s="5" t="inlineStr">
        <is>
          <t>CA</t>
        </is>
      </c>
      <c r="M791" s="5" t="inlineStr">
        <is>
          <t>Can I Have Money</t>
        </is>
      </c>
      <c r="N791" s="5" t="inlineStr">
        <is>
          <t>New Deal</t>
        </is>
      </c>
      <c r="O791" s="19" t="n">
        <v>1.4</v>
      </c>
      <c r="P791" s="20" t="n">
        <v>20000</v>
      </c>
      <c r="Q791" s="20" t="n">
        <v>1900</v>
      </c>
      <c r="R791" s="20" t="n">
        <v>28000</v>
      </c>
      <c r="S791" s="20" t="n">
        <v>28000</v>
      </c>
      <c r="T791" s="20" t="n">
        <v>0</v>
      </c>
      <c r="U791" s="21" t="n">
        <v>1</v>
      </c>
      <c r="V791" s="22" t="n">
        <v>24</v>
      </c>
      <c r="W791" s="17" t="n">
        <v>65</v>
      </c>
      <c r="X791" s="17" t="n">
        <v>0</v>
      </c>
      <c r="Y791" s="20" t="n">
        <v>235136.27</v>
      </c>
      <c r="Z791" s="21" t="n">
        <v>0.0198</v>
      </c>
      <c r="AA791" s="16" t="n">
        <v>44761</v>
      </c>
      <c r="AB791" s="5">
        <f>IF(V791="","",IF(V791&lt;12,"Months","Weeks"))</f>
        <v/>
      </c>
      <c r="AC791" s="5">
        <f>IF(AB791="","",IF(AB791="Months","Daily","Weekly"))</f>
        <v/>
      </c>
      <c r="AD791" s="17">
        <f>IF(V791="","",IF(AC791="Daily",V791*Controls!$B$13,V791))</f>
        <v/>
      </c>
      <c r="AE791" s="17">
        <f>IF(V791="","",IF(AC791="Daily",V791*Controls!$B$13,V791*Controls!$B$12))</f>
        <v/>
      </c>
      <c r="AF791" s="17">
        <f>IF(OR(E791="",F791=""),"",F791-E791)</f>
        <v/>
      </c>
      <c r="AG791" s="17">
        <f>IF(OR(E791="",F791=""),"",NETWORKDAYS(E791,F791,Ref!$F$4:$F$47))</f>
        <v/>
      </c>
      <c r="AH791" s="39">
        <f>IF(IFERROR(VLOOKUP(D791,Controls!$A$25:$D$35,2,FALSE()),"No")="Yes",1,0)</f>
        <v/>
      </c>
      <c r="AI791" s="39">
        <f>IF(IFERROR(VLOOKUP(D791,Controls!$A$25:$D$35,3,FALSE()),"No")="Yes",1,0)</f>
        <v/>
      </c>
      <c r="AJ791" s="39">
        <f>IF(IFERROR(VLOOKUP(D791,Controls!$A$25:$D$35,4,FALSE()),"No")="Yes",1,0)</f>
        <v/>
      </c>
      <c r="AK791" s="96">
        <f>IF(AND($E791&gt;=Controls!$B$5,$E791&lt;=Controls!$B$6,OR(Controls!$E$9&lt;&gt;"Y",$BE791=1)),1,0)</f>
        <v/>
      </c>
      <c r="AL791" s="39">
        <f>1</f>
        <v/>
      </c>
      <c r="AM791" s="20">
        <f>S791-P791</f>
        <v/>
      </c>
      <c r="AN791" s="20">
        <f>IF(AH791=1,MAX(0,P791-S791),0)</f>
        <v/>
      </c>
      <c r="AO791" s="21">
        <f>IFERROR(S791/P791,"")</f>
        <v/>
      </c>
      <c r="AP791" s="22">
        <f>IF(Y791="","",P791/Y791)</f>
        <v/>
      </c>
      <c r="AQ791" s="39">
        <f>IF(Y791="",0,1)</f>
        <v/>
      </c>
      <c r="AR791" s="39">
        <f>IF(S791&lt;=0,1,0)</f>
        <v/>
      </c>
      <c r="AS791" s="17">
        <f>IF(AH791=1,AG791,"")</f>
        <v/>
      </c>
      <c r="AT791" s="17">
        <f>IF(AND(AH791=0,AJ791=1),AG791,"")</f>
        <v/>
      </c>
      <c r="AU791" s="5">
        <f>IF(P791&lt;10000,"Under $10K",IF(P791&lt;20000,"$10-20K",IF(P791&lt;30000,"$20-30K",IF(P791&lt;50000,"$30-50K",IF(P791&lt;100000,"$50-100K","$100K+")))))</f>
        <v/>
      </c>
      <c r="AV791" s="5">
        <f>IF(O791&lt;=1.35,"1.35 and under",IF(O791&lt;=1.42,"1.36-1.42",IF(O791&lt;=1.45,"1.43-1.45",IF(O791&lt;1.49,"1.46-1.48",IF(O791&lt;=1.49,"1.49","Above 1.49")))))</f>
        <v/>
      </c>
      <c r="AW791" s="5">
        <f>IF(AE791="","",IF(AE791&lt;60,"Under 60",IF(AE791&lt;90,"60-89",IF(AE791&lt;120,"90-119",IF(AE791&lt;150,"120-149","150+")))))</f>
        <v/>
      </c>
      <c r="AX791" s="5">
        <f>IF(AP791="","No revenue data",IF(AP791&lt;0.15,"Under 0.15x",IF(AP791&lt;0.3,"0.15-0.30x",IF(AP791&lt;0.5,"0.30-0.50x",IF(AP791&lt;1,"0.50-1.00x","1.00x+")))))</f>
        <v/>
      </c>
      <c r="AY791" s="5">
        <f>IF(J791="","No SIC",IFERROR(VLOOKUP(J791,Ref!$A$4:$C$67,2,FALSE()),"Unclassified"))</f>
        <v/>
      </c>
      <c r="AZ791" s="5">
        <f>IF(E791="","",TEXT(E791,"YYYY")&amp;"-Q"&amp;ROUNDUP(MONTH(E791)/3,0))</f>
        <v/>
      </c>
      <c r="BA791" s="5">
        <f>IF(E791="","",TEXT(E791,"YYYY-MM"))</f>
        <v/>
      </c>
      <c r="BB791" s="5">
        <f>IF(E791="","",TEXT(E791,"YYYY"))</f>
        <v/>
      </c>
      <c r="BC791" s="92">
        <f>IF($E791="","",NETWORKDAYS($E791,Controls!$B$9,Ref!$F$4:$F$47))</f>
        <v/>
      </c>
      <c r="BD791" s="92">
        <f>IF(OR($AH791=1,$AJ791=1),1,0)</f>
        <v/>
      </c>
      <c r="BE791" s="95">
        <f>IF(OR($BD791=1,AND($AE791&lt;&gt;"",$BC791&gt;=Controls!$B$10*$AE791)),1,0)</f>
        <v/>
      </c>
    </row>
    <row r="792" ht="15.75" customHeight="1" s="79">
      <c r="A792" s="5" t="inlineStr">
        <is>
          <t>5674181745</t>
        </is>
      </c>
      <c r="B792" s="5" t="inlineStr">
        <is>
          <t>A &amp; H Sullivan Construction</t>
        </is>
      </c>
      <c r="C792" s="5" t="inlineStr">
        <is>
          <t>A &amp; H Sullivan Construction LLC</t>
        </is>
      </c>
      <c r="D792" s="5" t="inlineStr">
        <is>
          <t>Legal</t>
        </is>
      </c>
      <c r="E792" s="16" t="n">
        <v>46126</v>
      </c>
      <c r="F792" s="16" t="n">
        <v>46155</v>
      </c>
      <c r="G792" s="17" t="n">
        <v>3</v>
      </c>
      <c r="H792" s="5" t="inlineStr">
        <is>
          <t>1521</t>
        </is>
      </c>
      <c r="I792" s="5" t="inlineStr">
        <is>
          <t>Residential Remodelers</t>
        </is>
      </c>
      <c r="J792" s="5" t="inlineStr">
        <is>
          <t>15</t>
        </is>
      </c>
      <c r="K792" s="5" t="n">
        <v>1520</v>
      </c>
      <c r="L792" s="5" t="inlineStr">
        <is>
          <t>CA</t>
        </is>
      </c>
      <c r="M792" s="5" t="inlineStr">
        <is>
          <t>Westwood</t>
        </is>
      </c>
      <c r="N792" s="5" t="inlineStr">
        <is>
          <t>New Deal</t>
        </is>
      </c>
      <c r="O792" s="19" t="n">
        <v>1.49</v>
      </c>
      <c r="P792" s="20" t="n">
        <v>10000</v>
      </c>
      <c r="Q792" s="20" t="n">
        <v>0</v>
      </c>
      <c r="R792" s="20" t="n">
        <v>14900</v>
      </c>
      <c r="S792" s="20" t="n">
        <v>2978.82</v>
      </c>
      <c r="T792" s="20" t="n">
        <v>11921.18</v>
      </c>
      <c r="U792" s="21" t="n">
        <v>0.199920805369128</v>
      </c>
      <c r="V792" s="22" t="n">
        <v>2.951</v>
      </c>
      <c r="W792" s="17" t="n">
        <v>98</v>
      </c>
      <c r="X792" s="17" t="n">
        <v>8</v>
      </c>
      <c r="Y792" s="20" t="n">
        <v>31795.77</v>
      </c>
      <c r="Z792" s="21" t="n">
        <v>0.1093</v>
      </c>
      <c r="AA792" s="16" t="n">
        <v>45272</v>
      </c>
      <c r="AB792" s="5">
        <f>IF(V792="","",IF(V792&lt;12,"Months","Weeks"))</f>
        <v/>
      </c>
      <c r="AC792" s="5">
        <f>IF(AB792="","",IF(AB792="Months","Daily","Weekly"))</f>
        <v/>
      </c>
      <c r="AD792" s="17">
        <f>IF(V792="","",IF(AC792="Daily",V792*Controls!$B$13,V792))</f>
        <v/>
      </c>
      <c r="AE792" s="17">
        <f>IF(V792="","",IF(AC792="Daily",V792*Controls!$B$13,V792*Controls!$B$12))</f>
        <v/>
      </c>
      <c r="AF792" s="17">
        <f>IF(OR(E792="",F792=""),"",F792-E792)</f>
        <v/>
      </c>
      <c r="AG792" s="17">
        <f>IF(OR(E792="",F792=""),"",NETWORKDAYS(E792,F792,Ref!$F$4:$F$47))</f>
        <v/>
      </c>
      <c r="AH792" s="39">
        <f>IF(IFERROR(VLOOKUP(D792,Controls!$A$25:$D$35,2,FALSE()),"No")="Yes",1,0)</f>
        <v/>
      </c>
      <c r="AI792" s="39">
        <f>IF(IFERROR(VLOOKUP(D792,Controls!$A$25:$D$35,3,FALSE()),"No")="Yes",1,0)</f>
        <v/>
      </c>
      <c r="AJ792" s="39">
        <f>IF(IFERROR(VLOOKUP(D792,Controls!$A$25:$D$35,4,FALSE()),"No")="Yes",1,0)</f>
        <v/>
      </c>
      <c r="AK792" s="96">
        <f>IF(AND($E792&gt;=Controls!$B$5,$E792&lt;=Controls!$B$6,OR(Controls!$E$9&lt;&gt;"Y",$BE792=1)),1,0)</f>
        <v/>
      </c>
      <c r="AL792" s="39">
        <f>1</f>
        <v/>
      </c>
      <c r="AM792" s="20">
        <f>S792-P792</f>
        <v/>
      </c>
      <c r="AN792" s="20">
        <f>IF(AH792=1,MAX(0,P792-S792),0)</f>
        <v/>
      </c>
      <c r="AO792" s="21">
        <f>IFERROR(S792/P792,"")</f>
        <v/>
      </c>
      <c r="AP792" s="22">
        <f>IF(Y792="","",P792/Y792)</f>
        <v/>
      </c>
      <c r="AQ792" s="39">
        <f>IF(Y792="",0,1)</f>
        <v/>
      </c>
      <c r="AR792" s="39">
        <f>IF(S792&lt;=0,1,0)</f>
        <v/>
      </c>
      <c r="AS792" s="17">
        <f>IF(AH792=1,AG792,"")</f>
        <v/>
      </c>
      <c r="AT792" s="17">
        <f>IF(AND(AH792=0,AJ792=1),AG792,"")</f>
        <v/>
      </c>
      <c r="AU792" s="5">
        <f>IF(P792&lt;10000,"Under $10K",IF(P792&lt;20000,"$10-20K",IF(P792&lt;30000,"$20-30K",IF(P792&lt;50000,"$30-50K",IF(P792&lt;100000,"$50-100K","$100K+")))))</f>
        <v/>
      </c>
      <c r="AV792" s="5">
        <f>IF(O792&lt;=1.35,"1.35 and under",IF(O792&lt;=1.42,"1.36-1.42",IF(O792&lt;=1.45,"1.43-1.45",IF(O792&lt;1.49,"1.46-1.48",IF(O792&lt;=1.49,"1.49","Above 1.49")))))</f>
        <v/>
      </c>
      <c r="AW792" s="5">
        <f>IF(AE792="","",IF(AE792&lt;60,"Under 60",IF(AE792&lt;90,"60-89",IF(AE792&lt;120,"90-119",IF(AE792&lt;150,"120-149","150+")))))</f>
        <v/>
      </c>
      <c r="AX792" s="5">
        <f>IF(AP792="","No revenue data",IF(AP792&lt;0.15,"Under 0.15x",IF(AP792&lt;0.3,"0.15-0.30x",IF(AP792&lt;0.5,"0.30-0.50x",IF(AP792&lt;1,"0.50-1.00x","1.00x+")))))</f>
        <v/>
      </c>
      <c r="AY792" s="5">
        <f>IF(J792="","No SIC",IFERROR(VLOOKUP(J792,Ref!$A$4:$C$67,2,FALSE()),"Unclassified"))</f>
        <v/>
      </c>
      <c r="AZ792" s="5">
        <f>IF(E792="","",TEXT(E792,"YYYY")&amp;"-Q"&amp;ROUNDUP(MONTH(E792)/3,0))</f>
        <v/>
      </c>
      <c r="BA792" s="5">
        <f>IF(E792="","",TEXT(E792,"YYYY-MM"))</f>
        <v/>
      </c>
      <c r="BB792" s="5">
        <f>IF(E792="","",TEXT(E792,"YYYY"))</f>
        <v/>
      </c>
      <c r="BC792" s="92">
        <f>IF($E792="","",NETWORKDAYS($E792,Controls!$B$9,Ref!$F$4:$F$47))</f>
        <v/>
      </c>
      <c r="BD792" s="92">
        <f>IF(OR($AH792=1,$AJ792=1),1,0)</f>
        <v/>
      </c>
      <c r="BE792" s="95">
        <f>IF(OR($BD792=1,AND($AE792&lt;&gt;"",$BC792&gt;=Controls!$B$10*$AE792)),1,0)</f>
        <v/>
      </c>
    </row>
    <row r="793" ht="15.75" customHeight="1" s="79">
      <c r="A793" s="5" t="inlineStr">
        <is>
          <t>5674181778</t>
        </is>
      </c>
      <c r="B793" s="5" t="inlineStr">
        <is>
          <t>U.S. Moving</t>
        </is>
      </c>
      <c r="C793" s="5" t="inlineStr">
        <is>
          <t>U.S. Moving</t>
        </is>
      </c>
      <c r="D793" s="5" t="inlineStr">
        <is>
          <t>Open</t>
        </is>
      </c>
      <c r="E793" s="16" t="n">
        <v>46127</v>
      </c>
      <c r="F793" s="16" t="n">
        <v>46248</v>
      </c>
      <c r="G793" s="17" t="n">
        <v>3</v>
      </c>
      <c r="H793" s="5" t="inlineStr">
        <is>
          <t>4212</t>
        </is>
      </c>
      <c r="I793" s="5" t="inlineStr">
        <is>
          <t>Specialized Freight (Except Used Goods) Trucking, Local</t>
        </is>
      </c>
      <c r="J793" s="5" t="inlineStr">
        <is>
          <t>42</t>
        </is>
      </c>
      <c r="K793" s="5" t="n">
        <v>4214</v>
      </c>
      <c r="L793" s="5" t="inlineStr">
        <is>
          <t>TN</t>
        </is>
      </c>
      <c r="M793" s="5" t="inlineStr">
        <is>
          <t>Platform Funding</t>
        </is>
      </c>
      <c r="N793" s="5" t="inlineStr">
        <is>
          <t>New Deal</t>
        </is>
      </c>
      <c r="O793" s="19" t="n">
        <v>1.48</v>
      </c>
      <c r="P793" s="20" t="n">
        <v>45000</v>
      </c>
      <c r="Q793" s="20" t="n">
        <v>6075</v>
      </c>
      <c r="R793" s="20" t="n">
        <v>66600</v>
      </c>
      <c r="S793" s="20" t="n">
        <v>22878.68</v>
      </c>
      <c r="T793" s="20" t="n">
        <v>43721.32</v>
      </c>
      <c r="U793" s="21" t="n">
        <v>0.343523723723724</v>
      </c>
      <c r="V793" s="22" t="n">
        <v>32</v>
      </c>
      <c r="W793" s="17" t="n">
        <v>5</v>
      </c>
      <c r="X793" s="17" t="n">
        <v>7</v>
      </c>
      <c r="Y793" s="20" t="n">
        <v>158466.98</v>
      </c>
      <c r="Z793" s="21" t="n">
        <v>0.0525</v>
      </c>
      <c r="AA793" s="16" t="n">
        <v>41640</v>
      </c>
      <c r="AB793" s="5">
        <f>IF(V793="","",IF(V793&lt;12,"Months","Weeks"))</f>
        <v/>
      </c>
      <c r="AC793" s="5">
        <f>IF(AB793="","",IF(AB793="Months","Daily","Weekly"))</f>
        <v/>
      </c>
      <c r="AD793" s="17">
        <f>IF(V793="","",IF(AC793="Daily",V793*Controls!$B$13,V793))</f>
        <v/>
      </c>
      <c r="AE793" s="17">
        <f>IF(V793="","",IF(AC793="Daily",V793*Controls!$B$13,V793*Controls!$B$12))</f>
        <v/>
      </c>
      <c r="AF793" s="17">
        <f>IF(OR(E793="",F793=""),"",F793-E793)</f>
        <v/>
      </c>
      <c r="AG793" s="17">
        <f>IF(OR(E793="",F793=""),"",NETWORKDAYS(E793,F793,Ref!$F$4:$F$47))</f>
        <v/>
      </c>
      <c r="AH793" s="39">
        <f>IF(IFERROR(VLOOKUP(D793,Controls!$A$25:$D$35,2,FALSE()),"No")="Yes",1,0)</f>
        <v/>
      </c>
      <c r="AI793" s="39">
        <f>IF(IFERROR(VLOOKUP(D793,Controls!$A$25:$D$35,3,FALSE()),"No")="Yes",1,0)</f>
        <v/>
      </c>
      <c r="AJ793" s="39">
        <f>IF(IFERROR(VLOOKUP(D793,Controls!$A$25:$D$35,4,FALSE()),"No")="Yes",1,0)</f>
        <v/>
      </c>
      <c r="AK793" s="96">
        <f>IF(AND($E793&gt;=Controls!$B$5,$E793&lt;=Controls!$B$6,OR(Controls!$E$9&lt;&gt;"Y",$BE793=1)),1,0)</f>
        <v/>
      </c>
      <c r="AL793" s="39">
        <f>1</f>
        <v/>
      </c>
      <c r="AM793" s="20">
        <f>S793-P793</f>
        <v/>
      </c>
      <c r="AN793" s="20">
        <f>IF(AH793=1,MAX(0,P793-S793),0)</f>
        <v/>
      </c>
      <c r="AO793" s="21">
        <f>IFERROR(S793/P793,"")</f>
        <v/>
      </c>
      <c r="AP793" s="22">
        <f>IF(Y793="","",P793/Y793)</f>
        <v/>
      </c>
      <c r="AQ793" s="39">
        <f>IF(Y793="",0,1)</f>
        <v/>
      </c>
      <c r="AR793" s="39">
        <f>IF(S793&lt;=0,1,0)</f>
        <v/>
      </c>
      <c r="AS793" s="17">
        <f>IF(AH793=1,AG793,"")</f>
        <v/>
      </c>
      <c r="AT793" s="17">
        <f>IF(AND(AH793=0,AJ793=1),AG793,"")</f>
        <v/>
      </c>
      <c r="AU793" s="5">
        <f>IF(P793&lt;10000,"Under $10K",IF(P793&lt;20000,"$10-20K",IF(P793&lt;30000,"$20-30K",IF(P793&lt;50000,"$30-50K",IF(P793&lt;100000,"$50-100K","$100K+")))))</f>
        <v/>
      </c>
      <c r="AV793" s="5">
        <f>IF(O793&lt;=1.35,"1.35 and under",IF(O793&lt;=1.42,"1.36-1.42",IF(O793&lt;=1.45,"1.43-1.45",IF(O793&lt;1.49,"1.46-1.48",IF(O793&lt;=1.49,"1.49","Above 1.49")))))</f>
        <v/>
      </c>
      <c r="AW793" s="5">
        <f>IF(AE793="","",IF(AE793&lt;60,"Under 60",IF(AE793&lt;90,"60-89",IF(AE793&lt;120,"90-119",IF(AE793&lt;150,"120-149","150+")))))</f>
        <v/>
      </c>
      <c r="AX793" s="5">
        <f>IF(AP793="","No revenue data",IF(AP793&lt;0.15,"Under 0.15x",IF(AP793&lt;0.3,"0.15-0.30x",IF(AP793&lt;0.5,"0.30-0.50x",IF(AP793&lt;1,"0.50-1.00x","1.00x+")))))</f>
        <v/>
      </c>
      <c r="AY793" s="5">
        <f>IF(J793="","No SIC",IFERROR(VLOOKUP(J793,Ref!$A$4:$C$67,2,FALSE()),"Unclassified"))</f>
        <v/>
      </c>
      <c r="AZ793" s="5">
        <f>IF(E793="","",TEXT(E793,"YYYY")&amp;"-Q"&amp;ROUNDUP(MONTH(E793)/3,0))</f>
        <v/>
      </c>
      <c r="BA793" s="5">
        <f>IF(E793="","",TEXT(E793,"YYYY-MM"))</f>
        <v/>
      </c>
      <c r="BB793" s="5">
        <f>IF(E793="","",TEXT(E793,"YYYY"))</f>
        <v/>
      </c>
      <c r="BC793" s="92">
        <f>IF($E793="","",NETWORKDAYS($E793,Controls!$B$9,Ref!$F$4:$F$47))</f>
        <v/>
      </c>
      <c r="BD793" s="92">
        <f>IF(OR($AH793=1,$AJ793=1),1,0)</f>
        <v/>
      </c>
      <c r="BE793" s="95">
        <f>IF(OR($BD793=1,AND($AE793&lt;&gt;"",$BC793&gt;=Controls!$B$10*$AE793)),1,0)</f>
        <v/>
      </c>
    </row>
    <row r="794" ht="15.75" customHeight="1" s="79">
      <c r="A794" s="5" t="inlineStr">
        <is>
          <t>5674181807</t>
        </is>
      </c>
      <c r="B794" s="5" t="inlineStr">
        <is>
          <t>503 BUILDERS LLC</t>
        </is>
      </c>
      <c r="C794" s="5" t="inlineStr">
        <is>
          <t>503 Builders LLC</t>
        </is>
      </c>
      <c r="D794" s="5" t="inlineStr">
        <is>
          <t>Open</t>
        </is>
      </c>
      <c r="E794" s="16" t="n">
        <v>46127</v>
      </c>
      <c r="F794" s="16" t="n">
        <v>46248</v>
      </c>
      <c r="G794" s="17" t="n">
        <v>3</v>
      </c>
      <c r="H794" s="5" t="inlineStr">
        <is>
          <t>1521</t>
        </is>
      </c>
      <c r="I794" s="5" t="inlineStr">
        <is>
          <t>Residential Remodelers</t>
        </is>
      </c>
      <c r="J794" s="5" t="inlineStr">
        <is>
          <t>15</t>
        </is>
      </c>
      <c r="K794" s="5" t="n">
        <v>1520</v>
      </c>
      <c r="L794" s="5" t="inlineStr">
        <is>
          <t>OR</t>
        </is>
      </c>
      <c r="M794" s="5" t="inlineStr">
        <is>
          <t>Biz fuel</t>
        </is>
      </c>
      <c r="N794" s="5" t="inlineStr">
        <is>
          <t>Renewal</t>
        </is>
      </c>
      <c r="O794" s="19" t="n">
        <v>1.49</v>
      </c>
      <c r="P794" s="20" t="n">
        <v>70000</v>
      </c>
      <c r="Q794" s="20" t="n">
        <v>9800</v>
      </c>
      <c r="R794" s="20" t="n">
        <v>104300</v>
      </c>
      <c r="S794" s="20" t="n">
        <v>39937.84</v>
      </c>
      <c r="T794" s="20" t="n">
        <v>64362.16</v>
      </c>
      <c r="U794" s="21" t="n">
        <v>0.382913135186961</v>
      </c>
      <c r="V794" s="22" t="n">
        <v>38</v>
      </c>
      <c r="W794" s="17" t="n">
        <v>5</v>
      </c>
      <c r="X794" s="17" t="n">
        <v>0</v>
      </c>
      <c r="Y794" s="20" t="n">
        <v>64267.19</v>
      </c>
      <c r="Z794" s="5" t="n"/>
      <c r="AA794" s="16" t="n">
        <v>44367</v>
      </c>
      <c r="AB794" s="5">
        <f>IF(V794="","",IF(V794&lt;12,"Months","Weeks"))</f>
        <v/>
      </c>
      <c r="AC794" s="5">
        <f>IF(AB794="","",IF(AB794="Months","Daily","Weekly"))</f>
        <v/>
      </c>
      <c r="AD794" s="17">
        <f>IF(V794="","",IF(AC794="Daily",V794*Controls!$B$13,V794))</f>
        <v/>
      </c>
      <c r="AE794" s="17">
        <f>IF(V794="","",IF(AC794="Daily",V794*Controls!$B$13,V794*Controls!$B$12))</f>
        <v/>
      </c>
      <c r="AF794" s="17">
        <f>IF(OR(E794="",F794=""),"",F794-E794)</f>
        <v/>
      </c>
      <c r="AG794" s="17">
        <f>IF(OR(E794="",F794=""),"",NETWORKDAYS(E794,F794,Ref!$F$4:$F$47))</f>
        <v/>
      </c>
      <c r="AH794" s="39">
        <f>IF(IFERROR(VLOOKUP(D794,Controls!$A$25:$D$35,2,FALSE()),"No")="Yes",1,0)</f>
        <v/>
      </c>
      <c r="AI794" s="39">
        <f>IF(IFERROR(VLOOKUP(D794,Controls!$A$25:$D$35,3,FALSE()),"No")="Yes",1,0)</f>
        <v/>
      </c>
      <c r="AJ794" s="39">
        <f>IF(IFERROR(VLOOKUP(D794,Controls!$A$25:$D$35,4,FALSE()),"No")="Yes",1,0)</f>
        <v/>
      </c>
      <c r="AK794" s="96">
        <f>IF(AND($E794&gt;=Controls!$B$5,$E794&lt;=Controls!$B$6,OR(Controls!$E$9&lt;&gt;"Y",$BE794=1)),1,0)</f>
        <v/>
      </c>
      <c r="AL794" s="39">
        <f>1</f>
        <v/>
      </c>
      <c r="AM794" s="20">
        <f>S794-P794</f>
        <v/>
      </c>
      <c r="AN794" s="20">
        <f>IF(AH794=1,MAX(0,P794-S794),0)</f>
        <v/>
      </c>
      <c r="AO794" s="21">
        <f>IFERROR(S794/P794,"")</f>
        <v/>
      </c>
      <c r="AP794" s="22">
        <f>IF(Y794="","",P794/Y794)</f>
        <v/>
      </c>
      <c r="AQ794" s="39">
        <f>IF(Y794="",0,1)</f>
        <v/>
      </c>
      <c r="AR794" s="39">
        <f>IF(S794&lt;=0,1,0)</f>
        <v/>
      </c>
      <c r="AS794" s="17">
        <f>IF(AH794=1,AG794,"")</f>
        <v/>
      </c>
      <c r="AT794" s="17">
        <f>IF(AND(AH794=0,AJ794=1),AG794,"")</f>
        <v/>
      </c>
      <c r="AU794" s="5">
        <f>IF(P794&lt;10000,"Under $10K",IF(P794&lt;20000,"$10-20K",IF(P794&lt;30000,"$20-30K",IF(P794&lt;50000,"$30-50K",IF(P794&lt;100000,"$50-100K","$100K+")))))</f>
        <v/>
      </c>
      <c r="AV794" s="5">
        <f>IF(O794&lt;=1.35,"1.35 and under",IF(O794&lt;=1.42,"1.36-1.42",IF(O794&lt;=1.45,"1.43-1.45",IF(O794&lt;1.49,"1.46-1.48",IF(O794&lt;=1.49,"1.49","Above 1.49")))))</f>
        <v/>
      </c>
      <c r="AW794" s="5">
        <f>IF(AE794="","",IF(AE794&lt;60,"Under 60",IF(AE794&lt;90,"60-89",IF(AE794&lt;120,"90-119",IF(AE794&lt;150,"120-149","150+")))))</f>
        <v/>
      </c>
      <c r="AX794" s="5">
        <f>IF(AP794="","No revenue data",IF(AP794&lt;0.15,"Under 0.15x",IF(AP794&lt;0.3,"0.15-0.30x",IF(AP794&lt;0.5,"0.30-0.50x",IF(AP794&lt;1,"0.50-1.00x","1.00x+")))))</f>
        <v/>
      </c>
      <c r="AY794" s="5">
        <f>IF(J794="","No SIC",IFERROR(VLOOKUP(J794,Ref!$A$4:$C$67,2,FALSE()),"Unclassified"))</f>
        <v/>
      </c>
      <c r="AZ794" s="5">
        <f>IF(E794="","",TEXT(E794,"YYYY")&amp;"-Q"&amp;ROUNDUP(MONTH(E794)/3,0))</f>
        <v/>
      </c>
      <c r="BA794" s="5">
        <f>IF(E794="","",TEXT(E794,"YYYY-MM"))</f>
        <v/>
      </c>
      <c r="BB794" s="5">
        <f>IF(E794="","",TEXT(E794,"YYYY"))</f>
        <v/>
      </c>
      <c r="BC794" s="92">
        <f>IF($E794="","",NETWORKDAYS($E794,Controls!$B$9,Ref!$F$4:$F$47))</f>
        <v/>
      </c>
      <c r="BD794" s="92">
        <f>IF(OR($AH794=1,$AJ794=1),1,0)</f>
        <v/>
      </c>
      <c r="BE794" s="95">
        <f>IF(OR($BD794=1,AND($AE794&lt;&gt;"",$BC794&gt;=Controls!$B$10*$AE794)),1,0)</f>
        <v/>
      </c>
    </row>
    <row r="795" ht="15.75" customHeight="1" s="79">
      <c r="A795" s="5" t="inlineStr">
        <is>
          <t>5674181840</t>
        </is>
      </c>
      <c r="B795" s="5" t="inlineStr">
        <is>
          <t>NHI T DAO SOLE PROP</t>
        </is>
      </c>
      <c r="C795" s="5" t="inlineStr">
        <is>
          <t>NHI T DAO SOLE PROP</t>
        </is>
      </c>
      <c r="D795" s="5" t="inlineStr">
        <is>
          <t>Closed</t>
        </is>
      </c>
      <c r="E795" s="16" t="n">
        <v>46127</v>
      </c>
      <c r="F795" s="16" t="n">
        <v>46241</v>
      </c>
      <c r="G795" s="17" t="n">
        <v>3</v>
      </c>
      <c r="H795" s="5" t="inlineStr">
        <is>
          <t>7231</t>
        </is>
      </c>
      <c r="I795" s="5" t="inlineStr">
        <is>
          <t>Cosmetology and Barber Schools</t>
        </is>
      </c>
      <c r="J795" s="5" t="inlineStr">
        <is>
          <t>72</t>
        </is>
      </c>
      <c r="K795" s="5" t="n">
        <v>7230</v>
      </c>
      <c r="L795" s="5" t="inlineStr">
        <is>
          <t>MI</t>
        </is>
      </c>
      <c r="M795" s="5" t="inlineStr">
        <is>
          <t>United Secured Capital 8</t>
        </is>
      </c>
      <c r="N795" s="5" t="inlineStr">
        <is>
          <t>New Deal</t>
        </is>
      </c>
      <c r="O795" s="19" t="n">
        <v>1.49</v>
      </c>
      <c r="P795" s="20" t="n">
        <v>5000</v>
      </c>
      <c r="Q795" s="20" t="n">
        <v>700</v>
      </c>
      <c r="R795" s="20" t="n">
        <v>7450</v>
      </c>
      <c r="S795" s="20" t="n">
        <v>7450</v>
      </c>
      <c r="T795" s="20" t="n">
        <v>0</v>
      </c>
      <c r="U795" s="21" t="n">
        <v>1</v>
      </c>
      <c r="V795" s="22" t="n">
        <v>2.623</v>
      </c>
      <c r="W795" s="17" t="n">
        <v>12</v>
      </c>
      <c r="X795" s="17" t="n">
        <v>0</v>
      </c>
      <c r="Y795" s="20" t="n">
        <v>50624.1</v>
      </c>
      <c r="Z795" s="21" t="n">
        <v>0.0386</v>
      </c>
      <c r="AA795" s="16" t="n">
        <v>45612</v>
      </c>
      <c r="AB795" s="5">
        <f>IF(V795="","",IF(V795&lt;12,"Months","Weeks"))</f>
        <v/>
      </c>
      <c r="AC795" s="5">
        <f>IF(AB795="","",IF(AB795="Months","Daily","Weekly"))</f>
        <v/>
      </c>
      <c r="AD795" s="17">
        <f>IF(V795="","",IF(AC795="Daily",V795*Controls!$B$13,V795))</f>
        <v/>
      </c>
      <c r="AE795" s="17">
        <f>IF(V795="","",IF(AC795="Daily",V795*Controls!$B$13,V795*Controls!$B$12))</f>
        <v/>
      </c>
      <c r="AF795" s="17">
        <f>IF(OR(E795="",F795=""),"",F795-E795)</f>
        <v/>
      </c>
      <c r="AG795" s="17">
        <f>IF(OR(E795="",F795=""),"",NETWORKDAYS(E795,F795,Ref!$F$4:$F$47))</f>
        <v/>
      </c>
      <c r="AH795" s="39">
        <f>IF(IFERROR(VLOOKUP(D795,Controls!$A$25:$D$35,2,FALSE()),"No")="Yes",1,0)</f>
        <v/>
      </c>
      <c r="AI795" s="39">
        <f>IF(IFERROR(VLOOKUP(D795,Controls!$A$25:$D$35,3,FALSE()),"No")="Yes",1,0)</f>
        <v/>
      </c>
      <c r="AJ795" s="39">
        <f>IF(IFERROR(VLOOKUP(D795,Controls!$A$25:$D$35,4,FALSE()),"No")="Yes",1,0)</f>
        <v/>
      </c>
      <c r="AK795" s="96">
        <f>IF(AND($E795&gt;=Controls!$B$5,$E795&lt;=Controls!$B$6,OR(Controls!$E$9&lt;&gt;"Y",$BE795=1)),1,0)</f>
        <v/>
      </c>
      <c r="AL795" s="39">
        <f>1</f>
        <v/>
      </c>
      <c r="AM795" s="20">
        <f>S795-P795</f>
        <v/>
      </c>
      <c r="AN795" s="20">
        <f>IF(AH795=1,MAX(0,P795-S795),0)</f>
        <v/>
      </c>
      <c r="AO795" s="21">
        <f>IFERROR(S795/P795,"")</f>
        <v/>
      </c>
      <c r="AP795" s="22">
        <f>IF(Y795="","",P795/Y795)</f>
        <v/>
      </c>
      <c r="AQ795" s="39">
        <f>IF(Y795="",0,1)</f>
        <v/>
      </c>
      <c r="AR795" s="39">
        <f>IF(S795&lt;=0,1,0)</f>
        <v/>
      </c>
      <c r="AS795" s="17">
        <f>IF(AH795=1,AG795,"")</f>
        <v/>
      </c>
      <c r="AT795" s="17">
        <f>IF(AND(AH795=0,AJ795=1),AG795,"")</f>
        <v/>
      </c>
      <c r="AU795" s="5">
        <f>IF(P795&lt;10000,"Under $10K",IF(P795&lt;20000,"$10-20K",IF(P795&lt;30000,"$20-30K",IF(P795&lt;50000,"$30-50K",IF(P795&lt;100000,"$50-100K","$100K+")))))</f>
        <v/>
      </c>
      <c r="AV795" s="5">
        <f>IF(O795&lt;=1.35,"1.35 and under",IF(O795&lt;=1.42,"1.36-1.42",IF(O795&lt;=1.45,"1.43-1.45",IF(O795&lt;1.49,"1.46-1.48",IF(O795&lt;=1.49,"1.49","Above 1.49")))))</f>
        <v/>
      </c>
      <c r="AW795" s="5">
        <f>IF(AE795="","",IF(AE795&lt;60,"Under 60",IF(AE795&lt;90,"60-89",IF(AE795&lt;120,"90-119",IF(AE795&lt;150,"120-149","150+")))))</f>
        <v/>
      </c>
      <c r="AX795" s="5">
        <f>IF(AP795="","No revenue data",IF(AP795&lt;0.15,"Under 0.15x",IF(AP795&lt;0.3,"0.15-0.30x",IF(AP795&lt;0.5,"0.30-0.50x",IF(AP795&lt;1,"0.50-1.00x","1.00x+")))))</f>
        <v/>
      </c>
      <c r="AY795" s="5">
        <f>IF(J795="","No SIC",IFERROR(VLOOKUP(J795,Ref!$A$4:$C$67,2,FALSE()),"Unclassified"))</f>
        <v/>
      </c>
      <c r="AZ795" s="5">
        <f>IF(E795="","",TEXT(E795,"YYYY")&amp;"-Q"&amp;ROUNDUP(MONTH(E795)/3,0))</f>
        <v/>
      </c>
      <c r="BA795" s="5">
        <f>IF(E795="","",TEXT(E795,"YYYY-MM"))</f>
        <v/>
      </c>
      <c r="BB795" s="5">
        <f>IF(E795="","",TEXT(E795,"YYYY"))</f>
        <v/>
      </c>
      <c r="BC795" s="92">
        <f>IF($E795="","",NETWORKDAYS($E795,Controls!$B$9,Ref!$F$4:$F$47))</f>
        <v/>
      </c>
      <c r="BD795" s="92">
        <f>IF(OR($AH795=1,$AJ795=1),1,0)</f>
        <v/>
      </c>
      <c r="BE795" s="95">
        <f>IF(OR($BD795=1,AND($AE795&lt;&gt;"",$BC795&gt;=Controls!$B$10*$AE795)),1,0)</f>
        <v/>
      </c>
    </row>
    <row r="796" ht="15.75" customHeight="1" s="79">
      <c r="A796" s="5" t="inlineStr">
        <is>
          <t>5674181872</t>
        </is>
      </c>
      <c r="B796" s="5" t="inlineStr">
        <is>
          <t>Matt Gifford Painting LLC</t>
        </is>
      </c>
      <c r="C796" s="5" t="inlineStr">
        <is>
          <t>Matt Gifford Painting LLC</t>
        </is>
      </c>
      <c r="D796" s="5" t="inlineStr">
        <is>
          <t>Open</t>
        </is>
      </c>
      <c r="E796" s="16" t="n">
        <v>46128</v>
      </c>
      <c r="F796" s="16" t="n">
        <v>46248</v>
      </c>
      <c r="G796" s="17" t="n">
        <v>3</v>
      </c>
      <c r="H796" s="5" t="inlineStr">
        <is>
          <t>1799</t>
        </is>
      </c>
      <c r="I796" s="5" t="inlineStr">
        <is>
          <t>Other Building Finishing Contractors</t>
        </is>
      </c>
      <c r="J796" s="5" t="inlineStr">
        <is>
          <t>17</t>
        </is>
      </c>
      <c r="K796" s="5" t="n">
        <v>1799</v>
      </c>
      <c r="L796" s="5" t="inlineStr">
        <is>
          <t>CA</t>
        </is>
      </c>
      <c r="M796" s="5" t="inlineStr">
        <is>
          <t>Vanguard Equities</t>
        </is>
      </c>
      <c r="N796" s="5" t="inlineStr">
        <is>
          <t>New Deal</t>
        </is>
      </c>
      <c r="O796" s="19" t="n">
        <v>1.4</v>
      </c>
      <c r="P796" s="20" t="n">
        <v>20000</v>
      </c>
      <c r="Q796" s="20" t="n">
        <v>1900</v>
      </c>
      <c r="R796" s="20" t="n">
        <v>28000</v>
      </c>
      <c r="S796" s="20" t="n">
        <v>21629.61</v>
      </c>
      <c r="T796" s="20" t="n">
        <v>6370.39</v>
      </c>
      <c r="U796" s="21" t="n">
        <v>0.772486071428571</v>
      </c>
      <c r="V796" s="22" t="n">
        <v>22</v>
      </c>
      <c r="W796" s="17" t="n">
        <v>5</v>
      </c>
      <c r="X796" s="17" t="n">
        <v>0</v>
      </c>
      <c r="Y796" s="20" t="n">
        <v>65584.03</v>
      </c>
      <c r="Z796" s="21" t="n">
        <v>0.0776</v>
      </c>
      <c r="AA796" s="16" t="n">
        <v>43800</v>
      </c>
      <c r="AB796" s="5">
        <f>IF(V796="","",IF(V796&lt;12,"Months","Weeks"))</f>
        <v/>
      </c>
      <c r="AC796" s="5">
        <f>IF(AB796="","",IF(AB796="Months","Daily","Weekly"))</f>
        <v/>
      </c>
      <c r="AD796" s="17">
        <f>IF(V796="","",IF(AC796="Daily",V796*Controls!$B$13,V796))</f>
        <v/>
      </c>
      <c r="AE796" s="17">
        <f>IF(V796="","",IF(AC796="Daily",V796*Controls!$B$13,V796*Controls!$B$12))</f>
        <v/>
      </c>
      <c r="AF796" s="17">
        <f>IF(OR(E796="",F796=""),"",F796-E796)</f>
        <v/>
      </c>
      <c r="AG796" s="17">
        <f>IF(OR(E796="",F796=""),"",NETWORKDAYS(E796,F796,Ref!$F$4:$F$47))</f>
        <v/>
      </c>
      <c r="AH796" s="39">
        <f>IF(IFERROR(VLOOKUP(D796,Controls!$A$25:$D$35,2,FALSE()),"No")="Yes",1,0)</f>
        <v/>
      </c>
      <c r="AI796" s="39">
        <f>IF(IFERROR(VLOOKUP(D796,Controls!$A$25:$D$35,3,FALSE()),"No")="Yes",1,0)</f>
        <v/>
      </c>
      <c r="AJ796" s="39">
        <f>IF(IFERROR(VLOOKUP(D796,Controls!$A$25:$D$35,4,FALSE()),"No")="Yes",1,0)</f>
        <v/>
      </c>
      <c r="AK796" s="96">
        <f>IF(AND($E796&gt;=Controls!$B$5,$E796&lt;=Controls!$B$6,OR(Controls!$E$9&lt;&gt;"Y",$BE796=1)),1,0)</f>
        <v/>
      </c>
      <c r="AL796" s="39">
        <f>1</f>
        <v/>
      </c>
      <c r="AM796" s="20">
        <f>S796-P796</f>
        <v/>
      </c>
      <c r="AN796" s="20">
        <f>IF(AH796=1,MAX(0,P796-S796),0)</f>
        <v/>
      </c>
      <c r="AO796" s="21">
        <f>IFERROR(S796/P796,"")</f>
        <v/>
      </c>
      <c r="AP796" s="22">
        <f>IF(Y796="","",P796/Y796)</f>
        <v/>
      </c>
      <c r="AQ796" s="39">
        <f>IF(Y796="",0,1)</f>
        <v/>
      </c>
      <c r="AR796" s="39">
        <f>IF(S796&lt;=0,1,0)</f>
        <v/>
      </c>
      <c r="AS796" s="17">
        <f>IF(AH796=1,AG796,"")</f>
        <v/>
      </c>
      <c r="AT796" s="17">
        <f>IF(AND(AH796=0,AJ796=1),AG796,"")</f>
        <v/>
      </c>
      <c r="AU796" s="5">
        <f>IF(P796&lt;10000,"Under $10K",IF(P796&lt;20000,"$10-20K",IF(P796&lt;30000,"$20-30K",IF(P796&lt;50000,"$30-50K",IF(P796&lt;100000,"$50-100K","$100K+")))))</f>
        <v/>
      </c>
      <c r="AV796" s="5">
        <f>IF(O796&lt;=1.35,"1.35 and under",IF(O796&lt;=1.42,"1.36-1.42",IF(O796&lt;=1.45,"1.43-1.45",IF(O796&lt;1.49,"1.46-1.48",IF(O796&lt;=1.49,"1.49","Above 1.49")))))</f>
        <v/>
      </c>
      <c r="AW796" s="5">
        <f>IF(AE796="","",IF(AE796&lt;60,"Under 60",IF(AE796&lt;90,"60-89",IF(AE796&lt;120,"90-119",IF(AE796&lt;150,"120-149","150+")))))</f>
        <v/>
      </c>
      <c r="AX796" s="5">
        <f>IF(AP796="","No revenue data",IF(AP796&lt;0.15,"Under 0.15x",IF(AP796&lt;0.3,"0.15-0.30x",IF(AP796&lt;0.5,"0.30-0.50x",IF(AP796&lt;1,"0.50-1.00x","1.00x+")))))</f>
        <v/>
      </c>
      <c r="AY796" s="5">
        <f>IF(J796="","No SIC",IFERROR(VLOOKUP(J796,Ref!$A$4:$C$67,2,FALSE()),"Unclassified"))</f>
        <v/>
      </c>
      <c r="AZ796" s="5">
        <f>IF(E796="","",TEXT(E796,"YYYY")&amp;"-Q"&amp;ROUNDUP(MONTH(E796)/3,0))</f>
        <v/>
      </c>
      <c r="BA796" s="5">
        <f>IF(E796="","",TEXT(E796,"YYYY-MM"))</f>
        <v/>
      </c>
      <c r="BB796" s="5">
        <f>IF(E796="","",TEXT(E796,"YYYY"))</f>
        <v/>
      </c>
      <c r="BC796" s="92">
        <f>IF($E796="","",NETWORKDAYS($E796,Controls!$B$9,Ref!$F$4:$F$47))</f>
        <v/>
      </c>
      <c r="BD796" s="92">
        <f>IF(OR($AH796=1,$AJ796=1),1,0)</f>
        <v/>
      </c>
      <c r="BE796" s="95">
        <f>IF(OR($BD796=1,AND($AE796&lt;&gt;"",$BC796&gt;=Controls!$B$10*$AE796)),1,0)</f>
        <v/>
      </c>
    </row>
    <row r="797" ht="15.75" customHeight="1" s="79">
      <c r="A797" s="5" t="inlineStr">
        <is>
          <t>5674181931</t>
        </is>
      </c>
      <c r="B797" s="5" t="inlineStr">
        <is>
          <t>CP INFINITY CONSULTING LLC</t>
        </is>
      </c>
      <c r="C797" s="5" t="inlineStr">
        <is>
          <t>CP INFINITY CONSULTING LLC</t>
        </is>
      </c>
      <c r="D797" s="5" t="inlineStr">
        <is>
          <t>Open</t>
        </is>
      </c>
      <c r="E797" s="16" t="n">
        <v>46128</v>
      </c>
      <c r="F797" s="16" t="n">
        <v>46248</v>
      </c>
      <c r="G797" s="17" t="n">
        <v>3</v>
      </c>
      <c r="H797" s="5" t="inlineStr">
        <is>
          <t>8742</t>
        </is>
      </c>
      <c r="I797" s="5" t="inlineStr">
        <is>
          <t>Administrative Management and General Management Consulting Services</t>
        </is>
      </c>
      <c r="J797" s="5" t="inlineStr">
        <is>
          <t>87</t>
        </is>
      </c>
      <c r="K797" s="5" t="n">
        <v>7392</v>
      </c>
      <c r="L797" s="5" t="inlineStr">
        <is>
          <t>FL</t>
        </is>
      </c>
      <c r="M797" s="5" t="inlineStr">
        <is>
          <t>level 3 funding</t>
        </is>
      </c>
      <c r="N797" s="5" t="inlineStr">
        <is>
          <t>New Deal</t>
        </is>
      </c>
      <c r="O797" s="19" t="n">
        <v>1.49</v>
      </c>
      <c r="P797" s="20" t="n">
        <v>6000</v>
      </c>
      <c r="Q797" s="20" t="n">
        <v>840</v>
      </c>
      <c r="R797" s="20" t="n">
        <v>8940</v>
      </c>
      <c r="S797" s="20" t="n">
        <v>4470.24</v>
      </c>
      <c r="T797" s="20" t="n">
        <v>4469.76</v>
      </c>
      <c r="U797" s="21" t="n">
        <v>0.500026845637584</v>
      </c>
      <c r="V797" s="22" t="n">
        <v>24</v>
      </c>
      <c r="W797" s="17" t="n">
        <v>26</v>
      </c>
      <c r="X797" s="17" t="n">
        <v>5</v>
      </c>
      <c r="Y797" s="20" t="n">
        <v>6400.67</v>
      </c>
      <c r="Z797" s="21" t="n">
        <v>0.2328</v>
      </c>
      <c r="AA797" s="16" t="n">
        <v>45627</v>
      </c>
      <c r="AB797" s="5">
        <f>IF(V797="","",IF(V797&lt;12,"Months","Weeks"))</f>
        <v/>
      </c>
      <c r="AC797" s="5">
        <f>IF(AB797="","",IF(AB797="Months","Daily","Weekly"))</f>
        <v/>
      </c>
      <c r="AD797" s="17">
        <f>IF(V797="","",IF(AC797="Daily",V797*Controls!$B$13,V797))</f>
        <v/>
      </c>
      <c r="AE797" s="17">
        <f>IF(V797="","",IF(AC797="Daily",V797*Controls!$B$13,V797*Controls!$B$12))</f>
        <v/>
      </c>
      <c r="AF797" s="17">
        <f>IF(OR(E797="",F797=""),"",F797-E797)</f>
        <v/>
      </c>
      <c r="AG797" s="17">
        <f>IF(OR(E797="",F797=""),"",NETWORKDAYS(E797,F797,Ref!$F$4:$F$47))</f>
        <v/>
      </c>
      <c r="AH797" s="39">
        <f>IF(IFERROR(VLOOKUP(D797,Controls!$A$25:$D$35,2,FALSE()),"No")="Yes",1,0)</f>
        <v/>
      </c>
      <c r="AI797" s="39">
        <f>IF(IFERROR(VLOOKUP(D797,Controls!$A$25:$D$35,3,FALSE()),"No")="Yes",1,0)</f>
        <v/>
      </c>
      <c r="AJ797" s="39">
        <f>IF(IFERROR(VLOOKUP(D797,Controls!$A$25:$D$35,4,FALSE()),"No")="Yes",1,0)</f>
        <v/>
      </c>
      <c r="AK797" s="96">
        <f>IF(AND($E797&gt;=Controls!$B$5,$E797&lt;=Controls!$B$6,OR(Controls!$E$9&lt;&gt;"Y",$BE797=1)),1,0)</f>
        <v/>
      </c>
      <c r="AL797" s="39">
        <f>1</f>
        <v/>
      </c>
      <c r="AM797" s="20">
        <f>S797-P797</f>
        <v/>
      </c>
      <c r="AN797" s="20">
        <f>IF(AH797=1,MAX(0,P797-S797),0)</f>
        <v/>
      </c>
      <c r="AO797" s="21">
        <f>IFERROR(S797/P797,"")</f>
        <v/>
      </c>
      <c r="AP797" s="22">
        <f>IF(Y797="","",P797/Y797)</f>
        <v/>
      </c>
      <c r="AQ797" s="39">
        <f>IF(Y797="",0,1)</f>
        <v/>
      </c>
      <c r="AR797" s="39">
        <f>IF(S797&lt;=0,1,0)</f>
        <v/>
      </c>
      <c r="AS797" s="17">
        <f>IF(AH797=1,AG797,"")</f>
        <v/>
      </c>
      <c r="AT797" s="17">
        <f>IF(AND(AH797=0,AJ797=1),AG797,"")</f>
        <v/>
      </c>
      <c r="AU797" s="5">
        <f>IF(P797&lt;10000,"Under $10K",IF(P797&lt;20000,"$10-20K",IF(P797&lt;30000,"$20-30K",IF(P797&lt;50000,"$30-50K",IF(P797&lt;100000,"$50-100K","$100K+")))))</f>
        <v/>
      </c>
      <c r="AV797" s="5">
        <f>IF(O797&lt;=1.35,"1.35 and under",IF(O797&lt;=1.42,"1.36-1.42",IF(O797&lt;=1.45,"1.43-1.45",IF(O797&lt;1.49,"1.46-1.48",IF(O797&lt;=1.49,"1.49","Above 1.49")))))</f>
        <v/>
      </c>
      <c r="AW797" s="5">
        <f>IF(AE797="","",IF(AE797&lt;60,"Under 60",IF(AE797&lt;90,"60-89",IF(AE797&lt;120,"90-119",IF(AE797&lt;150,"120-149","150+")))))</f>
        <v/>
      </c>
      <c r="AX797" s="5">
        <f>IF(AP797="","No revenue data",IF(AP797&lt;0.15,"Under 0.15x",IF(AP797&lt;0.3,"0.15-0.30x",IF(AP797&lt;0.5,"0.30-0.50x",IF(AP797&lt;1,"0.50-1.00x","1.00x+")))))</f>
        <v/>
      </c>
      <c r="AY797" s="5">
        <f>IF(J797="","No SIC",IFERROR(VLOOKUP(J797,Ref!$A$4:$C$67,2,FALSE()),"Unclassified"))</f>
        <v/>
      </c>
      <c r="AZ797" s="5">
        <f>IF(E797="","",TEXT(E797,"YYYY")&amp;"-Q"&amp;ROUNDUP(MONTH(E797)/3,0))</f>
        <v/>
      </c>
      <c r="BA797" s="5">
        <f>IF(E797="","",TEXT(E797,"YYYY-MM"))</f>
        <v/>
      </c>
      <c r="BB797" s="5">
        <f>IF(E797="","",TEXT(E797,"YYYY"))</f>
        <v/>
      </c>
      <c r="BC797" s="92">
        <f>IF($E797="","",NETWORKDAYS($E797,Controls!$B$9,Ref!$F$4:$F$47))</f>
        <v/>
      </c>
      <c r="BD797" s="92">
        <f>IF(OR($AH797=1,$AJ797=1),1,0)</f>
        <v/>
      </c>
      <c r="BE797" s="95">
        <f>IF(OR($BD797=1,AND($AE797&lt;&gt;"",$BC797&gt;=Controls!$B$10*$AE797)),1,0)</f>
        <v/>
      </c>
    </row>
    <row r="798" ht="15.75" customHeight="1" s="79">
      <c r="A798" s="5" t="inlineStr">
        <is>
          <t>5674181935</t>
        </is>
      </c>
      <c r="B798" s="5" t="inlineStr">
        <is>
          <t>All inclusive service station Corp</t>
        </is>
      </c>
      <c r="C798" s="5" t="inlineStr">
        <is>
          <t>All inclusive service station Corp</t>
        </is>
      </c>
      <c r="D798" s="5" t="inlineStr">
        <is>
          <t>Closed</t>
        </is>
      </c>
      <c r="E798" s="16" t="n">
        <v>46128</v>
      </c>
      <c r="F798" s="16" t="n">
        <v>46181</v>
      </c>
      <c r="G798" s="17" t="n">
        <v>3</v>
      </c>
      <c r="H798" s="5" t="inlineStr">
        <is>
          <t>5541</t>
        </is>
      </c>
      <c r="I798" s="5" t="inlineStr">
        <is>
          <t>Gasoline Stations with Convenience Stores</t>
        </is>
      </c>
      <c r="J798" s="5" t="inlineStr">
        <is>
          <t>55</t>
        </is>
      </c>
      <c r="K798" s="5" t="n">
        <v>5541</v>
      </c>
      <c r="L798" s="5" t="inlineStr">
        <is>
          <t>PR</t>
        </is>
      </c>
      <c r="M798" s="5" t="inlineStr">
        <is>
          <t>ontime cap</t>
        </is>
      </c>
      <c r="N798" s="5" t="inlineStr">
        <is>
          <t>Renewal</t>
        </is>
      </c>
      <c r="O798" s="19" t="n">
        <v>1.49</v>
      </c>
      <c r="P798" s="20" t="n">
        <v>40000</v>
      </c>
      <c r="Q798" s="20" t="n">
        <v>5600</v>
      </c>
      <c r="R798" s="20" t="n">
        <v>59600</v>
      </c>
      <c r="S798" s="20" t="n">
        <v>59600</v>
      </c>
      <c r="T798" s="20" t="n">
        <v>0</v>
      </c>
      <c r="U798" s="21" t="n">
        <v>1</v>
      </c>
      <c r="V798" s="22" t="n">
        <v>1.967</v>
      </c>
      <c r="W798" s="17" t="n">
        <v>72</v>
      </c>
      <c r="X798" s="17" t="n">
        <v>0</v>
      </c>
      <c r="Y798" s="20" t="n">
        <v>457409.35</v>
      </c>
      <c r="Z798" s="21" t="n">
        <v>0.0553</v>
      </c>
      <c r="AA798" s="16" t="n">
        <v>42535</v>
      </c>
      <c r="AB798" s="5">
        <f>IF(V798="","",IF(V798&lt;12,"Months","Weeks"))</f>
        <v/>
      </c>
      <c r="AC798" s="5">
        <f>IF(AB798="","",IF(AB798="Months","Daily","Weekly"))</f>
        <v/>
      </c>
      <c r="AD798" s="17">
        <f>IF(V798="","",IF(AC798="Daily",V798*Controls!$B$13,V798))</f>
        <v/>
      </c>
      <c r="AE798" s="17">
        <f>IF(V798="","",IF(AC798="Daily",V798*Controls!$B$13,V798*Controls!$B$12))</f>
        <v/>
      </c>
      <c r="AF798" s="17">
        <f>IF(OR(E798="",F798=""),"",F798-E798)</f>
        <v/>
      </c>
      <c r="AG798" s="17">
        <f>IF(OR(E798="",F798=""),"",NETWORKDAYS(E798,F798,Ref!$F$4:$F$47))</f>
        <v/>
      </c>
      <c r="AH798" s="39">
        <f>IF(IFERROR(VLOOKUP(D798,Controls!$A$25:$D$35,2,FALSE()),"No")="Yes",1,0)</f>
        <v/>
      </c>
      <c r="AI798" s="39">
        <f>IF(IFERROR(VLOOKUP(D798,Controls!$A$25:$D$35,3,FALSE()),"No")="Yes",1,0)</f>
        <v/>
      </c>
      <c r="AJ798" s="39">
        <f>IF(IFERROR(VLOOKUP(D798,Controls!$A$25:$D$35,4,FALSE()),"No")="Yes",1,0)</f>
        <v/>
      </c>
      <c r="AK798" s="96">
        <f>IF(AND($E798&gt;=Controls!$B$5,$E798&lt;=Controls!$B$6,OR(Controls!$E$9&lt;&gt;"Y",$BE798=1)),1,0)</f>
        <v/>
      </c>
      <c r="AL798" s="39">
        <f>1</f>
        <v/>
      </c>
      <c r="AM798" s="20">
        <f>S798-P798</f>
        <v/>
      </c>
      <c r="AN798" s="20">
        <f>IF(AH798=1,MAX(0,P798-S798),0)</f>
        <v/>
      </c>
      <c r="AO798" s="21">
        <f>IFERROR(S798/P798,"")</f>
        <v/>
      </c>
      <c r="AP798" s="22">
        <f>IF(Y798="","",P798/Y798)</f>
        <v/>
      </c>
      <c r="AQ798" s="39">
        <f>IF(Y798="",0,1)</f>
        <v/>
      </c>
      <c r="AR798" s="39">
        <f>IF(S798&lt;=0,1,0)</f>
        <v/>
      </c>
      <c r="AS798" s="17">
        <f>IF(AH798=1,AG798,"")</f>
        <v/>
      </c>
      <c r="AT798" s="17">
        <f>IF(AND(AH798=0,AJ798=1),AG798,"")</f>
        <v/>
      </c>
      <c r="AU798" s="5">
        <f>IF(P798&lt;10000,"Under $10K",IF(P798&lt;20000,"$10-20K",IF(P798&lt;30000,"$20-30K",IF(P798&lt;50000,"$30-50K",IF(P798&lt;100000,"$50-100K","$100K+")))))</f>
        <v/>
      </c>
      <c r="AV798" s="5">
        <f>IF(O798&lt;=1.35,"1.35 and under",IF(O798&lt;=1.42,"1.36-1.42",IF(O798&lt;=1.45,"1.43-1.45",IF(O798&lt;1.49,"1.46-1.48",IF(O798&lt;=1.49,"1.49","Above 1.49")))))</f>
        <v/>
      </c>
      <c r="AW798" s="5">
        <f>IF(AE798="","",IF(AE798&lt;60,"Under 60",IF(AE798&lt;90,"60-89",IF(AE798&lt;120,"90-119",IF(AE798&lt;150,"120-149","150+")))))</f>
        <v/>
      </c>
      <c r="AX798" s="5">
        <f>IF(AP798="","No revenue data",IF(AP798&lt;0.15,"Under 0.15x",IF(AP798&lt;0.3,"0.15-0.30x",IF(AP798&lt;0.5,"0.30-0.50x",IF(AP798&lt;1,"0.50-1.00x","1.00x+")))))</f>
        <v/>
      </c>
      <c r="AY798" s="5">
        <f>IF(J798="","No SIC",IFERROR(VLOOKUP(J798,Ref!$A$4:$C$67,2,FALSE()),"Unclassified"))</f>
        <v/>
      </c>
      <c r="AZ798" s="5">
        <f>IF(E798="","",TEXT(E798,"YYYY")&amp;"-Q"&amp;ROUNDUP(MONTH(E798)/3,0))</f>
        <v/>
      </c>
      <c r="BA798" s="5">
        <f>IF(E798="","",TEXT(E798,"YYYY-MM"))</f>
        <v/>
      </c>
      <c r="BB798" s="5">
        <f>IF(E798="","",TEXT(E798,"YYYY"))</f>
        <v/>
      </c>
      <c r="BC798" s="92">
        <f>IF($E798="","",NETWORKDAYS($E798,Controls!$B$9,Ref!$F$4:$F$47))</f>
        <v/>
      </c>
      <c r="BD798" s="92">
        <f>IF(OR($AH798=1,$AJ798=1),1,0)</f>
        <v/>
      </c>
      <c r="BE798" s="95">
        <f>IF(OR($BD798=1,AND($AE798&lt;&gt;"",$BC798&gt;=Controls!$B$10*$AE798)),1,0)</f>
        <v/>
      </c>
    </row>
    <row r="799" ht="15.75" customHeight="1" s="79">
      <c r="A799" s="5" t="inlineStr">
        <is>
          <t>5674181942</t>
        </is>
      </c>
      <c r="B799" s="5" t="inlineStr">
        <is>
          <t>MCD VETERANS LLC</t>
        </is>
      </c>
      <c r="C799" s="5" t="inlineStr">
        <is>
          <t>MCD VETERANS LLC</t>
        </is>
      </c>
      <c r="D799" s="5" t="inlineStr">
        <is>
          <t>Open</t>
        </is>
      </c>
      <c r="E799" s="16" t="n">
        <v>46128</v>
      </c>
      <c r="F799" s="16" t="n">
        <v>46233</v>
      </c>
      <c r="G799" s="17" t="n">
        <v>3</v>
      </c>
      <c r="H799" s="5" t="inlineStr">
        <is>
          <t>6531</t>
        </is>
      </c>
      <c r="I799" s="5" t="inlineStr">
        <is>
          <t>Other Activities Related to Real Estate</t>
        </is>
      </c>
      <c r="J799" s="5" t="inlineStr">
        <is>
          <t>65</t>
        </is>
      </c>
      <c r="K799" s="5" t="n">
        <v>6513</v>
      </c>
      <c r="L799" s="5" t="inlineStr">
        <is>
          <t>LA</t>
        </is>
      </c>
      <c r="M799" s="5" t="inlineStr">
        <is>
          <t>United Secured Capital 8</t>
        </is>
      </c>
      <c r="N799" s="5" t="inlineStr">
        <is>
          <t>New Deal</t>
        </is>
      </c>
      <c r="O799" s="19" t="n">
        <v>1.49</v>
      </c>
      <c r="P799" s="20" t="n">
        <v>20000</v>
      </c>
      <c r="Q799" s="20" t="n">
        <v>2800</v>
      </c>
      <c r="R799" s="20" t="n">
        <v>29800</v>
      </c>
      <c r="S799" s="20" t="n">
        <v>29765</v>
      </c>
      <c r="T799" s="20" t="n">
        <v>35</v>
      </c>
      <c r="U799" s="21" t="n">
        <v>0.998825503355705</v>
      </c>
      <c r="V799" s="22" t="n">
        <v>3.279</v>
      </c>
      <c r="W799" s="17" t="n">
        <v>20</v>
      </c>
      <c r="X799" s="17" t="n">
        <v>1</v>
      </c>
      <c r="Y799" s="20" t="n">
        <v>144343.78</v>
      </c>
      <c r="Z799" s="21" t="n">
        <v>0.0434</v>
      </c>
      <c r="AA799" s="16" t="n">
        <v>44044</v>
      </c>
      <c r="AB799" s="5">
        <f>IF(V799="","",IF(V799&lt;12,"Months","Weeks"))</f>
        <v/>
      </c>
      <c r="AC799" s="5">
        <f>IF(AB799="","",IF(AB799="Months","Daily","Weekly"))</f>
        <v/>
      </c>
      <c r="AD799" s="17">
        <f>IF(V799="","",IF(AC799="Daily",V799*Controls!$B$13,V799))</f>
        <v/>
      </c>
      <c r="AE799" s="17">
        <f>IF(V799="","",IF(AC799="Daily",V799*Controls!$B$13,V799*Controls!$B$12))</f>
        <v/>
      </c>
      <c r="AF799" s="17">
        <f>IF(OR(E799="",F799=""),"",F799-E799)</f>
        <v/>
      </c>
      <c r="AG799" s="17">
        <f>IF(OR(E799="",F799=""),"",NETWORKDAYS(E799,F799,Ref!$F$4:$F$47))</f>
        <v/>
      </c>
      <c r="AH799" s="39">
        <f>IF(IFERROR(VLOOKUP(D799,Controls!$A$25:$D$35,2,FALSE()),"No")="Yes",1,0)</f>
        <v/>
      </c>
      <c r="AI799" s="39">
        <f>IF(IFERROR(VLOOKUP(D799,Controls!$A$25:$D$35,3,FALSE()),"No")="Yes",1,0)</f>
        <v/>
      </c>
      <c r="AJ799" s="39">
        <f>IF(IFERROR(VLOOKUP(D799,Controls!$A$25:$D$35,4,FALSE()),"No")="Yes",1,0)</f>
        <v/>
      </c>
      <c r="AK799" s="96">
        <f>IF(AND($E799&gt;=Controls!$B$5,$E799&lt;=Controls!$B$6,OR(Controls!$E$9&lt;&gt;"Y",$BE799=1)),1,0)</f>
        <v/>
      </c>
      <c r="AL799" s="39">
        <f>1</f>
        <v/>
      </c>
      <c r="AM799" s="20">
        <f>S799-P799</f>
        <v/>
      </c>
      <c r="AN799" s="20">
        <f>IF(AH799=1,MAX(0,P799-S799),0)</f>
        <v/>
      </c>
      <c r="AO799" s="21">
        <f>IFERROR(S799/P799,"")</f>
        <v/>
      </c>
      <c r="AP799" s="22">
        <f>IF(Y799="","",P799/Y799)</f>
        <v/>
      </c>
      <c r="AQ799" s="39">
        <f>IF(Y799="",0,1)</f>
        <v/>
      </c>
      <c r="AR799" s="39">
        <f>IF(S799&lt;=0,1,0)</f>
        <v/>
      </c>
      <c r="AS799" s="17">
        <f>IF(AH799=1,AG799,"")</f>
        <v/>
      </c>
      <c r="AT799" s="17">
        <f>IF(AND(AH799=0,AJ799=1),AG799,"")</f>
        <v/>
      </c>
      <c r="AU799" s="5">
        <f>IF(P799&lt;10000,"Under $10K",IF(P799&lt;20000,"$10-20K",IF(P799&lt;30000,"$20-30K",IF(P799&lt;50000,"$30-50K",IF(P799&lt;100000,"$50-100K","$100K+")))))</f>
        <v/>
      </c>
      <c r="AV799" s="5">
        <f>IF(O799&lt;=1.35,"1.35 and under",IF(O799&lt;=1.42,"1.36-1.42",IF(O799&lt;=1.45,"1.43-1.45",IF(O799&lt;1.49,"1.46-1.48",IF(O799&lt;=1.49,"1.49","Above 1.49")))))</f>
        <v/>
      </c>
      <c r="AW799" s="5">
        <f>IF(AE799="","",IF(AE799&lt;60,"Under 60",IF(AE799&lt;90,"60-89",IF(AE799&lt;120,"90-119",IF(AE799&lt;150,"120-149","150+")))))</f>
        <v/>
      </c>
      <c r="AX799" s="5">
        <f>IF(AP799="","No revenue data",IF(AP799&lt;0.15,"Under 0.15x",IF(AP799&lt;0.3,"0.15-0.30x",IF(AP799&lt;0.5,"0.30-0.50x",IF(AP799&lt;1,"0.50-1.00x","1.00x+")))))</f>
        <v/>
      </c>
      <c r="AY799" s="5">
        <f>IF(J799="","No SIC",IFERROR(VLOOKUP(J799,Ref!$A$4:$C$67,2,FALSE()),"Unclassified"))</f>
        <v/>
      </c>
      <c r="AZ799" s="5">
        <f>IF(E799="","",TEXT(E799,"YYYY")&amp;"-Q"&amp;ROUNDUP(MONTH(E799)/3,0))</f>
        <v/>
      </c>
      <c r="BA799" s="5">
        <f>IF(E799="","",TEXT(E799,"YYYY-MM"))</f>
        <v/>
      </c>
      <c r="BB799" s="5">
        <f>IF(E799="","",TEXT(E799,"YYYY"))</f>
        <v/>
      </c>
      <c r="BC799" s="92">
        <f>IF($E799="","",NETWORKDAYS($E799,Controls!$B$9,Ref!$F$4:$F$47))</f>
        <v/>
      </c>
      <c r="BD799" s="92">
        <f>IF(OR($AH799=1,$AJ799=1),1,0)</f>
        <v/>
      </c>
      <c r="BE799" s="95">
        <f>IF(OR($BD799=1,AND($AE799&lt;&gt;"",$BC799&gt;=Controls!$B$10*$AE799)),1,0)</f>
        <v/>
      </c>
    </row>
    <row r="800" ht="15.75" customHeight="1" s="79">
      <c r="A800" s="5" t="inlineStr">
        <is>
          <t>5674181949</t>
        </is>
      </c>
      <c r="B800" s="5" t="inlineStr">
        <is>
          <t>1st Choice Realty, LLC</t>
        </is>
      </c>
      <c r="C800" s="5" t="inlineStr">
        <is>
          <t>1st Choice Realty, LLC</t>
        </is>
      </c>
      <c r="D800" s="5" t="inlineStr">
        <is>
          <t>Closed</t>
        </is>
      </c>
      <c r="E800" s="16" t="n">
        <v>46128</v>
      </c>
      <c r="F800" s="16" t="n">
        <v>46218</v>
      </c>
      <c r="G800" s="17" t="n">
        <v>3</v>
      </c>
      <c r="H800" s="5" t="inlineStr">
        <is>
          <t>6531</t>
        </is>
      </c>
      <c r="I800" s="5" t="inlineStr">
        <is>
          <t>Other Activities Related to Real Estate</t>
        </is>
      </c>
      <c r="J800" s="5" t="inlineStr">
        <is>
          <t>65</t>
        </is>
      </c>
      <c r="K800" s="5" t="n">
        <v>6513</v>
      </c>
      <c r="L800" s="5" t="inlineStr">
        <is>
          <t>No state</t>
        </is>
      </c>
      <c r="M800" s="5" t="inlineStr">
        <is>
          <t>Monarch funding Group</t>
        </is>
      </c>
      <c r="N800" s="5" t="inlineStr">
        <is>
          <t>New Deal</t>
        </is>
      </c>
      <c r="O800" s="19" t="n">
        <v>1.49</v>
      </c>
      <c r="P800" s="20" t="n">
        <v>10000</v>
      </c>
      <c r="Q800" s="20" t="n">
        <v>1400</v>
      </c>
      <c r="R800" s="20" t="n">
        <v>14900</v>
      </c>
      <c r="S800" s="20" t="n">
        <v>14900</v>
      </c>
      <c r="T800" s="20" t="n">
        <v>0</v>
      </c>
      <c r="U800" s="21" t="n">
        <v>1</v>
      </c>
      <c r="V800" s="22" t="n">
        <v>2.459</v>
      </c>
      <c r="W800" s="17" t="n">
        <v>35</v>
      </c>
      <c r="X800" s="17" t="n">
        <v>0</v>
      </c>
      <c r="Y800" s="20" t="n">
        <v>96907.37</v>
      </c>
      <c r="Z800" s="21" t="n">
        <v>0.0431</v>
      </c>
      <c r="AA800" s="16" t="n">
        <v>44232</v>
      </c>
      <c r="AB800" s="5">
        <f>IF(V800="","",IF(V800&lt;12,"Months","Weeks"))</f>
        <v/>
      </c>
      <c r="AC800" s="5">
        <f>IF(AB800="","",IF(AB800="Months","Daily","Weekly"))</f>
        <v/>
      </c>
      <c r="AD800" s="17">
        <f>IF(V800="","",IF(AC800="Daily",V800*Controls!$B$13,V800))</f>
        <v/>
      </c>
      <c r="AE800" s="17">
        <f>IF(V800="","",IF(AC800="Daily",V800*Controls!$B$13,V800*Controls!$B$12))</f>
        <v/>
      </c>
      <c r="AF800" s="17">
        <f>IF(OR(E800="",F800=""),"",F800-E800)</f>
        <v/>
      </c>
      <c r="AG800" s="17">
        <f>IF(OR(E800="",F800=""),"",NETWORKDAYS(E800,F800,Ref!$F$4:$F$47))</f>
        <v/>
      </c>
      <c r="AH800" s="39">
        <f>IF(IFERROR(VLOOKUP(D800,Controls!$A$25:$D$35,2,FALSE()),"No")="Yes",1,0)</f>
        <v/>
      </c>
      <c r="AI800" s="39">
        <f>IF(IFERROR(VLOOKUP(D800,Controls!$A$25:$D$35,3,FALSE()),"No")="Yes",1,0)</f>
        <v/>
      </c>
      <c r="AJ800" s="39">
        <f>IF(IFERROR(VLOOKUP(D800,Controls!$A$25:$D$35,4,FALSE()),"No")="Yes",1,0)</f>
        <v/>
      </c>
      <c r="AK800" s="96">
        <f>IF(AND($E800&gt;=Controls!$B$5,$E800&lt;=Controls!$B$6,OR(Controls!$E$9&lt;&gt;"Y",$BE800=1)),1,0)</f>
        <v/>
      </c>
      <c r="AL800" s="39">
        <f>1</f>
        <v/>
      </c>
      <c r="AM800" s="20">
        <f>S800-P800</f>
        <v/>
      </c>
      <c r="AN800" s="20">
        <f>IF(AH800=1,MAX(0,P800-S800),0)</f>
        <v/>
      </c>
      <c r="AO800" s="21">
        <f>IFERROR(S800/P800,"")</f>
        <v/>
      </c>
      <c r="AP800" s="22">
        <f>IF(Y800="","",P800/Y800)</f>
        <v/>
      </c>
      <c r="AQ800" s="39">
        <f>IF(Y800="",0,1)</f>
        <v/>
      </c>
      <c r="AR800" s="39">
        <f>IF(S800&lt;=0,1,0)</f>
        <v/>
      </c>
      <c r="AS800" s="17">
        <f>IF(AH800=1,AG800,"")</f>
        <v/>
      </c>
      <c r="AT800" s="17">
        <f>IF(AND(AH800=0,AJ800=1),AG800,"")</f>
        <v/>
      </c>
      <c r="AU800" s="5">
        <f>IF(P800&lt;10000,"Under $10K",IF(P800&lt;20000,"$10-20K",IF(P800&lt;30000,"$20-30K",IF(P800&lt;50000,"$30-50K",IF(P800&lt;100000,"$50-100K","$100K+")))))</f>
        <v/>
      </c>
      <c r="AV800" s="5">
        <f>IF(O800&lt;=1.35,"1.35 and under",IF(O800&lt;=1.42,"1.36-1.42",IF(O800&lt;=1.45,"1.43-1.45",IF(O800&lt;1.49,"1.46-1.48",IF(O800&lt;=1.49,"1.49","Above 1.49")))))</f>
        <v/>
      </c>
      <c r="AW800" s="5">
        <f>IF(AE800="","",IF(AE800&lt;60,"Under 60",IF(AE800&lt;90,"60-89",IF(AE800&lt;120,"90-119",IF(AE800&lt;150,"120-149","150+")))))</f>
        <v/>
      </c>
      <c r="AX800" s="5">
        <f>IF(AP800="","No revenue data",IF(AP800&lt;0.15,"Under 0.15x",IF(AP800&lt;0.3,"0.15-0.30x",IF(AP800&lt;0.5,"0.30-0.50x",IF(AP800&lt;1,"0.50-1.00x","1.00x+")))))</f>
        <v/>
      </c>
      <c r="AY800" s="5">
        <f>IF(J800="","No SIC",IFERROR(VLOOKUP(J800,Ref!$A$4:$C$67,2,FALSE()),"Unclassified"))</f>
        <v/>
      </c>
      <c r="AZ800" s="5">
        <f>IF(E800="","",TEXT(E800,"YYYY")&amp;"-Q"&amp;ROUNDUP(MONTH(E800)/3,0))</f>
        <v/>
      </c>
      <c r="BA800" s="5">
        <f>IF(E800="","",TEXT(E800,"YYYY-MM"))</f>
        <v/>
      </c>
      <c r="BB800" s="5">
        <f>IF(E800="","",TEXT(E800,"YYYY"))</f>
        <v/>
      </c>
      <c r="BC800" s="92">
        <f>IF($E800="","",NETWORKDAYS($E800,Controls!$B$9,Ref!$F$4:$F$47))</f>
        <v/>
      </c>
      <c r="BD800" s="92">
        <f>IF(OR($AH800=1,$AJ800=1),1,0)</f>
        <v/>
      </c>
      <c r="BE800" s="95">
        <f>IF(OR($BD800=1,AND($AE800&lt;&gt;"",$BC800&gt;=Controls!$B$10*$AE800)),1,0)</f>
        <v/>
      </c>
    </row>
    <row r="801" ht="15.75" customHeight="1" s="79">
      <c r="A801" s="5" t="inlineStr">
        <is>
          <t>5674182027</t>
        </is>
      </c>
      <c r="B801" s="5" t="inlineStr">
        <is>
          <t>KNIGHT MAINTENANCE LLC</t>
        </is>
      </c>
      <c r="C801" s="5" t="inlineStr">
        <is>
          <t>KNIGHT MAINTENANCE LLC</t>
        </is>
      </c>
      <c r="D801" s="5" t="inlineStr">
        <is>
          <t>Closed</t>
        </is>
      </c>
      <c r="E801" s="16" t="n">
        <v>46129</v>
      </c>
      <c r="F801" s="16" t="n">
        <v>46231</v>
      </c>
      <c r="G801" s="17" t="n">
        <v>7</v>
      </c>
      <c r="H801" s="5" t="inlineStr">
        <is>
          <t>7349</t>
        </is>
      </c>
      <c r="I801" s="5" t="inlineStr">
        <is>
          <t>Janitorial Services</t>
        </is>
      </c>
      <c r="J801" s="5" t="inlineStr">
        <is>
          <t>73</t>
        </is>
      </c>
      <c r="K801" s="5" t="n">
        <v>7349</v>
      </c>
      <c r="L801" s="5" t="inlineStr">
        <is>
          <t>NJ</t>
        </is>
      </c>
      <c r="M801" s="5" t="inlineStr">
        <is>
          <t>Triumph Cap Fund</t>
        </is>
      </c>
      <c r="N801" s="5" t="inlineStr">
        <is>
          <t>Renewal</t>
        </is>
      </c>
      <c r="O801" s="19" t="n">
        <v>1.49</v>
      </c>
      <c r="P801" s="20" t="n">
        <v>25000</v>
      </c>
      <c r="Q801" s="20" t="n">
        <v>3500</v>
      </c>
      <c r="R801" s="20" t="n">
        <v>37250</v>
      </c>
      <c r="S801" s="20" t="n">
        <v>37250</v>
      </c>
      <c r="T801" s="20" t="n">
        <v>0</v>
      </c>
      <c r="U801" s="21" t="n">
        <v>1</v>
      </c>
      <c r="V801" s="22" t="n">
        <v>3.934</v>
      </c>
      <c r="W801" s="17" t="n">
        <v>22</v>
      </c>
      <c r="X801" s="17" t="n">
        <v>0</v>
      </c>
      <c r="Y801" s="20" t="n">
        <v>56609.08</v>
      </c>
      <c r="Z801" s="21" t="n">
        <v>0.1152</v>
      </c>
      <c r="AA801" s="16" t="n">
        <v>42223</v>
      </c>
      <c r="AB801" s="5">
        <f>IF(V801="","",IF(V801&lt;12,"Months","Weeks"))</f>
        <v/>
      </c>
      <c r="AC801" s="5">
        <f>IF(AB801="","",IF(AB801="Months","Daily","Weekly"))</f>
        <v/>
      </c>
      <c r="AD801" s="17">
        <f>IF(V801="","",IF(AC801="Daily",V801*Controls!$B$13,V801))</f>
        <v/>
      </c>
      <c r="AE801" s="17">
        <f>IF(V801="","",IF(AC801="Daily",V801*Controls!$B$13,V801*Controls!$B$12))</f>
        <v/>
      </c>
      <c r="AF801" s="17">
        <f>IF(OR(E801="",F801=""),"",F801-E801)</f>
        <v/>
      </c>
      <c r="AG801" s="17">
        <f>IF(OR(E801="",F801=""),"",NETWORKDAYS(E801,F801,Ref!$F$4:$F$47))</f>
        <v/>
      </c>
      <c r="AH801" s="39">
        <f>IF(IFERROR(VLOOKUP(D801,Controls!$A$25:$D$35,2,FALSE()),"No")="Yes",1,0)</f>
        <v/>
      </c>
      <c r="AI801" s="39">
        <f>IF(IFERROR(VLOOKUP(D801,Controls!$A$25:$D$35,3,FALSE()),"No")="Yes",1,0)</f>
        <v/>
      </c>
      <c r="AJ801" s="39">
        <f>IF(IFERROR(VLOOKUP(D801,Controls!$A$25:$D$35,4,FALSE()),"No")="Yes",1,0)</f>
        <v/>
      </c>
      <c r="AK801" s="96">
        <f>IF(AND($E801&gt;=Controls!$B$5,$E801&lt;=Controls!$B$6,OR(Controls!$E$9&lt;&gt;"Y",$BE801=1)),1,0)</f>
        <v/>
      </c>
      <c r="AL801" s="39">
        <f>1</f>
        <v/>
      </c>
      <c r="AM801" s="20">
        <f>S801-P801</f>
        <v/>
      </c>
      <c r="AN801" s="20">
        <f>IF(AH801=1,MAX(0,P801-S801),0)</f>
        <v/>
      </c>
      <c r="AO801" s="21">
        <f>IFERROR(S801/P801,"")</f>
        <v/>
      </c>
      <c r="AP801" s="22">
        <f>IF(Y801="","",P801/Y801)</f>
        <v/>
      </c>
      <c r="AQ801" s="39">
        <f>IF(Y801="",0,1)</f>
        <v/>
      </c>
      <c r="AR801" s="39">
        <f>IF(S801&lt;=0,1,0)</f>
        <v/>
      </c>
      <c r="AS801" s="17">
        <f>IF(AH801=1,AG801,"")</f>
        <v/>
      </c>
      <c r="AT801" s="17">
        <f>IF(AND(AH801=0,AJ801=1),AG801,"")</f>
        <v/>
      </c>
      <c r="AU801" s="5">
        <f>IF(P801&lt;10000,"Under $10K",IF(P801&lt;20000,"$10-20K",IF(P801&lt;30000,"$20-30K",IF(P801&lt;50000,"$30-50K",IF(P801&lt;100000,"$50-100K","$100K+")))))</f>
        <v/>
      </c>
      <c r="AV801" s="5">
        <f>IF(O801&lt;=1.35,"1.35 and under",IF(O801&lt;=1.42,"1.36-1.42",IF(O801&lt;=1.45,"1.43-1.45",IF(O801&lt;1.49,"1.46-1.48",IF(O801&lt;=1.49,"1.49","Above 1.49")))))</f>
        <v/>
      </c>
      <c r="AW801" s="5">
        <f>IF(AE801="","",IF(AE801&lt;60,"Under 60",IF(AE801&lt;90,"60-89",IF(AE801&lt;120,"90-119",IF(AE801&lt;150,"120-149","150+")))))</f>
        <v/>
      </c>
      <c r="AX801" s="5">
        <f>IF(AP801="","No revenue data",IF(AP801&lt;0.15,"Under 0.15x",IF(AP801&lt;0.3,"0.15-0.30x",IF(AP801&lt;0.5,"0.30-0.50x",IF(AP801&lt;1,"0.50-1.00x","1.00x+")))))</f>
        <v/>
      </c>
      <c r="AY801" s="5">
        <f>IF(J801="","No SIC",IFERROR(VLOOKUP(J801,Ref!$A$4:$C$67,2,FALSE()),"Unclassified"))</f>
        <v/>
      </c>
      <c r="AZ801" s="5">
        <f>IF(E801="","",TEXT(E801,"YYYY")&amp;"-Q"&amp;ROUNDUP(MONTH(E801)/3,0))</f>
        <v/>
      </c>
      <c r="BA801" s="5">
        <f>IF(E801="","",TEXT(E801,"YYYY-MM"))</f>
        <v/>
      </c>
      <c r="BB801" s="5">
        <f>IF(E801="","",TEXT(E801,"YYYY"))</f>
        <v/>
      </c>
      <c r="BC801" s="92">
        <f>IF($E801="","",NETWORKDAYS($E801,Controls!$B$9,Ref!$F$4:$F$47))</f>
        <v/>
      </c>
      <c r="BD801" s="92">
        <f>IF(OR($AH801=1,$AJ801=1),1,0)</f>
        <v/>
      </c>
      <c r="BE801" s="95">
        <f>IF(OR($BD801=1,AND($AE801&lt;&gt;"",$BC801&gt;=Controls!$B$10*$AE801)),1,0)</f>
        <v/>
      </c>
    </row>
    <row r="802" ht="15.75" customHeight="1" s="79">
      <c r="A802" s="5" t="inlineStr">
        <is>
          <t>5674182028</t>
        </is>
      </c>
      <c r="B802" s="5" t="inlineStr">
        <is>
          <t>BSL Construction LLC</t>
        </is>
      </c>
      <c r="C802" s="5" t="inlineStr">
        <is>
          <t>BSL Construction LLC</t>
        </is>
      </c>
      <c r="D802" s="5" t="inlineStr">
        <is>
          <t>In House Collection</t>
        </is>
      </c>
      <c r="E802" s="16" t="n">
        <v>46129</v>
      </c>
      <c r="F802" s="16" t="n">
        <v>46203</v>
      </c>
      <c r="G802" s="17" t="n">
        <v>3</v>
      </c>
      <c r="H802" s="5" t="inlineStr">
        <is>
          <t>1521</t>
        </is>
      </c>
      <c r="I802" s="5" t="inlineStr">
        <is>
          <t>Residential Remodelers</t>
        </is>
      </c>
      <c r="J802" s="5" t="inlineStr">
        <is>
          <t>15</t>
        </is>
      </c>
      <c r="K802" s="5" t="n">
        <v>1520</v>
      </c>
      <c r="L802" s="5" t="inlineStr">
        <is>
          <t>TX</t>
        </is>
      </c>
      <c r="M802" s="5" t="inlineStr">
        <is>
          <t>Premium Capital (AMRK)</t>
        </is>
      </c>
      <c r="N802" s="5" t="inlineStr">
        <is>
          <t>New Deal</t>
        </is>
      </c>
      <c r="O802" s="19" t="n">
        <v>1.49</v>
      </c>
      <c r="P802" s="20" t="n">
        <v>3500</v>
      </c>
      <c r="Q802" s="20" t="n">
        <v>490</v>
      </c>
      <c r="R802" s="20" t="n">
        <v>5215</v>
      </c>
      <c r="S802" s="20" t="n">
        <v>1490.82</v>
      </c>
      <c r="T802" s="20" t="n">
        <v>3724.18</v>
      </c>
      <c r="U802" s="21" t="n">
        <v>0.285871524448706</v>
      </c>
      <c r="V802" s="22" t="n">
        <v>2.295</v>
      </c>
      <c r="W802" s="17" t="n">
        <v>50</v>
      </c>
      <c r="X802" s="17" t="n">
        <v>19</v>
      </c>
      <c r="Y802" s="20" t="n">
        <v>23956.58</v>
      </c>
      <c r="Z802" s="21" t="n">
        <v>0.0653</v>
      </c>
      <c r="AA802" s="16" t="n">
        <v>45139</v>
      </c>
      <c r="AB802" s="5">
        <f>IF(V802="","",IF(V802&lt;12,"Months","Weeks"))</f>
        <v/>
      </c>
      <c r="AC802" s="5">
        <f>IF(AB802="","",IF(AB802="Months","Daily","Weekly"))</f>
        <v/>
      </c>
      <c r="AD802" s="17">
        <f>IF(V802="","",IF(AC802="Daily",V802*Controls!$B$13,V802))</f>
        <v/>
      </c>
      <c r="AE802" s="17">
        <f>IF(V802="","",IF(AC802="Daily",V802*Controls!$B$13,V802*Controls!$B$12))</f>
        <v/>
      </c>
      <c r="AF802" s="17">
        <f>IF(OR(E802="",F802=""),"",F802-E802)</f>
        <v/>
      </c>
      <c r="AG802" s="17">
        <f>IF(OR(E802="",F802=""),"",NETWORKDAYS(E802,F802,Ref!$F$4:$F$47))</f>
        <v/>
      </c>
      <c r="AH802" s="39">
        <f>IF(IFERROR(VLOOKUP(D802,Controls!$A$25:$D$35,2,FALSE()),"No")="Yes",1,0)</f>
        <v/>
      </c>
      <c r="AI802" s="39">
        <f>IF(IFERROR(VLOOKUP(D802,Controls!$A$25:$D$35,3,FALSE()),"No")="Yes",1,0)</f>
        <v/>
      </c>
      <c r="AJ802" s="39">
        <f>IF(IFERROR(VLOOKUP(D802,Controls!$A$25:$D$35,4,FALSE()),"No")="Yes",1,0)</f>
        <v/>
      </c>
      <c r="AK802" s="96">
        <f>IF(AND($E802&gt;=Controls!$B$5,$E802&lt;=Controls!$B$6,OR(Controls!$E$9&lt;&gt;"Y",$BE802=1)),1,0)</f>
        <v/>
      </c>
      <c r="AL802" s="39">
        <f>1</f>
        <v/>
      </c>
      <c r="AM802" s="20">
        <f>S802-P802</f>
        <v/>
      </c>
      <c r="AN802" s="20">
        <f>IF(AH802=1,MAX(0,P802-S802),0)</f>
        <v/>
      </c>
      <c r="AO802" s="21">
        <f>IFERROR(S802/P802,"")</f>
        <v/>
      </c>
      <c r="AP802" s="22">
        <f>IF(Y802="","",P802/Y802)</f>
        <v/>
      </c>
      <c r="AQ802" s="39">
        <f>IF(Y802="",0,1)</f>
        <v/>
      </c>
      <c r="AR802" s="39">
        <f>IF(S802&lt;=0,1,0)</f>
        <v/>
      </c>
      <c r="AS802" s="17">
        <f>IF(AH802=1,AG802,"")</f>
        <v/>
      </c>
      <c r="AT802" s="17">
        <f>IF(AND(AH802=0,AJ802=1),AG802,"")</f>
        <v/>
      </c>
      <c r="AU802" s="5">
        <f>IF(P802&lt;10000,"Under $10K",IF(P802&lt;20000,"$10-20K",IF(P802&lt;30000,"$20-30K",IF(P802&lt;50000,"$30-50K",IF(P802&lt;100000,"$50-100K","$100K+")))))</f>
        <v/>
      </c>
      <c r="AV802" s="5">
        <f>IF(O802&lt;=1.35,"1.35 and under",IF(O802&lt;=1.42,"1.36-1.42",IF(O802&lt;=1.45,"1.43-1.45",IF(O802&lt;1.49,"1.46-1.48",IF(O802&lt;=1.49,"1.49","Above 1.49")))))</f>
        <v/>
      </c>
      <c r="AW802" s="5">
        <f>IF(AE802="","",IF(AE802&lt;60,"Under 60",IF(AE802&lt;90,"60-89",IF(AE802&lt;120,"90-119",IF(AE802&lt;150,"120-149","150+")))))</f>
        <v/>
      </c>
      <c r="AX802" s="5">
        <f>IF(AP802="","No revenue data",IF(AP802&lt;0.15,"Under 0.15x",IF(AP802&lt;0.3,"0.15-0.30x",IF(AP802&lt;0.5,"0.30-0.50x",IF(AP802&lt;1,"0.50-1.00x","1.00x+")))))</f>
        <v/>
      </c>
      <c r="AY802" s="5">
        <f>IF(J802="","No SIC",IFERROR(VLOOKUP(J802,Ref!$A$4:$C$67,2,FALSE()),"Unclassified"))</f>
        <v/>
      </c>
      <c r="AZ802" s="5">
        <f>IF(E802="","",TEXT(E802,"YYYY")&amp;"-Q"&amp;ROUNDUP(MONTH(E802)/3,0))</f>
        <v/>
      </c>
      <c r="BA802" s="5">
        <f>IF(E802="","",TEXT(E802,"YYYY-MM"))</f>
        <v/>
      </c>
      <c r="BB802" s="5">
        <f>IF(E802="","",TEXT(E802,"YYYY"))</f>
        <v/>
      </c>
      <c r="BC802" s="92">
        <f>IF($E802="","",NETWORKDAYS($E802,Controls!$B$9,Ref!$F$4:$F$47))</f>
        <v/>
      </c>
      <c r="BD802" s="92">
        <f>IF(OR($AH802=1,$AJ802=1),1,0)</f>
        <v/>
      </c>
      <c r="BE802" s="95">
        <f>IF(OR($BD802=1,AND($AE802&lt;&gt;"",$BC802&gt;=Controls!$B$10*$AE802)),1,0)</f>
        <v/>
      </c>
    </row>
    <row r="803" ht="15.75" customHeight="1" s="79">
      <c r="A803" s="5" t="inlineStr">
        <is>
          <t>5674182067</t>
        </is>
      </c>
      <c r="B803" s="5" t="inlineStr">
        <is>
          <t>S&amp;K Property Services LLC</t>
        </is>
      </c>
      <c r="C803" s="5" t="inlineStr">
        <is>
          <t>S&amp;K Property Services LLC</t>
        </is>
      </c>
      <c r="D803" s="5" t="inlineStr">
        <is>
          <t>Open</t>
        </is>
      </c>
      <c r="E803" s="16" t="n">
        <v>46132</v>
      </c>
      <c r="F803" s="16" t="n">
        <v>46248</v>
      </c>
      <c r="G803" s="17" t="n">
        <v>3</v>
      </c>
      <c r="H803" s="5" t="inlineStr">
        <is>
          <t>6531</t>
        </is>
      </c>
      <c r="I803" s="5" t="inlineStr">
        <is>
          <t>Other Activities Related to Real Estate</t>
        </is>
      </c>
      <c r="J803" s="5" t="inlineStr">
        <is>
          <t>65</t>
        </is>
      </c>
      <c r="K803" s="5" t="n">
        <v>6513</v>
      </c>
      <c r="L803" s="5" t="inlineStr">
        <is>
          <t>GA</t>
        </is>
      </c>
      <c r="M803" s="5" t="inlineStr">
        <is>
          <t>Ballicci</t>
        </is>
      </c>
      <c r="N803" s="5" t="inlineStr">
        <is>
          <t>Renewal</t>
        </is>
      </c>
      <c r="O803" s="19" t="n">
        <v>1.49</v>
      </c>
      <c r="P803" s="20" t="n">
        <v>40000</v>
      </c>
      <c r="Q803" s="20" t="n">
        <v>5600</v>
      </c>
      <c r="R803" s="20" t="n">
        <v>59600</v>
      </c>
      <c r="S803" s="20" t="n">
        <v>16385.49</v>
      </c>
      <c r="T803" s="20" t="n">
        <v>43214.51</v>
      </c>
      <c r="U803" s="21" t="n">
        <v>0.27492432885906</v>
      </c>
      <c r="V803" s="22" t="n">
        <v>40</v>
      </c>
      <c r="W803" s="17" t="n">
        <v>47</v>
      </c>
      <c r="X803" s="17" t="n">
        <v>6</v>
      </c>
      <c r="Y803" s="20" t="n">
        <v>40259.29</v>
      </c>
      <c r="Z803" s="21" t="n">
        <v>0.148</v>
      </c>
      <c r="AA803" s="16" t="n">
        <v>43466</v>
      </c>
      <c r="AB803" s="5">
        <f>IF(V803="","",IF(V803&lt;12,"Months","Weeks"))</f>
        <v/>
      </c>
      <c r="AC803" s="5">
        <f>IF(AB803="","",IF(AB803="Months","Daily","Weekly"))</f>
        <v/>
      </c>
      <c r="AD803" s="17">
        <f>IF(V803="","",IF(AC803="Daily",V803*Controls!$B$13,V803))</f>
        <v/>
      </c>
      <c r="AE803" s="17">
        <f>IF(V803="","",IF(AC803="Daily",V803*Controls!$B$13,V803*Controls!$B$12))</f>
        <v/>
      </c>
      <c r="AF803" s="17">
        <f>IF(OR(E803="",F803=""),"",F803-E803)</f>
        <v/>
      </c>
      <c r="AG803" s="17">
        <f>IF(OR(E803="",F803=""),"",NETWORKDAYS(E803,F803,Ref!$F$4:$F$47))</f>
        <v/>
      </c>
      <c r="AH803" s="39">
        <f>IF(IFERROR(VLOOKUP(D803,Controls!$A$25:$D$35,2,FALSE()),"No")="Yes",1,0)</f>
        <v/>
      </c>
      <c r="AI803" s="39">
        <f>IF(IFERROR(VLOOKUP(D803,Controls!$A$25:$D$35,3,FALSE()),"No")="Yes",1,0)</f>
        <v/>
      </c>
      <c r="AJ803" s="39">
        <f>IF(IFERROR(VLOOKUP(D803,Controls!$A$25:$D$35,4,FALSE()),"No")="Yes",1,0)</f>
        <v/>
      </c>
      <c r="AK803" s="96">
        <f>IF(AND($E803&gt;=Controls!$B$5,$E803&lt;=Controls!$B$6,OR(Controls!$E$9&lt;&gt;"Y",$BE803=1)),1,0)</f>
        <v/>
      </c>
      <c r="AL803" s="39">
        <f>1</f>
        <v/>
      </c>
      <c r="AM803" s="20">
        <f>S803-P803</f>
        <v/>
      </c>
      <c r="AN803" s="20">
        <f>IF(AH803=1,MAX(0,P803-S803),0)</f>
        <v/>
      </c>
      <c r="AO803" s="21">
        <f>IFERROR(S803/P803,"")</f>
        <v/>
      </c>
      <c r="AP803" s="22">
        <f>IF(Y803="","",P803/Y803)</f>
        <v/>
      </c>
      <c r="AQ803" s="39">
        <f>IF(Y803="",0,1)</f>
        <v/>
      </c>
      <c r="AR803" s="39">
        <f>IF(S803&lt;=0,1,0)</f>
        <v/>
      </c>
      <c r="AS803" s="17">
        <f>IF(AH803=1,AG803,"")</f>
        <v/>
      </c>
      <c r="AT803" s="17">
        <f>IF(AND(AH803=0,AJ803=1),AG803,"")</f>
        <v/>
      </c>
      <c r="AU803" s="5">
        <f>IF(P803&lt;10000,"Under $10K",IF(P803&lt;20000,"$10-20K",IF(P803&lt;30000,"$20-30K",IF(P803&lt;50000,"$30-50K",IF(P803&lt;100000,"$50-100K","$100K+")))))</f>
        <v/>
      </c>
      <c r="AV803" s="5">
        <f>IF(O803&lt;=1.35,"1.35 and under",IF(O803&lt;=1.42,"1.36-1.42",IF(O803&lt;=1.45,"1.43-1.45",IF(O803&lt;1.49,"1.46-1.48",IF(O803&lt;=1.49,"1.49","Above 1.49")))))</f>
        <v/>
      </c>
      <c r="AW803" s="5">
        <f>IF(AE803="","",IF(AE803&lt;60,"Under 60",IF(AE803&lt;90,"60-89",IF(AE803&lt;120,"90-119",IF(AE803&lt;150,"120-149","150+")))))</f>
        <v/>
      </c>
      <c r="AX803" s="5">
        <f>IF(AP803="","No revenue data",IF(AP803&lt;0.15,"Under 0.15x",IF(AP803&lt;0.3,"0.15-0.30x",IF(AP803&lt;0.5,"0.30-0.50x",IF(AP803&lt;1,"0.50-1.00x","1.00x+")))))</f>
        <v/>
      </c>
      <c r="AY803" s="5">
        <f>IF(J803="","No SIC",IFERROR(VLOOKUP(J803,Ref!$A$4:$C$67,2,FALSE()),"Unclassified"))</f>
        <v/>
      </c>
      <c r="AZ803" s="5">
        <f>IF(E803="","",TEXT(E803,"YYYY")&amp;"-Q"&amp;ROUNDUP(MONTH(E803)/3,0))</f>
        <v/>
      </c>
      <c r="BA803" s="5">
        <f>IF(E803="","",TEXT(E803,"YYYY-MM"))</f>
        <v/>
      </c>
      <c r="BB803" s="5">
        <f>IF(E803="","",TEXT(E803,"YYYY"))</f>
        <v/>
      </c>
      <c r="BC803" s="92">
        <f>IF($E803="","",NETWORKDAYS($E803,Controls!$B$9,Ref!$F$4:$F$47))</f>
        <v/>
      </c>
      <c r="BD803" s="92">
        <f>IF(OR($AH803=1,$AJ803=1),1,0)</f>
        <v/>
      </c>
      <c r="BE803" s="95">
        <f>IF(OR($BD803=1,AND($AE803&lt;&gt;"",$BC803&gt;=Controls!$B$10*$AE803)),1,0)</f>
        <v/>
      </c>
    </row>
    <row r="804" ht="15.75" customHeight="1" s="79">
      <c r="A804" s="5" t="inlineStr">
        <is>
          <t>5674182078</t>
        </is>
      </c>
      <c r="B804" s="5" t="inlineStr">
        <is>
          <t>LEGACY BARN DOORS INC.</t>
        </is>
      </c>
      <c r="C804" s="5" t="inlineStr">
        <is>
          <t>LEGACY BARN DOORS INC.</t>
        </is>
      </c>
      <c r="D804" s="5" t="inlineStr">
        <is>
          <t>Closed</t>
        </is>
      </c>
      <c r="E804" s="16" t="n">
        <v>46132</v>
      </c>
      <c r="F804" s="16" t="n">
        <v>46230</v>
      </c>
      <c r="G804" s="17" t="n">
        <v>3</v>
      </c>
      <c r="H804" s="5" t="inlineStr">
        <is>
          <t>6221</t>
        </is>
      </c>
      <c r="I804" s="5" t="inlineStr">
        <is>
          <t>Commodity Contracts Brokerage</t>
        </is>
      </c>
      <c r="J804" s="5" t="inlineStr">
        <is>
          <t>62</t>
        </is>
      </c>
      <c r="K804" s="5" t="n">
        <v>6211</v>
      </c>
      <c r="L804" s="5" t="inlineStr">
        <is>
          <t>TX</t>
        </is>
      </c>
      <c r="M804" s="5" t="inlineStr">
        <is>
          <t>United Secured Capital 8</t>
        </is>
      </c>
      <c r="N804" s="5" t="inlineStr">
        <is>
          <t>Renewal</t>
        </is>
      </c>
      <c r="O804" s="19" t="n">
        <v>1.49</v>
      </c>
      <c r="P804" s="20" t="n">
        <v>30000</v>
      </c>
      <c r="Q804" s="20" t="n">
        <v>4200</v>
      </c>
      <c r="R804" s="20" t="n">
        <v>44700</v>
      </c>
      <c r="S804" s="20" t="n">
        <v>44700</v>
      </c>
      <c r="T804" s="20" t="n">
        <v>0</v>
      </c>
      <c r="U804" s="21" t="n">
        <v>1</v>
      </c>
      <c r="V804" s="22" t="n">
        <v>26</v>
      </c>
      <c r="W804" s="17" t="n">
        <v>23</v>
      </c>
      <c r="X804" s="17" t="n">
        <v>0</v>
      </c>
      <c r="Y804" s="20" t="n">
        <v>45291.67</v>
      </c>
      <c r="Z804" s="21" t="n">
        <v>0.1518</v>
      </c>
      <c r="AA804" s="16" t="n">
        <v>44427</v>
      </c>
      <c r="AB804" s="5">
        <f>IF(V804="","",IF(V804&lt;12,"Months","Weeks"))</f>
        <v/>
      </c>
      <c r="AC804" s="5">
        <f>IF(AB804="","",IF(AB804="Months","Daily","Weekly"))</f>
        <v/>
      </c>
      <c r="AD804" s="17">
        <f>IF(V804="","",IF(AC804="Daily",V804*Controls!$B$13,V804))</f>
        <v/>
      </c>
      <c r="AE804" s="17">
        <f>IF(V804="","",IF(AC804="Daily",V804*Controls!$B$13,V804*Controls!$B$12))</f>
        <v/>
      </c>
      <c r="AF804" s="17">
        <f>IF(OR(E804="",F804=""),"",F804-E804)</f>
        <v/>
      </c>
      <c r="AG804" s="17">
        <f>IF(OR(E804="",F804=""),"",NETWORKDAYS(E804,F804,Ref!$F$4:$F$47))</f>
        <v/>
      </c>
      <c r="AH804" s="39">
        <f>IF(IFERROR(VLOOKUP(D804,Controls!$A$25:$D$35,2,FALSE()),"No")="Yes",1,0)</f>
        <v/>
      </c>
      <c r="AI804" s="39">
        <f>IF(IFERROR(VLOOKUP(D804,Controls!$A$25:$D$35,3,FALSE()),"No")="Yes",1,0)</f>
        <v/>
      </c>
      <c r="AJ804" s="39">
        <f>IF(IFERROR(VLOOKUP(D804,Controls!$A$25:$D$35,4,FALSE()),"No")="Yes",1,0)</f>
        <v/>
      </c>
      <c r="AK804" s="96">
        <f>IF(AND($E804&gt;=Controls!$B$5,$E804&lt;=Controls!$B$6,OR(Controls!$E$9&lt;&gt;"Y",$BE804=1)),1,0)</f>
        <v/>
      </c>
      <c r="AL804" s="39">
        <f>1</f>
        <v/>
      </c>
      <c r="AM804" s="20">
        <f>S804-P804</f>
        <v/>
      </c>
      <c r="AN804" s="20">
        <f>IF(AH804=1,MAX(0,P804-S804),0)</f>
        <v/>
      </c>
      <c r="AO804" s="21">
        <f>IFERROR(S804/P804,"")</f>
        <v/>
      </c>
      <c r="AP804" s="22">
        <f>IF(Y804="","",P804/Y804)</f>
        <v/>
      </c>
      <c r="AQ804" s="39">
        <f>IF(Y804="",0,1)</f>
        <v/>
      </c>
      <c r="AR804" s="39">
        <f>IF(S804&lt;=0,1,0)</f>
        <v/>
      </c>
      <c r="AS804" s="17">
        <f>IF(AH804=1,AG804,"")</f>
        <v/>
      </c>
      <c r="AT804" s="17">
        <f>IF(AND(AH804=0,AJ804=1),AG804,"")</f>
        <v/>
      </c>
      <c r="AU804" s="5">
        <f>IF(P804&lt;10000,"Under $10K",IF(P804&lt;20000,"$10-20K",IF(P804&lt;30000,"$20-30K",IF(P804&lt;50000,"$30-50K",IF(P804&lt;100000,"$50-100K","$100K+")))))</f>
        <v/>
      </c>
      <c r="AV804" s="5">
        <f>IF(O804&lt;=1.35,"1.35 and under",IF(O804&lt;=1.42,"1.36-1.42",IF(O804&lt;=1.45,"1.43-1.45",IF(O804&lt;1.49,"1.46-1.48",IF(O804&lt;=1.49,"1.49","Above 1.49")))))</f>
        <v/>
      </c>
      <c r="AW804" s="5">
        <f>IF(AE804="","",IF(AE804&lt;60,"Under 60",IF(AE804&lt;90,"60-89",IF(AE804&lt;120,"90-119",IF(AE804&lt;150,"120-149","150+")))))</f>
        <v/>
      </c>
      <c r="AX804" s="5">
        <f>IF(AP804="","No revenue data",IF(AP804&lt;0.15,"Under 0.15x",IF(AP804&lt;0.3,"0.15-0.30x",IF(AP804&lt;0.5,"0.30-0.50x",IF(AP804&lt;1,"0.50-1.00x","1.00x+")))))</f>
        <v/>
      </c>
      <c r="AY804" s="5">
        <f>IF(J804="","No SIC",IFERROR(VLOOKUP(J804,Ref!$A$4:$C$67,2,FALSE()),"Unclassified"))</f>
        <v/>
      </c>
      <c r="AZ804" s="5">
        <f>IF(E804="","",TEXT(E804,"YYYY")&amp;"-Q"&amp;ROUNDUP(MONTH(E804)/3,0))</f>
        <v/>
      </c>
      <c r="BA804" s="5">
        <f>IF(E804="","",TEXT(E804,"YYYY-MM"))</f>
        <v/>
      </c>
      <c r="BB804" s="5">
        <f>IF(E804="","",TEXT(E804,"YYYY"))</f>
        <v/>
      </c>
      <c r="BC804" s="92">
        <f>IF($E804="","",NETWORKDAYS($E804,Controls!$B$9,Ref!$F$4:$F$47))</f>
        <v/>
      </c>
      <c r="BD804" s="92">
        <f>IF(OR($AH804=1,$AJ804=1),1,0)</f>
        <v/>
      </c>
      <c r="BE804" s="95">
        <f>IF(OR($BD804=1,AND($AE804&lt;&gt;"",$BC804&gt;=Controls!$B$10*$AE804)),1,0)</f>
        <v/>
      </c>
    </row>
    <row r="805" ht="15.75" customHeight="1" s="79">
      <c r="A805" s="5" t="inlineStr">
        <is>
          <t>5674182104</t>
        </is>
      </c>
      <c r="B805" s="5" t="inlineStr">
        <is>
          <t>TAVERN ON THE HILL</t>
        </is>
      </c>
      <c r="C805" s="5" t="inlineStr">
        <is>
          <t>TAVERN ON THE HILL LLC</t>
        </is>
      </c>
      <c r="D805" s="5" t="inlineStr">
        <is>
          <t>Open</t>
        </is>
      </c>
      <c r="E805" s="16" t="n">
        <v>46132</v>
      </c>
      <c r="F805" s="16" t="n">
        <v>46248</v>
      </c>
      <c r="G805" s="17" t="n">
        <v>3</v>
      </c>
      <c r="H805" s="5" t="inlineStr">
        <is>
          <t>5812</t>
        </is>
      </c>
      <c r="I805" s="5" t="inlineStr">
        <is>
          <t>Snack and Nonalcoholic Beverage Bars</t>
        </is>
      </c>
      <c r="J805" s="5" t="inlineStr">
        <is>
          <t>58</t>
        </is>
      </c>
      <c r="K805" s="5" t="n">
        <v>5812</v>
      </c>
      <c r="L805" s="5" t="inlineStr">
        <is>
          <t>PA</t>
        </is>
      </c>
      <c r="M805" s="5" t="inlineStr">
        <is>
          <t>Ballicci</t>
        </is>
      </c>
      <c r="N805" s="5" t="inlineStr">
        <is>
          <t>New Deal</t>
        </is>
      </c>
      <c r="O805" s="19" t="n">
        <v>1.4</v>
      </c>
      <c r="P805" s="20" t="n">
        <v>20000</v>
      </c>
      <c r="Q805" s="20" t="n">
        <v>1900</v>
      </c>
      <c r="R805" s="20" t="n">
        <v>28000</v>
      </c>
      <c r="S805" s="20" t="n">
        <v>15410.78</v>
      </c>
      <c r="T805" s="20" t="n">
        <v>12589.22</v>
      </c>
      <c r="U805" s="21" t="n">
        <v>0.550385</v>
      </c>
      <c r="V805" s="22" t="n">
        <v>20</v>
      </c>
      <c r="W805" s="17" t="n">
        <v>47</v>
      </c>
      <c r="X805" s="17" t="n">
        <v>6</v>
      </c>
      <c r="Y805" s="20" t="n">
        <v>94025.75999999999</v>
      </c>
      <c r="Z805" s="21" t="n">
        <v>0.0596</v>
      </c>
      <c r="AA805" s="16" t="n">
        <v>38949</v>
      </c>
      <c r="AB805" s="5">
        <f>IF(V805="","",IF(V805&lt;12,"Months","Weeks"))</f>
        <v/>
      </c>
      <c r="AC805" s="5">
        <f>IF(AB805="","",IF(AB805="Months","Daily","Weekly"))</f>
        <v/>
      </c>
      <c r="AD805" s="17">
        <f>IF(V805="","",IF(AC805="Daily",V805*Controls!$B$13,V805))</f>
        <v/>
      </c>
      <c r="AE805" s="17">
        <f>IF(V805="","",IF(AC805="Daily",V805*Controls!$B$13,V805*Controls!$B$12))</f>
        <v/>
      </c>
      <c r="AF805" s="17">
        <f>IF(OR(E805="",F805=""),"",F805-E805)</f>
        <v/>
      </c>
      <c r="AG805" s="17">
        <f>IF(OR(E805="",F805=""),"",NETWORKDAYS(E805,F805,Ref!$F$4:$F$47))</f>
        <v/>
      </c>
      <c r="AH805" s="39">
        <f>IF(IFERROR(VLOOKUP(D805,Controls!$A$25:$D$35,2,FALSE()),"No")="Yes",1,0)</f>
        <v/>
      </c>
      <c r="AI805" s="39">
        <f>IF(IFERROR(VLOOKUP(D805,Controls!$A$25:$D$35,3,FALSE()),"No")="Yes",1,0)</f>
        <v/>
      </c>
      <c r="AJ805" s="39">
        <f>IF(IFERROR(VLOOKUP(D805,Controls!$A$25:$D$35,4,FALSE()),"No")="Yes",1,0)</f>
        <v/>
      </c>
      <c r="AK805" s="96">
        <f>IF(AND($E805&gt;=Controls!$B$5,$E805&lt;=Controls!$B$6,OR(Controls!$E$9&lt;&gt;"Y",$BE805=1)),1,0)</f>
        <v/>
      </c>
      <c r="AL805" s="39">
        <f>1</f>
        <v/>
      </c>
      <c r="AM805" s="20">
        <f>S805-P805</f>
        <v/>
      </c>
      <c r="AN805" s="20">
        <f>IF(AH805=1,MAX(0,P805-S805),0)</f>
        <v/>
      </c>
      <c r="AO805" s="21">
        <f>IFERROR(S805/P805,"")</f>
        <v/>
      </c>
      <c r="AP805" s="22">
        <f>IF(Y805="","",P805/Y805)</f>
        <v/>
      </c>
      <c r="AQ805" s="39">
        <f>IF(Y805="",0,1)</f>
        <v/>
      </c>
      <c r="AR805" s="39">
        <f>IF(S805&lt;=0,1,0)</f>
        <v/>
      </c>
      <c r="AS805" s="17">
        <f>IF(AH805=1,AG805,"")</f>
        <v/>
      </c>
      <c r="AT805" s="17">
        <f>IF(AND(AH805=0,AJ805=1),AG805,"")</f>
        <v/>
      </c>
      <c r="AU805" s="5">
        <f>IF(P805&lt;10000,"Under $10K",IF(P805&lt;20000,"$10-20K",IF(P805&lt;30000,"$20-30K",IF(P805&lt;50000,"$30-50K",IF(P805&lt;100000,"$50-100K","$100K+")))))</f>
        <v/>
      </c>
      <c r="AV805" s="5">
        <f>IF(O805&lt;=1.35,"1.35 and under",IF(O805&lt;=1.42,"1.36-1.42",IF(O805&lt;=1.45,"1.43-1.45",IF(O805&lt;1.49,"1.46-1.48",IF(O805&lt;=1.49,"1.49","Above 1.49")))))</f>
        <v/>
      </c>
      <c r="AW805" s="5">
        <f>IF(AE805="","",IF(AE805&lt;60,"Under 60",IF(AE805&lt;90,"60-89",IF(AE805&lt;120,"90-119",IF(AE805&lt;150,"120-149","150+")))))</f>
        <v/>
      </c>
      <c r="AX805" s="5">
        <f>IF(AP805="","No revenue data",IF(AP805&lt;0.15,"Under 0.15x",IF(AP805&lt;0.3,"0.15-0.30x",IF(AP805&lt;0.5,"0.30-0.50x",IF(AP805&lt;1,"0.50-1.00x","1.00x+")))))</f>
        <v/>
      </c>
      <c r="AY805" s="5">
        <f>IF(J805="","No SIC",IFERROR(VLOOKUP(J805,Ref!$A$4:$C$67,2,FALSE()),"Unclassified"))</f>
        <v/>
      </c>
      <c r="AZ805" s="5">
        <f>IF(E805="","",TEXT(E805,"YYYY")&amp;"-Q"&amp;ROUNDUP(MONTH(E805)/3,0))</f>
        <v/>
      </c>
      <c r="BA805" s="5">
        <f>IF(E805="","",TEXT(E805,"YYYY-MM"))</f>
        <v/>
      </c>
      <c r="BB805" s="5">
        <f>IF(E805="","",TEXT(E805,"YYYY"))</f>
        <v/>
      </c>
      <c r="BC805" s="92">
        <f>IF($E805="","",NETWORKDAYS($E805,Controls!$B$9,Ref!$F$4:$F$47))</f>
        <v/>
      </c>
      <c r="BD805" s="92">
        <f>IF(OR($AH805=1,$AJ805=1),1,0)</f>
        <v/>
      </c>
      <c r="BE805" s="95">
        <f>IF(OR($BD805=1,AND($AE805&lt;&gt;"",$BC805&gt;=Controls!$B$10*$AE805)),1,0)</f>
        <v/>
      </c>
    </row>
    <row r="806" ht="15.75" customHeight="1" s="79">
      <c r="A806" s="5" t="inlineStr">
        <is>
          <t>5674182144</t>
        </is>
      </c>
      <c r="B806" s="5" t="inlineStr">
        <is>
          <t>REVUP ENTERPRISES LLC</t>
        </is>
      </c>
      <c r="C806" s="5" t="inlineStr">
        <is>
          <t>REVUP ENTERPRISES LLC</t>
        </is>
      </c>
      <c r="D806" s="5" t="inlineStr">
        <is>
          <t>Closed</t>
        </is>
      </c>
      <c r="E806" s="16" t="n">
        <v>46133</v>
      </c>
      <c r="F806" s="16" t="n">
        <v>46177</v>
      </c>
      <c r="G806" s="17" t="n">
        <v>3</v>
      </c>
      <c r="H806" s="5" t="inlineStr">
        <is>
          <t>7538</t>
        </is>
      </c>
      <c r="I806" s="5" t="inlineStr">
        <is>
          <t>General Automotive Repair</t>
        </is>
      </c>
      <c r="J806" s="5" t="inlineStr">
        <is>
          <t>75</t>
        </is>
      </c>
      <c r="K806" s="5" t="n">
        <v>7538</v>
      </c>
      <c r="L806" s="5" t="inlineStr">
        <is>
          <t>TX</t>
        </is>
      </c>
      <c r="M806" s="5" t="inlineStr">
        <is>
          <t>PMF</t>
        </is>
      </c>
      <c r="N806" s="5" t="inlineStr">
        <is>
          <t>New Deal</t>
        </is>
      </c>
      <c r="O806" s="19" t="n">
        <v>1.49</v>
      </c>
      <c r="P806" s="20" t="n">
        <v>8500</v>
      </c>
      <c r="Q806" s="20" t="n">
        <v>1190</v>
      </c>
      <c r="R806" s="20" t="n">
        <v>12665</v>
      </c>
      <c r="S806" s="20" t="n">
        <v>12665</v>
      </c>
      <c r="T806" s="20" t="n">
        <v>0</v>
      </c>
      <c r="U806" s="21" t="n">
        <v>1</v>
      </c>
      <c r="V806" s="22" t="n">
        <v>1.311</v>
      </c>
      <c r="W806" s="17" t="n">
        <v>76</v>
      </c>
      <c r="X806" s="17" t="n">
        <v>0</v>
      </c>
      <c r="Y806" s="20" t="n">
        <v>94553.25</v>
      </c>
      <c r="Z806" s="21" t="n">
        <v>0.0703</v>
      </c>
      <c r="AA806" s="16" t="n">
        <v>45465</v>
      </c>
      <c r="AB806" s="5">
        <f>IF(V806="","",IF(V806&lt;12,"Months","Weeks"))</f>
        <v/>
      </c>
      <c r="AC806" s="5">
        <f>IF(AB806="","",IF(AB806="Months","Daily","Weekly"))</f>
        <v/>
      </c>
      <c r="AD806" s="17">
        <f>IF(V806="","",IF(AC806="Daily",V806*Controls!$B$13,V806))</f>
        <v/>
      </c>
      <c r="AE806" s="17">
        <f>IF(V806="","",IF(AC806="Daily",V806*Controls!$B$13,V806*Controls!$B$12))</f>
        <v/>
      </c>
      <c r="AF806" s="17">
        <f>IF(OR(E806="",F806=""),"",F806-E806)</f>
        <v/>
      </c>
      <c r="AG806" s="17">
        <f>IF(OR(E806="",F806=""),"",NETWORKDAYS(E806,F806,Ref!$F$4:$F$47))</f>
        <v/>
      </c>
      <c r="AH806" s="39">
        <f>IF(IFERROR(VLOOKUP(D806,Controls!$A$25:$D$35,2,FALSE()),"No")="Yes",1,0)</f>
        <v/>
      </c>
      <c r="AI806" s="39">
        <f>IF(IFERROR(VLOOKUP(D806,Controls!$A$25:$D$35,3,FALSE()),"No")="Yes",1,0)</f>
        <v/>
      </c>
      <c r="AJ806" s="39">
        <f>IF(IFERROR(VLOOKUP(D806,Controls!$A$25:$D$35,4,FALSE()),"No")="Yes",1,0)</f>
        <v/>
      </c>
      <c r="AK806" s="96">
        <f>IF(AND($E806&gt;=Controls!$B$5,$E806&lt;=Controls!$B$6,OR(Controls!$E$9&lt;&gt;"Y",$BE806=1)),1,0)</f>
        <v/>
      </c>
      <c r="AL806" s="39">
        <f>1</f>
        <v/>
      </c>
      <c r="AM806" s="20">
        <f>S806-P806</f>
        <v/>
      </c>
      <c r="AN806" s="20">
        <f>IF(AH806=1,MAX(0,P806-S806),0)</f>
        <v/>
      </c>
      <c r="AO806" s="21">
        <f>IFERROR(S806/P806,"")</f>
        <v/>
      </c>
      <c r="AP806" s="22">
        <f>IF(Y806="","",P806/Y806)</f>
        <v/>
      </c>
      <c r="AQ806" s="39">
        <f>IF(Y806="",0,1)</f>
        <v/>
      </c>
      <c r="AR806" s="39">
        <f>IF(S806&lt;=0,1,0)</f>
        <v/>
      </c>
      <c r="AS806" s="17">
        <f>IF(AH806=1,AG806,"")</f>
        <v/>
      </c>
      <c r="AT806" s="17">
        <f>IF(AND(AH806=0,AJ806=1),AG806,"")</f>
        <v/>
      </c>
      <c r="AU806" s="5">
        <f>IF(P806&lt;10000,"Under $10K",IF(P806&lt;20000,"$10-20K",IF(P806&lt;30000,"$20-30K",IF(P806&lt;50000,"$30-50K",IF(P806&lt;100000,"$50-100K","$100K+")))))</f>
        <v/>
      </c>
      <c r="AV806" s="5">
        <f>IF(O806&lt;=1.35,"1.35 and under",IF(O806&lt;=1.42,"1.36-1.42",IF(O806&lt;=1.45,"1.43-1.45",IF(O806&lt;1.49,"1.46-1.48",IF(O806&lt;=1.49,"1.49","Above 1.49")))))</f>
        <v/>
      </c>
      <c r="AW806" s="5">
        <f>IF(AE806="","",IF(AE806&lt;60,"Under 60",IF(AE806&lt;90,"60-89",IF(AE806&lt;120,"90-119",IF(AE806&lt;150,"120-149","150+")))))</f>
        <v/>
      </c>
      <c r="AX806" s="5">
        <f>IF(AP806="","No revenue data",IF(AP806&lt;0.15,"Under 0.15x",IF(AP806&lt;0.3,"0.15-0.30x",IF(AP806&lt;0.5,"0.30-0.50x",IF(AP806&lt;1,"0.50-1.00x","1.00x+")))))</f>
        <v/>
      </c>
      <c r="AY806" s="5">
        <f>IF(J806="","No SIC",IFERROR(VLOOKUP(J806,Ref!$A$4:$C$67,2,FALSE()),"Unclassified"))</f>
        <v/>
      </c>
      <c r="AZ806" s="5">
        <f>IF(E806="","",TEXT(E806,"YYYY")&amp;"-Q"&amp;ROUNDUP(MONTH(E806)/3,0))</f>
        <v/>
      </c>
      <c r="BA806" s="5">
        <f>IF(E806="","",TEXT(E806,"YYYY-MM"))</f>
        <v/>
      </c>
      <c r="BB806" s="5">
        <f>IF(E806="","",TEXT(E806,"YYYY"))</f>
        <v/>
      </c>
      <c r="BC806" s="92">
        <f>IF($E806="","",NETWORKDAYS($E806,Controls!$B$9,Ref!$F$4:$F$47))</f>
        <v/>
      </c>
      <c r="BD806" s="92">
        <f>IF(OR($AH806=1,$AJ806=1),1,0)</f>
        <v/>
      </c>
      <c r="BE806" s="95">
        <f>IF(OR($BD806=1,AND($AE806&lt;&gt;"",$BC806&gt;=Controls!$B$10*$AE806)),1,0)</f>
        <v/>
      </c>
    </row>
    <row r="807" ht="15.75" customHeight="1" s="79">
      <c r="A807" s="5" t="inlineStr">
        <is>
          <t>5674182179</t>
        </is>
      </c>
      <c r="B807" s="5" t="inlineStr">
        <is>
          <t>JIMMY IN THE HOUSE SERVICES LLC</t>
        </is>
      </c>
      <c r="C807" s="5" t="inlineStr">
        <is>
          <t>JIMMY IN THE HOUSE SERVICES LLC</t>
        </is>
      </c>
      <c r="D807" s="5" t="inlineStr">
        <is>
          <t>Open</t>
        </is>
      </c>
      <c r="E807" s="16" t="n">
        <v>46133</v>
      </c>
      <c r="F807" s="16" t="n">
        <v>46253</v>
      </c>
      <c r="G807" s="17" t="n">
        <v>3</v>
      </c>
      <c r="H807" s="5" t="inlineStr">
        <is>
          <t>7217</t>
        </is>
      </c>
      <c r="I807" s="5" t="inlineStr">
        <is>
          <t>Carpet and Upholstery Cleaning Services</t>
        </is>
      </c>
      <c r="J807" s="5" t="inlineStr">
        <is>
          <t>72</t>
        </is>
      </c>
      <c r="K807" s="5" t="n">
        <v>7217</v>
      </c>
      <c r="L807" s="5" t="inlineStr">
        <is>
          <t>KS</t>
        </is>
      </c>
      <c r="M807" s="5" t="inlineStr">
        <is>
          <t>level 3 funding</t>
        </is>
      </c>
      <c r="N807" s="5" t="inlineStr">
        <is>
          <t>Renewal</t>
        </is>
      </c>
      <c r="O807" s="19" t="n">
        <v>1.49</v>
      </c>
      <c r="P807" s="20" t="n">
        <v>7500</v>
      </c>
      <c r="Q807" s="20" t="n">
        <v>1050</v>
      </c>
      <c r="R807" s="20" t="n">
        <v>11175</v>
      </c>
      <c r="S807" s="20" t="n">
        <v>3677.81</v>
      </c>
      <c r="T807" s="20" t="n">
        <v>7497.19</v>
      </c>
      <c r="U807" s="21" t="n">
        <v>0.329110514541387</v>
      </c>
      <c r="V807" s="22" t="n">
        <v>4.098</v>
      </c>
      <c r="W807" s="17" t="n">
        <v>0</v>
      </c>
      <c r="X807" s="17" t="n">
        <v>48</v>
      </c>
      <c r="Y807" s="20" t="n">
        <v>34534.9</v>
      </c>
      <c r="Z807" s="21" t="n">
        <v>0.0444</v>
      </c>
      <c r="AA807" s="16" t="n">
        <v>44289</v>
      </c>
      <c r="AB807" s="5">
        <f>IF(V807="","",IF(V807&lt;12,"Months","Weeks"))</f>
        <v/>
      </c>
      <c r="AC807" s="5">
        <f>IF(AB807="","",IF(AB807="Months","Daily","Weekly"))</f>
        <v/>
      </c>
      <c r="AD807" s="17">
        <f>IF(V807="","",IF(AC807="Daily",V807*Controls!$B$13,V807))</f>
        <v/>
      </c>
      <c r="AE807" s="17">
        <f>IF(V807="","",IF(AC807="Daily",V807*Controls!$B$13,V807*Controls!$B$12))</f>
        <v/>
      </c>
      <c r="AF807" s="17">
        <f>IF(OR(E807="",F807=""),"",F807-E807)</f>
        <v/>
      </c>
      <c r="AG807" s="17">
        <f>IF(OR(E807="",F807=""),"",NETWORKDAYS(E807,F807,Ref!$F$4:$F$47))</f>
        <v/>
      </c>
      <c r="AH807" s="39">
        <f>IF(IFERROR(VLOOKUP(D807,Controls!$A$25:$D$35,2,FALSE()),"No")="Yes",1,0)</f>
        <v/>
      </c>
      <c r="AI807" s="39">
        <f>IF(IFERROR(VLOOKUP(D807,Controls!$A$25:$D$35,3,FALSE()),"No")="Yes",1,0)</f>
        <v/>
      </c>
      <c r="AJ807" s="39">
        <f>IF(IFERROR(VLOOKUP(D807,Controls!$A$25:$D$35,4,FALSE()),"No")="Yes",1,0)</f>
        <v/>
      </c>
      <c r="AK807" s="96">
        <f>IF(AND($E807&gt;=Controls!$B$5,$E807&lt;=Controls!$B$6,OR(Controls!$E$9&lt;&gt;"Y",$BE807=1)),1,0)</f>
        <v/>
      </c>
      <c r="AL807" s="39">
        <f>1</f>
        <v/>
      </c>
      <c r="AM807" s="20">
        <f>S807-P807</f>
        <v/>
      </c>
      <c r="AN807" s="20">
        <f>IF(AH807=1,MAX(0,P807-S807),0)</f>
        <v/>
      </c>
      <c r="AO807" s="21">
        <f>IFERROR(S807/P807,"")</f>
        <v/>
      </c>
      <c r="AP807" s="22">
        <f>IF(Y807="","",P807/Y807)</f>
        <v/>
      </c>
      <c r="AQ807" s="39">
        <f>IF(Y807="",0,1)</f>
        <v/>
      </c>
      <c r="AR807" s="39">
        <f>IF(S807&lt;=0,1,0)</f>
        <v/>
      </c>
      <c r="AS807" s="17">
        <f>IF(AH807=1,AG807,"")</f>
        <v/>
      </c>
      <c r="AT807" s="17">
        <f>IF(AND(AH807=0,AJ807=1),AG807,"")</f>
        <v/>
      </c>
      <c r="AU807" s="5">
        <f>IF(P807&lt;10000,"Under $10K",IF(P807&lt;20000,"$10-20K",IF(P807&lt;30000,"$20-30K",IF(P807&lt;50000,"$30-50K",IF(P807&lt;100000,"$50-100K","$100K+")))))</f>
        <v/>
      </c>
      <c r="AV807" s="5">
        <f>IF(O807&lt;=1.35,"1.35 and under",IF(O807&lt;=1.42,"1.36-1.42",IF(O807&lt;=1.45,"1.43-1.45",IF(O807&lt;1.49,"1.46-1.48",IF(O807&lt;=1.49,"1.49","Above 1.49")))))</f>
        <v/>
      </c>
      <c r="AW807" s="5">
        <f>IF(AE807="","",IF(AE807&lt;60,"Under 60",IF(AE807&lt;90,"60-89",IF(AE807&lt;120,"90-119",IF(AE807&lt;150,"120-149","150+")))))</f>
        <v/>
      </c>
      <c r="AX807" s="5">
        <f>IF(AP807="","No revenue data",IF(AP807&lt;0.15,"Under 0.15x",IF(AP807&lt;0.3,"0.15-0.30x",IF(AP807&lt;0.5,"0.30-0.50x",IF(AP807&lt;1,"0.50-1.00x","1.00x+")))))</f>
        <v/>
      </c>
      <c r="AY807" s="5">
        <f>IF(J807="","No SIC",IFERROR(VLOOKUP(J807,Ref!$A$4:$C$67,2,FALSE()),"Unclassified"))</f>
        <v/>
      </c>
      <c r="AZ807" s="5">
        <f>IF(E807="","",TEXT(E807,"YYYY")&amp;"-Q"&amp;ROUNDUP(MONTH(E807)/3,0))</f>
        <v/>
      </c>
      <c r="BA807" s="5">
        <f>IF(E807="","",TEXT(E807,"YYYY-MM"))</f>
        <v/>
      </c>
      <c r="BB807" s="5">
        <f>IF(E807="","",TEXT(E807,"YYYY"))</f>
        <v/>
      </c>
      <c r="BC807" s="92">
        <f>IF($E807="","",NETWORKDAYS($E807,Controls!$B$9,Ref!$F$4:$F$47))</f>
        <v/>
      </c>
      <c r="BD807" s="92">
        <f>IF(OR($AH807=1,$AJ807=1),1,0)</f>
        <v/>
      </c>
      <c r="BE807" s="95">
        <f>IF(OR($BD807=1,AND($AE807&lt;&gt;"",$BC807&gt;=Controls!$B$10*$AE807)),1,0)</f>
        <v/>
      </c>
    </row>
    <row r="808" ht="15.75" customHeight="1" s="79">
      <c r="A808" s="5" t="inlineStr">
        <is>
          <t>5674182193</t>
        </is>
      </c>
      <c r="B808" s="5" t="inlineStr">
        <is>
          <t>PARIKH LAW GROUP</t>
        </is>
      </c>
      <c r="C808" s="5" t="inlineStr">
        <is>
          <t>PARIKH LAW GROUP LLC</t>
        </is>
      </c>
      <c r="D808" s="5" t="inlineStr">
        <is>
          <t>Open</t>
        </is>
      </c>
      <c r="E808" s="16" t="n">
        <v>46133</v>
      </c>
      <c r="F808" s="16" t="n">
        <v>46253</v>
      </c>
      <c r="G808" s="17" t="n">
        <v>4</v>
      </c>
      <c r="H808" s="5" t="inlineStr">
        <is>
          <t>8111</t>
        </is>
      </c>
      <c r="I808" s="5" t="inlineStr">
        <is>
          <t>Offices of Lawyers</t>
        </is>
      </c>
      <c r="J808" s="5" t="inlineStr">
        <is>
          <t>81</t>
        </is>
      </c>
      <c r="K808" s="5" t="n">
        <v>8111</v>
      </c>
      <c r="L808" s="5" t="inlineStr">
        <is>
          <t>IL</t>
        </is>
      </c>
      <c r="M808" s="5" t="inlineStr">
        <is>
          <t>Westwood</t>
        </is>
      </c>
      <c r="N808" s="5" t="inlineStr">
        <is>
          <t>Renewal</t>
        </is>
      </c>
      <c r="O808" s="19" t="n">
        <v>1.49</v>
      </c>
      <c r="P808" s="20" t="n">
        <v>210000</v>
      </c>
      <c r="Q808" s="20" t="n">
        <v>31500</v>
      </c>
      <c r="R808" s="20" t="n">
        <v>312900</v>
      </c>
      <c r="S808" s="20" t="n">
        <v>98912.60000000001</v>
      </c>
      <c r="T808" s="20" t="n">
        <v>213987.4</v>
      </c>
      <c r="U808" s="21" t="n">
        <v>0.31611569191435</v>
      </c>
      <c r="V808" s="22" t="n">
        <v>3.77</v>
      </c>
      <c r="W808" s="17" t="n">
        <v>0</v>
      </c>
      <c r="X808" s="17" t="n">
        <v>39</v>
      </c>
      <c r="Y808" s="20" t="n">
        <v>215089.84</v>
      </c>
      <c r="Z808" s="21" t="n">
        <v>0.2148</v>
      </c>
      <c r="AA808" s="16" t="n">
        <v>40198</v>
      </c>
      <c r="AB808" s="5">
        <f>IF(V808="","",IF(V808&lt;12,"Months","Weeks"))</f>
        <v/>
      </c>
      <c r="AC808" s="5">
        <f>IF(AB808="","",IF(AB808="Months","Daily","Weekly"))</f>
        <v/>
      </c>
      <c r="AD808" s="17">
        <f>IF(V808="","",IF(AC808="Daily",V808*Controls!$B$13,V808))</f>
        <v/>
      </c>
      <c r="AE808" s="17">
        <f>IF(V808="","",IF(AC808="Daily",V808*Controls!$B$13,V808*Controls!$B$12))</f>
        <v/>
      </c>
      <c r="AF808" s="17">
        <f>IF(OR(E808="",F808=""),"",F808-E808)</f>
        <v/>
      </c>
      <c r="AG808" s="17">
        <f>IF(OR(E808="",F808=""),"",NETWORKDAYS(E808,F808,Ref!$F$4:$F$47))</f>
        <v/>
      </c>
      <c r="AH808" s="39">
        <f>IF(IFERROR(VLOOKUP(D808,Controls!$A$25:$D$35,2,FALSE()),"No")="Yes",1,0)</f>
        <v/>
      </c>
      <c r="AI808" s="39">
        <f>IF(IFERROR(VLOOKUP(D808,Controls!$A$25:$D$35,3,FALSE()),"No")="Yes",1,0)</f>
        <v/>
      </c>
      <c r="AJ808" s="39">
        <f>IF(IFERROR(VLOOKUP(D808,Controls!$A$25:$D$35,4,FALSE()),"No")="Yes",1,0)</f>
        <v/>
      </c>
      <c r="AK808" s="96">
        <f>IF(AND($E808&gt;=Controls!$B$5,$E808&lt;=Controls!$B$6,OR(Controls!$E$9&lt;&gt;"Y",$BE808=1)),1,0)</f>
        <v/>
      </c>
      <c r="AL808" s="39">
        <f>1</f>
        <v/>
      </c>
      <c r="AM808" s="20">
        <f>S808-P808</f>
        <v/>
      </c>
      <c r="AN808" s="20">
        <f>IF(AH808=1,MAX(0,P808-S808),0)</f>
        <v/>
      </c>
      <c r="AO808" s="21">
        <f>IFERROR(S808/P808,"")</f>
        <v/>
      </c>
      <c r="AP808" s="22">
        <f>IF(Y808="","",P808/Y808)</f>
        <v/>
      </c>
      <c r="AQ808" s="39">
        <f>IF(Y808="",0,1)</f>
        <v/>
      </c>
      <c r="AR808" s="39">
        <f>IF(S808&lt;=0,1,0)</f>
        <v/>
      </c>
      <c r="AS808" s="17">
        <f>IF(AH808=1,AG808,"")</f>
        <v/>
      </c>
      <c r="AT808" s="17">
        <f>IF(AND(AH808=0,AJ808=1),AG808,"")</f>
        <v/>
      </c>
      <c r="AU808" s="5">
        <f>IF(P808&lt;10000,"Under $10K",IF(P808&lt;20000,"$10-20K",IF(P808&lt;30000,"$20-30K",IF(P808&lt;50000,"$30-50K",IF(P808&lt;100000,"$50-100K","$100K+")))))</f>
        <v/>
      </c>
      <c r="AV808" s="5">
        <f>IF(O808&lt;=1.35,"1.35 and under",IF(O808&lt;=1.42,"1.36-1.42",IF(O808&lt;=1.45,"1.43-1.45",IF(O808&lt;1.49,"1.46-1.48",IF(O808&lt;=1.49,"1.49","Above 1.49")))))</f>
        <v/>
      </c>
      <c r="AW808" s="5">
        <f>IF(AE808="","",IF(AE808&lt;60,"Under 60",IF(AE808&lt;90,"60-89",IF(AE808&lt;120,"90-119",IF(AE808&lt;150,"120-149","150+")))))</f>
        <v/>
      </c>
      <c r="AX808" s="5">
        <f>IF(AP808="","No revenue data",IF(AP808&lt;0.15,"Under 0.15x",IF(AP808&lt;0.3,"0.15-0.30x",IF(AP808&lt;0.5,"0.30-0.50x",IF(AP808&lt;1,"0.50-1.00x","1.00x+")))))</f>
        <v/>
      </c>
      <c r="AY808" s="5">
        <f>IF(J808="","No SIC",IFERROR(VLOOKUP(J808,Ref!$A$4:$C$67,2,FALSE()),"Unclassified"))</f>
        <v/>
      </c>
      <c r="AZ808" s="5">
        <f>IF(E808="","",TEXT(E808,"YYYY")&amp;"-Q"&amp;ROUNDUP(MONTH(E808)/3,0))</f>
        <v/>
      </c>
      <c r="BA808" s="5">
        <f>IF(E808="","",TEXT(E808,"YYYY-MM"))</f>
        <v/>
      </c>
      <c r="BB808" s="5">
        <f>IF(E808="","",TEXT(E808,"YYYY"))</f>
        <v/>
      </c>
      <c r="BC808" s="92">
        <f>IF($E808="","",NETWORKDAYS($E808,Controls!$B$9,Ref!$F$4:$F$47))</f>
        <v/>
      </c>
      <c r="BD808" s="92">
        <f>IF(OR($AH808=1,$AJ808=1),1,0)</f>
        <v/>
      </c>
      <c r="BE808" s="95">
        <f>IF(OR($BD808=1,AND($AE808&lt;&gt;"",$BC808&gt;=Controls!$B$10*$AE808)),1,0)</f>
        <v/>
      </c>
    </row>
    <row r="809" ht="15.75" customHeight="1" s="79">
      <c r="A809" s="5" t="inlineStr">
        <is>
          <t>5674182197</t>
        </is>
      </c>
      <c r="B809" s="5" t="inlineStr">
        <is>
          <t>Brass Kisses</t>
        </is>
      </c>
      <c r="C809" s="5" t="inlineStr">
        <is>
          <t>Douglas Alan, LLC</t>
        </is>
      </c>
      <c r="D809" s="5" t="inlineStr">
        <is>
          <t>Open</t>
        </is>
      </c>
      <c r="E809" s="16" t="n">
        <v>46133</v>
      </c>
      <c r="F809" s="16" t="n">
        <v>46211</v>
      </c>
      <c r="G809" s="17" t="n">
        <v>3</v>
      </c>
      <c r="H809" s="5" t="inlineStr">
        <is>
          <t>5999</t>
        </is>
      </c>
      <c r="I809" s="5" t="inlineStr">
        <is>
          <t>All Other Health and Personal Care Stores</t>
        </is>
      </c>
      <c r="J809" s="5" t="inlineStr">
        <is>
          <t>59</t>
        </is>
      </c>
      <c r="K809" s="5" t="n">
        <v>5999</v>
      </c>
      <c r="L809" s="5" t="inlineStr">
        <is>
          <t>UT</t>
        </is>
      </c>
      <c r="M809" s="5" t="inlineStr">
        <is>
          <t>United Secured Capital 8</t>
        </is>
      </c>
      <c r="N809" s="5" t="inlineStr">
        <is>
          <t>New Deal</t>
        </is>
      </c>
      <c r="O809" s="19" t="n">
        <v>1.49</v>
      </c>
      <c r="P809" s="20" t="n">
        <v>25000</v>
      </c>
      <c r="Q809" s="20" t="n">
        <v>3500</v>
      </c>
      <c r="R809" s="20" t="n">
        <v>37250</v>
      </c>
      <c r="S809" s="20" t="n">
        <v>12672.14</v>
      </c>
      <c r="T809" s="20" t="n">
        <v>24577.86</v>
      </c>
      <c r="U809" s="21" t="n">
        <v>0.340191677852349</v>
      </c>
      <c r="V809" s="22" t="n">
        <v>3.279</v>
      </c>
      <c r="W809" s="17" t="n">
        <v>42</v>
      </c>
      <c r="X809" s="17" t="n">
        <v>15</v>
      </c>
      <c r="Y809" s="20" t="n">
        <v>148238.19</v>
      </c>
      <c r="Z809" s="21" t="n">
        <v>0.0528</v>
      </c>
      <c r="AA809" s="16" t="n">
        <v>44063</v>
      </c>
      <c r="AB809" s="5">
        <f>IF(V809="","",IF(V809&lt;12,"Months","Weeks"))</f>
        <v/>
      </c>
      <c r="AC809" s="5">
        <f>IF(AB809="","",IF(AB809="Months","Daily","Weekly"))</f>
        <v/>
      </c>
      <c r="AD809" s="17">
        <f>IF(V809="","",IF(AC809="Daily",V809*Controls!$B$13,V809))</f>
        <v/>
      </c>
      <c r="AE809" s="17">
        <f>IF(V809="","",IF(AC809="Daily",V809*Controls!$B$13,V809*Controls!$B$12))</f>
        <v/>
      </c>
      <c r="AF809" s="17">
        <f>IF(OR(E809="",F809=""),"",F809-E809)</f>
        <v/>
      </c>
      <c r="AG809" s="17">
        <f>IF(OR(E809="",F809=""),"",NETWORKDAYS(E809,F809,Ref!$F$4:$F$47))</f>
        <v/>
      </c>
      <c r="AH809" s="39">
        <f>IF(IFERROR(VLOOKUP(D809,Controls!$A$25:$D$35,2,FALSE()),"No")="Yes",1,0)</f>
        <v/>
      </c>
      <c r="AI809" s="39">
        <f>IF(IFERROR(VLOOKUP(D809,Controls!$A$25:$D$35,3,FALSE()),"No")="Yes",1,0)</f>
        <v/>
      </c>
      <c r="AJ809" s="39">
        <f>IF(IFERROR(VLOOKUP(D809,Controls!$A$25:$D$35,4,FALSE()),"No")="Yes",1,0)</f>
        <v/>
      </c>
      <c r="AK809" s="96">
        <f>IF(AND($E809&gt;=Controls!$B$5,$E809&lt;=Controls!$B$6,OR(Controls!$E$9&lt;&gt;"Y",$BE809=1)),1,0)</f>
        <v/>
      </c>
      <c r="AL809" s="39">
        <f>1</f>
        <v/>
      </c>
      <c r="AM809" s="20">
        <f>S809-P809</f>
        <v/>
      </c>
      <c r="AN809" s="20">
        <f>IF(AH809=1,MAX(0,P809-S809),0)</f>
        <v/>
      </c>
      <c r="AO809" s="21">
        <f>IFERROR(S809/P809,"")</f>
        <v/>
      </c>
      <c r="AP809" s="22">
        <f>IF(Y809="","",P809/Y809)</f>
        <v/>
      </c>
      <c r="AQ809" s="39">
        <f>IF(Y809="",0,1)</f>
        <v/>
      </c>
      <c r="AR809" s="39">
        <f>IF(S809&lt;=0,1,0)</f>
        <v/>
      </c>
      <c r="AS809" s="17">
        <f>IF(AH809=1,AG809,"")</f>
        <v/>
      </c>
      <c r="AT809" s="17">
        <f>IF(AND(AH809=0,AJ809=1),AG809,"")</f>
        <v/>
      </c>
      <c r="AU809" s="5">
        <f>IF(P809&lt;10000,"Under $10K",IF(P809&lt;20000,"$10-20K",IF(P809&lt;30000,"$20-30K",IF(P809&lt;50000,"$30-50K",IF(P809&lt;100000,"$50-100K","$100K+")))))</f>
        <v/>
      </c>
      <c r="AV809" s="5">
        <f>IF(O809&lt;=1.35,"1.35 and under",IF(O809&lt;=1.42,"1.36-1.42",IF(O809&lt;=1.45,"1.43-1.45",IF(O809&lt;1.49,"1.46-1.48",IF(O809&lt;=1.49,"1.49","Above 1.49")))))</f>
        <v/>
      </c>
      <c r="AW809" s="5">
        <f>IF(AE809="","",IF(AE809&lt;60,"Under 60",IF(AE809&lt;90,"60-89",IF(AE809&lt;120,"90-119",IF(AE809&lt;150,"120-149","150+")))))</f>
        <v/>
      </c>
      <c r="AX809" s="5">
        <f>IF(AP809="","No revenue data",IF(AP809&lt;0.15,"Under 0.15x",IF(AP809&lt;0.3,"0.15-0.30x",IF(AP809&lt;0.5,"0.30-0.50x",IF(AP809&lt;1,"0.50-1.00x","1.00x+")))))</f>
        <v/>
      </c>
      <c r="AY809" s="5">
        <f>IF(J809="","No SIC",IFERROR(VLOOKUP(J809,Ref!$A$4:$C$67,2,FALSE()),"Unclassified"))</f>
        <v/>
      </c>
      <c r="AZ809" s="5">
        <f>IF(E809="","",TEXT(E809,"YYYY")&amp;"-Q"&amp;ROUNDUP(MONTH(E809)/3,0))</f>
        <v/>
      </c>
      <c r="BA809" s="5">
        <f>IF(E809="","",TEXT(E809,"YYYY-MM"))</f>
        <v/>
      </c>
      <c r="BB809" s="5">
        <f>IF(E809="","",TEXT(E809,"YYYY"))</f>
        <v/>
      </c>
      <c r="BC809" s="92">
        <f>IF($E809="","",NETWORKDAYS($E809,Controls!$B$9,Ref!$F$4:$F$47))</f>
        <v/>
      </c>
      <c r="BD809" s="92">
        <f>IF(OR($AH809=1,$AJ809=1),1,0)</f>
        <v/>
      </c>
      <c r="BE809" s="95">
        <f>IF(OR($BD809=1,AND($AE809&lt;&gt;"",$BC809&gt;=Controls!$B$10*$AE809)),1,0)</f>
        <v/>
      </c>
    </row>
    <row r="810" ht="15.75" customHeight="1" s="79">
      <c r="A810" s="5" t="inlineStr">
        <is>
          <t>5674182220</t>
        </is>
      </c>
      <c r="B810" s="5" t="inlineStr">
        <is>
          <t>Design Mix Solutions</t>
        </is>
      </c>
      <c r="C810" s="5" t="inlineStr">
        <is>
          <t>Design Mix Solutions</t>
        </is>
      </c>
      <c r="D810" s="5" t="inlineStr">
        <is>
          <t>In House Collection</t>
        </is>
      </c>
      <c r="E810" s="16" t="n">
        <v>46134</v>
      </c>
      <c r="F810" s="16" t="n">
        <v>46241</v>
      </c>
      <c r="G810" s="17" t="n">
        <v>3</v>
      </c>
      <c r="H810" s="5" t="inlineStr">
        <is>
          <t>5039</t>
        </is>
      </c>
      <c r="I810" s="5" t="inlineStr">
        <is>
          <t>Lumber, Plywood, Millwork, and Wood Panel Merchant Wholesalers</t>
        </is>
      </c>
      <c r="J810" s="5" t="inlineStr">
        <is>
          <t>50</t>
        </is>
      </c>
      <c r="K810" s="5" t="n">
        <v>5039</v>
      </c>
      <c r="L810" s="5" t="inlineStr">
        <is>
          <t>FL</t>
        </is>
      </c>
      <c r="M810" s="5" t="inlineStr">
        <is>
          <t>TRUSTFI</t>
        </is>
      </c>
      <c r="N810" s="5" t="inlineStr">
        <is>
          <t>New Deal</t>
        </is>
      </c>
      <c r="O810" s="19" t="n">
        <v>1.49</v>
      </c>
      <c r="P810" s="20" t="n">
        <v>20000</v>
      </c>
      <c r="Q810" s="20" t="n">
        <v>2800</v>
      </c>
      <c r="R810" s="20" t="n">
        <v>29800</v>
      </c>
      <c r="S810" s="20" t="n">
        <v>17383.1</v>
      </c>
      <c r="T810" s="20" t="n">
        <v>12416.9</v>
      </c>
      <c r="U810" s="21" t="n">
        <v>0.583325503355705</v>
      </c>
      <c r="V810" s="22" t="n">
        <v>24</v>
      </c>
      <c r="W810" s="17" t="n">
        <v>19</v>
      </c>
      <c r="X810" s="17" t="n">
        <v>2</v>
      </c>
      <c r="Y810" s="20" t="n">
        <v>29829.51</v>
      </c>
      <c r="Z810" s="21" t="n">
        <v>0.1665</v>
      </c>
      <c r="AA810" s="16" t="n">
        <v>44583</v>
      </c>
      <c r="AB810" s="5">
        <f>IF(V810="","",IF(V810&lt;12,"Months","Weeks"))</f>
        <v/>
      </c>
      <c r="AC810" s="5">
        <f>IF(AB810="","",IF(AB810="Months","Daily","Weekly"))</f>
        <v/>
      </c>
      <c r="AD810" s="17">
        <f>IF(V810="","",IF(AC810="Daily",V810*Controls!$B$13,V810))</f>
        <v/>
      </c>
      <c r="AE810" s="17">
        <f>IF(V810="","",IF(AC810="Daily",V810*Controls!$B$13,V810*Controls!$B$12))</f>
        <v/>
      </c>
      <c r="AF810" s="17">
        <f>IF(OR(E810="",F810=""),"",F810-E810)</f>
        <v/>
      </c>
      <c r="AG810" s="17">
        <f>IF(OR(E810="",F810=""),"",NETWORKDAYS(E810,F810,Ref!$F$4:$F$47))</f>
        <v/>
      </c>
      <c r="AH810" s="39">
        <f>IF(IFERROR(VLOOKUP(D810,Controls!$A$25:$D$35,2,FALSE()),"No")="Yes",1,0)</f>
        <v/>
      </c>
      <c r="AI810" s="39">
        <f>IF(IFERROR(VLOOKUP(D810,Controls!$A$25:$D$35,3,FALSE()),"No")="Yes",1,0)</f>
        <v/>
      </c>
      <c r="AJ810" s="39">
        <f>IF(IFERROR(VLOOKUP(D810,Controls!$A$25:$D$35,4,FALSE()),"No")="Yes",1,0)</f>
        <v/>
      </c>
      <c r="AK810" s="96">
        <f>IF(AND($E810&gt;=Controls!$B$5,$E810&lt;=Controls!$B$6,OR(Controls!$E$9&lt;&gt;"Y",$BE810=1)),1,0)</f>
        <v/>
      </c>
      <c r="AL810" s="39">
        <f>1</f>
        <v/>
      </c>
      <c r="AM810" s="20">
        <f>S810-P810</f>
        <v/>
      </c>
      <c r="AN810" s="20">
        <f>IF(AH810=1,MAX(0,P810-S810),0)</f>
        <v/>
      </c>
      <c r="AO810" s="21">
        <f>IFERROR(S810/P810,"")</f>
        <v/>
      </c>
      <c r="AP810" s="22">
        <f>IF(Y810="","",P810/Y810)</f>
        <v/>
      </c>
      <c r="AQ810" s="39">
        <f>IF(Y810="",0,1)</f>
        <v/>
      </c>
      <c r="AR810" s="39">
        <f>IF(S810&lt;=0,1,0)</f>
        <v/>
      </c>
      <c r="AS810" s="17">
        <f>IF(AH810=1,AG810,"")</f>
        <v/>
      </c>
      <c r="AT810" s="17">
        <f>IF(AND(AH810=0,AJ810=1),AG810,"")</f>
        <v/>
      </c>
      <c r="AU810" s="5">
        <f>IF(P810&lt;10000,"Under $10K",IF(P810&lt;20000,"$10-20K",IF(P810&lt;30000,"$20-30K",IF(P810&lt;50000,"$30-50K",IF(P810&lt;100000,"$50-100K","$100K+")))))</f>
        <v/>
      </c>
      <c r="AV810" s="5">
        <f>IF(O810&lt;=1.35,"1.35 and under",IF(O810&lt;=1.42,"1.36-1.42",IF(O810&lt;=1.45,"1.43-1.45",IF(O810&lt;1.49,"1.46-1.48",IF(O810&lt;=1.49,"1.49","Above 1.49")))))</f>
        <v/>
      </c>
      <c r="AW810" s="5">
        <f>IF(AE810="","",IF(AE810&lt;60,"Under 60",IF(AE810&lt;90,"60-89",IF(AE810&lt;120,"90-119",IF(AE810&lt;150,"120-149","150+")))))</f>
        <v/>
      </c>
      <c r="AX810" s="5">
        <f>IF(AP810="","No revenue data",IF(AP810&lt;0.15,"Under 0.15x",IF(AP810&lt;0.3,"0.15-0.30x",IF(AP810&lt;0.5,"0.30-0.50x",IF(AP810&lt;1,"0.50-1.00x","1.00x+")))))</f>
        <v/>
      </c>
      <c r="AY810" s="5">
        <f>IF(J810="","No SIC",IFERROR(VLOOKUP(J810,Ref!$A$4:$C$67,2,FALSE()),"Unclassified"))</f>
        <v/>
      </c>
      <c r="AZ810" s="5">
        <f>IF(E810="","",TEXT(E810,"YYYY")&amp;"-Q"&amp;ROUNDUP(MONTH(E810)/3,0))</f>
        <v/>
      </c>
      <c r="BA810" s="5">
        <f>IF(E810="","",TEXT(E810,"YYYY-MM"))</f>
        <v/>
      </c>
      <c r="BB810" s="5">
        <f>IF(E810="","",TEXT(E810,"YYYY"))</f>
        <v/>
      </c>
      <c r="BC810" s="92">
        <f>IF($E810="","",NETWORKDAYS($E810,Controls!$B$9,Ref!$F$4:$F$47))</f>
        <v/>
      </c>
      <c r="BD810" s="92">
        <f>IF(OR($AH810=1,$AJ810=1),1,0)</f>
        <v/>
      </c>
      <c r="BE810" s="95">
        <f>IF(OR($BD810=1,AND($AE810&lt;&gt;"",$BC810&gt;=Controls!$B$10*$AE810)),1,0)</f>
        <v/>
      </c>
    </row>
    <row r="811" ht="15.75" customHeight="1" s="79">
      <c r="A811" s="5" t="inlineStr">
        <is>
          <t>5674182236</t>
        </is>
      </c>
      <c r="B811" s="5" t="inlineStr">
        <is>
          <t>FIRST STEPS PEDIATRICS, BRUCE R. LANTRY, MD</t>
        </is>
      </c>
      <c r="C811" s="5" t="inlineStr">
        <is>
          <t>First Steps Pediatrics PLLC</t>
        </is>
      </c>
      <c r="D811" s="5" t="inlineStr">
        <is>
          <t>Open</t>
        </is>
      </c>
      <c r="E811" s="16" t="n">
        <v>46134</v>
      </c>
      <c r="F811" s="16" t="n">
        <v>46251</v>
      </c>
      <c r="G811" s="17" t="n">
        <v>4</v>
      </c>
      <c r="H811" s="5" t="inlineStr">
        <is>
          <t>8011</t>
        </is>
      </c>
      <c r="I811" s="5" t="inlineStr">
        <is>
          <t>Freestanding Ambulatory Surgical and Emergency Centers</t>
        </is>
      </c>
      <c r="J811" s="5" t="inlineStr">
        <is>
          <t>80</t>
        </is>
      </c>
      <c r="K811" s="5" t="n">
        <v>8011</v>
      </c>
      <c r="L811" s="5" t="inlineStr">
        <is>
          <t>TX</t>
        </is>
      </c>
      <c r="M811" s="5" t="inlineStr">
        <is>
          <t>Vanguard Equities</t>
        </is>
      </c>
      <c r="N811" s="5" t="inlineStr">
        <is>
          <t>New Deal</t>
        </is>
      </c>
      <c r="O811" s="19" t="n">
        <v>1.49</v>
      </c>
      <c r="P811" s="20" t="n">
        <v>15000</v>
      </c>
      <c r="Q811" s="20" t="n">
        <v>2100</v>
      </c>
      <c r="R811" s="20" t="n">
        <v>22350</v>
      </c>
      <c r="S811" s="20" t="n">
        <v>13966.35</v>
      </c>
      <c r="T811" s="20" t="n">
        <v>8383.65</v>
      </c>
      <c r="U811" s="21" t="n">
        <v>0.624892617449664</v>
      </c>
      <c r="V811" s="22" t="n">
        <v>24</v>
      </c>
      <c r="W811" s="17" t="n">
        <v>2</v>
      </c>
      <c r="X811" s="17" t="n">
        <v>2</v>
      </c>
      <c r="Y811" s="20" t="n">
        <v>26621.57</v>
      </c>
      <c r="Z811" s="21" t="n">
        <v>0.1399</v>
      </c>
      <c r="AA811" s="16" t="n">
        <v>36100</v>
      </c>
      <c r="AB811" s="5">
        <f>IF(V811="","",IF(V811&lt;12,"Months","Weeks"))</f>
        <v/>
      </c>
      <c r="AC811" s="5">
        <f>IF(AB811="","",IF(AB811="Months","Daily","Weekly"))</f>
        <v/>
      </c>
      <c r="AD811" s="17">
        <f>IF(V811="","",IF(AC811="Daily",V811*Controls!$B$13,V811))</f>
        <v/>
      </c>
      <c r="AE811" s="17">
        <f>IF(V811="","",IF(AC811="Daily",V811*Controls!$B$13,V811*Controls!$B$12))</f>
        <v/>
      </c>
      <c r="AF811" s="17">
        <f>IF(OR(E811="",F811=""),"",F811-E811)</f>
        <v/>
      </c>
      <c r="AG811" s="17">
        <f>IF(OR(E811="",F811=""),"",NETWORKDAYS(E811,F811,Ref!$F$4:$F$47))</f>
        <v/>
      </c>
      <c r="AH811" s="39">
        <f>IF(IFERROR(VLOOKUP(D811,Controls!$A$25:$D$35,2,FALSE()),"No")="Yes",1,0)</f>
        <v/>
      </c>
      <c r="AI811" s="39">
        <f>IF(IFERROR(VLOOKUP(D811,Controls!$A$25:$D$35,3,FALSE()),"No")="Yes",1,0)</f>
        <v/>
      </c>
      <c r="AJ811" s="39">
        <f>IF(IFERROR(VLOOKUP(D811,Controls!$A$25:$D$35,4,FALSE()),"No")="Yes",1,0)</f>
        <v/>
      </c>
      <c r="AK811" s="96">
        <f>IF(AND($E811&gt;=Controls!$B$5,$E811&lt;=Controls!$B$6,OR(Controls!$E$9&lt;&gt;"Y",$BE811=1)),1,0)</f>
        <v/>
      </c>
      <c r="AL811" s="39">
        <f>1</f>
        <v/>
      </c>
      <c r="AM811" s="20">
        <f>S811-P811</f>
        <v/>
      </c>
      <c r="AN811" s="20">
        <f>IF(AH811=1,MAX(0,P811-S811),0)</f>
        <v/>
      </c>
      <c r="AO811" s="21">
        <f>IFERROR(S811/P811,"")</f>
        <v/>
      </c>
      <c r="AP811" s="22">
        <f>IF(Y811="","",P811/Y811)</f>
        <v/>
      </c>
      <c r="AQ811" s="39">
        <f>IF(Y811="",0,1)</f>
        <v/>
      </c>
      <c r="AR811" s="39">
        <f>IF(S811&lt;=0,1,0)</f>
        <v/>
      </c>
      <c r="AS811" s="17">
        <f>IF(AH811=1,AG811,"")</f>
        <v/>
      </c>
      <c r="AT811" s="17">
        <f>IF(AND(AH811=0,AJ811=1),AG811,"")</f>
        <v/>
      </c>
      <c r="AU811" s="5">
        <f>IF(P811&lt;10000,"Under $10K",IF(P811&lt;20000,"$10-20K",IF(P811&lt;30000,"$20-30K",IF(P811&lt;50000,"$30-50K",IF(P811&lt;100000,"$50-100K","$100K+")))))</f>
        <v/>
      </c>
      <c r="AV811" s="5">
        <f>IF(O811&lt;=1.35,"1.35 and under",IF(O811&lt;=1.42,"1.36-1.42",IF(O811&lt;=1.45,"1.43-1.45",IF(O811&lt;1.49,"1.46-1.48",IF(O811&lt;=1.49,"1.49","Above 1.49")))))</f>
        <v/>
      </c>
      <c r="AW811" s="5">
        <f>IF(AE811="","",IF(AE811&lt;60,"Under 60",IF(AE811&lt;90,"60-89",IF(AE811&lt;120,"90-119",IF(AE811&lt;150,"120-149","150+")))))</f>
        <v/>
      </c>
      <c r="AX811" s="5">
        <f>IF(AP811="","No revenue data",IF(AP811&lt;0.15,"Under 0.15x",IF(AP811&lt;0.3,"0.15-0.30x",IF(AP811&lt;0.5,"0.30-0.50x",IF(AP811&lt;1,"0.50-1.00x","1.00x+")))))</f>
        <v/>
      </c>
      <c r="AY811" s="5">
        <f>IF(J811="","No SIC",IFERROR(VLOOKUP(J811,Ref!$A$4:$C$67,2,FALSE()),"Unclassified"))</f>
        <v/>
      </c>
      <c r="AZ811" s="5">
        <f>IF(E811="","",TEXT(E811,"YYYY")&amp;"-Q"&amp;ROUNDUP(MONTH(E811)/3,0))</f>
        <v/>
      </c>
      <c r="BA811" s="5">
        <f>IF(E811="","",TEXT(E811,"YYYY-MM"))</f>
        <v/>
      </c>
      <c r="BB811" s="5">
        <f>IF(E811="","",TEXT(E811,"YYYY"))</f>
        <v/>
      </c>
      <c r="BC811" s="92">
        <f>IF($E811="","",NETWORKDAYS($E811,Controls!$B$9,Ref!$F$4:$F$47))</f>
        <v/>
      </c>
      <c r="BD811" s="92">
        <f>IF(OR($AH811=1,$AJ811=1),1,0)</f>
        <v/>
      </c>
      <c r="BE811" s="95">
        <f>IF(OR($BD811=1,AND($AE811&lt;&gt;"",$BC811&gt;=Controls!$B$10*$AE811)),1,0)</f>
        <v/>
      </c>
    </row>
    <row r="812" ht="15.75" customHeight="1" s="79">
      <c r="A812" s="5" t="inlineStr">
        <is>
          <t>5674182314</t>
        </is>
      </c>
      <c r="B812" s="5" t="inlineStr">
        <is>
          <t>LUKA CONTRACTING SERVICES LLC</t>
        </is>
      </c>
      <c r="C812" s="5" t="inlineStr">
        <is>
          <t>LUKA CONTRACTING SERVICES LLC</t>
        </is>
      </c>
      <c r="D812" s="5" t="inlineStr">
        <is>
          <t>Open</t>
        </is>
      </c>
      <c r="E812" s="16" t="n">
        <v>46135</v>
      </c>
      <c r="F812" s="16" t="n">
        <v>46253</v>
      </c>
      <c r="G812" s="17" t="n">
        <v>3</v>
      </c>
      <c r="H812" s="5" t="inlineStr">
        <is>
          <t>1521</t>
        </is>
      </c>
      <c r="I812" s="5" t="inlineStr">
        <is>
          <t>New Single-Family Housing Construction (Except For-Sale Builders)</t>
        </is>
      </c>
      <c r="J812" s="5" t="inlineStr">
        <is>
          <t>15</t>
        </is>
      </c>
      <c r="K812" s="5" t="n">
        <v>1520</v>
      </c>
      <c r="L812" s="5" t="inlineStr">
        <is>
          <t>NJ</t>
        </is>
      </c>
      <c r="M812" s="5" t="inlineStr">
        <is>
          <t>Lend Bull LLC</t>
        </is>
      </c>
      <c r="N812" s="5" t="inlineStr">
        <is>
          <t>New Deal</t>
        </is>
      </c>
      <c r="O812" s="19" t="n">
        <v>1.45</v>
      </c>
      <c r="P812" s="20" t="n">
        <v>30000</v>
      </c>
      <c r="Q812" s="20" t="n">
        <v>3600</v>
      </c>
      <c r="R812" s="20" t="n">
        <v>43500</v>
      </c>
      <c r="S812" s="20" t="n">
        <v>19919.35</v>
      </c>
      <c r="T812" s="20" t="n">
        <v>23580.65</v>
      </c>
      <c r="U812" s="21" t="n">
        <v>0.457916091954023</v>
      </c>
      <c r="V812" s="22" t="n">
        <v>3.934</v>
      </c>
      <c r="W812" s="17" t="n">
        <v>0</v>
      </c>
      <c r="X812" s="17" t="n">
        <v>27</v>
      </c>
      <c r="Y812" s="20" t="n">
        <v>139553.38</v>
      </c>
      <c r="Z812" s="21" t="n">
        <v>0.0545</v>
      </c>
      <c r="AA812" s="16" t="n">
        <v>45839</v>
      </c>
      <c r="AB812" s="5">
        <f>IF(V812="","",IF(V812&lt;12,"Months","Weeks"))</f>
        <v/>
      </c>
      <c r="AC812" s="5">
        <f>IF(AB812="","",IF(AB812="Months","Daily","Weekly"))</f>
        <v/>
      </c>
      <c r="AD812" s="17">
        <f>IF(V812="","",IF(AC812="Daily",V812*Controls!$B$13,V812))</f>
        <v/>
      </c>
      <c r="AE812" s="17">
        <f>IF(V812="","",IF(AC812="Daily",V812*Controls!$B$13,V812*Controls!$B$12))</f>
        <v/>
      </c>
      <c r="AF812" s="17">
        <f>IF(OR(E812="",F812=""),"",F812-E812)</f>
        <v/>
      </c>
      <c r="AG812" s="17">
        <f>IF(OR(E812="",F812=""),"",NETWORKDAYS(E812,F812,Ref!$F$4:$F$47))</f>
        <v/>
      </c>
      <c r="AH812" s="39">
        <f>IF(IFERROR(VLOOKUP(D812,Controls!$A$25:$D$35,2,FALSE()),"No")="Yes",1,0)</f>
        <v/>
      </c>
      <c r="AI812" s="39">
        <f>IF(IFERROR(VLOOKUP(D812,Controls!$A$25:$D$35,3,FALSE()),"No")="Yes",1,0)</f>
        <v/>
      </c>
      <c r="AJ812" s="39">
        <f>IF(IFERROR(VLOOKUP(D812,Controls!$A$25:$D$35,4,FALSE()),"No")="Yes",1,0)</f>
        <v/>
      </c>
      <c r="AK812" s="96">
        <f>IF(AND($E812&gt;=Controls!$B$5,$E812&lt;=Controls!$B$6,OR(Controls!$E$9&lt;&gt;"Y",$BE812=1)),1,0)</f>
        <v/>
      </c>
      <c r="AL812" s="39">
        <f>1</f>
        <v/>
      </c>
      <c r="AM812" s="20">
        <f>S812-P812</f>
        <v/>
      </c>
      <c r="AN812" s="20">
        <f>IF(AH812=1,MAX(0,P812-S812),0)</f>
        <v/>
      </c>
      <c r="AO812" s="21">
        <f>IFERROR(S812/P812,"")</f>
        <v/>
      </c>
      <c r="AP812" s="22">
        <f>IF(Y812="","",P812/Y812)</f>
        <v/>
      </c>
      <c r="AQ812" s="39">
        <f>IF(Y812="",0,1)</f>
        <v/>
      </c>
      <c r="AR812" s="39">
        <f>IF(S812&lt;=0,1,0)</f>
        <v/>
      </c>
      <c r="AS812" s="17">
        <f>IF(AH812=1,AG812,"")</f>
        <v/>
      </c>
      <c r="AT812" s="17">
        <f>IF(AND(AH812=0,AJ812=1),AG812,"")</f>
        <v/>
      </c>
      <c r="AU812" s="5">
        <f>IF(P812&lt;10000,"Under $10K",IF(P812&lt;20000,"$10-20K",IF(P812&lt;30000,"$20-30K",IF(P812&lt;50000,"$30-50K",IF(P812&lt;100000,"$50-100K","$100K+")))))</f>
        <v/>
      </c>
      <c r="AV812" s="5">
        <f>IF(O812&lt;=1.35,"1.35 and under",IF(O812&lt;=1.42,"1.36-1.42",IF(O812&lt;=1.45,"1.43-1.45",IF(O812&lt;1.49,"1.46-1.48",IF(O812&lt;=1.49,"1.49","Above 1.49")))))</f>
        <v/>
      </c>
      <c r="AW812" s="5">
        <f>IF(AE812="","",IF(AE812&lt;60,"Under 60",IF(AE812&lt;90,"60-89",IF(AE812&lt;120,"90-119",IF(AE812&lt;150,"120-149","150+")))))</f>
        <v/>
      </c>
      <c r="AX812" s="5">
        <f>IF(AP812="","No revenue data",IF(AP812&lt;0.15,"Under 0.15x",IF(AP812&lt;0.3,"0.15-0.30x",IF(AP812&lt;0.5,"0.30-0.50x",IF(AP812&lt;1,"0.50-1.00x","1.00x+")))))</f>
        <v/>
      </c>
      <c r="AY812" s="5">
        <f>IF(J812="","No SIC",IFERROR(VLOOKUP(J812,Ref!$A$4:$C$67,2,FALSE()),"Unclassified"))</f>
        <v/>
      </c>
      <c r="AZ812" s="5">
        <f>IF(E812="","",TEXT(E812,"YYYY")&amp;"-Q"&amp;ROUNDUP(MONTH(E812)/3,0))</f>
        <v/>
      </c>
      <c r="BA812" s="5">
        <f>IF(E812="","",TEXT(E812,"YYYY-MM"))</f>
        <v/>
      </c>
      <c r="BB812" s="5">
        <f>IF(E812="","",TEXT(E812,"YYYY"))</f>
        <v/>
      </c>
      <c r="BC812" s="92">
        <f>IF($E812="","",NETWORKDAYS($E812,Controls!$B$9,Ref!$F$4:$F$47))</f>
        <v/>
      </c>
      <c r="BD812" s="92">
        <f>IF(OR($AH812=1,$AJ812=1),1,0)</f>
        <v/>
      </c>
      <c r="BE812" s="95">
        <f>IF(OR($BD812=1,AND($AE812&lt;&gt;"",$BC812&gt;=Controls!$B$10*$AE812)),1,0)</f>
        <v/>
      </c>
    </row>
    <row r="813" ht="15.75" customHeight="1" s="79">
      <c r="A813" s="5" t="inlineStr">
        <is>
          <t>5674182328</t>
        </is>
      </c>
      <c r="B813" s="5" t="inlineStr">
        <is>
          <t>CORNUCOPIA FARMS LLC</t>
        </is>
      </c>
      <c r="C813" s="5" t="inlineStr">
        <is>
          <t>CORNUCOPIA FARMS LLC</t>
        </is>
      </c>
      <c r="D813" s="5" t="inlineStr">
        <is>
          <t>Open</t>
        </is>
      </c>
      <c r="E813" s="16" t="n">
        <v>46135</v>
      </c>
      <c r="F813" s="16" t="n">
        <v>46253</v>
      </c>
      <c r="G813" s="17" t="n">
        <v>3</v>
      </c>
      <c r="H813" s="5" t="inlineStr">
        <is>
          <t>5999</t>
        </is>
      </c>
      <c r="I813" s="5" t="inlineStr">
        <is>
          <t>All Other Health and Personal Care Stores</t>
        </is>
      </c>
      <c r="J813" s="5" t="inlineStr">
        <is>
          <t>59</t>
        </is>
      </c>
      <c r="K813" s="5" t="n">
        <v>5999</v>
      </c>
      <c r="L813" s="5" t="inlineStr">
        <is>
          <t>GA</t>
        </is>
      </c>
      <c r="M813" s="5" t="inlineStr">
        <is>
          <t>United Secured Capital 8</t>
        </is>
      </c>
      <c r="N813" s="5" t="inlineStr">
        <is>
          <t>Renewal</t>
        </is>
      </c>
      <c r="O813" s="19" t="n">
        <v>1.49</v>
      </c>
      <c r="P813" s="20" t="n">
        <v>40000</v>
      </c>
      <c r="Q813" s="20" t="n">
        <v>5600</v>
      </c>
      <c r="R813" s="20" t="n">
        <v>59600</v>
      </c>
      <c r="S813" s="20" t="n">
        <v>22084.92</v>
      </c>
      <c r="T813" s="20" t="n">
        <v>37515.08</v>
      </c>
      <c r="U813" s="21" t="n">
        <v>0.370552348993289</v>
      </c>
      <c r="V813" s="22" t="n">
        <v>4.262</v>
      </c>
      <c r="W813" s="17" t="n">
        <v>0</v>
      </c>
      <c r="X813" s="17" t="n">
        <v>33</v>
      </c>
      <c r="Y813" s="20" t="n">
        <v>94891.3</v>
      </c>
      <c r="Z813" s="21" t="n">
        <v>0.1234</v>
      </c>
      <c r="AA813" s="16" t="n">
        <v>45045</v>
      </c>
      <c r="AB813" s="5">
        <f>IF(V813="","",IF(V813&lt;12,"Months","Weeks"))</f>
        <v/>
      </c>
      <c r="AC813" s="5">
        <f>IF(AB813="","",IF(AB813="Months","Daily","Weekly"))</f>
        <v/>
      </c>
      <c r="AD813" s="17">
        <f>IF(V813="","",IF(AC813="Daily",V813*Controls!$B$13,V813))</f>
        <v/>
      </c>
      <c r="AE813" s="17">
        <f>IF(V813="","",IF(AC813="Daily",V813*Controls!$B$13,V813*Controls!$B$12))</f>
        <v/>
      </c>
      <c r="AF813" s="17">
        <f>IF(OR(E813="",F813=""),"",F813-E813)</f>
        <v/>
      </c>
      <c r="AG813" s="17">
        <f>IF(OR(E813="",F813=""),"",NETWORKDAYS(E813,F813,Ref!$F$4:$F$47))</f>
        <v/>
      </c>
      <c r="AH813" s="39">
        <f>IF(IFERROR(VLOOKUP(D813,Controls!$A$25:$D$35,2,FALSE()),"No")="Yes",1,0)</f>
        <v/>
      </c>
      <c r="AI813" s="39">
        <f>IF(IFERROR(VLOOKUP(D813,Controls!$A$25:$D$35,3,FALSE()),"No")="Yes",1,0)</f>
        <v/>
      </c>
      <c r="AJ813" s="39">
        <f>IF(IFERROR(VLOOKUP(D813,Controls!$A$25:$D$35,4,FALSE()),"No")="Yes",1,0)</f>
        <v/>
      </c>
      <c r="AK813" s="96">
        <f>IF(AND($E813&gt;=Controls!$B$5,$E813&lt;=Controls!$B$6,OR(Controls!$E$9&lt;&gt;"Y",$BE813=1)),1,0)</f>
        <v/>
      </c>
      <c r="AL813" s="39">
        <f>1</f>
        <v/>
      </c>
      <c r="AM813" s="20">
        <f>S813-P813</f>
        <v/>
      </c>
      <c r="AN813" s="20">
        <f>IF(AH813=1,MAX(0,P813-S813),0)</f>
        <v/>
      </c>
      <c r="AO813" s="21">
        <f>IFERROR(S813/P813,"")</f>
        <v/>
      </c>
      <c r="AP813" s="22">
        <f>IF(Y813="","",P813/Y813)</f>
        <v/>
      </c>
      <c r="AQ813" s="39">
        <f>IF(Y813="",0,1)</f>
        <v/>
      </c>
      <c r="AR813" s="39">
        <f>IF(S813&lt;=0,1,0)</f>
        <v/>
      </c>
      <c r="AS813" s="17">
        <f>IF(AH813=1,AG813,"")</f>
        <v/>
      </c>
      <c r="AT813" s="17">
        <f>IF(AND(AH813=0,AJ813=1),AG813,"")</f>
        <v/>
      </c>
      <c r="AU813" s="5">
        <f>IF(P813&lt;10000,"Under $10K",IF(P813&lt;20000,"$10-20K",IF(P813&lt;30000,"$20-30K",IF(P813&lt;50000,"$30-50K",IF(P813&lt;100000,"$50-100K","$100K+")))))</f>
        <v/>
      </c>
      <c r="AV813" s="5">
        <f>IF(O813&lt;=1.35,"1.35 and under",IF(O813&lt;=1.42,"1.36-1.42",IF(O813&lt;=1.45,"1.43-1.45",IF(O813&lt;1.49,"1.46-1.48",IF(O813&lt;=1.49,"1.49","Above 1.49")))))</f>
        <v/>
      </c>
      <c r="AW813" s="5">
        <f>IF(AE813="","",IF(AE813&lt;60,"Under 60",IF(AE813&lt;90,"60-89",IF(AE813&lt;120,"90-119",IF(AE813&lt;150,"120-149","150+")))))</f>
        <v/>
      </c>
      <c r="AX813" s="5">
        <f>IF(AP813="","No revenue data",IF(AP813&lt;0.15,"Under 0.15x",IF(AP813&lt;0.3,"0.15-0.30x",IF(AP813&lt;0.5,"0.30-0.50x",IF(AP813&lt;1,"0.50-1.00x","1.00x+")))))</f>
        <v/>
      </c>
      <c r="AY813" s="5">
        <f>IF(J813="","No SIC",IFERROR(VLOOKUP(J813,Ref!$A$4:$C$67,2,FALSE()),"Unclassified"))</f>
        <v/>
      </c>
      <c r="AZ813" s="5">
        <f>IF(E813="","",TEXT(E813,"YYYY")&amp;"-Q"&amp;ROUNDUP(MONTH(E813)/3,0))</f>
        <v/>
      </c>
      <c r="BA813" s="5">
        <f>IF(E813="","",TEXT(E813,"YYYY-MM"))</f>
        <v/>
      </c>
      <c r="BB813" s="5">
        <f>IF(E813="","",TEXT(E813,"YYYY"))</f>
        <v/>
      </c>
      <c r="BC813" s="92">
        <f>IF($E813="","",NETWORKDAYS($E813,Controls!$B$9,Ref!$F$4:$F$47))</f>
        <v/>
      </c>
      <c r="BD813" s="92">
        <f>IF(OR($AH813=1,$AJ813=1),1,0)</f>
        <v/>
      </c>
      <c r="BE813" s="95">
        <f>IF(OR($BD813=1,AND($AE813&lt;&gt;"",$BC813&gt;=Controls!$B$10*$AE813)),1,0)</f>
        <v/>
      </c>
    </row>
    <row r="814" ht="15.75" customHeight="1" s="79">
      <c r="A814" s="5" t="inlineStr">
        <is>
          <t>5674182355</t>
        </is>
      </c>
      <c r="B814" s="5" t="inlineStr">
        <is>
          <t>ApexCare</t>
        </is>
      </c>
      <c r="C814" s="5" t="inlineStr">
        <is>
          <t>ApexCare</t>
        </is>
      </c>
      <c r="D814" s="5" t="inlineStr">
        <is>
          <t>Legal</t>
        </is>
      </c>
      <c r="E814" s="16" t="n">
        <v>46135</v>
      </c>
      <c r="F814" s="16" t="n">
        <v>46150</v>
      </c>
      <c r="G814" s="17" t="n">
        <v>3</v>
      </c>
      <c r="H814" s="5" t="inlineStr">
        <is>
          <t>8011</t>
        </is>
      </c>
      <c r="I814" s="5" t="inlineStr">
        <is>
          <t>Freestanding Ambulatory Surgical and Emergency Centers</t>
        </is>
      </c>
      <c r="J814" s="5" t="inlineStr">
        <is>
          <t>80</t>
        </is>
      </c>
      <c r="K814" s="5" t="n">
        <v>8011</v>
      </c>
      <c r="L814" s="5" t="inlineStr">
        <is>
          <t>TX</t>
        </is>
      </c>
      <c r="M814" s="5" t="inlineStr">
        <is>
          <t>Platform Funding</t>
        </is>
      </c>
      <c r="N814" s="5" t="inlineStr">
        <is>
          <t>New Deal</t>
        </is>
      </c>
      <c r="O814" s="19" t="n">
        <v>1.45</v>
      </c>
      <c r="P814" s="20" t="n">
        <v>40000</v>
      </c>
      <c r="Q814" s="20" t="n">
        <v>4800</v>
      </c>
      <c r="R814" s="20" t="n">
        <v>58000</v>
      </c>
      <c r="S814" s="20" t="n">
        <v>2898.17</v>
      </c>
      <c r="T814" s="20" t="n">
        <v>55101.83</v>
      </c>
      <c r="U814" s="21" t="n">
        <v>0.0499684482758621</v>
      </c>
      <c r="V814" s="22" t="n">
        <v>20</v>
      </c>
      <c r="W814" s="17" t="n">
        <v>110</v>
      </c>
      <c r="X814" s="17" t="n">
        <v>1</v>
      </c>
      <c r="Y814" s="20" t="n">
        <v>167282.61</v>
      </c>
      <c r="Z814" s="21" t="n">
        <v>0.0693</v>
      </c>
      <c r="AA814" s="16" t="n">
        <v>43770</v>
      </c>
      <c r="AB814" s="5">
        <f>IF(V814="","",IF(V814&lt;12,"Months","Weeks"))</f>
        <v/>
      </c>
      <c r="AC814" s="5">
        <f>IF(AB814="","",IF(AB814="Months","Daily","Weekly"))</f>
        <v/>
      </c>
      <c r="AD814" s="17">
        <f>IF(V814="","",IF(AC814="Daily",V814*Controls!$B$13,V814))</f>
        <v/>
      </c>
      <c r="AE814" s="17">
        <f>IF(V814="","",IF(AC814="Daily",V814*Controls!$B$13,V814*Controls!$B$12))</f>
        <v/>
      </c>
      <c r="AF814" s="17">
        <f>IF(OR(E814="",F814=""),"",F814-E814)</f>
        <v/>
      </c>
      <c r="AG814" s="17">
        <f>IF(OR(E814="",F814=""),"",NETWORKDAYS(E814,F814,Ref!$F$4:$F$47))</f>
        <v/>
      </c>
      <c r="AH814" s="39">
        <f>IF(IFERROR(VLOOKUP(D814,Controls!$A$25:$D$35,2,FALSE()),"No")="Yes",1,0)</f>
        <v/>
      </c>
      <c r="AI814" s="39">
        <f>IF(IFERROR(VLOOKUP(D814,Controls!$A$25:$D$35,3,FALSE()),"No")="Yes",1,0)</f>
        <v/>
      </c>
      <c r="AJ814" s="39">
        <f>IF(IFERROR(VLOOKUP(D814,Controls!$A$25:$D$35,4,FALSE()),"No")="Yes",1,0)</f>
        <v/>
      </c>
      <c r="AK814" s="96">
        <f>IF(AND($E814&gt;=Controls!$B$5,$E814&lt;=Controls!$B$6,OR(Controls!$E$9&lt;&gt;"Y",$BE814=1)),1,0)</f>
        <v/>
      </c>
      <c r="AL814" s="39">
        <f>1</f>
        <v/>
      </c>
      <c r="AM814" s="20">
        <f>S814-P814</f>
        <v/>
      </c>
      <c r="AN814" s="20">
        <f>IF(AH814=1,MAX(0,P814-S814),0)</f>
        <v/>
      </c>
      <c r="AO814" s="21">
        <f>IFERROR(S814/P814,"")</f>
        <v/>
      </c>
      <c r="AP814" s="22">
        <f>IF(Y814="","",P814/Y814)</f>
        <v/>
      </c>
      <c r="AQ814" s="39">
        <f>IF(Y814="",0,1)</f>
        <v/>
      </c>
      <c r="AR814" s="39">
        <f>IF(S814&lt;=0,1,0)</f>
        <v/>
      </c>
      <c r="AS814" s="17">
        <f>IF(AH814=1,AG814,"")</f>
        <v/>
      </c>
      <c r="AT814" s="17">
        <f>IF(AND(AH814=0,AJ814=1),AG814,"")</f>
        <v/>
      </c>
      <c r="AU814" s="5">
        <f>IF(P814&lt;10000,"Under $10K",IF(P814&lt;20000,"$10-20K",IF(P814&lt;30000,"$20-30K",IF(P814&lt;50000,"$30-50K",IF(P814&lt;100000,"$50-100K","$100K+")))))</f>
        <v/>
      </c>
      <c r="AV814" s="5">
        <f>IF(O814&lt;=1.35,"1.35 and under",IF(O814&lt;=1.42,"1.36-1.42",IF(O814&lt;=1.45,"1.43-1.45",IF(O814&lt;1.49,"1.46-1.48",IF(O814&lt;=1.49,"1.49","Above 1.49")))))</f>
        <v/>
      </c>
      <c r="AW814" s="5">
        <f>IF(AE814="","",IF(AE814&lt;60,"Under 60",IF(AE814&lt;90,"60-89",IF(AE814&lt;120,"90-119",IF(AE814&lt;150,"120-149","150+")))))</f>
        <v/>
      </c>
      <c r="AX814" s="5">
        <f>IF(AP814="","No revenue data",IF(AP814&lt;0.15,"Under 0.15x",IF(AP814&lt;0.3,"0.15-0.30x",IF(AP814&lt;0.5,"0.30-0.50x",IF(AP814&lt;1,"0.50-1.00x","1.00x+")))))</f>
        <v/>
      </c>
      <c r="AY814" s="5">
        <f>IF(J814="","No SIC",IFERROR(VLOOKUP(J814,Ref!$A$4:$C$67,2,FALSE()),"Unclassified"))</f>
        <v/>
      </c>
      <c r="AZ814" s="5">
        <f>IF(E814="","",TEXT(E814,"YYYY")&amp;"-Q"&amp;ROUNDUP(MONTH(E814)/3,0))</f>
        <v/>
      </c>
      <c r="BA814" s="5">
        <f>IF(E814="","",TEXT(E814,"YYYY-MM"))</f>
        <v/>
      </c>
      <c r="BB814" s="5">
        <f>IF(E814="","",TEXT(E814,"YYYY"))</f>
        <v/>
      </c>
      <c r="BC814" s="92">
        <f>IF($E814="","",NETWORKDAYS($E814,Controls!$B$9,Ref!$F$4:$F$47))</f>
        <v/>
      </c>
      <c r="BD814" s="92">
        <f>IF(OR($AH814=1,$AJ814=1),1,0)</f>
        <v/>
      </c>
      <c r="BE814" s="95">
        <f>IF(OR($BD814=1,AND($AE814&lt;&gt;"",$BC814&gt;=Controls!$B$10*$AE814)),1,0)</f>
        <v/>
      </c>
    </row>
    <row r="815" ht="15.75" customHeight="1" s="79">
      <c r="A815" s="5" t="inlineStr">
        <is>
          <t>5674182358</t>
        </is>
      </c>
      <c r="B815" s="5" t="inlineStr">
        <is>
          <t>UPPLICATION LLC</t>
        </is>
      </c>
      <c r="C815" s="5" t="inlineStr">
        <is>
          <t>UPPLICATION LLC</t>
        </is>
      </c>
      <c r="D815" s="5" t="inlineStr">
        <is>
          <t>Open</t>
        </is>
      </c>
      <c r="E815" s="16" t="n">
        <v>46135</v>
      </c>
      <c r="F815" s="16" t="n">
        <v>46253</v>
      </c>
      <c r="G815" s="17" t="n">
        <v>3</v>
      </c>
      <c r="H815" s="5" t="inlineStr">
        <is>
          <t>7371</t>
        </is>
      </c>
      <c r="I815" s="5" t="inlineStr">
        <is>
          <t>Custom Computer Programming Services</t>
        </is>
      </c>
      <c r="J815" s="5" t="inlineStr">
        <is>
          <t>73</t>
        </is>
      </c>
      <c r="K815" s="5" t="n">
        <v>7372</v>
      </c>
      <c r="L815" s="5" t="inlineStr">
        <is>
          <t>FL</t>
        </is>
      </c>
      <c r="M815" s="5" t="inlineStr">
        <is>
          <t>Westwood</t>
        </is>
      </c>
      <c r="N815" s="5" t="inlineStr">
        <is>
          <t>New Deal</t>
        </is>
      </c>
      <c r="O815" s="19" t="n">
        <v>1.49</v>
      </c>
      <c r="P815" s="20" t="n">
        <v>15000</v>
      </c>
      <c r="Q815" s="20" t="n">
        <v>2100</v>
      </c>
      <c r="R815" s="20" t="n">
        <v>22350</v>
      </c>
      <c r="S815" s="20" t="n">
        <v>20608.9</v>
      </c>
      <c r="T815" s="20" t="n">
        <v>1741.1</v>
      </c>
      <c r="U815" s="21" t="n">
        <v>0.922098434004474</v>
      </c>
      <c r="V815" s="22" t="n">
        <v>2.951</v>
      </c>
      <c r="W815" s="17" t="n">
        <v>0</v>
      </c>
      <c r="X815" s="17" t="n">
        <v>0</v>
      </c>
      <c r="Y815" s="20" t="n">
        <v>147294.84</v>
      </c>
      <c r="Z815" s="21" t="n">
        <v>0.0354</v>
      </c>
      <c r="AA815" s="16" t="n">
        <v>45585</v>
      </c>
      <c r="AB815" s="5">
        <f>IF(V815="","",IF(V815&lt;12,"Months","Weeks"))</f>
        <v/>
      </c>
      <c r="AC815" s="5">
        <f>IF(AB815="","",IF(AB815="Months","Daily","Weekly"))</f>
        <v/>
      </c>
      <c r="AD815" s="17">
        <f>IF(V815="","",IF(AC815="Daily",V815*Controls!$B$13,V815))</f>
        <v/>
      </c>
      <c r="AE815" s="17">
        <f>IF(V815="","",IF(AC815="Daily",V815*Controls!$B$13,V815*Controls!$B$12))</f>
        <v/>
      </c>
      <c r="AF815" s="17">
        <f>IF(OR(E815="",F815=""),"",F815-E815)</f>
        <v/>
      </c>
      <c r="AG815" s="17">
        <f>IF(OR(E815="",F815=""),"",NETWORKDAYS(E815,F815,Ref!$F$4:$F$47))</f>
        <v/>
      </c>
      <c r="AH815" s="39">
        <f>IF(IFERROR(VLOOKUP(D815,Controls!$A$25:$D$35,2,FALSE()),"No")="Yes",1,0)</f>
        <v/>
      </c>
      <c r="AI815" s="39">
        <f>IF(IFERROR(VLOOKUP(D815,Controls!$A$25:$D$35,3,FALSE()),"No")="Yes",1,0)</f>
        <v/>
      </c>
      <c r="AJ815" s="39">
        <f>IF(IFERROR(VLOOKUP(D815,Controls!$A$25:$D$35,4,FALSE()),"No")="Yes",1,0)</f>
        <v/>
      </c>
      <c r="AK815" s="96">
        <f>IF(AND($E815&gt;=Controls!$B$5,$E815&lt;=Controls!$B$6,OR(Controls!$E$9&lt;&gt;"Y",$BE815=1)),1,0)</f>
        <v/>
      </c>
      <c r="AL815" s="39">
        <f>1</f>
        <v/>
      </c>
      <c r="AM815" s="20">
        <f>S815-P815</f>
        <v/>
      </c>
      <c r="AN815" s="20">
        <f>IF(AH815=1,MAX(0,P815-S815),0)</f>
        <v/>
      </c>
      <c r="AO815" s="21">
        <f>IFERROR(S815/P815,"")</f>
        <v/>
      </c>
      <c r="AP815" s="22">
        <f>IF(Y815="","",P815/Y815)</f>
        <v/>
      </c>
      <c r="AQ815" s="39">
        <f>IF(Y815="",0,1)</f>
        <v/>
      </c>
      <c r="AR815" s="39">
        <f>IF(S815&lt;=0,1,0)</f>
        <v/>
      </c>
      <c r="AS815" s="17">
        <f>IF(AH815=1,AG815,"")</f>
        <v/>
      </c>
      <c r="AT815" s="17">
        <f>IF(AND(AH815=0,AJ815=1),AG815,"")</f>
        <v/>
      </c>
      <c r="AU815" s="5">
        <f>IF(P815&lt;10000,"Under $10K",IF(P815&lt;20000,"$10-20K",IF(P815&lt;30000,"$20-30K",IF(P815&lt;50000,"$30-50K",IF(P815&lt;100000,"$50-100K","$100K+")))))</f>
        <v/>
      </c>
      <c r="AV815" s="5">
        <f>IF(O815&lt;=1.35,"1.35 and under",IF(O815&lt;=1.42,"1.36-1.42",IF(O815&lt;=1.45,"1.43-1.45",IF(O815&lt;1.49,"1.46-1.48",IF(O815&lt;=1.49,"1.49","Above 1.49")))))</f>
        <v/>
      </c>
      <c r="AW815" s="5">
        <f>IF(AE815="","",IF(AE815&lt;60,"Under 60",IF(AE815&lt;90,"60-89",IF(AE815&lt;120,"90-119",IF(AE815&lt;150,"120-149","150+")))))</f>
        <v/>
      </c>
      <c r="AX815" s="5">
        <f>IF(AP815="","No revenue data",IF(AP815&lt;0.15,"Under 0.15x",IF(AP815&lt;0.3,"0.15-0.30x",IF(AP815&lt;0.5,"0.30-0.50x",IF(AP815&lt;1,"0.50-1.00x","1.00x+")))))</f>
        <v/>
      </c>
      <c r="AY815" s="5">
        <f>IF(J815="","No SIC",IFERROR(VLOOKUP(J815,Ref!$A$4:$C$67,2,FALSE()),"Unclassified"))</f>
        <v/>
      </c>
      <c r="AZ815" s="5">
        <f>IF(E815="","",TEXT(E815,"YYYY")&amp;"-Q"&amp;ROUNDUP(MONTH(E815)/3,0))</f>
        <v/>
      </c>
      <c r="BA815" s="5">
        <f>IF(E815="","",TEXT(E815,"YYYY-MM"))</f>
        <v/>
      </c>
      <c r="BB815" s="5">
        <f>IF(E815="","",TEXT(E815,"YYYY"))</f>
        <v/>
      </c>
      <c r="BC815" s="92">
        <f>IF($E815="","",NETWORKDAYS($E815,Controls!$B$9,Ref!$F$4:$F$47))</f>
        <v/>
      </c>
      <c r="BD815" s="92">
        <f>IF(OR($AH815=1,$AJ815=1),1,0)</f>
        <v/>
      </c>
      <c r="BE815" s="95">
        <f>IF(OR($BD815=1,AND($AE815&lt;&gt;"",$BC815&gt;=Controls!$B$10*$AE815)),1,0)</f>
        <v/>
      </c>
    </row>
    <row r="816" ht="15.75" customHeight="1" s="79">
      <c r="A816" s="5" t="inlineStr">
        <is>
          <t>5674182385</t>
        </is>
      </c>
      <c r="B816" s="5" t="inlineStr">
        <is>
          <t>BARKLEAN CORP</t>
        </is>
      </c>
      <c r="C816" s="5" t="inlineStr">
        <is>
          <t>BARKLEAN CORP</t>
        </is>
      </c>
      <c r="D816" s="5" t="inlineStr">
        <is>
          <t>Open</t>
        </is>
      </c>
      <c r="E816" s="16" t="n">
        <v>46136</v>
      </c>
      <c r="F816" s="16" t="n">
        <v>46248</v>
      </c>
      <c r="G816" s="17" t="n">
        <v>3</v>
      </c>
      <c r="H816" s="5" t="inlineStr">
        <is>
          <t>0752</t>
        </is>
      </c>
      <c r="I816" s="5" t="inlineStr">
        <is>
          <t>Pet Care (Except Veterinary) Services</t>
        </is>
      </c>
      <c r="J816" s="5" t="inlineStr">
        <is>
          <t>07</t>
        </is>
      </c>
      <c r="K816" s="5" t="n">
        <v>1799</v>
      </c>
      <c r="L816" s="5" t="inlineStr">
        <is>
          <t>FL</t>
        </is>
      </c>
      <c r="M816" s="5" t="inlineStr">
        <is>
          <t>Credibly</t>
        </is>
      </c>
      <c r="N816" s="5" t="inlineStr">
        <is>
          <t>New Deal</t>
        </is>
      </c>
      <c r="O816" s="19" t="n">
        <v>1.35</v>
      </c>
      <c r="P816" s="20" t="n">
        <v>15000</v>
      </c>
      <c r="Q816" s="20" t="n">
        <v>1050</v>
      </c>
      <c r="R816" s="20" t="n">
        <v>20250</v>
      </c>
      <c r="S816" s="20" t="n">
        <v>12464</v>
      </c>
      <c r="T816" s="20" t="n">
        <v>7786</v>
      </c>
      <c r="U816" s="21" t="n">
        <v>0.615506172839506</v>
      </c>
      <c r="V816" s="22" t="n">
        <v>26</v>
      </c>
      <c r="W816" s="17" t="n">
        <v>5</v>
      </c>
      <c r="X816" s="17" t="n">
        <v>0</v>
      </c>
      <c r="Y816" s="20" t="n">
        <v>38000</v>
      </c>
      <c r="Z816" s="21" t="n">
        <v>0.1558</v>
      </c>
      <c r="AA816" s="16" t="n">
        <v>45005</v>
      </c>
      <c r="AB816" s="5">
        <f>IF(V816="","",IF(V816&lt;12,"Months","Weeks"))</f>
        <v/>
      </c>
      <c r="AC816" s="5">
        <f>IF(AB816="","",IF(AB816="Months","Daily","Weekly"))</f>
        <v/>
      </c>
      <c r="AD816" s="17">
        <f>IF(V816="","",IF(AC816="Daily",V816*Controls!$B$13,V816))</f>
        <v/>
      </c>
      <c r="AE816" s="17">
        <f>IF(V816="","",IF(AC816="Daily",V816*Controls!$B$13,V816*Controls!$B$12))</f>
        <v/>
      </c>
      <c r="AF816" s="17">
        <f>IF(OR(E816="",F816=""),"",F816-E816)</f>
        <v/>
      </c>
      <c r="AG816" s="17">
        <f>IF(OR(E816="",F816=""),"",NETWORKDAYS(E816,F816,Ref!$F$4:$F$47))</f>
        <v/>
      </c>
      <c r="AH816" s="39">
        <f>IF(IFERROR(VLOOKUP(D816,Controls!$A$25:$D$35,2,FALSE()),"No")="Yes",1,0)</f>
        <v/>
      </c>
      <c r="AI816" s="39">
        <f>IF(IFERROR(VLOOKUP(D816,Controls!$A$25:$D$35,3,FALSE()),"No")="Yes",1,0)</f>
        <v/>
      </c>
      <c r="AJ816" s="39">
        <f>IF(IFERROR(VLOOKUP(D816,Controls!$A$25:$D$35,4,FALSE()),"No")="Yes",1,0)</f>
        <v/>
      </c>
      <c r="AK816" s="96">
        <f>IF(AND($E816&gt;=Controls!$B$5,$E816&lt;=Controls!$B$6,OR(Controls!$E$9&lt;&gt;"Y",$BE816=1)),1,0)</f>
        <v/>
      </c>
      <c r="AL816" s="39">
        <f>1</f>
        <v/>
      </c>
      <c r="AM816" s="20">
        <f>S816-P816</f>
        <v/>
      </c>
      <c r="AN816" s="20">
        <f>IF(AH816=1,MAX(0,P816-S816),0)</f>
        <v/>
      </c>
      <c r="AO816" s="21">
        <f>IFERROR(S816/P816,"")</f>
        <v/>
      </c>
      <c r="AP816" s="22">
        <f>IF(Y816="","",P816/Y816)</f>
        <v/>
      </c>
      <c r="AQ816" s="39">
        <f>IF(Y816="",0,1)</f>
        <v/>
      </c>
      <c r="AR816" s="39">
        <f>IF(S816&lt;=0,1,0)</f>
        <v/>
      </c>
      <c r="AS816" s="17">
        <f>IF(AH816=1,AG816,"")</f>
        <v/>
      </c>
      <c r="AT816" s="17">
        <f>IF(AND(AH816=0,AJ816=1),AG816,"")</f>
        <v/>
      </c>
      <c r="AU816" s="5">
        <f>IF(P816&lt;10000,"Under $10K",IF(P816&lt;20000,"$10-20K",IF(P816&lt;30000,"$20-30K",IF(P816&lt;50000,"$30-50K",IF(P816&lt;100000,"$50-100K","$100K+")))))</f>
        <v/>
      </c>
      <c r="AV816" s="5">
        <f>IF(O816&lt;=1.35,"1.35 and under",IF(O816&lt;=1.42,"1.36-1.42",IF(O816&lt;=1.45,"1.43-1.45",IF(O816&lt;1.49,"1.46-1.48",IF(O816&lt;=1.49,"1.49","Above 1.49")))))</f>
        <v/>
      </c>
      <c r="AW816" s="5">
        <f>IF(AE816="","",IF(AE816&lt;60,"Under 60",IF(AE816&lt;90,"60-89",IF(AE816&lt;120,"90-119",IF(AE816&lt;150,"120-149","150+")))))</f>
        <v/>
      </c>
      <c r="AX816" s="5">
        <f>IF(AP816="","No revenue data",IF(AP816&lt;0.15,"Under 0.15x",IF(AP816&lt;0.3,"0.15-0.30x",IF(AP816&lt;0.5,"0.30-0.50x",IF(AP816&lt;1,"0.50-1.00x","1.00x+")))))</f>
        <v/>
      </c>
      <c r="AY816" s="5">
        <f>IF(J816="","No SIC",IFERROR(VLOOKUP(J816,Ref!$A$4:$C$67,2,FALSE()),"Unclassified"))</f>
        <v/>
      </c>
      <c r="AZ816" s="5">
        <f>IF(E816="","",TEXT(E816,"YYYY")&amp;"-Q"&amp;ROUNDUP(MONTH(E816)/3,0))</f>
        <v/>
      </c>
      <c r="BA816" s="5">
        <f>IF(E816="","",TEXT(E816,"YYYY-MM"))</f>
        <v/>
      </c>
      <c r="BB816" s="5">
        <f>IF(E816="","",TEXT(E816,"YYYY"))</f>
        <v/>
      </c>
      <c r="BC816" s="92">
        <f>IF($E816="","",NETWORKDAYS($E816,Controls!$B$9,Ref!$F$4:$F$47))</f>
        <v/>
      </c>
      <c r="BD816" s="92">
        <f>IF(OR($AH816=1,$AJ816=1),1,0)</f>
        <v/>
      </c>
      <c r="BE816" s="95">
        <f>IF(OR($BD816=1,AND($AE816&lt;&gt;"",$BC816&gt;=Controls!$B$10*$AE816)),1,0)</f>
        <v/>
      </c>
    </row>
    <row r="817" ht="15.75" customHeight="1" s="79">
      <c r="A817" s="5" t="inlineStr">
        <is>
          <t>5674182388</t>
        </is>
      </c>
      <c r="B817" s="5" t="inlineStr">
        <is>
          <t>Bland Funeral Home, LLC</t>
        </is>
      </c>
      <c r="C817" s="5" t="inlineStr">
        <is>
          <t>Bland Funeral Home, LLC</t>
        </is>
      </c>
      <c r="D817" s="5" t="inlineStr">
        <is>
          <t>Open</t>
        </is>
      </c>
      <c r="E817" s="16" t="n">
        <v>46136</v>
      </c>
      <c r="F817" s="16" t="n">
        <v>46253</v>
      </c>
      <c r="G817" s="17" t="n">
        <v>3</v>
      </c>
      <c r="H817" s="5" t="inlineStr">
        <is>
          <t>7261</t>
        </is>
      </c>
      <c r="I817" s="5" t="inlineStr">
        <is>
          <t>Cemeteries and Crematories</t>
        </is>
      </c>
      <c r="J817" s="5" t="inlineStr">
        <is>
          <t>72</t>
        </is>
      </c>
      <c r="K817" s="5" t="n">
        <v>7261</v>
      </c>
      <c r="L817" s="5" t="inlineStr">
        <is>
          <t>VA</t>
        </is>
      </c>
      <c r="M817" s="5" t="inlineStr">
        <is>
          <t>Ballicci</t>
        </is>
      </c>
      <c r="N817" s="5" t="inlineStr">
        <is>
          <t>Renewal</t>
        </is>
      </c>
      <c r="O817" s="19" t="n">
        <v>1.49</v>
      </c>
      <c r="P817" s="20" t="n">
        <v>40000</v>
      </c>
      <c r="Q817" s="20" t="n">
        <v>5600</v>
      </c>
      <c r="R817" s="20" t="n">
        <v>59600</v>
      </c>
      <c r="S817" s="20" t="n">
        <v>28809.18</v>
      </c>
      <c r="T817" s="20" t="n">
        <v>30790.82</v>
      </c>
      <c r="U817" s="21" t="n">
        <v>0.483375503355705</v>
      </c>
      <c r="V817" s="22" t="n">
        <v>3.934</v>
      </c>
      <c r="W817" s="17" t="n">
        <v>0</v>
      </c>
      <c r="X817" s="17" t="n">
        <v>10</v>
      </c>
      <c r="Y817" s="20" t="n">
        <v>57502.52</v>
      </c>
      <c r="Z817" s="21" t="n">
        <v>0.1814</v>
      </c>
      <c r="AA817" s="16" t="n">
        <v>36323</v>
      </c>
      <c r="AB817" s="5">
        <f>IF(V817="","",IF(V817&lt;12,"Months","Weeks"))</f>
        <v/>
      </c>
      <c r="AC817" s="5">
        <f>IF(AB817="","",IF(AB817="Months","Daily","Weekly"))</f>
        <v/>
      </c>
      <c r="AD817" s="17">
        <f>IF(V817="","",IF(AC817="Daily",V817*Controls!$B$13,V817))</f>
        <v/>
      </c>
      <c r="AE817" s="17">
        <f>IF(V817="","",IF(AC817="Daily",V817*Controls!$B$13,V817*Controls!$B$12))</f>
        <v/>
      </c>
      <c r="AF817" s="17">
        <f>IF(OR(E817="",F817=""),"",F817-E817)</f>
        <v/>
      </c>
      <c r="AG817" s="17">
        <f>IF(OR(E817="",F817=""),"",NETWORKDAYS(E817,F817,Ref!$F$4:$F$47))</f>
        <v/>
      </c>
      <c r="AH817" s="39">
        <f>IF(IFERROR(VLOOKUP(D817,Controls!$A$25:$D$35,2,FALSE()),"No")="Yes",1,0)</f>
        <v/>
      </c>
      <c r="AI817" s="39">
        <f>IF(IFERROR(VLOOKUP(D817,Controls!$A$25:$D$35,3,FALSE()),"No")="Yes",1,0)</f>
        <v/>
      </c>
      <c r="AJ817" s="39">
        <f>IF(IFERROR(VLOOKUP(D817,Controls!$A$25:$D$35,4,FALSE()),"No")="Yes",1,0)</f>
        <v/>
      </c>
      <c r="AK817" s="96">
        <f>IF(AND($E817&gt;=Controls!$B$5,$E817&lt;=Controls!$B$6,OR(Controls!$E$9&lt;&gt;"Y",$BE817=1)),1,0)</f>
        <v/>
      </c>
      <c r="AL817" s="39">
        <f>1</f>
        <v/>
      </c>
      <c r="AM817" s="20">
        <f>S817-P817</f>
        <v/>
      </c>
      <c r="AN817" s="20">
        <f>IF(AH817=1,MAX(0,P817-S817),0)</f>
        <v/>
      </c>
      <c r="AO817" s="21">
        <f>IFERROR(S817/P817,"")</f>
        <v/>
      </c>
      <c r="AP817" s="22">
        <f>IF(Y817="","",P817/Y817)</f>
        <v/>
      </c>
      <c r="AQ817" s="39">
        <f>IF(Y817="",0,1)</f>
        <v/>
      </c>
      <c r="AR817" s="39">
        <f>IF(S817&lt;=0,1,0)</f>
        <v/>
      </c>
      <c r="AS817" s="17">
        <f>IF(AH817=1,AG817,"")</f>
        <v/>
      </c>
      <c r="AT817" s="17">
        <f>IF(AND(AH817=0,AJ817=1),AG817,"")</f>
        <v/>
      </c>
      <c r="AU817" s="5">
        <f>IF(P817&lt;10000,"Under $10K",IF(P817&lt;20000,"$10-20K",IF(P817&lt;30000,"$20-30K",IF(P817&lt;50000,"$30-50K",IF(P817&lt;100000,"$50-100K","$100K+")))))</f>
        <v/>
      </c>
      <c r="AV817" s="5">
        <f>IF(O817&lt;=1.35,"1.35 and under",IF(O817&lt;=1.42,"1.36-1.42",IF(O817&lt;=1.45,"1.43-1.45",IF(O817&lt;1.49,"1.46-1.48",IF(O817&lt;=1.49,"1.49","Above 1.49")))))</f>
        <v/>
      </c>
      <c r="AW817" s="5">
        <f>IF(AE817="","",IF(AE817&lt;60,"Under 60",IF(AE817&lt;90,"60-89",IF(AE817&lt;120,"90-119",IF(AE817&lt;150,"120-149","150+")))))</f>
        <v/>
      </c>
      <c r="AX817" s="5">
        <f>IF(AP817="","No revenue data",IF(AP817&lt;0.15,"Under 0.15x",IF(AP817&lt;0.3,"0.15-0.30x",IF(AP817&lt;0.5,"0.30-0.50x",IF(AP817&lt;1,"0.50-1.00x","1.00x+")))))</f>
        <v/>
      </c>
      <c r="AY817" s="5">
        <f>IF(J817="","No SIC",IFERROR(VLOOKUP(J817,Ref!$A$4:$C$67,2,FALSE()),"Unclassified"))</f>
        <v/>
      </c>
      <c r="AZ817" s="5">
        <f>IF(E817="","",TEXT(E817,"YYYY")&amp;"-Q"&amp;ROUNDUP(MONTH(E817)/3,0))</f>
        <v/>
      </c>
      <c r="BA817" s="5">
        <f>IF(E817="","",TEXT(E817,"YYYY-MM"))</f>
        <v/>
      </c>
      <c r="BB817" s="5">
        <f>IF(E817="","",TEXT(E817,"YYYY"))</f>
        <v/>
      </c>
      <c r="BC817" s="92">
        <f>IF($E817="","",NETWORKDAYS($E817,Controls!$B$9,Ref!$F$4:$F$47))</f>
        <v/>
      </c>
      <c r="BD817" s="92">
        <f>IF(OR($AH817=1,$AJ817=1),1,0)</f>
        <v/>
      </c>
      <c r="BE817" s="95">
        <f>IF(OR($BD817=1,AND($AE817&lt;&gt;"",$BC817&gt;=Controls!$B$10*$AE817)),1,0)</f>
        <v/>
      </c>
    </row>
    <row r="818" ht="15.75" customHeight="1" s="79">
      <c r="A818" s="5" t="inlineStr">
        <is>
          <t>5674182444</t>
        </is>
      </c>
      <c r="B818" s="5" t="inlineStr">
        <is>
          <t>Gallo Enterprise</t>
        </is>
      </c>
      <c r="C818" s="5" t="inlineStr">
        <is>
          <t>SAGRARIO RAMIREZ-HERNANDEZ SOLE PROP</t>
        </is>
      </c>
      <c r="D818" s="5" t="inlineStr">
        <is>
          <t>Legal</t>
        </is>
      </c>
      <c r="E818" s="16" t="n">
        <v>46136</v>
      </c>
      <c r="F818" s="16" t="n">
        <v>46168</v>
      </c>
      <c r="G818" s="17" t="n">
        <v>1</v>
      </c>
      <c r="H818" s="5" t="inlineStr">
        <is>
          <t>1521</t>
        </is>
      </c>
      <c r="I818" s="5" t="inlineStr">
        <is>
          <t>Residential Remodelers</t>
        </is>
      </c>
      <c r="J818" s="5" t="inlineStr">
        <is>
          <t>15</t>
        </is>
      </c>
      <c r="K818" s="5" t="n">
        <v>1520</v>
      </c>
      <c r="L818" s="5" t="inlineStr">
        <is>
          <t>TX</t>
        </is>
      </c>
      <c r="M818" s="5" t="inlineStr">
        <is>
          <t>Premium Capital (AMRK)</t>
        </is>
      </c>
      <c r="N818" s="5" t="inlineStr">
        <is>
          <t>New Deal</t>
        </is>
      </c>
      <c r="O818" s="19" t="n">
        <v>1.4</v>
      </c>
      <c r="P818" s="20" t="n">
        <v>15000</v>
      </c>
      <c r="Q818" s="20" t="n">
        <v>0</v>
      </c>
      <c r="R818" s="20" t="n">
        <v>21000</v>
      </c>
      <c r="S818" s="20" t="n">
        <v>2247.3</v>
      </c>
      <c r="T818" s="20" t="n">
        <v>18752.7</v>
      </c>
      <c r="U818" s="21" t="n">
        <v>0.107014285714286</v>
      </c>
      <c r="V818" s="22" t="n">
        <v>28</v>
      </c>
      <c r="W818" s="17" t="n">
        <v>99</v>
      </c>
      <c r="X818" s="17" t="n">
        <v>1</v>
      </c>
      <c r="Y818" s="20" t="n">
        <v>121805.2</v>
      </c>
      <c r="Z818" s="21" t="n">
        <v>0.0246</v>
      </c>
      <c r="AA818" s="16" t="n">
        <v>40179</v>
      </c>
      <c r="AB818" s="5">
        <f>IF(V818="","",IF(V818&lt;12,"Months","Weeks"))</f>
        <v/>
      </c>
      <c r="AC818" s="5">
        <f>IF(AB818="","",IF(AB818="Months","Daily","Weekly"))</f>
        <v/>
      </c>
      <c r="AD818" s="17">
        <f>IF(V818="","",IF(AC818="Daily",V818*Controls!$B$13,V818))</f>
        <v/>
      </c>
      <c r="AE818" s="17">
        <f>IF(V818="","",IF(AC818="Daily",V818*Controls!$B$13,V818*Controls!$B$12))</f>
        <v/>
      </c>
      <c r="AF818" s="17">
        <f>IF(OR(E818="",F818=""),"",F818-E818)</f>
        <v/>
      </c>
      <c r="AG818" s="17">
        <f>IF(OR(E818="",F818=""),"",NETWORKDAYS(E818,F818,Ref!$F$4:$F$47))</f>
        <v/>
      </c>
      <c r="AH818" s="39">
        <f>IF(IFERROR(VLOOKUP(D818,Controls!$A$25:$D$35,2,FALSE()),"No")="Yes",1,0)</f>
        <v/>
      </c>
      <c r="AI818" s="39">
        <f>IF(IFERROR(VLOOKUP(D818,Controls!$A$25:$D$35,3,FALSE()),"No")="Yes",1,0)</f>
        <v/>
      </c>
      <c r="AJ818" s="39">
        <f>IF(IFERROR(VLOOKUP(D818,Controls!$A$25:$D$35,4,FALSE()),"No")="Yes",1,0)</f>
        <v/>
      </c>
      <c r="AK818" s="96">
        <f>IF(AND($E818&gt;=Controls!$B$5,$E818&lt;=Controls!$B$6,OR(Controls!$E$9&lt;&gt;"Y",$BE818=1)),1,0)</f>
        <v/>
      </c>
      <c r="AL818" s="39">
        <f>1</f>
        <v/>
      </c>
      <c r="AM818" s="20">
        <f>S818-P818</f>
        <v/>
      </c>
      <c r="AN818" s="20">
        <f>IF(AH818=1,MAX(0,P818-S818),0)</f>
        <v/>
      </c>
      <c r="AO818" s="21">
        <f>IFERROR(S818/P818,"")</f>
        <v/>
      </c>
      <c r="AP818" s="22">
        <f>IF(Y818="","",P818/Y818)</f>
        <v/>
      </c>
      <c r="AQ818" s="39">
        <f>IF(Y818="",0,1)</f>
        <v/>
      </c>
      <c r="AR818" s="39">
        <f>IF(S818&lt;=0,1,0)</f>
        <v/>
      </c>
      <c r="AS818" s="17">
        <f>IF(AH818=1,AG818,"")</f>
        <v/>
      </c>
      <c r="AT818" s="17">
        <f>IF(AND(AH818=0,AJ818=1),AG818,"")</f>
        <v/>
      </c>
      <c r="AU818" s="5">
        <f>IF(P818&lt;10000,"Under $10K",IF(P818&lt;20000,"$10-20K",IF(P818&lt;30000,"$20-30K",IF(P818&lt;50000,"$30-50K",IF(P818&lt;100000,"$50-100K","$100K+")))))</f>
        <v/>
      </c>
      <c r="AV818" s="5">
        <f>IF(O818&lt;=1.35,"1.35 and under",IF(O818&lt;=1.42,"1.36-1.42",IF(O818&lt;=1.45,"1.43-1.45",IF(O818&lt;1.49,"1.46-1.48",IF(O818&lt;=1.49,"1.49","Above 1.49")))))</f>
        <v/>
      </c>
      <c r="AW818" s="5">
        <f>IF(AE818="","",IF(AE818&lt;60,"Under 60",IF(AE818&lt;90,"60-89",IF(AE818&lt;120,"90-119",IF(AE818&lt;150,"120-149","150+")))))</f>
        <v/>
      </c>
      <c r="AX818" s="5">
        <f>IF(AP818="","No revenue data",IF(AP818&lt;0.15,"Under 0.15x",IF(AP818&lt;0.3,"0.15-0.30x",IF(AP818&lt;0.5,"0.30-0.50x",IF(AP818&lt;1,"0.50-1.00x","1.00x+")))))</f>
        <v/>
      </c>
      <c r="AY818" s="5">
        <f>IF(J818="","No SIC",IFERROR(VLOOKUP(J818,Ref!$A$4:$C$67,2,FALSE()),"Unclassified"))</f>
        <v/>
      </c>
      <c r="AZ818" s="5">
        <f>IF(E818="","",TEXT(E818,"YYYY")&amp;"-Q"&amp;ROUNDUP(MONTH(E818)/3,0))</f>
        <v/>
      </c>
      <c r="BA818" s="5">
        <f>IF(E818="","",TEXT(E818,"YYYY-MM"))</f>
        <v/>
      </c>
      <c r="BB818" s="5">
        <f>IF(E818="","",TEXT(E818,"YYYY"))</f>
        <v/>
      </c>
      <c r="BC818" s="92">
        <f>IF($E818="","",NETWORKDAYS($E818,Controls!$B$9,Ref!$F$4:$F$47))</f>
        <v/>
      </c>
      <c r="BD818" s="92">
        <f>IF(OR($AH818=1,$AJ818=1),1,0)</f>
        <v/>
      </c>
      <c r="BE818" s="95">
        <f>IF(OR($BD818=1,AND($AE818&lt;&gt;"",$BC818&gt;=Controls!$B$10*$AE818)),1,0)</f>
        <v/>
      </c>
    </row>
    <row r="819" ht="15.75" customHeight="1" s="79">
      <c r="A819" s="5" t="inlineStr">
        <is>
          <t>5674182475</t>
        </is>
      </c>
      <c r="B819" s="5" t="inlineStr">
        <is>
          <t>Fresh Dental</t>
        </is>
      </c>
      <c r="C819" s="5" t="inlineStr">
        <is>
          <t>Fresh Dental LLC</t>
        </is>
      </c>
      <c r="D819" s="5" t="inlineStr">
        <is>
          <t>Open</t>
        </is>
      </c>
      <c r="E819" s="16" t="n">
        <v>46136</v>
      </c>
      <c r="F819" s="16" t="n">
        <v>46253</v>
      </c>
      <c r="G819" s="17" t="n">
        <v>3</v>
      </c>
      <c r="H819" s="5" t="inlineStr">
        <is>
          <t>5047</t>
        </is>
      </c>
      <c r="I819" s="5" t="inlineStr">
        <is>
          <t>Medical, Dental, and Hospital Equipment and Supplies Merchant Wholesalers</t>
        </is>
      </c>
      <c r="J819" s="5" t="inlineStr">
        <is>
          <t>50</t>
        </is>
      </c>
      <c r="K819" s="5" t="n">
        <v>5047</v>
      </c>
      <c r="L819" s="5" t="inlineStr">
        <is>
          <t>GA</t>
        </is>
      </c>
      <c r="M819" s="5" t="inlineStr">
        <is>
          <t>Westwood</t>
        </is>
      </c>
      <c r="N819" s="5" t="inlineStr">
        <is>
          <t>Renewal</t>
        </is>
      </c>
      <c r="O819" s="19" t="n">
        <v>1.459</v>
      </c>
      <c r="P819" s="20" t="n">
        <v>200000</v>
      </c>
      <c r="Q819" s="20" t="n">
        <v>26000</v>
      </c>
      <c r="R819" s="20" t="n">
        <v>291800</v>
      </c>
      <c r="S819" s="20" t="n">
        <v>103589</v>
      </c>
      <c r="T819" s="20" t="n">
        <v>188211</v>
      </c>
      <c r="U819" s="21" t="n">
        <v>0.355</v>
      </c>
      <c r="V819" s="22" t="n">
        <v>6.557</v>
      </c>
      <c r="W819" s="17" t="n">
        <v>0</v>
      </c>
      <c r="X819" s="17" t="n">
        <v>4</v>
      </c>
      <c r="Y819" s="20" t="n">
        <v>210633.67</v>
      </c>
      <c r="Z819" s="21" t="n">
        <v>0.1282</v>
      </c>
      <c r="AA819" s="16" t="n">
        <v>43714</v>
      </c>
      <c r="AB819" s="5">
        <f>IF(V819="","",IF(V819&lt;12,"Months","Weeks"))</f>
        <v/>
      </c>
      <c r="AC819" s="5">
        <f>IF(AB819="","",IF(AB819="Months","Daily","Weekly"))</f>
        <v/>
      </c>
      <c r="AD819" s="17">
        <f>IF(V819="","",IF(AC819="Daily",V819*Controls!$B$13,V819))</f>
        <v/>
      </c>
      <c r="AE819" s="17">
        <f>IF(V819="","",IF(AC819="Daily",V819*Controls!$B$13,V819*Controls!$B$12))</f>
        <v/>
      </c>
      <c r="AF819" s="17">
        <f>IF(OR(E819="",F819=""),"",F819-E819)</f>
        <v/>
      </c>
      <c r="AG819" s="17">
        <f>IF(OR(E819="",F819=""),"",NETWORKDAYS(E819,F819,Ref!$F$4:$F$47))</f>
        <v/>
      </c>
      <c r="AH819" s="39">
        <f>IF(IFERROR(VLOOKUP(D819,Controls!$A$25:$D$35,2,FALSE()),"No")="Yes",1,0)</f>
        <v/>
      </c>
      <c r="AI819" s="39">
        <f>IF(IFERROR(VLOOKUP(D819,Controls!$A$25:$D$35,3,FALSE()),"No")="Yes",1,0)</f>
        <v/>
      </c>
      <c r="AJ819" s="39">
        <f>IF(IFERROR(VLOOKUP(D819,Controls!$A$25:$D$35,4,FALSE()),"No")="Yes",1,0)</f>
        <v/>
      </c>
      <c r="AK819" s="96">
        <f>IF(AND($E819&gt;=Controls!$B$5,$E819&lt;=Controls!$B$6,OR(Controls!$E$9&lt;&gt;"Y",$BE819=1)),1,0)</f>
        <v/>
      </c>
      <c r="AL819" s="39">
        <f>1</f>
        <v/>
      </c>
      <c r="AM819" s="20">
        <f>S819-P819</f>
        <v/>
      </c>
      <c r="AN819" s="20">
        <f>IF(AH819=1,MAX(0,P819-S819),0)</f>
        <v/>
      </c>
      <c r="AO819" s="21">
        <f>IFERROR(S819/P819,"")</f>
        <v/>
      </c>
      <c r="AP819" s="22">
        <f>IF(Y819="","",P819/Y819)</f>
        <v/>
      </c>
      <c r="AQ819" s="39">
        <f>IF(Y819="",0,1)</f>
        <v/>
      </c>
      <c r="AR819" s="39">
        <f>IF(S819&lt;=0,1,0)</f>
        <v/>
      </c>
      <c r="AS819" s="17">
        <f>IF(AH819=1,AG819,"")</f>
        <v/>
      </c>
      <c r="AT819" s="17">
        <f>IF(AND(AH819=0,AJ819=1),AG819,"")</f>
        <v/>
      </c>
      <c r="AU819" s="5">
        <f>IF(P819&lt;10000,"Under $10K",IF(P819&lt;20000,"$10-20K",IF(P819&lt;30000,"$20-30K",IF(P819&lt;50000,"$30-50K",IF(P819&lt;100000,"$50-100K","$100K+")))))</f>
        <v/>
      </c>
      <c r="AV819" s="5">
        <f>IF(O819&lt;=1.35,"1.35 and under",IF(O819&lt;=1.42,"1.36-1.42",IF(O819&lt;=1.45,"1.43-1.45",IF(O819&lt;1.49,"1.46-1.48",IF(O819&lt;=1.49,"1.49","Above 1.49")))))</f>
        <v/>
      </c>
      <c r="AW819" s="5">
        <f>IF(AE819="","",IF(AE819&lt;60,"Under 60",IF(AE819&lt;90,"60-89",IF(AE819&lt;120,"90-119",IF(AE819&lt;150,"120-149","150+")))))</f>
        <v/>
      </c>
      <c r="AX819" s="5">
        <f>IF(AP819="","No revenue data",IF(AP819&lt;0.15,"Under 0.15x",IF(AP819&lt;0.3,"0.15-0.30x",IF(AP819&lt;0.5,"0.30-0.50x",IF(AP819&lt;1,"0.50-1.00x","1.00x+")))))</f>
        <v/>
      </c>
      <c r="AY819" s="5">
        <f>IF(J819="","No SIC",IFERROR(VLOOKUP(J819,Ref!$A$4:$C$67,2,FALSE()),"Unclassified"))</f>
        <v/>
      </c>
      <c r="AZ819" s="5">
        <f>IF(E819="","",TEXT(E819,"YYYY")&amp;"-Q"&amp;ROUNDUP(MONTH(E819)/3,0))</f>
        <v/>
      </c>
      <c r="BA819" s="5">
        <f>IF(E819="","",TEXT(E819,"YYYY-MM"))</f>
        <v/>
      </c>
      <c r="BB819" s="5">
        <f>IF(E819="","",TEXT(E819,"YYYY"))</f>
        <v/>
      </c>
      <c r="BC819" s="92">
        <f>IF($E819="","",NETWORKDAYS($E819,Controls!$B$9,Ref!$F$4:$F$47))</f>
        <v/>
      </c>
      <c r="BD819" s="92">
        <f>IF(OR($AH819=1,$AJ819=1),1,0)</f>
        <v/>
      </c>
      <c r="BE819" s="95">
        <f>IF(OR($BD819=1,AND($AE819&lt;&gt;"",$BC819&gt;=Controls!$B$10*$AE819)),1,0)</f>
        <v/>
      </c>
    </row>
    <row r="820" ht="15.75" customHeight="1" s="79">
      <c r="A820" s="5" t="inlineStr">
        <is>
          <t>5674182494</t>
        </is>
      </c>
      <c r="B820" s="5" t="inlineStr">
        <is>
          <t>KATHY'S MASON JAR FAMILY DINER LLC</t>
        </is>
      </c>
      <c r="C820" s="5" t="inlineStr">
        <is>
          <t>KATHY'S MASON JAR FAMILY DINER LLC</t>
        </is>
      </c>
      <c r="D820" s="5" t="inlineStr">
        <is>
          <t>Closed</t>
        </is>
      </c>
      <c r="E820" s="16" t="n">
        <v>46139</v>
      </c>
      <c r="F820" s="16" t="n">
        <v>46237</v>
      </c>
      <c r="G820" s="17" t="n">
        <v>3</v>
      </c>
      <c r="H820" s="5" t="n"/>
      <c r="I820" s="5" t="n"/>
      <c r="J820" s="5" t="n"/>
      <c r="K820" s="5" t="n">
        <v>5812</v>
      </c>
      <c r="L820" s="5" t="inlineStr">
        <is>
          <t>OK</t>
        </is>
      </c>
      <c r="M820" s="5" t="inlineStr">
        <is>
          <t>United Secured Capital 8</t>
        </is>
      </c>
      <c r="N820" s="5" t="inlineStr">
        <is>
          <t>Renewal</t>
        </is>
      </c>
      <c r="O820" s="19" t="n">
        <v>1.49</v>
      </c>
      <c r="P820" s="20" t="n">
        <v>25000</v>
      </c>
      <c r="Q820" s="20" t="n">
        <v>3500</v>
      </c>
      <c r="R820" s="20" t="n">
        <v>37250</v>
      </c>
      <c r="S820" s="20" t="n">
        <v>37250</v>
      </c>
      <c r="T820" s="20" t="n">
        <v>0</v>
      </c>
      <c r="U820" s="21" t="n">
        <v>1</v>
      </c>
      <c r="V820" s="22" t="n">
        <v>3.607</v>
      </c>
      <c r="W820" s="17" t="n">
        <v>16</v>
      </c>
      <c r="X820" s="17" t="n">
        <v>0</v>
      </c>
      <c r="Y820" s="20" t="n">
        <v>37733.39</v>
      </c>
      <c r="Z820" s="21" t="n">
        <v>0.1885</v>
      </c>
      <c r="AA820" s="16" t="n">
        <v>44793</v>
      </c>
      <c r="AB820" s="5">
        <f>IF(V820="","",IF(V820&lt;12,"Months","Weeks"))</f>
        <v/>
      </c>
      <c r="AC820" s="5">
        <f>IF(AB820="","",IF(AB820="Months","Daily","Weekly"))</f>
        <v/>
      </c>
      <c r="AD820" s="17">
        <f>IF(V820="","",IF(AC820="Daily",V820*Controls!$B$13,V820))</f>
        <v/>
      </c>
      <c r="AE820" s="17">
        <f>IF(V820="","",IF(AC820="Daily",V820*Controls!$B$13,V820*Controls!$B$12))</f>
        <v/>
      </c>
      <c r="AF820" s="17">
        <f>IF(OR(E820="",F820=""),"",F820-E820)</f>
        <v/>
      </c>
      <c r="AG820" s="17">
        <f>IF(OR(E820="",F820=""),"",NETWORKDAYS(E820,F820,Ref!$F$4:$F$47))</f>
        <v/>
      </c>
      <c r="AH820" s="39">
        <f>IF(IFERROR(VLOOKUP(D820,Controls!$A$25:$D$35,2,FALSE()),"No")="Yes",1,0)</f>
        <v/>
      </c>
      <c r="AI820" s="39">
        <f>IF(IFERROR(VLOOKUP(D820,Controls!$A$25:$D$35,3,FALSE()),"No")="Yes",1,0)</f>
        <v/>
      </c>
      <c r="AJ820" s="39">
        <f>IF(IFERROR(VLOOKUP(D820,Controls!$A$25:$D$35,4,FALSE()),"No")="Yes",1,0)</f>
        <v/>
      </c>
      <c r="AK820" s="96">
        <f>IF(AND($E820&gt;=Controls!$B$5,$E820&lt;=Controls!$B$6,OR(Controls!$E$9&lt;&gt;"Y",$BE820=1)),1,0)</f>
        <v/>
      </c>
      <c r="AL820" s="39">
        <f>1</f>
        <v/>
      </c>
      <c r="AM820" s="20">
        <f>S820-P820</f>
        <v/>
      </c>
      <c r="AN820" s="20">
        <f>IF(AH820=1,MAX(0,P820-S820),0)</f>
        <v/>
      </c>
      <c r="AO820" s="21">
        <f>IFERROR(S820/P820,"")</f>
        <v/>
      </c>
      <c r="AP820" s="22">
        <f>IF(Y820="","",P820/Y820)</f>
        <v/>
      </c>
      <c r="AQ820" s="39">
        <f>IF(Y820="",0,1)</f>
        <v/>
      </c>
      <c r="AR820" s="39">
        <f>IF(S820&lt;=0,1,0)</f>
        <v/>
      </c>
      <c r="AS820" s="17">
        <f>IF(AH820=1,AG820,"")</f>
        <v/>
      </c>
      <c r="AT820" s="17">
        <f>IF(AND(AH820=0,AJ820=1),AG820,"")</f>
        <v/>
      </c>
      <c r="AU820" s="5">
        <f>IF(P820&lt;10000,"Under $10K",IF(P820&lt;20000,"$10-20K",IF(P820&lt;30000,"$20-30K",IF(P820&lt;50000,"$30-50K",IF(P820&lt;100000,"$50-100K","$100K+")))))</f>
        <v/>
      </c>
      <c r="AV820" s="5">
        <f>IF(O820&lt;=1.35,"1.35 and under",IF(O820&lt;=1.42,"1.36-1.42",IF(O820&lt;=1.45,"1.43-1.45",IF(O820&lt;1.49,"1.46-1.48",IF(O820&lt;=1.49,"1.49","Above 1.49")))))</f>
        <v/>
      </c>
      <c r="AW820" s="5">
        <f>IF(AE820="","",IF(AE820&lt;60,"Under 60",IF(AE820&lt;90,"60-89",IF(AE820&lt;120,"90-119",IF(AE820&lt;150,"120-149","150+")))))</f>
        <v/>
      </c>
      <c r="AX820" s="5">
        <f>IF(AP820="","No revenue data",IF(AP820&lt;0.15,"Under 0.15x",IF(AP820&lt;0.3,"0.15-0.30x",IF(AP820&lt;0.5,"0.30-0.50x",IF(AP820&lt;1,"0.50-1.00x","1.00x+")))))</f>
        <v/>
      </c>
      <c r="AY820" s="5">
        <f>IF(J820="","No SIC",IFERROR(VLOOKUP(J820,Ref!$A$4:$C$67,2,FALSE()),"Unclassified"))</f>
        <v/>
      </c>
      <c r="AZ820" s="5">
        <f>IF(E820="","",TEXT(E820,"YYYY")&amp;"-Q"&amp;ROUNDUP(MONTH(E820)/3,0))</f>
        <v/>
      </c>
      <c r="BA820" s="5">
        <f>IF(E820="","",TEXT(E820,"YYYY-MM"))</f>
        <v/>
      </c>
      <c r="BB820" s="5">
        <f>IF(E820="","",TEXT(E820,"YYYY"))</f>
        <v/>
      </c>
      <c r="BC820" s="92">
        <f>IF($E820="","",NETWORKDAYS($E820,Controls!$B$9,Ref!$F$4:$F$47))</f>
        <v/>
      </c>
      <c r="BD820" s="92">
        <f>IF(OR($AH820=1,$AJ820=1),1,0)</f>
        <v/>
      </c>
      <c r="BE820" s="95">
        <f>IF(OR($BD820=1,AND($AE820&lt;&gt;"",$BC820&gt;=Controls!$B$10*$AE820)),1,0)</f>
        <v/>
      </c>
    </row>
    <row r="821" ht="15.75" customHeight="1" s="79">
      <c r="A821" s="5" t="inlineStr">
        <is>
          <t>5674182516</t>
        </is>
      </c>
      <c r="B821" s="5" t="inlineStr">
        <is>
          <t>DOMINIC'S ITALIAN RESTAURANT</t>
        </is>
      </c>
      <c r="C821" s="5" t="inlineStr">
        <is>
          <t>Dominic the great Inc.</t>
        </is>
      </c>
      <c r="D821" s="5" t="inlineStr">
        <is>
          <t>Legal</t>
        </is>
      </c>
      <c r="E821" s="16" t="n">
        <v>46139</v>
      </c>
      <c r="F821" s="16" t="n">
        <v>46217</v>
      </c>
      <c r="G821" s="17" t="n">
        <v>4</v>
      </c>
      <c r="H821" s="5" t="inlineStr">
        <is>
          <t>5812</t>
        </is>
      </c>
      <c r="I821" s="5" t="inlineStr">
        <is>
          <t>Snack and Nonalcoholic Beverage Bars</t>
        </is>
      </c>
      <c r="J821" s="5" t="inlineStr">
        <is>
          <t>58</t>
        </is>
      </c>
      <c r="K821" s="5" t="n">
        <v>5812</v>
      </c>
      <c r="L821" s="5" t="inlineStr">
        <is>
          <t>CA</t>
        </is>
      </c>
      <c r="M821" s="5" t="inlineStr">
        <is>
          <t>PMF</t>
        </is>
      </c>
      <c r="N821" s="5" t="inlineStr">
        <is>
          <t>New Deal</t>
        </is>
      </c>
      <c r="O821" s="19" t="n">
        <v>1.37</v>
      </c>
      <c r="P821" s="20" t="n">
        <v>80000</v>
      </c>
      <c r="Q821" s="20" t="n">
        <v>4000</v>
      </c>
      <c r="R821" s="20" t="n">
        <v>109600</v>
      </c>
      <c r="S821" s="20" t="n">
        <v>20549.94</v>
      </c>
      <c r="T821" s="20" t="n">
        <v>89050.06</v>
      </c>
      <c r="U821" s="21" t="n">
        <v>0.187499452554745</v>
      </c>
      <c r="V821" s="22" t="n">
        <v>32</v>
      </c>
      <c r="W821" s="17" t="n">
        <v>71</v>
      </c>
      <c r="X821" s="17" t="n">
        <v>5</v>
      </c>
      <c r="Y821" s="20" t="n">
        <v>111745.14</v>
      </c>
      <c r="Z821" s="21" t="n">
        <v>0.1226</v>
      </c>
      <c r="AA821" s="16" t="n">
        <v>36861</v>
      </c>
      <c r="AB821" s="5">
        <f>IF(V821="","",IF(V821&lt;12,"Months","Weeks"))</f>
        <v/>
      </c>
      <c r="AC821" s="5">
        <f>IF(AB821="","",IF(AB821="Months","Daily","Weekly"))</f>
        <v/>
      </c>
      <c r="AD821" s="17">
        <f>IF(V821="","",IF(AC821="Daily",V821*Controls!$B$13,V821))</f>
        <v/>
      </c>
      <c r="AE821" s="17">
        <f>IF(V821="","",IF(AC821="Daily",V821*Controls!$B$13,V821*Controls!$B$12))</f>
        <v/>
      </c>
      <c r="AF821" s="17">
        <f>IF(OR(E821="",F821=""),"",F821-E821)</f>
        <v/>
      </c>
      <c r="AG821" s="17">
        <f>IF(OR(E821="",F821=""),"",NETWORKDAYS(E821,F821,Ref!$F$4:$F$47))</f>
        <v/>
      </c>
      <c r="AH821" s="39">
        <f>IF(IFERROR(VLOOKUP(D821,Controls!$A$25:$D$35,2,FALSE()),"No")="Yes",1,0)</f>
        <v/>
      </c>
      <c r="AI821" s="39">
        <f>IF(IFERROR(VLOOKUP(D821,Controls!$A$25:$D$35,3,FALSE()),"No")="Yes",1,0)</f>
        <v/>
      </c>
      <c r="AJ821" s="39">
        <f>IF(IFERROR(VLOOKUP(D821,Controls!$A$25:$D$35,4,FALSE()),"No")="Yes",1,0)</f>
        <v/>
      </c>
      <c r="AK821" s="96">
        <f>IF(AND($E821&gt;=Controls!$B$5,$E821&lt;=Controls!$B$6,OR(Controls!$E$9&lt;&gt;"Y",$BE821=1)),1,0)</f>
        <v/>
      </c>
      <c r="AL821" s="39">
        <f>1</f>
        <v/>
      </c>
      <c r="AM821" s="20">
        <f>S821-P821</f>
        <v/>
      </c>
      <c r="AN821" s="20">
        <f>IF(AH821=1,MAX(0,P821-S821),0)</f>
        <v/>
      </c>
      <c r="AO821" s="21">
        <f>IFERROR(S821/P821,"")</f>
        <v/>
      </c>
      <c r="AP821" s="22">
        <f>IF(Y821="","",P821/Y821)</f>
        <v/>
      </c>
      <c r="AQ821" s="39">
        <f>IF(Y821="",0,1)</f>
        <v/>
      </c>
      <c r="AR821" s="39">
        <f>IF(S821&lt;=0,1,0)</f>
        <v/>
      </c>
      <c r="AS821" s="17">
        <f>IF(AH821=1,AG821,"")</f>
        <v/>
      </c>
      <c r="AT821" s="17">
        <f>IF(AND(AH821=0,AJ821=1),AG821,"")</f>
        <v/>
      </c>
      <c r="AU821" s="5">
        <f>IF(P821&lt;10000,"Under $10K",IF(P821&lt;20000,"$10-20K",IF(P821&lt;30000,"$20-30K",IF(P821&lt;50000,"$30-50K",IF(P821&lt;100000,"$50-100K","$100K+")))))</f>
        <v/>
      </c>
      <c r="AV821" s="5">
        <f>IF(O821&lt;=1.35,"1.35 and under",IF(O821&lt;=1.42,"1.36-1.42",IF(O821&lt;=1.45,"1.43-1.45",IF(O821&lt;1.49,"1.46-1.48",IF(O821&lt;=1.49,"1.49","Above 1.49")))))</f>
        <v/>
      </c>
      <c r="AW821" s="5">
        <f>IF(AE821="","",IF(AE821&lt;60,"Under 60",IF(AE821&lt;90,"60-89",IF(AE821&lt;120,"90-119",IF(AE821&lt;150,"120-149","150+")))))</f>
        <v/>
      </c>
      <c r="AX821" s="5">
        <f>IF(AP821="","No revenue data",IF(AP821&lt;0.15,"Under 0.15x",IF(AP821&lt;0.3,"0.15-0.30x",IF(AP821&lt;0.5,"0.30-0.50x",IF(AP821&lt;1,"0.50-1.00x","1.00x+")))))</f>
        <v/>
      </c>
      <c r="AY821" s="5">
        <f>IF(J821="","No SIC",IFERROR(VLOOKUP(J821,Ref!$A$4:$C$67,2,FALSE()),"Unclassified"))</f>
        <v/>
      </c>
      <c r="AZ821" s="5">
        <f>IF(E821="","",TEXT(E821,"YYYY")&amp;"-Q"&amp;ROUNDUP(MONTH(E821)/3,0))</f>
        <v/>
      </c>
      <c r="BA821" s="5">
        <f>IF(E821="","",TEXT(E821,"YYYY-MM"))</f>
        <v/>
      </c>
      <c r="BB821" s="5">
        <f>IF(E821="","",TEXT(E821,"YYYY"))</f>
        <v/>
      </c>
      <c r="BC821" s="92">
        <f>IF($E821="","",NETWORKDAYS($E821,Controls!$B$9,Ref!$F$4:$F$47))</f>
        <v/>
      </c>
      <c r="BD821" s="92">
        <f>IF(OR($AH821=1,$AJ821=1),1,0)</f>
        <v/>
      </c>
      <c r="BE821" s="95">
        <f>IF(OR($BD821=1,AND($AE821&lt;&gt;"",$BC821&gt;=Controls!$B$10*$AE821)),1,0)</f>
        <v/>
      </c>
    </row>
    <row r="822" ht="15.75" customHeight="1" s="79">
      <c r="A822" s="5" t="inlineStr">
        <is>
          <t>5674182552</t>
        </is>
      </c>
      <c r="B822" s="5" t="inlineStr">
        <is>
          <t>AAMCO of Athens</t>
        </is>
      </c>
      <c r="C822" s="5" t="inlineStr">
        <is>
          <t>RL BARRRON HOLDING INC</t>
        </is>
      </c>
      <c r="D822" s="5" t="inlineStr">
        <is>
          <t>Closed</t>
        </is>
      </c>
      <c r="E822" s="16" t="n">
        <v>46140</v>
      </c>
      <c r="F822" s="16" t="n">
        <v>46213</v>
      </c>
      <c r="G822" s="17" t="n">
        <v>3</v>
      </c>
      <c r="H822" s="5" t="inlineStr">
        <is>
          <t>7538</t>
        </is>
      </c>
      <c r="I822" s="5" t="inlineStr">
        <is>
          <t>General Automotive Repair</t>
        </is>
      </c>
      <c r="J822" s="5" t="inlineStr">
        <is>
          <t>75</t>
        </is>
      </c>
      <c r="K822" s="5" t="n">
        <v>7538</v>
      </c>
      <c r="L822" s="5" t="inlineStr">
        <is>
          <t>GA</t>
        </is>
      </c>
      <c r="M822" s="5" t="inlineStr">
        <is>
          <t>Ballicci</t>
        </is>
      </c>
      <c r="N822" s="5" t="inlineStr">
        <is>
          <t>Renewal</t>
        </is>
      </c>
      <c r="O822" s="19" t="n">
        <v>1.49</v>
      </c>
      <c r="P822" s="20" t="n">
        <v>35000</v>
      </c>
      <c r="Q822" s="20" t="n">
        <v>4900</v>
      </c>
      <c r="R822" s="20" t="n">
        <v>52150</v>
      </c>
      <c r="S822" s="20" t="n">
        <v>52150</v>
      </c>
      <c r="T822" s="20" t="n">
        <v>0</v>
      </c>
      <c r="U822" s="21" t="n">
        <v>1</v>
      </c>
      <c r="V822" s="22" t="n">
        <v>3.934</v>
      </c>
      <c r="W822" s="17" t="n">
        <v>40</v>
      </c>
      <c r="X822" s="17" t="n">
        <v>3</v>
      </c>
      <c r="Y822" s="20" t="n">
        <v>41414.05</v>
      </c>
      <c r="Z822" s="21" t="n">
        <v>0.2204</v>
      </c>
      <c r="AA822" s="16" t="n">
        <v>41351</v>
      </c>
      <c r="AB822" s="5">
        <f>IF(V822="","",IF(V822&lt;12,"Months","Weeks"))</f>
        <v/>
      </c>
      <c r="AC822" s="5">
        <f>IF(AB822="","",IF(AB822="Months","Daily","Weekly"))</f>
        <v/>
      </c>
      <c r="AD822" s="17">
        <f>IF(V822="","",IF(AC822="Daily",V822*Controls!$B$13,V822))</f>
        <v/>
      </c>
      <c r="AE822" s="17">
        <f>IF(V822="","",IF(AC822="Daily",V822*Controls!$B$13,V822*Controls!$B$12))</f>
        <v/>
      </c>
      <c r="AF822" s="17">
        <f>IF(OR(E822="",F822=""),"",F822-E822)</f>
        <v/>
      </c>
      <c r="AG822" s="17">
        <f>IF(OR(E822="",F822=""),"",NETWORKDAYS(E822,F822,Ref!$F$4:$F$47))</f>
        <v/>
      </c>
      <c r="AH822" s="39">
        <f>IF(IFERROR(VLOOKUP(D822,Controls!$A$25:$D$35,2,FALSE()),"No")="Yes",1,0)</f>
        <v/>
      </c>
      <c r="AI822" s="39">
        <f>IF(IFERROR(VLOOKUP(D822,Controls!$A$25:$D$35,3,FALSE()),"No")="Yes",1,0)</f>
        <v/>
      </c>
      <c r="AJ822" s="39">
        <f>IF(IFERROR(VLOOKUP(D822,Controls!$A$25:$D$35,4,FALSE()),"No")="Yes",1,0)</f>
        <v/>
      </c>
      <c r="AK822" s="96">
        <f>IF(AND($E822&gt;=Controls!$B$5,$E822&lt;=Controls!$B$6,OR(Controls!$E$9&lt;&gt;"Y",$BE822=1)),1,0)</f>
        <v/>
      </c>
      <c r="AL822" s="39">
        <f>1</f>
        <v/>
      </c>
      <c r="AM822" s="20">
        <f>S822-P822</f>
        <v/>
      </c>
      <c r="AN822" s="20">
        <f>IF(AH822=1,MAX(0,P822-S822),0)</f>
        <v/>
      </c>
      <c r="AO822" s="21">
        <f>IFERROR(S822/P822,"")</f>
        <v/>
      </c>
      <c r="AP822" s="22">
        <f>IF(Y822="","",P822/Y822)</f>
        <v/>
      </c>
      <c r="AQ822" s="39">
        <f>IF(Y822="",0,1)</f>
        <v/>
      </c>
      <c r="AR822" s="39">
        <f>IF(S822&lt;=0,1,0)</f>
        <v/>
      </c>
      <c r="AS822" s="17">
        <f>IF(AH822=1,AG822,"")</f>
        <v/>
      </c>
      <c r="AT822" s="17">
        <f>IF(AND(AH822=0,AJ822=1),AG822,"")</f>
        <v/>
      </c>
      <c r="AU822" s="5">
        <f>IF(P822&lt;10000,"Under $10K",IF(P822&lt;20000,"$10-20K",IF(P822&lt;30000,"$20-30K",IF(P822&lt;50000,"$30-50K",IF(P822&lt;100000,"$50-100K","$100K+")))))</f>
        <v/>
      </c>
      <c r="AV822" s="5">
        <f>IF(O822&lt;=1.35,"1.35 and under",IF(O822&lt;=1.42,"1.36-1.42",IF(O822&lt;=1.45,"1.43-1.45",IF(O822&lt;1.49,"1.46-1.48",IF(O822&lt;=1.49,"1.49","Above 1.49")))))</f>
        <v/>
      </c>
      <c r="AW822" s="5">
        <f>IF(AE822="","",IF(AE822&lt;60,"Under 60",IF(AE822&lt;90,"60-89",IF(AE822&lt;120,"90-119",IF(AE822&lt;150,"120-149","150+")))))</f>
        <v/>
      </c>
      <c r="AX822" s="5">
        <f>IF(AP822="","No revenue data",IF(AP822&lt;0.15,"Under 0.15x",IF(AP822&lt;0.3,"0.15-0.30x",IF(AP822&lt;0.5,"0.30-0.50x",IF(AP822&lt;1,"0.50-1.00x","1.00x+")))))</f>
        <v/>
      </c>
      <c r="AY822" s="5">
        <f>IF(J822="","No SIC",IFERROR(VLOOKUP(J822,Ref!$A$4:$C$67,2,FALSE()),"Unclassified"))</f>
        <v/>
      </c>
      <c r="AZ822" s="5">
        <f>IF(E822="","",TEXT(E822,"YYYY")&amp;"-Q"&amp;ROUNDUP(MONTH(E822)/3,0))</f>
        <v/>
      </c>
      <c r="BA822" s="5">
        <f>IF(E822="","",TEXT(E822,"YYYY-MM"))</f>
        <v/>
      </c>
      <c r="BB822" s="5">
        <f>IF(E822="","",TEXT(E822,"YYYY"))</f>
        <v/>
      </c>
      <c r="BC822" s="92">
        <f>IF($E822="","",NETWORKDAYS($E822,Controls!$B$9,Ref!$F$4:$F$47))</f>
        <v/>
      </c>
      <c r="BD822" s="92">
        <f>IF(OR($AH822=1,$AJ822=1),1,0)</f>
        <v/>
      </c>
      <c r="BE822" s="95">
        <f>IF(OR($BD822=1,AND($AE822&lt;&gt;"",$BC822&gt;=Controls!$B$10*$AE822)),1,0)</f>
        <v/>
      </c>
    </row>
    <row r="823" ht="15.75" customHeight="1" s="79">
      <c r="A823" s="5" t="inlineStr">
        <is>
          <t>5674182566</t>
        </is>
      </c>
      <c r="B823" s="5" t="inlineStr">
        <is>
          <t>Mobile Park Management LLC</t>
        </is>
      </c>
      <c r="C823" s="5" t="inlineStr">
        <is>
          <t>Mobile Park Management LLC</t>
        </is>
      </c>
      <c r="D823" s="5" t="inlineStr">
        <is>
          <t>Open</t>
        </is>
      </c>
      <c r="E823" s="16" t="n">
        <v>46140</v>
      </c>
      <c r="F823" s="16" t="n">
        <v>46227</v>
      </c>
      <c r="G823" s="17" t="n">
        <v>3</v>
      </c>
      <c r="H823" s="5" t="inlineStr">
        <is>
          <t>6531</t>
        </is>
      </c>
      <c r="I823" s="5" t="inlineStr">
        <is>
          <t>Other Activities Related to Real Estate</t>
        </is>
      </c>
      <c r="J823" s="5" t="inlineStr">
        <is>
          <t>65</t>
        </is>
      </c>
      <c r="K823" s="5" t="n">
        <v>6513</v>
      </c>
      <c r="L823" s="5" t="inlineStr">
        <is>
          <t>TX</t>
        </is>
      </c>
      <c r="M823" s="5" t="inlineStr">
        <is>
          <t>Pro Source Lending Group</t>
        </is>
      </c>
      <c r="N823" s="5" t="inlineStr">
        <is>
          <t>New Deal</t>
        </is>
      </c>
      <c r="O823" s="19" t="n">
        <v>1.48</v>
      </c>
      <c r="P823" s="20" t="n">
        <v>30000</v>
      </c>
      <c r="Q823" s="20" t="n">
        <v>4050</v>
      </c>
      <c r="R823" s="20" t="n">
        <v>44400</v>
      </c>
      <c r="S823" s="20" t="n">
        <v>20337.24</v>
      </c>
      <c r="T823" s="20" t="n">
        <v>24062.76</v>
      </c>
      <c r="U823" s="21" t="n">
        <v>0.458045945945946</v>
      </c>
      <c r="V823" s="22" t="n">
        <v>24</v>
      </c>
      <c r="W823" s="17" t="n">
        <v>33</v>
      </c>
      <c r="X823" s="17" t="n">
        <v>1</v>
      </c>
      <c r="Y823" s="20" t="n">
        <v>324357.13</v>
      </c>
      <c r="Z823" s="21" t="n">
        <v>0.0228</v>
      </c>
      <c r="AA823" s="16" t="n">
        <v>45323</v>
      </c>
      <c r="AB823" s="5">
        <f>IF(V823="","",IF(V823&lt;12,"Months","Weeks"))</f>
        <v/>
      </c>
      <c r="AC823" s="5">
        <f>IF(AB823="","",IF(AB823="Months","Daily","Weekly"))</f>
        <v/>
      </c>
      <c r="AD823" s="17">
        <f>IF(V823="","",IF(AC823="Daily",V823*Controls!$B$13,V823))</f>
        <v/>
      </c>
      <c r="AE823" s="17">
        <f>IF(V823="","",IF(AC823="Daily",V823*Controls!$B$13,V823*Controls!$B$12))</f>
        <v/>
      </c>
      <c r="AF823" s="17">
        <f>IF(OR(E823="",F823=""),"",F823-E823)</f>
        <v/>
      </c>
      <c r="AG823" s="17">
        <f>IF(OR(E823="",F823=""),"",NETWORKDAYS(E823,F823,Ref!$F$4:$F$47))</f>
        <v/>
      </c>
      <c r="AH823" s="39">
        <f>IF(IFERROR(VLOOKUP(D823,Controls!$A$25:$D$35,2,FALSE()),"No")="Yes",1,0)</f>
        <v/>
      </c>
      <c r="AI823" s="39">
        <f>IF(IFERROR(VLOOKUP(D823,Controls!$A$25:$D$35,3,FALSE()),"No")="Yes",1,0)</f>
        <v/>
      </c>
      <c r="AJ823" s="39">
        <f>IF(IFERROR(VLOOKUP(D823,Controls!$A$25:$D$35,4,FALSE()),"No")="Yes",1,0)</f>
        <v/>
      </c>
      <c r="AK823" s="96">
        <f>IF(AND($E823&gt;=Controls!$B$5,$E823&lt;=Controls!$B$6,OR(Controls!$E$9&lt;&gt;"Y",$BE823=1)),1,0)</f>
        <v/>
      </c>
      <c r="AL823" s="39">
        <f>1</f>
        <v/>
      </c>
      <c r="AM823" s="20">
        <f>S823-P823</f>
        <v/>
      </c>
      <c r="AN823" s="20">
        <f>IF(AH823=1,MAX(0,P823-S823),0)</f>
        <v/>
      </c>
      <c r="AO823" s="21">
        <f>IFERROR(S823/P823,"")</f>
        <v/>
      </c>
      <c r="AP823" s="22">
        <f>IF(Y823="","",P823/Y823)</f>
        <v/>
      </c>
      <c r="AQ823" s="39">
        <f>IF(Y823="",0,1)</f>
        <v/>
      </c>
      <c r="AR823" s="39">
        <f>IF(S823&lt;=0,1,0)</f>
        <v/>
      </c>
      <c r="AS823" s="17">
        <f>IF(AH823=1,AG823,"")</f>
        <v/>
      </c>
      <c r="AT823" s="17">
        <f>IF(AND(AH823=0,AJ823=1),AG823,"")</f>
        <v/>
      </c>
      <c r="AU823" s="5">
        <f>IF(P823&lt;10000,"Under $10K",IF(P823&lt;20000,"$10-20K",IF(P823&lt;30000,"$20-30K",IF(P823&lt;50000,"$30-50K",IF(P823&lt;100000,"$50-100K","$100K+")))))</f>
        <v/>
      </c>
      <c r="AV823" s="5">
        <f>IF(O823&lt;=1.35,"1.35 and under",IF(O823&lt;=1.42,"1.36-1.42",IF(O823&lt;=1.45,"1.43-1.45",IF(O823&lt;1.49,"1.46-1.48",IF(O823&lt;=1.49,"1.49","Above 1.49")))))</f>
        <v/>
      </c>
      <c r="AW823" s="5">
        <f>IF(AE823="","",IF(AE823&lt;60,"Under 60",IF(AE823&lt;90,"60-89",IF(AE823&lt;120,"90-119",IF(AE823&lt;150,"120-149","150+")))))</f>
        <v/>
      </c>
      <c r="AX823" s="5">
        <f>IF(AP823="","No revenue data",IF(AP823&lt;0.15,"Under 0.15x",IF(AP823&lt;0.3,"0.15-0.30x",IF(AP823&lt;0.5,"0.30-0.50x",IF(AP823&lt;1,"0.50-1.00x","1.00x+")))))</f>
        <v/>
      </c>
      <c r="AY823" s="5">
        <f>IF(J823="","No SIC",IFERROR(VLOOKUP(J823,Ref!$A$4:$C$67,2,FALSE()),"Unclassified"))</f>
        <v/>
      </c>
      <c r="AZ823" s="5">
        <f>IF(E823="","",TEXT(E823,"YYYY")&amp;"-Q"&amp;ROUNDUP(MONTH(E823)/3,0))</f>
        <v/>
      </c>
      <c r="BA823" s="5">
        <f>IF(E823="","",TEXT(E823,"YYYY-MM"))</f>
        <v/>
      </c>
      <c r="BB823" s="5">
        <f>IF(E823="","",TEXT(E823,"YYYY"))</f>
        <v/>
      </c>
      <c r="BC823" s="92">
        <f>IF($E823="","",NETWORKDAYS($E823,Controls!$B$9,Ref!$F$4:$F$47))</f>
        <v/>
      </c>
      <c r="BD823" s="92">
        <f>IF(OR($AH823=1,$AJ823=1),1,0)</f>
        <v/>
      </c>
      <c r="BE823" s="95">
        <f>IF(OR($BD823=1,AND($AE823&lt;&gt;"",$BC823&gt;=Controls!$B$10*$AE823)),1,0)</f>
        <v/>
      </c>
    </row>
    <row r="824" ht="15.75" customHeight="1" s="79">
      <c r="A824" s="5" t="inlineStr">
        <is>
          <t>5674182569</t>
        </is>
      </c>
      <c r="B824" s="5" t="inlineStr">
        <is>
          <t>A AND K ASSOCIATES</t>
        </is>
      </c>
      <c r="C824" s="5" t="inlineStr">
        <is>
          <t>KAY INVESTMENT INC</t>
        </is>
      </c>
      <c r="D824" s="5" t="inlineStr">
        <is>
          <t>Open</t>
        </is>
      </c>
      <c r="E824" s="16" t="n">
        <v>46140</v>
      </c>
      <c r="F824" s="16" t="n">
        <v>46248</v>
      </c>
      <c r="G824" s="17" t="n">
        <v>3</v>
      </c>
      <c r="H824" s="5" t="inlineStr">
        <is>
          <t>8748</t>
        </is>
      </c>
      <c r="I824" s="5" t="inlineStr">
        <is>
          <t>Other Management Consulting Services</t>
        </is>
      </c>
      <c r="J824" s="5" t="inlineStr">
        <is>
          <t>87</t>
        </is>
      </c>
      <c r="K824" s="5" t="n">
        <v>7392</v>
      </c>
      <c r="L824" s="5" t="inlineStr">
        <is>
          <t>TX</t>
        </is>
      </c>
      <c r="M824" s="5" t="inlineStr">
        <is>
          <t>Triumph Cap Fund</t>
        </is>
      </c>
      <c r="N824" s="5" t="inlineStr">
        <is>
          <t>Renewal</t>
        </is>
      </c>
      <c r="O824" s="19" t="n">
        <v>1.49</v>
      </c>
      <c r="P824" s="20" t="n">
        <v>30000</v>
      </c>
      <c r="Q824" s="20" t="n">
        <v>4200</v>
      </c>
      <c r="R824" s="20" t="n">
        <v>44700</v>
      </c>
      <c r="S824" s="20" t="n">
        <v>25782.15</v>
      </c>
      <c r="T824" s="20" t="n">
        <v>18917.85</v>
      </c>
      <c r="U824" s="21" t="n">
        <v>0.576781879194631</v>
      </c>
      <c r="V824" s="22" t="n">
        <v>26</v>
      </c>
      <c r="W824" s="17" t="n">
        <v>5</v>
      </c>
      <c r="X824" s="17" t="n">
        <v>0</v>
      </c>
      <c r="Y824" s="20" t="n">
        <v>50516.18</v>
      </c>
      <c r="Z824" s="21" t="n">
        <v>0.1361</v>
      </c>
      <c r="AA824" s="16" t="n">
        <v>44341</v>
      </c>
      <c r="AB824" s="5">
        <f>IF(V824="","",IF(V824&lt;12,"Months","Weeks"))</f>
        <v/>
      </c>
      <c r="AC824" s="5">
        <f>IF(AB824="","",IF(AB824="Months","Daily","Weekly"))</f>
        <v/>
      </c>
      <c r="AD824" s="17">
        <f>IF(V824="","",IF(AC824="Daily",V824*Controls!$B$13,V824))</f>
        <v/>
      </c>
      <c r="AE824" s="17">
        <f>IF(V824="","",IF(AC824="Daily",V824*Controls!$B$13,V824*Controls!$B$12))</f>
        <v/>
      </c>
      <c r="AF824" s="17">
        <f>IF(OR(E824="",F824=""),"",F824-E824)</f>
        <v/>
      </c>
      <c r="AG824" s="17">
        <f>IF(OR(E824="",F824=""),"",NETWORKDAYS(E824,F824,Ref!$F$4:$F$47))</f>
        <v/>
      </c>
      <c r="AH824" s="39">
        <f>IF(IFERROR(VLOOKUP(D824,Controls!$A$25:$D$35,2,FALSE()),"No")="Yes",1,0)</f>
        <v/>
      </c>
      <c r="AI824" s="39">
        <f>IF(IFERROR(VLOOKUP(D824,Controls!$A$25:$D$35,3,FALSE()),"No")="Yes",1,0)</f>
        <v/>
      </c>
      <c r="AJ824" s="39">
        <f>IF(IFERROR(VLOOKUP(D824,Controls!$A$25:$D$35,4,FALSE()),"No")="Yes",1,0)</f>
        <v/>
      </c>
      <c r="AK824" s="96">
        <f>IF(AND($E824&gt;=Controls!$B$5,$E824&lt;=Controls!$B$6,OR(Controls!$E$9&lt;&gt;"Y",$BE824=1)),1,0)</f>
        <v/>
      </c>
      <c r="AL824" s="39">
        <f>1</f>
        <v/>
      </c>
      <c r="AM824" s="20">
        <f>S824-P824</f>
        <v/>
      </c>
      <c r="AN824" s="20">
        <f>IF(AH824=1,MAX(0,P824-S824),0)</f>
        <v/>
      </c>
      <c r="AO824" s="21">
        <f>IFERROR(S824/P824,"")</f>
        <v/>
      </c>
      <c r="AP824" s="22">
        <f>IF(Y824="","",P824/Y824)</f>
        <v/>
      </c>
      <c r="AQ824" s="39">
        <f>IF(Y824="",0,1)</f>
        <v/>
      </c>
      <c r="AR824" s="39">
        <f>IF(S824&lt;=0,1,0)</f>
        <v/>
      </c>
      <c r="AS824" s="17">
        <f>IF(AH824=1,AG824,"")</f>
        <v/>
      </c>
      <c r="AT824" s="17">
        <f>IF(AND(AH824=0,AJ824=1),AG824,"")</f>
        <v/>
      </c>
      <c r="AU824" s="5">
        <f>IF(P824&lt;10000,"Under $10K",IF(P824&lt;20000,"$10-20K",IF(P824&lt;30000,"$20-30K",IF(P824&lt;50000,"$30-50K",IF(P824&lt;100000,"$50-100K","$100K+")))))</f>
        <v/>
      </c>
      <c r="AV824" s="5">
        <f>IF(O824&lt;=1.35,"1.35 and under",IF(O824&lt;=1.42,"1.36-1.42",IF(O824&lt;=1.45,"1.43-1.45",IF(O824&lt;1.49,"1.46-1.48",IF(O824&lt;=1.49,"1.49","Above 1.49")))))</f>
        <v/>
      </c>
      <c r="AW824" s="5">
        <f>IF(AE824="","",IF(AE824&lt;60,"Under 60",IF(AE824&lt;90,"60-89",IF(AE824&lt;120,"90-119",IF(AE824&lt;150,"120-149","150+")))))</f>
        <v/>
      </c>
      <c r="AX824" s="5">
        <f>IF(AP824="","No revenue data",IF(AP824&lt;0.15,"Under 0.15x",IF(AP824&lt;0.3,"0.15-0.30x",IF(AP824&lt;0.5,"0.30-0.50x",IF(AP824&lt;1,"0.50-1.00x","1.00x+")))))</f>
        <v/>
      </c>
      <c r="AY824" s="5">
        <f>IF(J824="","No SIC",IFERROR(VLOOKUP(J824,Ref!$A$4:$C$67,2,FALSE()),"Unclassified"))</f>
        <v/>
      </c>
      <c r="AZ824" s="5">
        <f>IF(E824="","",TEXT(E824,"YYYY")&amp;"-Q"&amp;ROUNDUP(MONTH(E824)/3,0))</f>
        <v/>
      </c>
      <c r="BA824" s="5">
        <f>IF(E824="","",TEXT(E824,"YYYY-MM"))</f>
        <v/>
      </c>
      <c r="BB824" s="5">
        <f>IF(E824="","",TEXT(E824,"YYYY"))</f>
        <v/>
      </c>
      <c r="BC824" s="92">
        <f>IF($E824="","",NETWORKDAYS($E824,Controls!$B$9,Ref!$F$4:$F$47))</f>
        <v/>
      </c>
      <c r="BD824" s="92">
        <f>IF(OR($AH824=1,$AJ824=1),1,0)</f>
        <v/>
      </c>
      <c r="BE824" s="95">
        <f>IF(OR($BD824=1,AND($AE824&lt;&gt;"",$BC824&gt;=Controls!$B$10*$AE824)),1,0)</f>
        <v/>
      </c>
    </row>
    <row r="825" ht="15.75" customHeight="1" s="79">
      <c r="A825" s="5" t="inlineStr">
        <is>
          <t>5674182576</t>
        </is>
      </c>
      <c r="B825" s="5" t="inlineStr">
        <is>
          <t>DRTX Facility Maintenance, LLC</t>
        </is>
      </c>
      <c r="C825" s="5" t="inlineStr">
        <is>
          <t>DRTX Facility Maintenance, LLC</t>
        </is>
      </c>
      <c r="D825" s="5" t="inlineStr">
        <is>
          <t>Closed</t>
        </is>
      </c>
      <c r="E825" s="16" t="n">
        <v>46140</v>
      </c>
      <c r="F825" s="16" t="n">
        <v>46220</v>
      </c>
      <c r="G825" s="17" t="n">
        <v>3</v>
      </c>
      <c r="H825" s="5" t="inlineStr">
        <is>
          <t>1521</t>
        </is>
      </c>
      <c r="I825" s="5" t="inlineStr">
        <is>
          <t>Residential Remodelers</t>
        </is>
      </c>
      <c r="J825" s="5" t="inlineStr">
        <is>
          <t>15</t>
        </is>
      </c>
      <c r="K825" s="5" t="n">
        <v>1520</v>
      </c>
      <c r="L825" s="5" t="inlineStr">
        <is>
          <t>TX</t>
        </is>
      </c>
      <c r="M825" s="5" t="inlineStr">
        <is>
          <t>SNB CAPITAL 18 LLC</t>
        </is>
      </c>
      <c r="N825" s="5" t="inlineStr">
        <is>
          <t>New Deal</t>
        </is>
      </c>
      <c r="O825" s="19" t="n">
        <v>1.49</v>
      </c>
      <c r="P825" s="20" t="n">
        <v>8000</v>
      </c>
      <c r="Q825" s="20" t="n">
        <v>1120</v>
      </c>
      <c r="R825" s="20" t="n">
        <v>11920</v>
      </c>
      <c r="S825" s="20" t="n">
        <v>11920</v>
      </c>
      <c r="T825" s="20" t="n">
        <v>0</v>
      </c>
      <c r="U825" s="21" t="n">
        <v>1</v>
      </c>
      <c r="V825" s="22" t="n">
        <v>3.279</v>
      </c>
      <c r="W825" s="17" t="n">
        <v>33</v>
      </c>
      <c r="X825" s="17" t="n">
        <v>0</v>
      </c>
      <c r="Y825" s="20" t="n">
        <v>51341.83</v>
      </c>
      <c r="Z825" s="21" t="n">
        <v>0.0488</v>
      </c>
      <c r="AA825" s="16" t="n">
        <v>39965</v>
      </c>
      <c r="AB825" s="5">
        <f>IF(V825="","",IF(V825&lt;12,"Months","Weeks"))</f>
        <v/>
      </c>
      <c r="AC825" s="5">
        <f>IF(AB825="","",IF(AB825="Months","Daily","Weekly"))</f>
        <v/>
      </c>
      <c r="AD825" s="17">
        <f>IF(V825="","",IF(AC825="Daily",V825*Controls!$B$13,V825))</f>
        <v/>
      </c>
      <c r="AE825" s="17">
        <f>IF(V825="","",IF(AC825="Daily",V825*Controls!$B$13,V825*Controls!$B$12))</f>
        <v/>
      </c>
      <c r="AF825" s="17">
        <f>IF(OR(E825="",F825=""),"",F825-E825)</f>
        <v/>
      </c>
      <c r="AG825" s="17">
        <f>IF(OR(E825="",F825=""),"",NETWORKDAYS(E825,F825,Ref!$F$4:$F$47))</f>
        <v/>
      </c>
      <c r="AH825" s="39">
        <f>IF(IFERROR(VLOOKUP(D825,Controls!$A$25:$D$35,2,FALSE()),"No")="Yes",1,0)</f>
        <v/>
      </c>
      <c r="AI825" s="39">
        <f>IF(IFERROR(VLOOKUP(D825,Controls!$A$25:$D$35,3,FALSE()),"No")="Yes",1,0)</f>
        <v/>
      </c>
      <c r="AJ825" s="39">
        <f>IF(IFERROR(VLOOKUP(D825,Controls!$A$25:$D$35,4,FALSE()),"No")="Yes",1,0)</f>
        <v/>
      </c>
      <c r="AK825" s="96">
        <f>IF(AND($E825&gt;=Controls!$B$5,$E825&lt;=Controls!$B$6,OR(Controls!$E$9&lt;&gt;"Y",$BE825=1)),1,0)</f>
        <v/>
      </c>
      <c r="AL825" s="39">
        <f>1</f>
        <v/>
      </c>
      <c r="AM825" s="20">
        <f>S825-P825</f>
        <v/>
      </c>
      <c r="AN825" s="20">
        <f>IF(AH825=1,MAX(0,P825-S825),0)</f>
        <v/>
      </c>
      <c r="AO825" s="21">
        <f>IFERROR(S825/P825,"")</f>
        <v/>
      </c>
      <c r="AP825" s="22">
        <f>IF(Y825="","",P825/Y825)</f>
        <v/>
      </c>
      <c r="AQ825" s="39">
        <f>IF(Y825="",0,1)</f>
        <v/>
      </c>
      <c r="AR825" s="39">
        <f>IF(S825&lt;=0,1,0)</f>
        <v/>
      </c>
      <c r="AS825" s="17">
        <f>IF(AH825=1,AG825,"")</f>
        <v/>
      </c>
      <c r="AT825" s="17">
        <f>IF(AND(AH825=0,AJ825=1),AG825,"")</f>
        <v/>
      </c>
      <c r="AU825" s="5">
        <f>IF(P825&lt;10000,"Under $10K",IF(P825&lt;20000,"$10-20K",IF(P825&lt;30000,"$20-30K",IF(P825&lt;50000,"$30-50K",IF(P825&lt;100000,"$50-100K","$100K+")))))</f>
        <v/>
      </c>
      <c r="AV825" s="5">
        <f>IF(O825&lt;=1.35,"1.35 and under",IF(O825&lt;=1.42,"1.36-1.42",IF(O825&lt;=1.45,"1.43-1.45",IF(O825&lt;1.49,"1.46-1.48",IF(O825&lt;=1.49,"1.49","Above 1.49")))))</f>
        <v/>
      </c>
      <c r="AW825" s="5">
        <f>IF(AE825="","",IF(AE825&lt;60,"Under 60",IF(AE825&lt;90,"60-89",IF(AE825&lt;120,"90-119",IF(AE825&lt;150,"120-149","150+")))))</f>
        <v/>
      </c>
      <c r="AX825" s="5">
        <f>IF(AP825="","No revenue data",IF(AP825&lt;0.15,"Under 0.15x",IF(AP825&lt;0.3,"0.15-0.30x",IF(AP825&lt;0.5,"0.30-0.50x",IF(AP825&lt;1,"0.50-1.00x","1.00x+")))))</f>
        <v/>
      </c>
      <c r="AY825" s="5">
        <f>IF(J825="","No SIC",IFERROR(VLOOKUP(J825,Ref!$A$4:$C$67,2,FALSE()),"Unclassified"))</f>
        <v/>
      </c>
      <c r="AZ825" s="5">
        <f>IF(E825="","",TEXT(E825,"YYYY")&amp;"-Q"&amp;ROUNDUP(MONTH(E825)/3,0))</f>
        <v/>
      </c>
      <c r="BA825" s="5">
        <f>IF(E825="","",TEXT(E825,"YYYY-MM"))</f>
        <v/>
      </c>
      <c r="BB825" s="5">
        <f>IF(E825="","",TEXT(E825,"YYYY"))</f>
        <v/>
      </c>
      <c r="BC825" s="92">
        <f>IF($E825="","",NETWORKDAYS($E825,Controls!$B$9,Ref!$F$4:$F$47))</f>
        <v/>
      </c>
      <c r="BD825" s="92">
        <f>IF(OR($AH825=1,$AJ825=1),1,0)</f>
        <v/>
      </c>
      <c r="BE825" s="95">
        <f>IF(OR($BD825=1,AND($AE825&lt;&gt;"",$BC825&gt;=Controls!$B$10*$AE825)),1,0)</f>
        <v/>
      </c>
    </row>
    <row r="826" ht="15.75" customHeight="1" s="79">
      <c r="A826" s="5" t="inlineStr">
        <is>
          <t>5674182583</t>
        </is>
      </c>
      <c r="B826" s="5" t="inlineStr">
        <is>
          <t>Connected Contracting Corp</t>
        </is>
      </c>
      <c r="C826" s="5" t="inlineStr">
        <is>
          <t>Connected Contracting Corp</t>
        </is>
      </c>
      <c r="D826" s="5" t="inlineStr">
        <is>
          <t>Open</t>
        </is>
      </c>
      <c r="E826" s="16" t="n">
        <v>46140</v>
      </c>
      <c r="F826" s="16" t="n">
        <v>46253</v>
      </c>
      <c r="G826" s="17" t="n">
        <v>3</v>
      </c>
      <c r="H826" s="5" t="inlineStr">
        <is>
          <t>1799</t>
        </is>
      </c>
      <c r="I826" s="5" t="inlineStr">
        <is>
          <t>Other Building Finishing Contractors</t>
        </is>
      </c>
      <c r="J826" s="5" t="inlineStr">
        <is>
          <t>17</t>
        </is>
      </c>
      <c r="K826" s="5" t="n">
        <v>1799</v>
      </c>
      <c r="L826" s="5" t="inlineStr">
        <is>
          <t>FL</t>
        </is>
      </c>
      <c r="M826" s="5" t="inlineStr">
        <is>
          <t>Credibly</t>
        </is>
      </c>
      <c r="N826" s="5" t="inlineStr">
        <is>
          <t>New Deal</t>
        </is>
      </c>
      <c r="O826" s="19" t="n">
        <v>1.34</v>
      </c>
      <c r="P826" s="20" t="n">
        <v>10000</v>
      </c>
      <c r="Q826" s="20" t="n">
        <v>600</v>
      </c>
      <c r="R826" s="20" t="n">
        <v>13400</v>
      </c>
      <c r="S826" s="20" t="n">
        <v>5474.77</v>
      </c>
      <c r="T826" s="20" t="n">
        <v>7925.23</v>
      </c>
      <c r="U826" s="21" t="n">
        <v>0.408564925373134</v>
      </c>
      <c r="V826" s="22" t="n">
        <v>3.934</v>
      </c>
      <c r="W826" s="17" t="n">
        <v>0</v>
      </c>
      <c r="X826" s="17" t="n">
        <v>31</v>
      </c>
      <c r="Y826" s="20" t="n">
        <v>26098.36</v>
      </c>
      <c r="Z826" s="21" t="n">
        <v>0.08989999999999999</v>
      </c>
      <c r="AA826" s="16" t="n">
        <v>45007</v>
      </c>
      <c r="AB826" s="5">
        <f>IF(V826="","",IF(V826&lt;12,"Months","Weeks"))</f>
        <v/>
      </c>
      <c r="AC826" s="5">
        <f>IF(AB826="","",IF(AB826="Months","Daily","Weekly"))</f>
        <v/>
      </c>
      <c r="AD826" s="17">
        <f>IF(V826="","",IF(AC826="Daily",V826*Controls!$B$13,V826))</f>
        <v/>
      </c>
      <c r="AE826" s="17">
        <f>IF(V826="","",IF(AC826="Daily",V826*Controls!$B$13,V826*Controls!$B$12))</f>
        <v/>
      </c>
      <c r="AF826" s="17">
        <f>IF(OR(E826="",F826=""),"",F826-E826)</f>
        <v/>
      </c>
      <c r="AG826" s="17">
        <f>IF(OR(E826="",F826=""),"",NETWORKDAYS(E826,F826,Ref!$F$4:$F$47))</f>
        <v/>
      </c>
      <c r="AH826" s="39">
        <f>IF(IFERROR(VLOOKUP(D826,Controls!$A$25:$D$35,2,FALSE()),"No")="Yes",1,0)</f>
        <v/>
      </c>
      <c r="AI826" s="39">
        <f>IF(IFERROR(VLOOKUP(D826,Controls!$A$25:$D$35,3,FALSE()),"No")="Yes",1,0)</f>
        <v/>
      </c>
      <c r="AJ826" s="39">
        <f>IF(IFERROR(VLOOKUP(D826,Controls!$A$25:$D$35,4,FALSE()),"No")="Yes",1,0)</f>
        <v/>
      </c>
      <c r="AK826" s="96">
        <f>IF(AND($E826&gt;=Controls!$B$5,$E826&lt;=Controls!$B$6,OR(Controls!$E$9&lt;&gt;"Y",$BE826=1)),1,0)</f>
        <v/>
      </c>
      <c r="AL826" s="39">
        <f>1</f>
        <v/>
      </c>
      <c r="AM826" s="20">
        <f>S826-P826</f>
        <v/>
      </c>
      <c r="AN826" s="20">
        <f>IF(AH826=1,MAX(0,P826-S826),0)</f>
        <v/>
      </c>
      <c r="AO826" s="21">
        <f>IFERROR(S826/P826,"")</f>
        <v/>
      </c>
      <c r="AP826" s="22">
        <f>IF(Y826="","",P826/Y826)</f>
        <v/>
      </c>
      <c r="AQ826" s="39">
        <f>IF(Y826="",0,1)</f>
        <v/>
      </c>
      <c r="AR826" s="39">
        <f>IF(S826&lt;=0,1,0)</f>
        <v/>
      </c>
      <c r="AS826" s="17">
        <f>IF(AH826=1,AG826,"")</f>
        <v/>
      </c>
      <c r="AT826" s="17">
        <f>IF(AND(AH826=0,AJ826=1),AG826,"")</f>
        <v/>
      </c>
      <c r="AU826" s="5">
        <f>IF(P826&lt;10000,"Under $10K",IF(P826&lt;20000,"$10-20K",IF(P826&lt;30000,"$20-30K",IF(P826&lt;50000,"$30-50K",IF(P826&lt;100000,"$50-100K","$100K+")))))</f>
        <v/>
      </c>
      <c r="AV826" s="5">
        <f>IF(O826&lt;=1.35,"1.35 and under",IF(O826&lt;=1.42,"1.36-1.42",IF(O826&lt;=1.45,"1.43-1.45",IF(O826&lt;1.49,"1.46-1.48",IF(O826&lt;=1.49,"1.49","Above 1.49")))))</f>
        <v/>
      </c>
      <c r="AW826" s="5">
        <f>IF(AE826="","",IF(AE826&lt;60,"Under 60",IF(AE826&lt;90,"60-89",IF(AE826&lt;120,"90-119",IF(AE826&lt;150,"120-149","150+")))))</f>
        <v/>
      </c>
      <c r="AX826" s="5">
        <f>IF(AP826="","No revenue data",IF(AP826&lt;0.15,"Under 0.15x",IF(AP826&lt;0.3,"0.15-0.30x",IF(AP826&lt;0.5,"0.30-0.50x",IF(AP826&lt;1,"0.50-1.00x","1.00x+")))))</f>
        <v/>
      </c>
      <c r="AY826" s="5">
        <f>IF(J826="","No SIC",IFERROR(VLOOKUP(J826,Ref!$A$4:$C$67,2,FALSE()),"Unclassified"))</f>
        <v/>
      </c>
      <c r="AZ826" s="5">
        <f>IF(E826="","",TEXT(E826,"YYYY")&amp;"-Q"&amp;ROUNDUP(MONTH(E826)/3,0))</f>
        <v/>
      </c>
      <c r="BA826" s="5">
        <f>IF(E826="","",TEXT(E826,"YYYY-MM"))</f>
        <v/>
      </c>
      <c r="BB826" s="5">
        <f>IF(E826="","",TEXT(E826,"YYYY"))</f>
        <v/>
      </c>
      <c r="BC826" s="92">
        <f>IF($E826="","",NETWORKDAYS($E826,Controls!$B$9,Ref!$F$4:$F$47))</f>
        <v/>
      </c>
      <c r="BD826" s="92">
        <f>IF(OR($AH826=1,$AJ826=1),1,0)</f>
        <v/>
      </c>
      <c r="BE826" s="95">
        <f>IF(OR($BD826=1,AND($AE826&lt;&gt;"",$BC826&gt;=Controls!$B$10*$AE826)),1,0)</f>
        <v/>
      </c>
    </row>
    <row r="827" ht="15.75" customHeight="1" s="79">
      <c r="A827" s="5" t="inlineStr">
        <is>
          <t>5674182601</t>
        </is>
      </c>
      <c r="B827" s="5" t="inlineStr">
        <is>
          <t>Donopoly remodeling expert LLC</t>
        </is>
      </c>
      <c r="C827" s="5" t="inlineStr">
        <is>
          <t>Donopoly remodeling expert LLC</t>
        </is>
      </c>
      <c r="D827" s="5" t="inlineStr">
        <is>
          <t>Legal</t>
        </is>
      </c>
      <c r="E827" s="16" t="n">
        <v>46140</v>
      </c>
      <c r="F827" s="16" t="n">
        <v>46150</v>
      </c>
      <c r="G827" s="17" t="n">
        <v>3</v>
      </c>
      <c r="H827" s="5" t="inlineStr">
        <is>
          <t>1521</t>
        </is>
      </c>
      <c r="I827" s="5" t="inlineStr">
        <is>
          <t>Residential Remodelers</t>
        </is>
      </c>
      <c r="J827" s="5" t="inlineStr">
        <is>
          <t>15</t>
        </is>
      </c>
      <c r="K827" s="5" t="n">
        <v>1520</v>
      </c>
      <c r="L827" s="5" t="inlineStr">
        <is>
          <t>PA</t>
        </is>
      </c>
      <c r="M827" s="5" t="inlineStr">
        <is>
          <t>Shore Funding USA</t>
        </is>
      </c>
      <c r="N827" s="5" t="inlineStr">
        <is>
          <t>New Deal</t>
        </is>
      </c>
      <c r="O827" s="19" t="n">
        <v>1.49</v>
      </c>
      <c r="P827" s="20" t="n">
        <v>20000</v>
      </c>
      <c r="Q827" s="20" t="n">
        <v>0</v>
      </c>
      <c r="R827" s="20" t="n">
        <v>29800</v>
      </c>
      <c r="S827" s="20" t="n">
        <v>0</v>
      </c>
      <c r="T827" s="20" t="n">
        <v>29800</v>
      </c>
      <c r="U827" s="21" t="n">
        <v>0</v>
      </c>
      <c r="V827" s="22" t="n">
        <v>28</v>
      </c>
      <c r="W827" s="17" t="n">
        <v>113</v>
      </c>
      <c r="X827" s="17" t="n">
        <v>1</v>
      </c>
      <c r="Y827" s="20" t="n">
        <v>49200.57</v>
      </c>
      <c r="Z827" s="21" t="n">
        <v>0.08649999999999999</v>
      </c>
      <c r="AA827" s="16" t="n">
        <v>32025</v>
      </c>
      <c r="AB827" s="5">
        <f>IF(V827="","",IF(V827&lt;12,"Months","Weeks"))</f>
        <v/>
      </c>
      <c r="AC827" s="5">
        <f>IF(AB827="","",IF(AB827="Months","Daily","Weekly"))</f>
        <v/>
      </c>
      <c r="AD827" s="17">
        <f>IF(V827="","",IF(AC827="Daily",V827*Controls!$B$13,V827))</f>
        <v/>
      </c>
      <c r="AE827" s="17">
        <f>IF(V827="","",IF(AC827="Daily",V827*Controls!$B$13,V827*Controls!$B$12))</f>
        <v/>
      </c>
      <c r="AF827" s="17">
        <f>IF(OR(E827="",F827=""),"",F827-E827)</f>
        <v/>
      </c>
      <c r="AG827" s="17">
        <f>IF(OR(E827="",F827=""),"",NETWORKDAYS(E827,F827,Ref!$F$4:$F$47))</f>
        <v/>
      </c>
      <c r="AH827" s="39">
        <f>IF(IFERROR(VLOOKUP(D827,Controls!$A$25:$D$35,2,FALSE()),"No")="Yes",1,0)</f>
        <v/>
      </c>
      <c r="AI827" s="39">
        <f>IF(IFERROR(VLOOKUP(D827,Controls!$A$25:$D$35,3,FALSE()),"No")="Yes",1,0)</f>
        <v/>
      </c>
      <c r="AJ827" s="39">
        <f>IF(IFERROR(VLOOKUP(D827,Controls!$A$25:$D$35,4,FALSE()),"No")="Yes",1,0)</f>
        <v/>
      </c>
      <c r="AK827" s="96">
        <f>IF(AND($E827&gt;=Controls!$B$5,$E827&lt;=Controls!$B$6,OR(Controls!$E$9&lt;&gt;"Y",$BE827=1)),1,0)</f>
        <v/>
      </c>
      <c r="AL827" s="39">
        <f>1</f>
        <v/>
      </c>
      <c r="AM827" s="20">
        <f>S827-P827</f>
        <v/>
      </c>
      <c r="AN827" s="20">
        <f>IF(AH827=1,MAX(0,P827-S827),0)</f>
        <v/>
      </c>
      <c r="AO827" s="21">
        <f>IFERROR(S827/P827,"")</f>
        <v/>
      </c>
      <c r="AP827" s="22">
        <f>IF(Y827="","",P827/Y827)</f>
        <v/>
      </c>
      <c r="AQ827" s="39">
        <f>IF(Y827="",0,1)</f>
        <v/>
      </c>
      <c r="AR827" s="39">
        <f>IF(S827&lt;=0,1,0)</f>
        <v/>
      </c>
      <c r="AS827" s="17">
        <f>IF(AH827=1,AG827,"")</f>
        <v/>
      </c>
      <c r="AT827" s="17">
        <f>IF(AND(AH827=0,AJ827=1),AG827,"")</f>
        <v/>
      </c>
      <c r="AU827" s="5">
        <f>IF(P827&lt;10000,"Under $10K",IF(P827&lt;20000,"$10-20K",IF(P827&lt;30000,"$20-30K",IF(P827&lt;50000,"$30-50K",IF(P827&lt;100000,"$50-100K","$100K+")))))</f>
        <v/>
      </c>
      <c r="AV827" s="5">
        <f>IF(O827&lt;=1.35,"1.35 and under",IF(O827&lt;=1.42,"1.36-1.42",IF(O827&lt;=1.45,"1.43-1.45",IF(O827&lt;1.49,"1.46-1.48",IF(O827&lt;=1.49,"1.49","Above 1.49")))))</f>
        <v/>
      </c>
      <c r="AW827" s="5">
        <f>IF(AE827="","",IF(AE827&lt;60,"Under 60",IF(AE827&lt;90,"60-89",IF(AE827&lt;120,"90-119",IF(AE827&lt;150,"120-149","150+")))))</f>
        <v/>
      </c>
      <c r="AX827" s="5">
        <f>IF(AP827="","No revenue data",IF(AP827&lt;0.15,"Under 0.15x",IF(AP827&lt;0.3,"0.15-0.30x",IF(AP827&lt;0.5,"0.30-0.50x",IF(AP827&lt;1,"0.50-1.00x","1.00x+")))))</f>
        <v/>
      </c>
      <c r="AY827" s="5">
        <f>IF(J827="","No SIC",IFERROR(VLOOKUP(J827,Ref!$A$4:$C$67,2,FALSE()),"Unclassified"))</f>
        <v/>
      </c>
      <c r="AZ827" s="5">
        <f>IF(E827="","",TEXT(E827,"YYYY")&amp;"-Q"&amp;ROUNDUP(MONTH(E827)/3,0))</f>
        <v/>
      </c>
      <c r="BA827" s="5">
        <f>IF(E827="","",TEXT(E827,"YYYY-MM"))</f>
        <v/>
      </c>
      <c r="BB827" s="5">
        <f>IF(E827="","",TEXT(E827,"YYYY"))</f>
        <v/>
      </c>
      <c r="BC827" s="92">
        <f>IF($E827="","",NETWORKDAYS($E827,Controls!$B$9,Ref!$F$4:$F$47))</f>
        <v/>
      </c>
      <c r="BD827" s="92">
        <f>IF(OR($AH827=1,$AJ827=1),1,0)</f>
        <v/>
      </c>
      <c r="BE827" s="95">
        <f>IF(OR($BD827=1,AND($AE827&lt;&gt;"",$BC827&gt;=Controls!$B$10*$AE827)),1,0)</f>
        <v/>
      </c>
    </row>
    <row r="828" ht="15.75" customHeight="1" s="79">
      <c r="A828" s="5" t="inlineStr">
        <is>
          <t>5674182640</t>
        </is>
      </c>
      <c r="B828" s="5" t="inlineStr">
        <is>
          <t>Elk Hotel, LLC Dba</t>
        </is>
      </c>
      <c r="C828" s="5" t="inlineStr">
        <is>
          <t>Elk Hotel, LLC Dba</t>
        </is>
      </c>
      <c r="D828" s="5" t="inlineStr">
        <is>
          <t>Open</t>
        </is>
      </c>
      <c r="E828" s="16" t="n">
        <v>46141</v>
      </c>
      <c r="F828" s="16" t="n">
        <v>46251</v>
      </c>
      <c r="G828" s="17" t="n">
        <v>3</v>
      </c>
      <c r="H828" s="5" t="inlineStr">
        <is>
          <t>7011</t>
        </is>
      </c>
      <c r="I828" s="5" t="inlineStr">
        <is>
          <t>Casino Hotels</t>
        </is>
      </c>
      <c r="J828" s="5" t="inlineStr">
        <is>
          <t>70</t>
        </is>
      </c>
      <c r="K828" s="5" t="n">
        <v>7011</v>
      </c>
      <c r="L828" s="5" t="inlineStr">
        <is>
          <t>CA</t>
        </is>
      </c>
      <c r="M828" s="5" t="inlineStr">
        <is>
          <t>Llama Loan</t>
        </is>
      </c>
      <c r="N828" s="5" t="inlineStr">
        <is>
          <t>New Deal</t>
        </is>
      </c>
      <c r="O828" s="19" t="n">
        <v>1.49</v>
      </c>
      <c r="P828" s="20" t="n">
        <v>45000</v>
      </c>
      <c r="Q828" s="20" t="n">
        <v>6300</v>
      </c>
      <c r="R828" s="20" t="n">
        <v>67050</v>
      </c>
      <c r="S828" s="20" t="n">
        <v>67050</v>
      </c>
      <c r="T828" s="20" t="n">
        <v>0</v>
      </c>
      <c r="U828" s="21" t="n">
        <v>1</v>
      </c>
      <c r="V828" s="22" t="n">
        <v>24</v>
      </c>
      <c r="W828" s="17" t="n">
        <v>2</v>
      </c>
      <c r="X828" s="17" t="n">
        <v>0</v>
      </c>
      <c r="Y828" s="20" t="n">
        <v>71345.28</v>
      </c>
      <c r="Z828" s="21" t="n">
        <v>0.1566</v>
      </c>
      <c r="AA828" s="16" t="n">
        <v>37257</v>
      </c>
      <c r="AB828" s="5">
        <f>IF(V828="","",IF(V828&lt;12,"Months","Weeks"))</f>
        <v/>
      </c>
      <c r="AC828" s="5">
        <f>IF(AB828="","",IF(AB828="Months","Daily","Weekly"))</f>
        <v/>
      </c>
      <c r="AD828" s="17">
        <f>IF(V828="","",IF(AC828="Daily",V828*Controls!$B$13,V828))</f>
        <v/>
      </c>
      <c r="AE828" s="17">
        <f>IF(V828="","",IF(AC828="Daily",V828*Controls!$B$13,V828*Controls!$B$12))</f>
        <v/>
      </c>
      <c r="AF828" s="17">
        <f>IF(OR(E828="",F828=""),"",F828-E828)</f>
        <v/>
      </c>
      <c r="AG828" s="17">
        <f>IF(OR(E828="",F828=""),"",NETWORKDAYS(E828,F828,Ref!$F$4:$F$47))</f>
        <v/>
      </c>
      <c r="AH828" s="39">
        <f>IF(IFERROR(VLOOKUP(D828,Controls!$A$25:$D$35,2,FALSE()),"No")="Yes",1,0)</f>
        <v/>
      </c>
      <c r="AI828" s="39">
        <f>IF(IFERROR(VLOOKUP(D828,Controls!$A$25:$D$35,3,FALSE()),"No")="Yes",1,0)</f>
        <v/>
      </c>
      <c r="AJ828" s="39">
        <f>IF(IFERROR(VLOOKUP(D828,Controls!$A$25:$D$35,4,FALSE()),"No")="Yes",1,0)</f>
        <v/>
      </c>
      <c r="AK828" s="96">
        <f>IF(AND($E828&gt;=Controls!$B$5,$E828&lt;=Controls!$B$6,OR(Controls!$E$9&lt;&gt;"Y",$BE828=1)),1,0)</f>
        <v/>
      </c>
      <c r="AL828" s="39">
        <f>1</f>
        <v/>
      </c>
      <c r="AM828" s="20">
        <f>S828-P828</f>
        <v/>
      </c>
      <c r="AN828" s="20">
        <f>IF(AH828=1,MAX(0,P828-S828),0)</f>
        <v/>
      </c>
      <c r="AO828" s="21">
        <f>IFERROR(S828/P828,"")</f>
        <v/>
      </c>
      <c r="AP828" s="22">
        <f>IF(Y828="","",P828/Y828)</f>
        <v/>
      </c>
      <c r="AQ828" s="39">
        <f>IF(Y828="",0,1)</f>
        <v/>
      </c>
      <c r="AR828" s="39">
        <f>IF(S828&lt;=0,1,0)</f>
        <v/>
      </c>
      <c r="AS828" s="17">
        <f>IF(AH828=1,AG828,"")</f>
        <v/>
      </c>
      <c r="AT828" s="17">
        <f>IF(AND(AH828=0,AJ828=1),AG828,"")</f>
        <v/>
      </c>
      <c r="AU828" s="5">
        <f>IF(P828&lt;10000,"Under $10K",IF(P828&lt;20000,"$10-20K",IF(P828&lt;30000,"$20-30K",IF(P828&lt;50000,"$30-50K",IF(P828&lt;100000,"$50-100K","$100K+")))))</f>
        <v/>
      </c>
      <c r="AV828" s="5">
        <f>IF(O828&lt;=1.35,"1.35 and under",IF(O828&lt;=1.42,"1.36-1.42",IF(O828&lt;=1.45,"1.43-1.45",IF(O828&lt;1.49,"1.46-1.48",IF(O828&lt;=1.49,"1.49","Above 1.49")))))</f>
        <v/>
      </c>
      <c r="AW828" s="5">
        <f>IF(AE828="","",IF(AE828&lt;60,"Under 60",IF(AE828&lt;90,"60-89",IF(AE828&lt;120,"90-119",IF(AE828&lt;150,"120-149","150+")))))</f>
        <v/>
      </c>
      <c r="AX828" s="5">
        <f>IF(AP828="","No revenue data",IF(AP828&lt;0.15,"Under 0.15x",IF(AP828&lt;0.3,"0.15-0.30x",IF(AP828&lt;0.5,"0.30-0.50x",IF(AP828&lt;1,"0.50-1.00x","1.00x+")))))</f>
        <v/>
      </c>
      <c r="AY828" s="5">
        <f>IF(J828="","No SIC",IFERROR(VLOOKUP(J828,Ref!$A$4:$C$67,2,FALSE()),"Unclassified"))</f>
        <v/>
      </c>
      <c r="AZ828" s="5">
        <f>IF(E828="","",TEXT(E828,"YYYY")&amp;"-Q"&amp;ROUNDUP(MONTH(E828)/3,0))</f>
        <v/>
      </c>
      <c r="BA828" s="5">
        <f>IF(E828="","",TEXT(E828,"YYYY-MM"))</f>
        <v/>
      </c>
      <c r="BB828" s="5">
        <f>IF(E828="","",TEXT(E828,"YYYY"))</f>
        <v/>
      </c>
      <c r="BC828" s="92">
        <f>IF($E828="","",NETWORKDAYS($E828,Controls!$B$9,Ref!$F$4:$F$47))</f>
        <v/>
      </c>
      <c r="BD828" s="92">
        <f>IF(OR($AH828=1,$AJ828=1),1,0)</f>
        <v/>
      </c>
      <c r="BE828" s="95">
        <f>IF(OR($BD828=1,AND($AE828&lt;&gt;"",$BC828&gt;=Controls!$B$10*$AE828)),1,0)</f>
        <v/>
      </c>
    </row>
    <row r="829" ht="15.75" customHeight="1" s="79">
      <c r="A829" s="5" t="inlineStr">
        <is>
          <t>5674182650</t>
        </is>
      </c>
      <c r="B829" s="5" t="inlineStr">
        <is>
          <t>JIU HONG CANYIN YULE, INC</t>
        </is>
      </c>
      <c r="C829" s="5" t="inlineStr">
        <is>
          <t>JIU HONG CANYIN YULE, INC</t>
        </is>
      </c>
      <c r="D829" s="5" t="inlineStr">
        <is>
          <t>In House Collection</t>
        </is>
      </c>
      <c r="E829" s="16" t="n">
        <v>46141</v>
      </c>
      <c r="F829" s="16" t="n">
        <v>46195</v>
      </c>
      <c r="G829" s="17" t="n">
        <v>3</v>
      </c>
      <c r="H829" s="5" t="inlineStr">
        <is>
          <t>5699</t>
        </is>
      </c>
      <c r="I829" s="5" t="inlineStr">
        <is>
          <t>Other Clothing Stores</t>
        </is>
      </c>
      <c r="J829" s="5" t="inlineStr">
        <is>
          <t>56</t>
        </is>
      </c>
      <c r="K829" s="5" t="n">
        <v>5699</v>
      </c>
      <c r="L829" s="5" t="inlineStr">
        <is>
          <t>CO</t>
        </is>
      </c>
      <c r="M829" s="5" t="inlineStr">
        <is>
          <t>United Secured Capital 8</t>
        </is>
      </c>
      <c r="N829" s="5" t="inlineStr">
        <is>
          <t>Renewal</t>
        </is>
      </c>
      <c r="O829" s="19" t="n">
        <v>1.49</v>
      </c>
      <c r="P829" s="20" t="n">
        <v>50000</v>
      </c>
      <c r="Q829" s="20" t="n">
        <v>7000</v>
      </c>
      <c r="R829" s="20" t="n">
        <v>74500</v>
      </c>
      <c r="S829" s="20" t="n">
        <v>12240.14</v>
      </c>
      <c r="T829" s="20" t="n">
        <v>62259.86</v>
      </c>
      <c r="U829" s="21" t="n">
        <v>0.164297181208054</v>
      </c>
      <c r="V829" s="22" t="n">
        <v>4.59</v>
      </c>
      <c r="W829" s="17" t="n">
        <v>76</v>
      </c>
      <c r="X829" s="17" t="n">
        <v>4</v>
      </c>
      <c r="Y829" s="20" t="n">
        <v>42013.9</v>
      </c>
      <c r="Z829" s="21" t="n">
        <v>0.266</v>
      </c>
      <c r="AA829" s="16" t="n">
        <v>44659</v>
      </c>
      <c r="AB829" s="5">
        <f>IF(V829="","",IF(V829&lt;12,"Months","Weeks"))</f>
        <v/>
      </c>
      <c r="AC829" s="5">
        <f>IF(AB829="","",IF(AB829="Months","Daily","Weekly"))</f>
        <v/>
      </c>
      <c r="AD829" s="17">
        <f>IF(V829="","",IF(AC829="Daily",V829*Controls!$B$13,V829))</f>
        <v/>
      </c>
      <c r="AE829" s="17">
        <f>IF(V829="","",IF(AC829="Daily",V829*Controls!$B$13,V829*Controls!$B$12))</f>
        <v/>
      </c>
      <c r="AF829" s="17">
        <f>IF(OR(E829="",F829=""),"",F829-E829)</f>
        <v/>
      </c>
      <c r="AG829" s="17">
        <f>IF(OR(E829="",F829=""),"",NETWORKDAYS(E829,F829,Ref!$F$4:$F$47))</f>
        <v/>
      </c>
      <c r="AH829" s="39">
        <f>IF(IFERROR(VLOOKUP(D829,Controls!$A$25:$D$35,2,FALSE()),"No")="Yes",1,0)</f>
        <v/>
      </c>
      <c r="AI829" s="39">
        <f>IF(IFERROR(VLOOKUP(D829,Controls!$A$25:$D$35,3,FALSE()),"No")="Yes",1,0)</f>
        <v/>
      </c>
      <c r="AJ829" s="39">
        <f>IF(IFERROR(VLOOKUP(D829,Controls!$A$25:$D$35,4,FALSE()),"No")="Yes",1,0)</f>
        <v/>
      </c>
      <c r="AK829" s="96">
        <f>IF(AND($E829&gt;=Controls!$B$5,$E829&lt;=Controls!$B$6,OR(Controls!$E$9&lt;&gt;"Y",$BE829=1)),1,0)</f>
        <v/>
      </c>
      <c r="AL829" s="39">
        <f>1</f>
        <v/>
      </c>
      <c r="AM829" s="20">
        <f>S829-P829</f>
        <v/>
      </c>
      <c r="AN829" s="20">
        <f>IF(AH829=1,MAX(0,P829-S829),0)</f>
        <v/>
      </c>
      <c r="AO829" s="21">
        <f>IFERROR(S829/P829,"")</f>
        <v/>
      </c>
      <c r="AP829" s="22">
        <f>IF(Y829="","",P829/Y829)</f>
        <v/>
      </c>
      <c r="AQ829" s="39">
        <f>IF(Y829="",0,1)</f>
        <v/>
      </c>
      <c r="AR829" s="39">
        <f>IF(S829&lt;=0,1,0)</f>
        <v/>
      </c>
      <c r="AS829" s="17">
        <f>IF(AH829=1,AG829,"")</f>
        <v/>
      </c>
      <c r="AT829" s="17">
        <f>IF(AND(AH829=0,AJ829=1),AG829,"")</f>
        <v/>
      </c>
      <c r="AU829" s="5">
        <f>IF(P829&lt;10000,"Under $10K",IF(P829&lt;20000,"$10-20K",IF(P829&lt;30000,"$20-30K",IF(P829&lt;50000,"$30-50K",IF(P829&lt;100000,"$50-100K","$100K+")))))</f>
        <v/>
      </c>
      <c r="AV829" s="5">
        <f>IF(O829&lt;=1.35,"1.35 and under",IF(O829&lt;=1.42,"1.36-1.42",IF(O829&lt;=1.45,"1.43-1.45",IF(O829&lt;1.49,"1.46-1.48",IF(O829&lt;=1.49,"1.49","Above 1.49")))))</f>
        <v/>
      </c>
      <c r="AW829" s="5">
        <f>IF(AE829="","",IF(AE829&lt;60,"Under 60",IF(AE829&lt;90,"60-89",IF(AE829&lt;120,"90-119",IF(AE829&lt;150,"120-149","150+")))))</f>
        <v/>
      </c>
      <c r="AX829" s="5">
        <f>IF(AP829="","No revenue data",IF(AP829&lt;0.15,"Under 0.15x",IF(AP829&lt;0.3,"0.15-0.30x",IF(AP829&lt;0.5,"0.30-0.50x",IF(AP829&lt;1,"0.50-1.00x","1.00x+")))))</f>
        <v/>
      </c>
      <c r="AY829" s="5">
        <f>IF(J829="","No SIC",IFERROR(VLOOKUP(J829,Ref!$A$4:$C$67,2,FALSE()),"Unclassified"))</f>
        <v/>
      </c>
      <c r="AZ829" s="5">
        <f>IF(E829="","",TEXT(E829,"YYYY")&amp;"-Q"&amp;ROUNDUP(MONTH(E829)/3,0))</f>
        <v/>
      </c>
      <c r="BA829" s="5">
        <f>IF(E829="","",TEXT(E829,"YYYY-MM"))</f>
        <v/>
      </c>
      <c r="BB829" s="5">
        <f>IF(E829="","",TEXT(E829,"YYYY"))</f>
        <v/>
      </c>
      <c r="BC829" s="92">
        <f>IF($E829="","",NETWORKDAYS($E829,Controls!$B$9,Ref!$F$4:$F$47))</f>
        <v/>
      </c>
      <c r="BD829" s="92">
        <f>IF(OR($AH829=1,$AJ829=1),1,0)</f>
        <v/>
      </c>
      <c r="BE829" s="95">
        <f>IF(OR($BD829=1,AND($AE829&lt;&gt;"",$BC829&gt;=Controls!$B$10*$AE829)),1,0)</f>
        <v/>
      </c>
    </row>
    <row r="830" ht="15.75" customHeight="1" s="79">
      <c r="A830" s="5" t="inlineStr">
        <is>
          <t>5674182666</t>
        </is>
      </c>
      <c r="B830" s="5" t="inlineStr">
        <is>
          <t>Immpacto flooring LLc</t>
        </is>
      </c>
      <c r="C830" s="5" t="inlineStr">
        <is>
          <t>Immpacto flooring LLc</t>
        </is>
      </c>
      <c r="D830" s="5" t="inlineStr">
        <is>
          <t>Legal</t>
        </is>
      </c>
      <c r="E830" s="16" t="n">
        <v>46141</v>
      </c>
      <c r="F830" s="16" t="n">
        <v>46171</v>
      </c>
      <c r="G830" s="17" t="n">
        <v>3</v>
      </c>
      <c r="H830" s="5" t="inlineStr">
        <is>
          <t>1799</t>
        </is>
      </c>
      <c r="I830" s="5" t="inlineStr">
        <is>
          <t>Other Building Finishing Contractors</t>
        </is>
      </c>
      <c r="J830" s="5" t="inlineStr">
        <is>
          <t>17</t>
        </is>
      </c>
      <c r="K830" s="5" t="n">
        <v>1799</v>
      </c>
      <c r="L830" s="5" t="inlineStr">
        <is>
          <t>NJ</t>
        </is>
      </c>
      <c r="M830" s="5" t="inlineStr">
        <is>
          <t>PMF</t>
        </is>
      </c>
      <c r="N830" s="5" t="inlineStr">
        <is>
          <t>New Deal</t>
        </is>
      </c>
      <c r="O830" s="19" t="n">
        <v>1.49</v>
      </c>
      <c r="P830" s="20" t="n">
        <v>35000</v>
      </c>
      <c r="Q830" s="20" t="n">
        <v>0</v>
      </c>
      <c r="R830" s="20" t="n">
        <v>52150</v>
      </c>
      <c r="S830" s="20" t="n">
        <v>3722.18</v>
      </c>
      <c r="T830" s="20" t="n">
        <v>48427.82</v>
      </c>
      <c r="U830" s="21" t="n">
        <v>0.07137449664429529</v>
      </c>
      <c r="V830" s="22" t="n">
        <v>28</v>
      </c>
      <c r="W830" s="17" t="n">
        <v>96</v>
      </c>
      <c r="X830" s="17" t="n">
        <v>2</v>
      </c>
      <c r="Y830" s="20" t="n">
        <v>809169.74</v>
      </c>
      <c r="Z830" s="21" t="n">
        <v>0.0092</v>
      </c>
      <c r="AA830" s="16" t="n">
        <v>42467</v>
      </c>
      <c r="AB830" s="5">
        <f>IF(V830="","",IF(V830&lt;12,"Months","Weeks"))</f>
        <v/>
      </c>
      <c r="AC830" s="5">
        <f>IF(AB830="","",IF(AB830="Months","Daily","Weekly"))</f>
        <v/>
      </c>
      <c r="AD830" s="17">
        <f>IF(V830="","",IF(AC830="Daily",V830*Controls!$B$13,V830))</f>
        <v/>
      </c>
      <c r="AE830" s="17">
        <f>IF(V830="","",IF(AC830="Daily",V830*Controls!$B$13,V830*Controls!$B$12))</f>
        <v/>
      </c>
      <c r="AF830" s="17">
        <f>IF(OR(E830="",F830=""),"",F830-E830)</f>
        <v/>
      </c>
      <c r="AG830" s="17">
        <f>IF(OR(E830="",F830=""),"",NETWORKDAYS(E830,F830,Ref!$F$4:$F$47))</f>
        <v/>
      </c>
      <c r="AH830" s="39">
        <f>IF(IFERROR(VLOOKUP(D830,Controls!$A$25:$D$35,2,FALSE()),"No")="Yes",1,0)</f>
        <v/>
      </c>
      <c r="AI830" s="39">
        <f>IF(IFERROR(VLOOKUP(D830,Controls!$A$25:$D$35,3,FALSE()),"No")="Yes",1,0)</f>
        <v/>
      </c>
      <c r="AJ830" s="39">
        <f>IF(IFERROR(VLOOKUP(D830,Controls!$A$25:$D$35,4,FALSE()),"No")="Yes",1,0)</f>
        <v/>
      </c>
      <c r="AK830" s="96">
        <f>IF(AND($E830&gt;=Controls!$B$5,$E830&lt;=Controls!$B$6,OR(Controls!$E$9&lt;&gt;"Y",$BE830=1)),1,0)</f>
        <v/>
      </c>
      <c r="AL830" s="39">
        <f>1</f>
        <v/>
      </c>
      <c r="AM830" s="20">
        <f>S830-P830</f>
        <v/>
      </c>
      <c r="AN830" s="20">
        <f>IF(AH830=1,MAX(0,P830-S830),0)</f>
        <v/>
      </c>
      <c r="AO830" s="21">
        <f>IFERROR(S830/P830,"")</f>
        <v/>
      </c>
      <c r="AP830" s="22">
        <f>IF(Y830="","",P830/Y830)</f>
        <v/>
      </c>
      <c r="AQ830" s="39">
        <f>IF(Y830="",0,1)</f>
        <v/>
      </c>
      <c r="AR830" s="39">
        <f>IF(S830&lt;=0,1,0)</f>
        <v/>
      </c>
      <c r="AS830" s="17">
        <f>IF(AH830=1,AG830,"")</f>
        <v/>
      </c>
      <c r="AT830" s="17">
        <f>IF(AND(AH830=0,AJ830=1),AG830,"")</f>
        <v/>
      </c>
      <c r="AU830" s="5">
        <f>IF(P830&lt;10000,"Under $10K",IF(P830&lt;20000,"$10-20K",IF(P830&lt;30000,"$20-30K",IF(P830&lt;50000,"$30-50K",IF(P830&lt;100000,"$50-100K","$100K+")))))</f>
        <v/>
      </c>
      <c r="AV830" s="5">
        <f>IF(O830&lt;=1.35,"1.35 and under",IF(O830&lt;=1.42,"1.36-1.42",IF(O830&lt;=1.45,"1.43-1.45",IF(O830&lt;1.49,"1.46-1.48",IF(O830&lt;=1.49,"1.49","Above 1.49")))))</f>
        <v/>
      </c>
      <c r="AW830" s="5">
        <f>IF(AE830="","",IF(AE830&lt;60,"Under 60",IF(AE830&lt;90,"60-89",IF(AE830&lt;120,"90-119",IF(AE830&lt;150,"120-149","150+")))))</f>
        <v/>
      </c>
      <c r="AX830" s="5">
        <f>IF(AP830="","No revenue data",IF(AP830&lt;0.15,"Under 0.15x",IF(AP830&lt;0.3,"0.15-0.30x",IF(AP830&lt;0.5,"0.30-0.50x",IF(AP830&lt;1,"0.50-1.00x","1.00x+")))))</f>
        <v/>
      </c>
      <c r="AY830" s="5">
        <f>IF(J830="","No SIC",IFERROR(VLOOKUP(J830,Ref!$A$4:$C$67,2,FALSE()),"Unclassified"))</f>
        <v/>
      </c>
      <c r="AZ830" s="5">
        <f>IF(E830="","",TEXT(E830,"YYYY")&amp;"-Q"&amp;ROUNDUP(MONTH(E830)/3,0))</f>
        <v/>
      </c>
      <c r="BA830" s="5">
        <f>IF(E830="","",TEXT(E830,"YYYY-MM"))</f>
        <v/>
      </c>
      <c r="BB830" s="5">
        <f>IF(E830="","",TEXT(E830,"YYYY"))</f>
        <v/>
      </c>
      <c r="BC830" s="92">
        <f>IF($E830="","",NETWORKDAYS($E830,Controls!$B$9,Ref!$F$4:$F$47))</f>
        <v/>
      </c>
      <c r="BD830" s="92">
        <f>IF(OR($AH830=1,$AJ830=1),1,0)</f>
        <v/>
      </c>
      <c r="BE830" s="95">
        <f>IF(OR($BD830=1,AND($AE830&lt;&gt;"",$BC830&gt;=Controls!$B$10*$AE830)),1,0)</f>
        <v/>
      </c>
    </row>
    <row r="831" ht="15.75" customHeight="1" s="79">
      <c r="A831" s="5" t="inlineStr">
        <is>
          <t>5674182695</t>
        </is>
      </c>
      <c r="B831" s="5" t="inlineStr">
        <is>
          <t>Beauty Bar Medispa Greenville, PLLC</t>
        </is>
      </c>
      <c r="C831" s="5" t="inlineStr">
        <is>
          <t>Beauty Bar Medispa Greenville, PLLC</t>
        </is>
      </c>
      <c r="D831" s="5" t="inlineStr">
        <is>
          <t>Open</t>
        </is>
      </c>
      <c r="E831" s="16" t="n">
        <v>46141</v>
      </c>
      <c r="F831" s="16" t="n">
        <v>46218</v>
      </c>
      <c r="G831" s="17" t="n">
        <v>3</v>
      </c>
      <c r="H831" s="5" t="inlineStr">
        <is>
          <t>7231</t>
        </is>
      </c>
      <c r="I831" s="5" t="inlineStr">
        <is>
          <t>Cosmetology and Barber Schools</t>
        </is>
      </c>
      <c r="J831" s="5" t="inlineStr">
        <is>
          <t>72</t>
        </is>
      </c>
      <c r="K831" s="5" t="n">
        <v>7230</v>
      </c>
      <c r="L831" s="5" t="inlineStr">
        <is>
          <t>NC</t>
        </is>
      </c>
      <c r="M831" s="5" t="inlineStr">
        <is>
          <t>Ballicci</t>
        </is>
      </c>
      <c r="N831" s="5" t="inlineStr">
        <is>
          <t>Renewal</t>
        </is>
      </c>
      <c r="O831" s="19" t="n">
        <v>1.49</v>
      </c>
      <c r="P831" s="20" t="n">
        <v>50000</v>
      </c>
      <c r="Q831" s="20" t="n">
        <v>7000</v>
      </c>
      <c r="R831" s="20" t="n">
        <v>74500</v>
      </c>
      <c r="S831" s="20" t="n">
        <v>19864</v>
      </c>
      <c r="T831" s="20" t="n">
        <v>54636</v>
      </c>
      <c r="U831" s="21" t="n">
        <v>0.266630872483222</v>
      </c>
      <c r="V831" s="22" t="n">
        <v>30</v>
      </c>
      <c r="W831" s="17" t="n">
        <v>42</v>
      </c>
      <c r="X831" s="17" t="n">
        <v>2</v>
      </c>
      <c r="Y831" s="20" t="n">
        <v>165533.36</v>
      </c>
      <c r="Z831" s="21" t="n">
        <v>0.06</v>
      </c>
      <c r="AA831" s="16" t="n">
        <v>43908</v>
      </c>
      <c r="AB831" s="5">
        <f>IF(V831="","",IF(V831&lt;12,"Months","Weeks"))</f>
        <v/>
      </c>
      <c r="AC831" s="5">
        <f>IF(AB831="","",IF(AB831="Months","Daily","Weekly"))</f>
        <v/>
      </c>
      <c r="AD831" s="17">
        <f>IF(V831="","",IF(AC831="Daily",V831*Controls!$B$13,V831))</f>
        <v/>
      </c>
      <c r="AE831" s="17">
        <f>IF(V831="","",IF(AC831="Daily",V831*Controls!$B$13,V831*Controls!$B$12))</f>
        <v/>
      </c>
      <c r="AF831" s="17">
        <f>IF(OR(E831="",F831=""),"",F831-E831)</f>
        <v/>
      </c>
      <c r="AG831" s="17">
        <f>IF(OR(E831="",F831=""),"",NETWORKDAYS(E831,F831,Ref!$F$4:$F$47))</f>
        <v/>
      </c>
      <c r="AH831" s="39">
        <f>IF(IFERROR(VLOOKUP(D831,Controls!$A$25:$D$35,2,FALSE()),"No")="Yes",1,0)</f>
        <v/>
      </c>
      <c r="AI831" s="39">
        <f>IF(IFERROR(VLOOKUP(D831,Controls!$A$25:$D$35,3,FALSE()),"No")="Yes",1,0)</f>
        <v/>
      </c>
      <c r="AJ831" s="39">
        <f>IF(IFERROR(VLOOKUP(D831,Controls!$A$25:$D$35,4,FALSE()),"No")="Yes",1,0)</f>
        <v/>
      </c>
      <c r="AK831" s="96">
        <f>IF(AND($E831&gt;=Controls!$B$5,$E831&lt;=Controls!$B$6,OR(Controls!$E$9&lt;&gt;"Y",$BE831=1)),1,0)</f>
        <v/>
      </c>
      <c r="AL831" s="39">
        <f>1</f>
        <v/>
      </c>
      <c r="AM831" s="20">
        <f>S831-P831</f>
        <v/>
      </c>
      <c r="AN831" s="20">
        <f>IF(AH831=1,MAX(0,P831-S831),0)</f>
        <v/>
      </c>
      <c r="AO831" s="21">
        <f>IFERROR(S831/P831,"")</f>
        <v/>
      </c>
      <c r="AP831" s="22">
        <f>IF(Y831="","",P831/Y831)</f>
        <v/>
      </c>
      <c r="AQ831" s="39">
        <f>IF(Y831="",0,1)</f>
        <v/>
      </c>
      <c r="AR831" s="39">
        <f>IF(S831&lt;=0,1,0)</f>
        <v/>
      </c>
      <c r="AS831" s="17">
        <f>IF(AH831=1,AG831,"")</f>
        <v/>
      </c>
      <c r="AT831" s="17">
        <f>IF(AND(AH831=0,AJ831=1),AG831,"")</f>
        <v/>
      </c>
      <c r="AU831" s="5">
        <f>IF(P831&lt;10000,"Under $10K",IF(P831&lt;20000,"$10-20K",IF(P831&lt;30000,"$20-30K",IF(P831&lt;50000,"$30-50K",IF(P831&lt;100000,"$50-100K","$100K+")))))</f>
        <v/>
      </c>
      <c r="AV831" s="5">
        <f>IF(O831&lt;=1.35,"1.35 and under",IF(O831&lt;=1.42,"1.36-1.42",IF(O831&lt;=1.45,"1.43-1.45",IF(O831&lt;1.49,"1.46-1.48",IF(O831&lt;=1.49,"1.49","Above 1.49")))))</f>
        <v/>
      </c>
      <c r="AW831" s="5">
        <f>IF(AE831="","",IF(AE831&lt;60,"Under 60",IF(AE831&lt;90,"60-89",IF(AE831&lt;120,"90-119",IF(AE831&lt;150,"120-149","150+")))))</f>
        <v/>
      </c>
      <c r="AX831" s="5">
        <f>IF(AP831="","No revenue data",IF(AP831&lt;0.15,"Under 0.15x",IF(AP831&lt;0.3,"0.15-0.30x",IF(AP831&lt;0.5,"0.30-0.50x",IF(AP831&lt;1,"0.50-1.00x","1.00x+")))))</f>
        <v/>
      </c>
      <c r="AY831" s="5">
        <f>IF(J831="","No SIC",IFERROR(VLOOKUP(J831,Ref!$A$4:$C$67,2,FALSE()),"Unclassified"))</f>
        <v/>
      </c>
      <c r="AZ831" s="5">
        <f>IF(E831="","",TEXT(E831,"YYYY")&amp;"-Q"&amp;ROUNDUP(MONTH(E831)/3,0))</f>
        <v/>
      </c>
      <c r="BA831" s="5">
        <f>IF(E831="","",TEXT(E831,"YYYY-MM"))</f>
        <v/>
      </c>
      <c r="BB831" s="5">
        <f>IF(E831="","",TEXT(E831,"YYYY"))</f>
        <v/>
      </c>
      <c r="BC831" s="92">
        <f>IF($E831="","",NETWORKDAYS($E831,Controls!$B$9,Ref!$F$4:$F$47))</f>
        <v/>
      </c>
      <c r="BD831" s="92">
        <f>IF(OR($AH831=1,$AJ831=1),1,0)</f>
        <v/>
      </c>
      <c r="BE831" s="95">
        <f>IF(OR($BD831=1,AND($AE831&lt;&gt;"",$BC831&gt;=Controls!$B$10*$AE831)),1,0)</f>
        <v/>
      </c>
    </row>
    <row r="832" ht="15.75" customHeight="1" s="79">
      <c r="A832" s="5" t="inlineStr">
        <is>
          <t>5674182765</t>
        </is>
      </c>
      <c r="B832" s="5" t="inlineStr">
        <is>
          <t>Map and Map</t>
        </is>
      </c>
      <c r="C832" s="5" t="inlineStr">
        <is>
          <t>Map and Map</t>
        </is>
      </c>
      <c r="D832" s="5" t="inlineStr">
        <is>
          <t>Closed</t>
        </is>
      </c>
      <c r="E832" s="16" t="n">
        <v>46142</v>
      </c>
      <c r="F832" s="16" t="n">
        <v>46231</v>
      </c>
      <c r="G832" s="17" t="n">
        <v>3</v>
      </c>
      <c r="H832" s="5" t="inlineStr">
        <is>
          <t>5999</t>
        </is>
      </c>
      <c r="I832" s="5" t="inlineStr">
        <is>
          <t>All Other Health and Personal Care Stores</t>
        </is>
      </c>
      <c r="J832" s="5" t="inlineStr">
        <is>
          <t>59</t>
        </is>
      </c>
      <c r="K832" s="5" t="n">
        <v>5999</v>
      </c>
      <c r="L832" s="5" t="inlineStr">
        <is>
          <t>TX</t>
        </is>
      </c>
      <c r="M832" s="5" t="inlineStr">
        <is>
          <t>PMF</t>
        </is>
      </c>
      <c r="N832" s="5" t="inlineStr">
        <is>
          <t>Renewal</t>
        </is>
      </c>
      <c r="O832" s="19" t="n">
        <v>1.49</v>
      </c>
      <c r="P832" s="20" t="n">
        <v>10000</v>
      </c>
      <c r="Q832" s="20" t="n">
        <v>1400</v>
      </c>
      <c r="R832" s="20" t="n">
        <v>14900</v>
      </c>
      <c r="S832" s="20" t="n">
        <v>14900</v>
      </c>
      <c r="T832" s="20" t="n">
        <v>0</v>
      </c>
      <c r="U832" s="21" t="n">
        <v>1</v>
      </c>
      <c r="V832" s="22" t="n">
        <v>3.279</v>
      </c>
      <c r="W832" s="17" t="n">
        <v>22</v>
      </c>
      <c r="X832" s="17" t="n">
        <v>1</v>
      </c>
      <c r="Y832" s="20" t="n">
        <v>19491.45</v>
      </c>
      <c r="Z832" s="21" t="n">
        <v>0.1622</v>
      </c>
      <c r="AA832" s="16" t="n">
        <v>44356</v>
      </c>
      <c r="AB832" s="5">
        <f>IF(V832="","",IF(V832&lt;12,"Months","Weeks"))</f>
        <v/>
      </c>
      <c r="AC832" s="5">
        <f>IF(AB832="","",IF(AB832="Months","Daily","Weekly"))</f>
        <v/>
      </c>
      <c r="AD832" s="17">
        <f>IF(V832="","",IF(AC832="Daily",V832*Controls!$B$13,V832))</f>
        <v/>
      </c>
      <c r="AE832" s="17">
        <f>IF(V832="","",IF(AC832="Daily",V832*Controls!$B$13,V832*Controls!$B$12))</f>
        <v/>
      </c>
      <c r="AF832" s="17">
        <f>IF(OR(E832="",F832=""),"",F832-E832)</f>
        <v/>
      </c>
      <c r="AG832" s="17">
        <f>IF(OR(E832="",F832=""),"",NETWORKDAYS(E832,F832,Ref!$F$4:$F$47))</f>
        <v/>
      </c>
      <c r="AH832" s="39">
        <f>IF(IFERROR(VLOOKUP(D832,Controls!$A$25:$D$35,2,FALSE()),"No")="Yes",1,0)</f>
        <v/>
      </c>
      <c r="AI832" s="39">
        <f>IF(IFERROR(VLOOKUP(D832,Controls!$A$25:$D$35,3,FALSE()),"No")="Yes",1,0)</f>
        <v/>
      </c>
      <c r="AJ832" s="39">
        <f>IF(IFERROR(VLOOKUP(D832,Controls!$A$25:$D$35,4,FALSE()),"No")="Yes",1,0)</f>
        <v/>
      </c>
      <c r="AK832" s="96">
        <f>IF(AND($E832&gt;=Controls!$B$5,$E832&lt;=Controls!$B$6,OR(Controls!$E$9&lt;&gt;"Y",$BE832=1)),1,0)</f>
        <v/>
      </c>
      <c r="AL832" s="39">
        <f>1</f>
        <v/>
      </c>
      <c r="AM832" s="20">
        <f>S832-P832</f>
        <v/>
      </c>
      <c r="AN832" s="20">
        <f>IF(AH832=1,MAX(0,P832-S832),0)</f>
        <v/>
      </c>
      <c r="AO832" s="21">
        <f>IFERROR(S832/P832,"")</f>
        <v/>
      </c>
      <c r="AP832" s="22">
        <f>IF(Y832="","",P832/Y832)</f>
        <v/>
      </c>
      <c r="AQ832" s="39">
        <f>IF(Y832="",0,1)</f>
        <v/>
      </c>
      <c r="AR832" s="39">
        <f>IF(S832&lt;=0,1,0)</f>
        <v/>
      </c>
      <c r="AS832" s="17">
        <f>IF(AH832=1,AG832,"")</f>
        <v/>
      </c>
      <c r="AT832" s="17">
        <f>IF(AND(AH832=0,AJ832=1),AG832,"")</f>
        <v/>
      </c>
      <c r="AU832" s="5">
        <f>IF(P832&lt;10000,"Under $10K",IF(P832&lt;20000,"$10-20K",IF(P832&lt;30000,"$20-30K",IF(P832&lt;50000,"$30-50K",IF(P832&lt;100000,"$50-100K","$100K+")))))</f>
        <v/>
      </c>
      <c r="AV832" s="5">
        <f>IF(O832&lt;=1.35,"1.35 and under",IF(O832&lt;=1.42,"1.36-1.42",IF(O832&lt;=1.45,"1.43-1.45",IF(O832&lt;1.49,"1.46-1.48",IF(O832&lt;=1.49,"1.49","Above 1.49")))))</f>
        <v/>
      </c>
      <c r="AW832" s="5">
        <f>IF(AE832="","",IF(AE832&lt;60,"Under 60",IF(AE832&lt;90,"60-89",IF(AE832&lt;120,"90-119",IF(AE832&lt;150,"120-149","150+")))))</f>
        <v/>
      </c>
      <c r="AX832" s="5">
        <f>IF(AP832="","No revenue data",IF(AP832&lt;0.15,"Under 0.15x",IF(AP832&lt;0.3,"0.15-0.30x",IF(AP832&lt;0.5,"0.30-0.50x",IF(AP832&lt;1,"0.50-1.00x","1.00x+")))))</f>
        <v/>
      </c>
      <c r="AY832" s="5">
        <f>IF(J832="","No SIC",IFERROR(VLOOKUP(J832,Ref!$A$4:$C$67,2,FALSE()),"Unclassified"))</f>
        <v/>
      </c>
      <c r="AZ832" s="5">
        <f>IF(E832="","",TEXT(E832,"YYYY")&amp;"-Q"&amp;ROUNDUP(MONTH(E832)/3,0))</f>
        <v/>
      </c>
      <c r="BA832" s="5">
        <f>IF(E832="","",TEXT(E832,"YYYY-MM"))</f>
        <v/>
      </c>
      <c r="BB832" s="5">
        <f>IF(E832="","",TEXT(E832,"YYYY"))</f>
        <v/>
      </c>
      <c r="BC832" s="92">
        <f>IF($E832="","",NETWORKDAYS($E832,Controls!$B$9,Ref!$F$4:$F$47))</f>
        <v/>
      </c>
      <c r="BD832" s="92">
        <f>IF(OR($AH832=1,$AJ832=1),1,0)</f>
        <v/>
      </c>
      <c r="BE832" s="95">
        <f>IF(OR($BD832=1,AND($AE832&lt;&gt;"",$BC832&gt;=Controls!$B$10*$AE832)),1,0)</f>
        <v/>
      </c>
    </row>
    <row r="833" ht="15.75" customHeight="1" s="79">
      <c r="A833" s="5" t="inlineStr">
        <is>
          <t>5674182775</t>
        </is>
      </c>
      <c r="B833" s="5" t="inlineStr">
        <is>
          <t>M&amp;K Boardroom LLC</t>
        </is>
      </c>
      <c r="C833" s="5" t="inlineStr">
        <is>
          <t>M&amp;K Boardroom LLC</t>
        </is>
      </c>
      <c r="D833" s="5" t="inlineStr">
        <is>
          <t>Open</t>
        </is>
      </c>
      <c r="E833" s="16" t="n">
        <v>46142</v>
      </c>
      <c r="F833" s="16" t="n">
        <v>46253</v>
      </c>
      <c r="G833" s="17" t="n">
        <v>3</v>
      </c>
      <c r="H833" s="5" t="inlineStr">
        <is>
          <t>5999</t>
        </is>
      </c>
      <c r="I833" s="5" t="inlineStr">
        <is>
          <t>All Other Health and Personal Care Stores</t>
        </is>
      </c>
      <c r="J833" s="5" t="inlineStr">
        <is>
          <t>59</t>
        </is>
      </c>
      <c r="K833" s="5" t="n">
        <v>5999</v>
      </c>
      <c r="L833" s="5" t="inlineStr">
        <is>
          <t>FL</t>
        </is>
      </c>
      <c r="M833" s="5" t="inlineStr">
        <is>
          <t>Credibly</t>
        </is>
      </c>
      <c r="N833" s="5" t="inlineStr">
        <is>
          <t>New Deal</t>
        </is>
      </c>
      <c r="O833" s="19" t="n">
        <v>1.41</v>
      </c>
      <c r="P833" s="20" t="n">
        <v>10000</v>
      </c>
      <c r="Q833" s="20" t="n">
        <v>1000</v>
      </c>
      <c r="R833" s="20" t="n">
        <v>14100</v>
      </c>
      <c r="S833" s="20" t="n">
        <v>8607.1</v>
      </c>
      <c r="T833" s="20" t="n">
        <v>5492.9</v>
      </c>
      <c r="U833" s="21" t="n">
        <v>0.610432624113475</v>
      </c>
      <c r="V833" s="22" t="n">
        <v>3.279</v>
      </c>
      <c r="W833" s="17" t="n">
        <v>0</v>
      </c>
      <c r="X833" s="17" t="n">
        <v>17</v>
      </c>
      <c r="Y833" s="20" t="n">
        <v>44893.89</v>
      </c>
      <c r="Z833" s="21" t="n">
        <v>0.066</v>
      </c>
      <c r="AA833" s="16" t="n">
        <v>45748</v>
      </c>
      <c r="AB833" s="5">
        <f>IF(V833="","",IF(V833&lt;12,"Months","Weeks"))</f>
        <v/>
      </c>
      <c r="AC833" s="5">
        <f>IF(AB833="","",IF(AB833="Months","Daily","Weekly"))</f>
        <v/>
      </c>
      <c r="AD833" s="17">
        <f>IF(V833="","",IF(AC833="Daily",V833*Controls!$B$13,V833))</f>
        <v/>
      </c>
      <c r="AE833" s="17">
        <f>IF(V833="","",IF(AC833="Daily",V833*Controls!$B$13,V833*Controls!$B$12))</f>
        <v/>
      </c>
      <c r="AF833" s="17">
        <f>IF(OR(E833="",F833=""),"",F833-E833)</f>
        <v/>
      </c>
      <c r="AG833" s="17">
        <f>IF(OR(E833="",F833=""),"",NETWORKDAYS(E833,F833,Ref!$F$4:$F$47))</f>
        <v/>
      </c>
      <c r="AH833" s="39">
        <f>IF(IFERROR(VLOOKUP(D833,Controls!$A$25:$D$35,2,FALSE()),"No")="Yes",1,0)</f>
        <v/>
      </c>
      <c r="AI833" s="39">
        <f>IF(IFERROR(VLOOKUP(D833,Controls!$A$25:$D$35,3,FALSE()),"No")="Yes",1,0)</f>
        <v/>
      </c>
      <c r="AJ833" s="39">
        <f>IF(IFERROR(VLOOKUP(D833,Controls!$A$25:$D$35,4,FALSE()),"No")="Yes",1,0)</f>
        <v/>
      </c>
      <c r="AK833" s="96">
        <f>IF(AND($E833&gt;=Controls!$B$5,$E833&lt;=Controls!$B$6,OR(Controls!$E$9&lt;&gt;"Y",$BE833=1)),1,0)</f>
        <v/>
      </c>
      <c r="AL833" s="39">
        <f>1</f>
        <v/>
      </c>
      <c r="AM833" s="20">
        <f>S833-P833</f>
        <v/>
      </c>
      <c r="AN833" s="20">
        <f>IF(AH833=1,MAX(0,P833-S833),0)</f>
        <v/>
      </c>
      <c r="AO833" s="21">
        <f>IFERROR(S833/P833,"")</f>
        <v/>
      </c>
      <c r="AP833" s="22">
        <f>IF(Y833="","",P833/Y833)</f>
        <v/>
      </c>
      <c r="AQ833" s="39">
        <f>IF(Y833="",0,1)</f>
        <v/>
      </c>
      <c r="AR833" s="39">
        <f>IF(S833&lt;=0,1,0)</f>
        <v/>
      </c>
      <c r="AS833" s="17">
        <f>IF(AH833=1,AG833,"")</f>
        <v/>
      </c>
      <c r="AT833" s="17">
        <f>IF(AND(AH833=0,AJ833=1),AG833,"")</f>
        <v/>
      </c>
      <c r="AU833" s="5">
        <f>IF(P833&lt;10000,"Under $10K",IF(P833&lt;20000,"$10-20K",IF(P833&lt;30000,"$20-30K",IF(P833&lt;50000,"$30-50K",IF(P833&lt;100000,"$50-100K","$100K+")))))</f>
        <v/>
      </c>
      <c r="AV833" s="5">
        <f>IF(O833&lt;=1.35,"1.35 and under",IF(O833&lt;=1.42,"1.36-1.42",IF(O833&lt;=1.45,"1.43-1.45",IF(O833&lt;1.49,"1.46-1.48",IF(O833&lt;=1.49,"1.49","Above 1.49")))))</f>
        <v/>
      </c>
      <c r="AW833" s="5">
        <f>IF(AE833="","",IF(AE833&lt;60,"Under 60",IF(AE833&lt;90,"60-89",IF(AE833&lt;120,"90-119",IF(AE833&lt;150,"120-149","150+")))))</f>
        <v/>
      </c>
      <c r="AX833" s="5">
        <f>IF(AP833="","No revenue data",IF(AP833&lt;0.15,"Under 0.15x",IF(AP833&lt;0.3,"0.15-0.30x",IF(AP833&lt;0.5,"0.30-0.50x",IF(AP833&lt;1,"0.50-1.00x","1.00x+")))))</f>
        <v/>
      </c>
      <c r="AY833" s="5">
        <f>IF(J833="","No SIC",IFERROR(VLOOKUP(J833,Ref!$A$4:$C$67,2,FALSE()),"Unclassified"))</f>
        <v/>
      </c>
      <c r="AZ833" s="5">
        <f>IF(E833="","",TEXT(E833,"YYYY")&amp;"-Q"&amp;ROUNDUP(MONTH(E833)/3,0))</f>
        <v/>
      </c>
      <c r="BA833" s="5">
        <f>IF(E833="","",TEXT(E833,"YYYY-MM"))</f>
        <v/>
      </c>
      <c r="BB833" s="5">
        <f>IF(E833="","",TEXT(E833,"YYYY"))</f>
        <v/>
      </c>
      <c r="BC833" s="92">
        <f>IF($E833="","",NETWORKDAYS($E833,Controls!$B$9,Ref!$F$4:$F$47))</f>
        <v/>
      </c>
      <c r="BD833" s="92">
        <f>IF(OR($AH833=1,$AJ833=1),1,0)</f>
        <v/>
      </c>
      <c r="BE833" s="95">
        <f>IF(OR($BD833=1,AND($AE833&lt;&gt;"",$BC833&gt;=Controls!$B$10*$AE833)),1,0)</f>
        <v/>
      </c>
    </row>
    <row r="834" ht="15.75" customHeight="1" s="79">
      <c r="A834" s="5" t="inlineStr">
        <is>
          <t>5674182778</t>
        </is>
      </c>
      <c r="B834" s="5" t="inlineStr">
        <is>
          <t>JRA Enterprises LLC</t>
        </is>
      </c>
      <c r="C834" s="5" t="inlineStr">
        <is>
          <t>JRA Enterprises LLC</t>
        </is>
      </c>
      <c r="D834" s="5" t="inlineStr">
        <is>
          <t>Closed</t>
        </is>
      </c>
      <c r="E834" s="16" t="n">
        <v>46142</v>
      </c>
      <c r="F834" s="16" t="n">
        <v>46244</v>
      </c>
      <c r="G834" s="17" t="n">
        <v>3</v>
      </c>
      <c r="H834" s="5" t="inlineStr">
        <is>
          <t>4213</t>
        </is>
      </c>
      <c r="I834" s="5" t="inlineStr">
        <is>
          <t>Specialized Freight (Except Used Goods) Trucking, Long Distance</t>
        </is>
      </c>
      <c r="J834" s="5" t="inlineStr">
        <is>
          <t>42</t>
        </is>
      </c>
      <c r="K834" s="5" t="n">
        <v>4214</v>
      </c>
      <c r="L834" s="5" t="inlineStr">
        <is>
          <t>MO</t>
        </is>
      </c>
      <c r="M834" s="5" t="inlineStr">
        <is>
          <t>Ballicci</t>
        </is>
      </c>
      <c r="N834" s="5" t="inlineStr">
        <is>
          <t>New Deal</t>
        </is>
      </c>
      <c r="O834" s="19" t="n">
        <v>1.49</v>
      </c>
      <c r="P834" s="20" t="n">
        <v>25000</v>
      </c>
      <c r="Q834" s="20" t="n">
        <v>3500</v>
      </c>
      <c r="R834" s="20" t="n">
        <v>37250</v>
      </c>
      <c r="S834" s="20" t="n">
        <v>37250</v>
      </c>
      <c r="T834" s="20" t="n">
        <v>0</v>
      </c>
      <c r="U834" s="21" t="n">
        <v>1</v>
      </c>
      <c r="V834" s="22" t="n">
        <v>22</v>
      </c>
      <c r="W834" s="17" t="n">
        <v>9</v>
      </c>
      <c r="X834" s="17" t="n">
        <v>0</v>
      </c>
      <c r="Y834" s="20" t="n">
        <v>109364.95</v>
      </c>
      <c r="Z834" s="21" t="n">
        <v>0.0619</v>
      </c>
      <c r="AA834" s="16" t="n">
        <v>42282</v>
      </c>
      <c r="AB834" s="5">
        <f>IF(V834="","",IF(V834&lt;12,"Months","Weeks"))</f>
        <v/>
      </c>
      <c r="AC834" s="5">
        <f>IF(AB834="","",IF(AB834="Months","Daily","Weekly"))</f>
        <v/>
      </c>
      <c r="AD834" s="17">
        <f>IF(V834="","",IF(AC834="Daily",V834*Controls!$B$13,V834))</f>
        <v/>
      </c>
      <c r="AE834" s="17">
        <f>IF(V834="","",IF(AC834="Daily",V834*Controls!$B$13,V834*Controls!$B$12))</f>
        <v/>
      </c>
      <c r="AF834" s="17">
        <f>IF(OR(E834="",F834=""),"",F834-E834)</f>
        <v/>
      </c>
      <c r="AG834" s="17">
        <f>IF(OR(E834="",F834=""),"",NETWORKDAYS(E834,F834,Ref!$F$4:$F$47))</f>
        <v/>
      </c>
      <c r="AH834" s="39">
        <f>IF(IFERROR(VLOOKUP(D834,Controls!$A$25:$D$35,2,FALSE()),"No")="Yes",1,0)</f>
        <v/>
      </c>
      <c r="AI834" s="39">
        <f>IF(IFERROR(VLOOKUP(D834,Controls!$A$25:$D$35,3,FALSE()),"No")="Yes",1,0)</f>
        <v/>
      </c>
      <c r="AJ834" s="39">
        <f>IF(IFERROR(VLOOKUP(D834,Controls!$A$25:$D$35,4,FALSE()),"No")="Yes",1,0)</f>
        <v/>
      </c>
      <c r="AK834" s="96">
        <f>IF(AND($E834&gt;=Controls!$B$5,$E834&lt;=Controls!$B$6,OR(Controls!$E$9&lt;&gt;"Y",$BE834=1)),1,0)</f>
        <v/>
      </c>
      <c r="AL834" s="39">
        <f>1</f>
        <v/>
      </c>
      <c r="AM834" s="20">
        <f>S834-P834</f>
        <v/>
      </c>
      <c r="AN834" s="20">
        <f>IF(AH834=1,MAX(0,P834-S834),0)</f>
        <v/>
      </c>
      <c r="AO834" s="21">
        <f>IFERROR(S834/P834,"")</f>
        <v/>
      </c>
      <c r="AP834" s="22">
        <f>IF(Y834="","",P834/Y834)</f>
        <v/>
      </c>
      <c r="AQ834" s="39">
        <f>IF(Y834="",0,1)</f>
        <v/>
      </c>
      <c r="AR834" s="39">
        <f>IF(S834&lt;=0,1,0)</f>
        <v/>
      </c>
      <c r="AS834" s="17">
        <f>IF(AH834=1,AG834,"")</f>
        <v/>
      </c>
      <c r="AT834" s="17">
        <f>IF(AND(AH834=0,AJ834=1),AG834,"")</f>
        <v/>
      </c>
      <c r="AU834" s="5">
        <f>IF(P834&lt;10000,"Under $10K",IF(P834&lt;20000,"$10-20K",IF(P834&lt;30000,"$20-30K",IF(P834&lt;50000,"$30-50K",IF(P834&lt;100000,"$50-100K","$100K+")))))</f>
        <v/>
      </c>
      <c r="AV834" s="5">
        <f>IF(O834&lt;=1.35,"1.35 and under",IF(O834&lt;=1.42,"1.36-1.42",IF(O834&lt;=1.45,"1.43-1.45",IF(O834&lt;1.49,"1.46-1.48",IF(O834&lt;=1.49,"1.49","Above 1.49")))))</f>
        <v/>
      </c>
      <c r="AW834" s="5">
        <f>IF(AE834="","",IF(AE834&lt;60,"Under 60",IF(AE834&lt;90,"60-89",IF(AE834&lt;120,"90-119",IF(AE834&lt;150,"120-149","150+")))))</f>
        <v/>
      </c>
      <c r="AX834" s="5">
        <f>IF(AP834="","No revenue data",IF(AP834&lt;0.15,"Under 0.15x",IF(AP834&lt;0.3,"0.15-0.30x",IF(AP834&lt;0.5,"0.30-0.50x",IF(AP834&lt;1,"0.50-1.00x","1.00x+")))))</f>
        <v/>
      </c>
      <c r="AY834" s="5">
        <f>IF(J834="","No SIC",IFERROR(VLOOKUP(J834,Ref!$A$4:$C$67,2,FALSE()),"Unclassified"))</f>
        <v/>
      </c>
      <c r="AZ834" s="5">
        <f>IF(E834="","",TEXT(E834,"YYYY")&amp;"-Q"&amp;ROUNDUP(MONTH(E834)/3,0))</f>
        <v/>
      </c>
      <c r="BA834" s="5">
        <f>IF(E834="","",TEXT(E834,"YYYY-MM"))</f>
        <v/>
      </c>
      <c r="BB834" s="5">
        <f>IF(E834="","",TEXT(E834,"YYYY"))</f>
        <v/>
      </c>
      <c r="BC834" s="92">
        <f>IF($E834="","",NETWORKDAYS($E834,Controls!$B$9,Ref!$F$4:$F$47))</f>
        <v/>
      </c>
      <c r="BD834" s="92">
        <f>IF(OR($AH834=1,$AJ834=1),1,0)</f>
        <v/>
      </c>
      <c r="BE834" s="95">
        <f>IF(OR($BD834=1,AND($AE834&lt;&gt;"",$BC834&gt;=Controls!$B$10*$AE834)),1,0)</f>
        <v/>
      </c>
    </row>
    <row r="835" ht="15.75" customHeight="1" s="79">
      <c r="A835" s="5" t="inlineStr">
        <is>
          <t>5674182805</t>
        </is>
      </c>
      <c r="B835" s="5" t="inlineStr">
        <is>
          <t>B &amp; c Hauling LLC</t>
        </is>
      </c>
      <c r="C835" s="5" t="inlineStr">
        <is>
          <t>B &amp; c Hauling LLC</t>
        </is>
      </c>
      <c r="D835" s="5" t="inlineStr">
        <is>
          <t>Open</t>
        </is>
      </c>
      <c r="E835" s="16" t="n">
        <v>46142</v>
      </c>
      <c r="F835" s="16" t="n">
        <v>46253</v>
      </c>
      <c r="G835" s="17" t="n">
        <v>3</v>
      </c>
      <c r="H835" s="5" t="inlineStr">
        <is>
          <t>4212</t>
        </is>
      </c>
      <c r="I835" s="5" t="inlineStr">
        <is>
          <t>Specialized Freight (Except Used Goods) Trucking, Local</t>
        </is>
      </c>
      <c r="J835" s="5" t="inlineStr">
        <is>
          <t>42</t>
        </is>
      </c>
      <c r="K835" s="5" t="n">
        <v>4214</v>
      </c>
      <c r="L835" s="5" t="inlineStr">
        <is>
          <t>GA</t>
        </is>
      </c>
      <c r="M835" s="5" t="inlineStr">
        <is>
          <t>United Secured Capital 8</t>
        </is>
      </c>
      <c r="N835" s="5" t="inlineStr">
        <is>
          <t>New Deal</t>
        </is>
      </c>
      <c r="O835" s="19" t="n">
        <v>1.49</v>
      </c>
      <c r="P835" s="20" t="n">
        <v>5000</v>
      </c>
      <c r="Q835" s="20" t="n">
        <v>700</v>
      </c>
      <c r="R835" s="20" t="n">
        <v>7450</v>
      </c>
      <c r="S835" s="20" t="n">
        <v>6395.53</v>
      </c>
      <c r="T835" s="20" t="n">
        <v>1054.47</v>
      </c>
      <c r="U835" s="21" t="n">
        <v>0.858460402684564</v>
      </c>
      <c r="V835" s="22" t="n">
        <v>2.787</v>
      </c>
      <c r="W835" s="17" t="n">
        <v>0</v>
      </c>
      <c r="X835" s="17" t="n">
        <v>5</v>
      </c>
      <c r="Y835" s="20" t="n">
        <v>17340.83</v>
      </c>
      <c r="Z835" s="21" t="n">
        <v>0.1061</v>
      </c>
      <c r="AA835" s="16" t="n">
        <v>43832</v>
      </c>
      <c r="AB835" s="5">
        <f>IF(V835="","",IF(V835&lt;12,"Months","Weeks"))</f>
        <v/>
      </c>
      <c r="AC835" s="5">
        <f>IF(AB835="","",IF(AB835="Months","Daily","Weekly"))</f>
        <v/>
      </c>
      <c r="AD835" s="17">
        <f>IF(V835="","",IF(AC835="Daily",V835*Controls!$B$13,V835))</f>
        <v/>
      </c>
      <c r="AE835" s="17">
        <f>IF(V835="","",IF(AC835="Daily",V835*Controls!$B$13,V835*Controls!$B$12))</f>
        <v/>
      </c>
      <c r="AF835" s="17">
        <f>IF(OR(E835="",F835=""),"",F835-E835)</f>
        <v/>
      </c>
      <c r="AG835" s="17">
        <f>IF(OR(E835="",F835=""),"",NETWORKDAYS(E835,F835,Ref!$F$4:$F$47))</f>
        <v/>
      </c>
      <c r="AH835" s="39">
        <f>IF(IFERROR(VLOOKUP(D835,Controls!$A$25:$D$35,2,FALSE()),"No")="Yes",1,0)</f>
        <v/>
      </c>
      <c r="AI835" s="39">
        <f>IF(IFERROR(VLOOKUP(D835,Controls!$A$25:$D$35,3,FALSE()),"No")="Yes",1,0)</f>
        <v/>
      </c>
      <c r="AJ835" s="39">
        <f>IF(IFERROR(VLOOKUP(D835,Controls!$A$25:$D$35,4,FALSE()),"No")="Yes",1,0)</f>
        <v/>
      </c>
      <c r="AK835" s="96">
        <f>IF(AND($E835&gt;=Controls!$B$5,$E835&lt;=Controls!$B$6,OR(Controls!$E$9&lt;&gt;"Y",$BE835=1)),1,0)</f>
        <v/>
      </c>
      <c r="AL835" s="39">
        <f>1</f>
        <v/>
      </c>
      <c r="AM835" s="20">
        <f>S835-P835</f>
        <v/>
      </c>
      <c r="AN835" s="20">
        <f>IF(AH835=1,MAX(0,P835-S835),0)</f>
        <v/>
      </c>
      <c r="AO835" s="21">
        <f>IFERROR(S835/P835,"")</f>
        <v/>
      </c>
      <c r="AP835" s="22">
        <f>IF(Y835="","",P835/Y835)</f>
        <v/>
      </c>
      <c r="AQ835" s="39">
        <f>IF(Y835="",0,1)</f>
        <v/>
      </c>
      <c r="AR835" s="39">
        <f>IF(S835&lt;=0,1,0)</f>
        <v/>
      </c>
      <c r="AS835" s="17">
        <f>IF(AH835=1,AG835,"")</f>
        <v/>
      </c>
      <c r="AT835" s="17">
        <f>IF(AND(AH835=0,AJ835=1),AG835,"")</f>
        <v/>
      </c>
      <c r="AU835" s="5">
        <f>IF(P835&lt;10000,"Under $10K",IF(P835&lt;20000,"$10-20K",IF(P835&lt;30000,"$20-30K",IF(P835&lt;50000,"$30-50K",IF(P835&lt;100000,"$50-100K","$100K+")))))</f>
        <v/>
      </c>
      <c r="AV835" s="5">
        <f>IF(O835&lt;=1.35,"1.35 and under",IF(O835&lt;=1.42,"1.36-1.42",IF(O835&lt;=1.45,"1.43-1.45",IF(O835&lt;1.49,"1.46-1.48",IF(O835&lt;=1.49,"1.49","Above 1.49")))))</f>
        <v/>
      </c>
      <c r="AW835" s="5">
        <f>IF(AE835="","",IF(AE835&lt;60,"Under 60",IF(AE835&lt;90,"60-89",IF(AE835&lt;120,"90-119",IF(AE835&lt;150,"120-149","150+")))))</f>
        <v/>
      </c>
      <c r="AX835" s="5">
        <f>IF(AP835="","No revenue data",IF(AP835&lt;0.15,"Under 0.15x",IF(AP835&lt;0.3,"0.15-0.30x",IF(AP835&lt;0.5,"0.30-0.50x",IF(AP835&lt;1,"0.50-1.00x","1.00x+")))))</f>
        <v/>
      </c>
      <c r="AY835" s="5">
        <f>IF(J835="","No SIC",IFERROR(VLOOKUP(J835,Ref!$A$4:$C$67,2,FALSE()),"Unclassified"))</f>
        <v/>
      </c>
      <c r="AZ835" s="5">
        <f>IF(E835="","",TEXT(E835,"YYYY")&amp;"-Q"&amp;ROUNDUP(MONTH(E835)/3,0))</f>
        <v/>
      </c>
      <c r="BA835" s="5">
        <f>IF(E835="","",TEXT(E835,"YYYY-MM"))</f>
        <v/>
      </c>
      <c r="BB835" s="5">
        <f>IF(E835="","",TEXT(E835,"YYYY"))</f>
        <v/>
      </c>
      <c r="BC835" s="92">
        <f>IF($E835="","",NETWORKDAYS($E835,Controls!$B$9,Ref!$F$4:$F$47))</f>
        <v/>
      </c>
      <c r="BD835" s="92">
        <f>IF(OR($AH835=1,$AJ835=1),1,0)</f>
        <v/>
      </c>
      <c r="BE835" s="95">
        <f>IF(OR($BD835=1,AND($AE835&lt;&gt;"",$BC835&gt;=Controls!$B$10*$AE835)),1,0)</f>
        <v/>
      </c>
    </row>
    <row r="836" ht="15.75" customHeight="1" s="79">
      <c r="A836" s="5" t="inlineStr">
        <is>
          <t>5674182814</t>
        </is>
      </c>
      <c r="B836" s="5" t="inlineStr">
        <is>
          <t>WESTBROOK AUTOMOTIVE</t>
        </is>
      </c>
      <c r="C836" s="5" t="inlineStr">
        <is>
          <t>WESTBROOK AUTOMOTIVE, INC.</t>
        </is>
      </c>
      <c r="D836" s="5" t="inlineStr">
        <is>
          <t>Open</t>
        </is>
      </c>
      <c r="E836" s="16" t="n">
        <v>46142</v>
      </c>
      <c r="F836" s="16" t="n">
        <v>46248</v>
      </c>
      <c r="G836" s="17" t="n">
        <v>3</v>
      </c>
      <c r="H836" s="5" t="inlineStr">
        <is>
          <t>7538</t>
        </is>
      </c>
      <c r="I836" s="5" t="inlineStr">
        <is>
          <t>General Automotive Repair</t>
        </is>
      </c>
      <c r="J836" s="5" t="inlineStr">
        <is>
          <t>75</t>
        </is>
      </c>
      <c r="K836" s="5" t="n">
        <v>7538</v>
      </c>
      <c r="L836" s="5" t="inlineStr">
        <is>
          <t>TN</t>
        </is>
      </c>
      <c r="M836" s="5" t="inlineStr">
        <is>
          <t>United Secured Capital 8</t>
        </is>
      </c>
      <c r="N836" s="5" t="inlineStr">
        <is>
          <t>Renewal</t>
        </is>
      </c>
      <c r="O836" s="19" t="n">
        <v>1.49</v>
      </c>
      <c r="P836" s="20" t="n">
        <v>20000</v>
      </c>
      <c r="Q836" s="20" t="n">
        <v>2800</v>
      </c>
      <c r="R836" s="20" t="n">
        <v>29800</v>
      </c>
      <c r="S836" s="20" t="n">
        <v>13414.32</v>
      </c>
      <c r="T836" s="20" t="n">
        <v>16385.68</v>
      </c>
      <c r="U836" s="21" t="n">
        <v>0.450144966442953</v>
      </c>
      <c r="V836" s="22" t="n">
        <v>20</v>
      </c>
      <c r="W836" s="17" t="n">
        <v>5</v>
      </c>
      <c r="X836" s="17" t="n">
        <v>4</v>
      </c>
      <c r="Y836" s="20" t="n">
        <v>67518.91</v>
      </c>
      <c r="Z836" s="21" t="n">
        <v>0.0883</v>
      </c>
      <c r="AA836" s="16" t="n">
        <v>45247</v>
      </c>
      <c r="AB836" s="5">
        <f>IF(V836="","",IF(V836&lt;12,"Months","Weeks"))</f>
        <v/>
      </c>
      <c r="AC836" s="5">
        <f>IF(AB836="","",IF(AB836="Months","Daily","Weekly"))</f>
        <v/>
      </c>
      <c r="AD836" s="17">
        <f>IF(V836="","",IF(AC836="Daily",V836*Controls!$B$13,V836))</f>
        <v/>
      </c>
      <c r="AE836" s="17">
        <f>IF(V836="","",IF(AC836="Daily",V836*Controls!$B$13,V836*Controls!$B$12))</f>
        <v/>
      </c>
      <c r="AF836" s="17">
        <f>IF(OR(E836="",F836=""),"",F836-E836)</f>
        <v/>
      </c>
      <c r="AG836" s="17">
        <f>IF(OR(E836="",F836=""),"",NETWORKDAYS(E836,F836,Ref!$F$4:$F$47))</f>
        <v/>
      </c>
      <c r="AH836" s="39">
        <f>IF(IFERROR(VLOOKUP(D836,Controls!$A$25:$D$35,2,FALSE()),"No")="Yes",1,0)</f>
        <v/>
      </c>
      <c r="AI836" s="39">
        <f>IF(IFERROR(VLOOKUP(D836,Controls!$A$25:$D$35,3,FALSE()),"No")="Yes",1,0)</f>
        <v/>
      </c>
      <c r="AJ836" s="39">
        <f>IF(IFERROR(VLOOKUP(D836,Controls!$A$25:$D$35,4,FALSE()),"No")="Yes",1,0)</f>
        <v/>
      </c>
      <c r="AK836" s="96">
        <f>IF(AND($E836&gt;=Controls!$B$5,$E836&lt;=Controls!$B$6,OR(Controls!$E$9&lt;&gt;"Y",$BE836=1)),1,0)</f>
        <v/>
      </c>
      <c r="AL836" s="39">
        <f>1</f>
        <v/>
      </c>
      <c r="AM836" s="20">
        <f>S836-P836</f>
        <v/>
      </c>
      <c r="AN836" s="20">
        <f>IF(AH836=1,MAX(0,P836-S836),0)</f>
        <v/>
      </c>
      <c r="AO836" s="21">
        <f>IFERROR(S836/P836,"")</f>
        <v/>
      </c>
      <c r="AP836" s="22">
        <f>IF(Y836="","",P836/Y836)</f>
        <v/>
      </c>
      <c r="AQ836" s="39">
        <f>IF(Y836="",0,1)</f>
        <v/>
      </c>
      <c r="AR836" s="39">
        <f>IF(S836&lt;=0,1,0)</f>
        <v/>
      </c>
      <c r="AS836" s="17">
        <f>IF(AH836=1,AG836,"")</f>
        <v/>
      </c>
      <c r="AT836" s="17">
        <f>IF(AND(AH836=0,AJ836=1),AG836,"")</f>
        <v/>
      </c>
      <c r="AU836" s="5">
        <f>IF(P836&lt;10000,"Under $10K",IF(P836&lt;20000,"$10-20K",IF(P836&lt;30000,"$20-30K",IF(P836&lt;50000,"$30-50K",IF(P836&lt;100000,"$50-100K","$100K+")))))</f>
        <v/>
      </c>
      <c r="AV836" s="5">
        <f>IF(O836&lt;=1.35,"1.35 and under",IF(O836&lt;=1.42,"1.36-1.42",IF(O836&lt;=1.45,"1.43-1.45",IF(O836&lt;1.49,"1.46-1.48",IF(O836&lt;=1.49,"1.49","Above 1.49")))))</f>
        <v/>
      </c>
      <c r="AW836" s="5">
        <f>IF(AE836="","",IF(AE836&lt;60,"Under 60",IF(AE836&lt;90,"60-89",IF(AE836&lt;120,"90-119",IF(AE836&lt;150,"120-149","150+")))))</f>
        <v/>
      </c>
      <c r="AX836" s="5">
        <f>IF(AP836="","No revenue data",IF(AP836&lt;0.15,"Under 0.15x",IF(AP836&lt;0.3,"0.15-0.30x",IF(AP836&lt;0.5,"0.30-0.50x",IF(AP836&lt;1,"0.50-1.00x","1.00x+")))))</f>
        <v/>
      </c>
      <c r="AY836" s="5">
        <f>IF(J836="","No SIC",IFERROR(VLOOKUP(J836,Ref!$A$4:$C$67,2,FALSE()),"Unclassified"))</f>
        <v/>
      </c>
      <c r="AZ836" s="5">
        <f>IF(E836="","",TEXT(E836,"YYYY")&amp;"-Q"&amp;ROUNDUP(MONTH(E836)/3,0))</f>
        <v/>
      </c>
      <c r="BA836" s="5">
        <f>IF(E836="","",TEXT(E836,"YYYY-MM"))</f>
        <v/>
      </c>
      <c r="BB836" s="5">
        <f>IF(E836="","",TEXT(E836,"YYYY"))</f>
        <v/>
      </c>
      <c r="BC836" s="92">
        <f>IF($E836="","",NETWORKDAYS($E836,Controls!$B$9,Ref!$F$4:$F$47))</f>
        <v/>
      </c>
      <c r="BD836" s="92">
        <f>IF(OR($AH836=1,$AJ836=1),1,0)</f>
        <v/>
      </c>
      <c r="BE836" s="95">
        <f>IF(OR($BD836=1,AND($AE836&lt;&gt;"",$BC836&gt;=Controls!$B$10*$AE836)),1,0)</f>
        <v/>
      </c>
    </row>
    <row r="837" ht="15.75" customHeight="1" s="79">
      <c r="A837" s="5" t="inlineStr">
        <is>
          <t>5674182861</t>
        </is>
      </c>
      <c r="B837" s="5" t="inlineStr">
        <is>
          <t>LANDSCAPE ASSOCIATES OF GA</t>
        </is>
      </c>
      <c r="C837" s="5" t="inlineStr">
        <is>
          <t>LANDSCAPE ASSOCIATES OF GA LLC</t>
        </is>
      </c>
      <c r="D837" s="5" t="inlineStr">
        <is>
          <t>Open</t>
        </is>
      </c>
      <c r="E837" s="16" t="n">
        <v>46143</v>
      </c>
      <c r="F837" s="16" t="n">
        <v>46248</v>
      </c>
      <c r="G837" s="17" t="n">
        <v>3</v>
      </c>
      <c r="H837" s="5" t="inlineStr">
        <is>
          <t>0781</t>
        </is>
      </c>
      <c r="I837" s="5" t="inlineStr">
        <is>
          <t>Landscape Architectural Services</t>
        </is>
      </c>
      <c r="J837" s="5" t="inlineStr">
        <is>
          <t>07</t>
        </is>
      </c>
      <c r="K837" s="5" t="n">
        <v>5261</v>
      </c>
      <c r="L837" s="5" t="inlineStr">
        <is>
          <t>GA</t>
        </is>
      </c>
      <c r="M837" s="5" t="inlineStr">
        <is>
          <t>cavala funding</t>
        </is>
      </c>
      <c r="N837" s="5" t="inlineStr">
        <is>
          <t>Renewal</t>
        </is>
      </c>
      <c r="O837" s="19" t="n">
        <v>1.49</v>
      </c>
      <c r="P837" s="20" t="n">
        <v>30000</v>
      </c>
      <c r="Q837" s="20" t="n">
        <v>4200</v>
      </c>
      <c r="R837" s="20" t="n">
        <v>44700</v>
      </c>
      <c r="S837" s="20" t="n">
        <v>27916.65</v>
      </c>
      <c r="T837" s="20" t="n">
        <v>16783.35</v>
      </c>
      <c r="U837" s="21" t="n">
        <v>0.62453355704698</v>
      </c>
      <c r="V837" s="22" t="n">
        <v>24</v>
      </c>
      <c r="W837" s="17" t="n">
        <v>5</v>
      </c>
      <c r="X837" s="17" t="n">
        <v>0</v>
      </c>
      <c r="Y837" s="20" t="n">
        <v>159454.73</v>
      </c>
      <c r="Z837" s="21" t="n">
        <v>0.0403</v>
      </c>
      <c r="AA837" s="16" t="n">
        <v>36526</v>
      </c>
      <c r="AB837" s="5">
        <f>IF(V837="","",IF(V837&lt;12,"Months","Weeks"))</f>
        <v/>
      </c>
      <c r="AC837" s="5">
        <f>IF(AB837="","",IF(AB837="Months","Daily","Weekly"))</f>
        <v/>
      </c>
      <c r="AD837" s="17">
        <f>IF(V837="","",IF(AC837="Daily",V837*Controls!$B$13,V837))</f>
        <v/>
      </c>
      <c r="AE837" s="17">
        <f>IF(V837="","",IF(AC837="Daily",V837*Controls!$B$13,V837*Controls!$B$12))</f>
        <v/>
      </c>
      <c r="AF837" s="17">
        <f>IF(OR(E837="",F837=""),"",F837-E837)</f>
        <v/>
      </c>
      <c r="AG837" s="17">
        <f>IF(OR(E837="",F837=""),"",NETWORKDAYS(E837,F837,Ref!$F$4:$F$47))</f>
        <v/>
      </c>
      <c r="AH837" s="39">
        <f>IF(IFERROR(VLOOKUP(D837,Controls!$A$25:$D$35,2,FALSE()),"No")="Yes",1,0)</f>
        <v/>
      </c>
      <c r="AI837" s="39">
        <f>IF(IFERROR(VLOOKUP(D837,Controls!$A$25:$D$35,3,FALSE()),"No")="Yes",1,0)</f>
        <v/>
      </c>
      <c r="AJ837" s="39">
        <f>IF(IFERROR(VLOOKUP(D837,Controls!$A$25:$D$35,4,FALSE()),"No")="Yes",1,0)</f>
        <v/>
      </c>
      <c r="AK837" s="96">
        <f>IF(AND($E837&gt;=Controls!$B$5,$E837&lt;=Controls!$B$6,OR(Controls!$E$9&lt;&gt;"Y",$BE837=1)),1,0)</f>
        <v/>
      </c>
      <c r="AL837" s="39">
        <f>1</f>
        <v/>
      </c>
      <c r="AM837" s="20">
        <f>S837-P837</f>
        <v/>
      </c>
      <c r="AN837" s="20">
        <f>IF(AH837=1,MAX(0,P837-S837),0)</f>
        <v/>
      </c>
      <c r="AO837" s="21">
        <f>IFERROR(S837/P837,"")</f>
        <v/>
      </c>
      <c r="AP837" s="22">
        <f>IF(Y837="","",P837/Y837)</f>
        <v/>
      </c>
      <c r="AQ837" s="39">
        <f>IF(Y837="",0,1)</f>
        <v/>
      </c>
      <c r="AR837" s="39">
        <f>IF(S837&lt;=0,1,0)</f>
        <v/>
      </c>
      <c r="AS837" s="17">
        <f>IF(AH837=1,AG837,"")</f>
        <v/>
      </c>
      <c r="AT837" s="17">
        <f>IF(AND(AH837=0,AJ837=1),AG837,"")</f>
        <v/>
      </c>
      <c r="AU837" s="5">
        <f>IF(P837&lt;10000,"Under $10K",IF(P837&lt;20000,"$10-20K",IF(P837&lt;30000,"$20-30K",IF(P837&lt;50000,"$30-50K",IF(P837&lt;100000,"$50-100K","$100K+")))))</f>
        <v/>
      </c>
      <c r="AV837" s="5">
        <f>IF(O837&lt;=1.35,"1.35 and under",IF(O837&lt;=1.42,"1.36-1.42",IF(O837&lt;=1.45,"1.43-1.45",IF(O837&lt;1.49,"1.46-1.48",IF(O837&lt;=1.49,"1.49","Above 1.49")))))</f>
        <v/>
      </c>
      <c r="AW837" s="5">
        <f>IF(AE837="","",IF(AE837&lt;60,"Under 60",IF(AE837&lt;90,"60-89",IF(AE837&lt;120,"90-119",IF(AE837&lt;150,"120-149","150+")))))</f>
        <v/>
      </c>
      <c r="AX837" s="5">
        <f>IF(AP837="","No revenue data",IF(AP837&lt;0.15,"Under 0.15x",IF(AP837&lt;0.3,"0.15-0.30x",IF(AP837&lt;0.5,"0.30-0.50x",IF(AP837&lt;1,"0.50-1.00x","1.00x+")))))</f>
        <v/>
      </c>
      <c r="AY837" s="5">
        <f>IF(J837="","No SIC",IFERROR(VLOOKUP(J837,Ref!$A$4:$C$67,2,FALSE()),"Unclassified"))</f>
        <v/>
      </c>
      <c r="AZ837" s="5">
        <f>IF(E837="","",TEXT(E837,"YYYY")&amp;"-Q"&amp;ROUNDUP(MONTH(E837)/3,0))</f>
        <v/>
      </c>
      <c r="BA837" s="5">
        <f>IF(E837="","",TEXT(E837,"YYYY-MM"))</f>
        <v/>
      </c>
      <c r="BB837" s="5">
        <f>IF(E837="","",TEXT(E837,"YYYY"))</f>
        <v/>
      </c>
      <c r="BC837" s="92">
        <f>IF($E837="","",NETWORKDAYS($E837,Controls!$B$9,Ref!$F$4:$F$47))</f>
        <v/>
      </c>
      <c r="BD837" s="92">
        <f>IF(OR($AH837=1,$AJ837=1),1,0)</f>
        <v/>
      </c>
      <c r="BE837" s="95">
        <f>IF(OR($BD837=1,AND($AE837&lt;&gt;"",$BC837&gt;=Controls!$B$10*$AE837)),1,0)</f>
        <v/>
      </c>
    </row>
    <row r="838" ht="15.75" customHeight="1" s="79">
      <c r="A838" s="5" t="inlineStr">
        <is>
          <t>5674182862</t>
        </is>
      </c>
      <c r="B838" s="5" t="inlineStr">
        <is>
          <t>pops shop</t>
        </is>
      </c>
      <c r="C838" s="5" t="inlineStr">
        <is>
          <t>pops management LLC</t>
        </is>
      </c>
      <c r="D838" s="5" t="inlineStr">
        <is>
          <t>Open</t>
        </is>
      </c>
      <c r="E838" s="16" t="n">
        <v>46143</v>
      </c>
      <c r="F838" s="16" t="n">
        <v>46219</v>
      </c>
      <c r="G838" s="17" t="n">
        <v>2</v>
      </c>
      <c r="H838" s="5" t="inlineStr">
        <is>
          <t>5999</t>
        </is>
      </c>
      <c r="I838" s="5" t="inlineStr">
        <is>
          <t>All Other Health and Personal Care Stores</t>
        </is>
      </c>
      <c r="J838" s="5" t="inlineStr">
        <is>
          <t>59</t>
        </is>
      </c>
      <c r="K838" s="5" t="n">
        <v>5999</v>
      </c>
      <c r="L838" s="5" t="inlineStr">
        <is>
          <t>VA</t>
        </is>
      </c>
      <c r="M838" s="5" t="inlineStr">
        <is>
          <t>ICG Funding</t>
        </is>
      </c>
      <c r="N838" s="5" t="inlineStr">
        <is>
          <t>New Deal</t>
        </is>
      </c>
      <c r="O838" s="19" t="n">
        <v>1.49</v>
      </c>
      <c r="P838" s="20" t="n">
        <v>18000</v>
      </c>
      <c r="Q838" s="20" t="n">
        <v>2520</v>
      </c>
      <c r="R838" s="20" t="n">
        <v>26820</v>
      </c>
      <c r="S838" s="20" t="n">
        <v>8045.85</v>
      </c>
      <c r="T838" s="20" t="n">
        <v>18774.15</v>
      </c>
      <c r="U838" s="21" t="n">
        <v>0.299994407158837</v>
      </c>
      <c r="V838" s="22" t="n">
        <v>24</v>
      </c>
      <c r="W838" s="17" t="n">
        <v>40</v>
      </c>
      <c r="X838" s="17" t="n">
        <v>6</v>
      </c>
      <c r="Y838" s="20" t="n">
        <v>30850.27</v>
      </c>
      <c r="Z838" s="21" t="n">
        <v>0.1449</v>
      </c>
      <c r="AA838" s="16" t="n">
        <v>45610</v>
      </c>
      <c r="AB838" s="5">
        <f>IF(V838="","",IF(V838&lt;12,"Months","Weeks"))</f>
        <v/>
      </c>
      <c r="AC838" s="5">
        <f>IF(AB838="","",IF(AB838="Months","Daily","Weekly"))</f>
        <v/>
      </c>
      <c r="AD838" s="17">
        <f>IF(V838="","",IF(AC838="Daily",V838*Controls!$B$13,V838))</f>
        <v/>
      </c>
      <c r="AE838" s="17">
        <f>IF(V838="","",IF(AC838="Daily",V838*Controls!$B$13,V838*Controls!$B$12))</f>
        <v/>
      </c>
      <c r="AF838" s="17">
        <f>IF(OR(E838="",F838=""),"",F838-E838)</f>
        <v/>
      </c>
      <c r="AG838" s="17">
        <f>IF(OR(E838="",F838=""),"",NETWORKDAYS(E838,F838,Ref!$F$4:$F$47))</f>
        <v/>
      </c>
      <c r="AH838" s="39">
        <f>IF(IFERROR(VLOOKUP(D838,Controls!$A$25:$D$35,2,FALSE()),"No")="Yes",1,0)</f>
        <v/>
      </c>
      <c r="AI838" s="39">
        <f>IF(IFERROR(VLOOKUP(D838,Controls!$A$25:$D$35,3,FALSE()),"No")="Yes",1,0)</f>
        <v/>
      </c>
      <c r="AJ838" s="39">
        <f>IF(IFERROR(VLOOKUP(D838,Controls!$A$25:$D$35,4,FALSE()),"No")="Yes",1,0)</f>
        <v/>
      </c>
      <c r="AK838" s="96">
        <f>IF(AND($E838&gt;=Controls!$B$5,$E838&lt;=Controls!$B$6,OR(Controls!$E$9&lt;&gt;"Y",$BE838=1)),1,0)</f>
        <v/>
      </c>
      <c r="AL838" s="39">
        <f>1</f>
        <v/>
      </c>
      <c r="AM838" s="20">
        <f>S838-P838</f>
        <v/>
      </c>
      <c r="AN838" s="20">
        <f>IF(AH838=1,MAX(0,P838-S838),0)</f>
        <v/>
      </c>
      <c r="AO838" s="21">
        <f>IFERROR(S838/P838,"")</f>
        <v/>
      </c>
      <c r="AP838" s="22">
        <f>IF(Y838="","",P838/Y838)</f>
        <v/>
      </c>
      <c r="AQ838" s="39">
        <f>IF(Y838="",0,1)</f>
        <v/>
      </c>
      <c r="AR838" s="39">
        <f>IF(S838&lt;=0,1,0)</f>
        <v/>
      </c>
      <c r="AS838" s="17">
        <f>IF(AH838=1,AG838,"")</f>
        <v/>
      </c>
      <c r="AT838" s="17">
        <f>IF(AND(AH838=0,AJ838=1),AG838,"")</f>
        <v/>
      </c>
      <c r="AU838" s="5">
        <f>IF(P838&lt;10000,"Under $10K",IF(P838&lt;20000,"$10-20K",IF(P838&lt;30000,"$20-30K",IF(P838&lt;50000,"$30-50K",IF(P838&lt;100000,"$50-100K","$100K+")))))</f>
        <v/>
      </c>
      <c r="AV838" s="5">
        <f>IF(O838&lt;=1.35,"1.35 and under",IF(O838&lt;=1.42,"1.36-1.42",IF(O838&lt;=1.45,"1.43-1.45",IF(O838&lt;1.49,"1.46-1.48",IF(O838&lt;=1.49,"1.49","Above 1.49")))))</f>
        <v/>
      </c>
      <c r="AW838" s="5">
        <f>IF(AE838="","",IF(AE838&lt;60,"Under 60",IF(AE838&lt;90,"60-89",IF(AE838&lt;120,"90-119",IF(AE838&lt;150,"120-149","150+")))))</f>
        <v/>
      </c>
      <c r="AX838" s="5">
        <f>IF(AP838="","No revenue data",IF(AP838&lt;0.15,"Under 0.15x",IF(AP838&lt;0.3,"0.15-0.30x",IF(AP838&lt;0.5,"0.30-0.50x",IF(AP838&lt;1,"0.50-1.00x","1.00x+")))))</f>
        <v/>
      </c>
      <c r="AY838" s="5">
        <f>IF(J838="","No SIC",IFERROR(VLOOKUP(J838,Ref!$A$4:$C$67,2,FALSE()),"Unclassified"))</f>
        <v/>
      </c>
      <c r="AZ838" s="5">
        <f>IF(E838="","",TEXT(E838,"YYYY")&amp;"-Q"&amp;ROUNDUP(MONTH(E838)/3,0))</f>
        <v/>
      </c>
      <c r="BA838" s="5">
        <f>IF(E838="","",TEXT(E838,"YYYY-MM"))</f>
        <v/>
      </c>
      <c r="BB838" s="5">
        <f>IF(E838="","",TEXT(E838,"YYYY"))</f>
        <v/>
      </c>
      <c r="BC838" s="92">
        <f>IF($E838="","",NETWORKDAYS($E838,Controls!$B$9,Ref!$F$4:$F$47))</f>
        <v/>
      </c>
      <c r="BD838" s="92">
        <f>IF(OR($AH838=1,$AJ838=1),1,0)</f>
        <v/>
      </c>
      <c r="BE838" s="95">
        <f>IF(OR($BD838=1,AND($AE838&lt;&gt;"",$BC838&gt;=Controls!$B$10*$AE838)),1,0)</f>
        <v/>
      </c>
    </row>
    <row r="839" ht="15.75" customHeight="1" s="79">
      <c r="A839" s="5" t="inlineStr">
        <is>
          <t>5674182949</t>
        </is>
      </c>
      <c r="B839" s="5" t="inlineStr">
        <is>
          <t>irwin printing company inc</t>
        </is>
      </c>
      <c r="C839" s="5" t="inlineStr">
        <is>
          <t>irwin printing company inc</t>
        </is>
      </c>
      <c r="D839" s="5" t="inlineStr">
        <is>
          <t>Open</t>
        </is>
      </c>
      <c r="E839" s="16" t="n">
        <v>46146</v>
      </c>
      <c r="F839" s="16" t="n">
        <v>46253</v>
      </c>
      <c r="G839" s="17" t="n">
        <v>3</v>
      </c>
      <c r="H839" s="5" t="inlineStr">
        <is>
          <t>5999</t>
        </is>
      </c>
      <c r="I839" s="5" t="inlineStr">
        <is>
          <t>All Other Health and Personal Care Stores</t>
        </is>
      </c>
      <c r="J839" s="5" t="inlineStr">
        <is>
          <t>59</t>
        </is>
      </c>
      <c r="K839" s="5" t="n">
        <v>5999</v>
      </c>
      <c r="L839" s="5" t="inlineStr">
        <is>
          <t>MO</t>
        </is>
      </c>
      <c r="M839" s="5" t="inlineStr">
        <is>
          <t>secure way capital</t>
        </is>
      </c>
      <c r="N839" s="5" t="inlineStr">
        <is>
          <t>Renewal</t>
        </is>
      </c>
      <c r="O839" s="19" t="n">
        <v>1.49</v>
      </c>
      <c r="P839" s="20" t="n">
        <v>15000</v>
      </c>
      <c r="Q839" s="20" t="n">
        <v>2100</v>
      </c>
      <c r="R839" s="20" t="n">
        <v>22350</v>
      </c>
      <c r="S839" s="20" t="n">
        <v>11577.84</v>
      </c>
      <c r="T839" s="20" t="n">
        <v>10772.16</v>
      </c>
      <c r="U839" s="21" t="n">
        <v>0.518024161073826</v>
      </c>
      <c r="V839" s="22" t="n">
        <v>3.607</v>
      </c>
      <c r="W839" s="17" t="n">
        <v>0</v>
      </c>
      <c r="X839" s="17" t="n">
        <v>12</v>
      </c>
      <c r="Y839" s="20" t="n">
        <v>31719.45</v>
      </c>
      <c r="Z839" s="21" t="n">
        <v>0.1333</v>
      </c>
      <c r="AA839" s="16" t="n">
        <v>28525</v>
      </c>
      <c r="AB839" s="5">
        <f>IF(V839="","",IF(V839&lt;12,"Months","Weeks"))</f>
        <v/>
      </c>
      <c r="AC839" s="5">
        <f>IF(AB839="","",IF(AB839="Months","Daily","Weekly"))</f>
        <v/>
      </c>
      <c r="AD839" s="17">
        <f>IF(V839="","",IF(AC839="Daily",V839*Controls!$B$13,V839))</f>
        <v/>
      </c>
      <c r="AE839" s="17">
        <f>IF(V839="","",IF(AC839="Daily",V839*Controls!$B$13,V839*Controls!$B$12))</f>
        <v/>
      </c>
      <c r="AF839" s="17">
        <f>IF(OR(E839="",F839=""),"",F839-E839)</f>
        <v/>
      </c>
      <c r="AG839" s="17">
        <f>IF(OR(E839="",F839=""),"",NETWORKDAYS(E839,F839,Ref!$F$4:$F$47))</f>
        <v/>
      </c>
      <c r="AH839" s="39">
        <f>IF(IFERROR(VLOOKUP(D839,Controls!$A$25:$D$35,2,FALSE()),"No")="Yes",1,0)</f>
        <v/>
      </c>
      <c r="AI839" s="39">
        <f>IF(IFERROR(VLOOKUP(D839,Controls!$A$25:$D$35,3,FALSE()),"No")="Yes",1,0)</f>
        <v/>
      </c>
      <c r="AJ839" s="39">
        <f>IF(IFERROR(VLOOKUP(D839,Controls!$A$25:$D$35,4,FALSE()),"No")="Yes",1,0)</f>
        <v/>
      </c>
      <c r="AK839" s="96">
        <f>IF(AND($E839&gt;=Controls!$B$5,$E839&lt;=Controls!$B$6,OR(Controls!$E$9&lt;&gt;"Y",$BE839=1)),1,0)</f>
        <v/>
      </c>
      <c r="AL839" s="39">
        <f>1</f>
        <v/>
      </c>
      <c r="AM839" s="20">
        <f>S839-P839</f>
        <v/>
      </c>
      <c r="AN839" s="20">
        <f>IF(AH839=1,MAX(0,P839-S839),0)</f>
        <v/>
      </c>
      <c r="AO839" s="21">
        <f>IFERROR(S839/P839,"")</f>
        <v/>
      </c>
      <c r="AP839" s="22">
        <f>IF(Y839="","",P839/Y839)</f>
        <v/>
      </c>
      <c r="AQ839" s="39">
        <f>IF(Y839="",0,1)</f>
        <v/>
      </c>
      <c r="AR839" s="39">
        <f>IF(S839&lt;=0,1,0)</f>
        <v/>
      </c>
      <c r="AS839" s="17">
        <f>IF(AH839=1,AG839,"")</f>
        <v/>
      </c>
      <c r="AT839" s="17">
        <f>IF(AND(AH839=0,AJ839=1),AG839,"")</f>
        <v/>
      </c>
      <c r="AU839" s="5">
        <f>IF(P839&lt;10000,"Under $10K",IF(P839&lt;20000,"$10-20K",IF(P839&lt;30000,"$20-30K",IF(P839&lt;50000,"$30-50K",IF(P839&lt;100000,"$50-100K","$100K+")))))</f>
        <v/>
      </c>
      <c r="AV839" s="5">
        <f>IF(O839&lt;=1.35,"1.35 and under",IF(O839&lt;=1.42,"1.36-1.42",IF(O839&lt;=1.45,"1.43-1.45",IF(O839&lt;1.49,"1.46-1.48",IF(O839&lt;=1.49,"1.49","Above 1.49")))))</f>
        <v/>
      </c>
      <c r="AW839" s="5">
        <f>IF(AE839="","",IF(AE839&lt;60,"Under 60",IF(AE839&lt;90,"60-89",IF(AE839&lt;120,"90-119",IF(AE839&lt;150,"120-149","150+")))))</f>
        <v/>
      </c>
      <c r="AX839" s="5">
        <f>IF(AP839="","No revenue data",IF(AP839&lt;0.15,"Under 0.15x",IF(AP839&lt;0.3,"0.15-0.30x",IF(AP839&lt;0.5,"0.30-0.50x",IF(AP839&lt;1,"0.50-1.00x","1.00x+")))))</f>
        <v/>
      </c>
      <c r="AY839" s="5">
        <f>IF(J839="","No SIC",IFERROR(VLOOKUP(J839,Ref!$A$4:$C$67,2,FALSE()),"Unclassified"))</f>
        <v/>
      </c>
      <c r="AZ839" s="5">
        <f>IF(E839="","",TEXT(E839,"YYYY")&amp;"-Q"&amp;ROUNDUP(MONTH(E839)/3,0))</f>
        <v/>
      </c>
      <c r="BA839" s="5">
        <f>IF(E839="","",TEXT(E839,"YYYY-MM"))</f>
        <v/>
      </c>
      <c r="BB839" s="5">
        <f>IF(E839="","",TEXT(E839,"YYYY"))</f>
        <v/>
      </c>
      <c r="BC839" s="92">
        <f>IF($E839="","",NETWORKDAYS($E839,Controls!$B$9,Ref!$F$4:$F$47))</f>
        <v/>
      </c>
      <c r="BD839" s="92">
        <f>IF(OR($AH839=1,$AJ839=1),1,0)</f>
        <v/>
      </c>
      <c r="BE839" s="95">
        <f>IF(OR($BD839=1,AND($AE839&lt;&gt;"",$BC839&gt;=Controls!$B$10*$AE839)),1,0)</f>
        <v/>
      </c>
    </row>
    <row r="840" ht="15.75" customHeight="1" s="79">
      <c r="A840" s="5" t="inlineStr">
        <is>
          <t>5674182983</t>
        </is>
      </c>
      <c r="B840" s="5" t="inlineStr">
        <is>
          <t>MOU LOGISTICS LLC</t>
        </is>
      </c>
      <c r="C840" s="5" t="inlineStr">
        <is>
          <t>MOU LOGISTICS LLC</t>
        </is>
      </c>
      <c r="D840" s="5" t="inlineStr">
        <is>
          <t>Open</t>
        </is>
      </c>
      <c r="E840" s="16" t="n">
        <v>46147</v>
      </c>
      <c r="F840" s="16" t="n">
        <v>46248</v>
      </c>
      <c r="G840" s="17" t="n">
        <v>3</v>
      </c>
      <c r="H840" s="5" t="inlineStr">
        <is>
          <t>4212</t>
        </is>
      </c>
      <c r="I840" s="5" t="inlineStr">
        <is>
          <t>Specialized Freight (Except Used Goods) Trucking, Local</t>
        </is>
      </c>
      <c r="J840" s="5" t="inlineStr">
        <is>
          <t>42</t>
        </is>
      </c>
      <c r="K840" s="5" t="n">
        <v>4214</v>
      </c>
      <c r="L840" s="5" t="inlineStr">
        <is>
          <t>GA</t>
        </is>
      </c>
      <c r="M840" s="5" t="inlineStr">
        <is>
          <t>United Secured Capital 8</t>
        </is>
      </c>
      <c r="N840" s="5" t="inlineStr">
        <is>
          <t>New Deal</t>
        </is>
      </c>
      <c r="O840" s="19" t="n">
        <v>1.49</v>
      </c>
      <c r="P840" s="20" t="n">
        <v>20000</v>
      </c>
      <c r="Q840" s="20" t="n">
        <v>2800</v>
      </c>
      <c r="R840" s="20" t="n">
        <v>29800</v>
      </c>
      <c r="S840" s="20" t="n">
        <v>5725</v>
      </c>
      <c r="T840" s="20" t="n">
        <v>24075</v>
      </c>
      <c r="U840" s="21" t="n">
        <v>0.192114093959732</v>
      </c>
      <c r="V840" s="22" t="n">
        <v>26</v>
      </c>
      <c r="W840" s="17" t="n">
        <v>61</v>
      </c>
      <c r="X840" s="17" t="n">
        <v>8</v>
      </c>
      <c r="Y840" s="5" t="n"/>
      <c r="Z840" s="21" t="n">
        <v>0.0458</v>
      </c>
      <c r="AA840" s="16" t="n">
        <v>43101</v>
      </c>
      <c r="AB840" s="5">
        <f>IF(V840="","",IF(V840&lt;12,"Months","Weeks"))</f>
        <v/>
      </c>
      <c r="AC840" s="5">
        <f>IF(AB840="","",IF(AB840="Months","Daily","Weekly"))</f>
        <v/>
      </c>
      <c r="AD840" s="17">
        <f>IF(V840="","",IF(AC840="Daily",V840*Controls!$B$13,V840))</f>
        <v/>
      </c>
      <c r="AE840" s="17">
        <f>IF(V840="","",IF(AC840="Daily",V840*Controls!$B$13,V840*Controls!$B$12))</f>
        <v/>
      </c>
      <c r="AF840" s="17">
        <f>IF(OR(E840="",F840=""),"",F840-E840)</f>
        <v/>
      </c>
      <c r="AG840" s="17">
        <f>IF(OR(E840="",F840=""),"",NETWORKDAYS(E840,F840,Ref!$F$4:$F$47))</f>
        <v/>
      </c>
      <c r="AH840" s="39">
        <f>IF(IFERROR(VLOOKUP(D840,Controls!$A$25:$D$35,2,FALSE()),"No")="Yes",1,0)</f>
        <v/>
      </c>
      <c r="AI840" s="39">
        <f>IF(IFERROR(VLOOKUP(D840,Controls!$A$25:$D$35,3,FALSE()),"No")="Yes",1,0)</f>
        <v/>
      </c>
      <c r="AJ840" s="39">
        <f>IF(IFERROR(VLOOKUP(D840,Controls!$A$25:$D$35,4,FALSE()),"No")="Yes",1,0)</f>
        <v/>
      </c>
      <c r="AK840" s="96">
        <f>IF(AND($E840&gt;=Controls!$B$5,$E840&lt;=Controls!$B$6,OR(Controls!$E$9&lt;&gt;"Y",$BE840=1)),1,0)</f>
        <v/>
      </c>
      <c r="AL840" s="39">
        <f>1</f>
        <v/>
      </c>
      <c r="AM840" s="20">
        <f>S840-P840</f>
        <v/>
      </c>
      <c r="AN840" s="20">
        <f>IF(AH840=1,MAX(0,P840-S840),0)</f>
        <v/>
      </c>
      <c r="AO840" s="21">
        <f>IFERROR(S840/P840,"")</f>
        <v/>
      </c>
      <c r="AP840" s="22">
        <f>IF(Y840="","",P840/Y840)</f>
        <v/>
      </c>
      <c r="AQ840" s="39">
        <f>IF(Y840="",0,1)</f>
        <v/>
      </c>
      <c r="AR840" s="39">
        <f>IF(S840&lt;=0,1,0)</f>
        <v/>
      </c>
      <c r="AS840" s="17">
        <f>IF(AH840=1,AG840,"")</f>
        <v/>
      </c>
      <c r="AT840" s="17">
        <f>IF(AND(AH840=0,AJ840=1),AG840,"")</f>
        <v/>
      </c>
      <c r="AU840" s="5">
        <f>IF(P840&lt;10000,"Under $10K",IF(P840&lt;20000,"$10-20K",IF(P840&lt;30000,"$20-30K",IF(P840&lt;50000,"$30-50K",IF(P840&lt;100000,"$50-100K","$100K+")))))</f>
        <v/>
      </c>
      <c r="AV840" s="5">
        <f>IF(O840&lt;=1.35,"1.35 and under",IF(O840&lt;=1.42,"1.36-1.42",IF(O840&lt;=1.45,"1.43-1.45",IF(O840&lt;1.49,"1.46-1.48",IF(O840&lt;=1.49,"1.49","Above 1.49")))))</f>
        <v/>
      </c>
      <c r="AW840" s="5">
        <f>IF(AE840="","",IF(AE840&lt;60,"Under 60",IF(AE840&lt;90,"60-89",IF(AE840&lt;120,"90-119",IF(AE840&lt;150,"120-149","150+")))))</f>
        <v/>
      </c>
      <c r="AX840" s="5">
        <f>IF(AP840="","No revenue data",IF(AP840&lt;0.15,"Under 0.15x",IF(AP840&lt;0.3,"0.15-0.30x",IF(AP840&lt;0.5,"0.30-0.50x",IF(AP840&lt;1,"0.50-1.00x","1.00x+")))))</f>
        <v/>
      </c>
      <c r="AY840" s="5">
        <f>IF(J840="","No SIC",IFERROR(VLOOKUP(J840,Ref!$A$4:$C$67,2,FALSE()),"Unclassified"))</f>
        <v/>
      </c>
      <c r="AZ840" s="5">
        <f>IF(E840="","",TEXT(E840,"YYYY")&amp;"-Q"&amp;ROUNDUP(MONTH(E840)/3,0))</f>
        <v/>
      </c>
      <c r="BA840" s="5">
        <f>IF(E840="","",TEXT(E840,"YYYY-MM"))</f>
        <v/>
      </c>
      <c r="BB840" s="5">
        <f>IF(E840="","",TEXT(E840,"YYYY"))</f>
        <v/>
      </c>
      <c r="BC840" s="92">
        <f>IF($E840="","",NETWORKDAYS($E840,Controls!$B$9,Ref!$F$4:$F$47))</f>
        <v/>
      </c>
      <c r="BD840" s="92">
        <f>IF(OR($AH840=1,$AJ840=1),1,0)</f>
        <v/>
      </c>
      <c r="BE840" s="95">
        <f>IF(OR($BD840=1,AND($AE840&lt;&gt;"",$BC840&gt;=Controls!$B$10*$AE840)),1,0)</f>
        <v/>
      </c>
    </row>
    <row r="841" ht="15.75" customHeight="1" s="79">
      <c r="A841" s="5" t="inlineStr">
        <is>
          <t>5674182986</t>
        </is>
      </c>
      <c r="B841" s="5" t="inlineStr">
        <is>
          <t>MOOR HERBS MARKETPLACE</t>
        </is>
      </c>
      <c r="C841" s="5" t="inlineStr">
        <is>
          <t>THE MOORISH SCIENCE - TEMPLE THE DIVINE AND NATIONAL MOVEMENT OF NORTH AMERICA INC</t>
        </is>
      </c>
      <c r="D841" s="5" t="inlineStr">
        <is>
          <t>Open</t>
        </is>
      </c>
      <c r="E841" s="16" t="n">
        <v>46147</v>
      </c>
      <c r="F841" s="16" t="n">
        <v>46253</v>
      </c>
      <c r="G841" s="17" t="n">
        <v>3</v>
      </c>
      <c r="H841" s="5" t="inlineStr">
        <is>
          <t>5999</t>
        </is>
      </c>
      <c r="I841" s="5" t="inlineStr">
        <is>
          <t>All Other Health and Personal Care Stores</t>
        </is>
      </c>
      <c r="J841" s="5" t="inlineStr">
        <is>
          <t>59</t>
        </is>
      </c>
      <c r="K841" s="5" t="n">
        <v>5999</v>
      </c>
      <c r="L841" s="5" t="inlineStr">
        <is>
          <t>MI</t>
        </is>
      </c>
      <c r="M841" s="5" t="inlineStr">
        <is>
          <t>United Secured Capital 8</t>
        </is>
      </c>
      <c r="N841" s="5" t="inlineStr">
        <is>
          <t>Renewal</t>
        </is>
      </c>
      <c r="O841" s="19" t="n">
        <v>1.49</v>
      </c>
      <c r="P841" s="20" t="n">
        <v>55000</v>
      </c>
      <c r="Q841" s="20" t="n">
        <v>7700</v>
      </c>
      <c r="R841" s="20" t="n">
        <v>81950</v>
      </c>
      <c r="S841" s="20" t="n">
        <v>43323.3</v>
      </c>
      <c r="T841" s="20" t="n">
        <v>38626.7</v>
      </c>
      <c r="U841" s="21" t="n">
        <v>0.528655277608298</v>
      </c>
      <c r="V841" s="22" t="n">
        <v>4.59</v>
      </c>
      <c r="W841" s="17" t="n">
        <v>0</v>
      </c>
      <c r="X841" s="17" t="n">
        <v>0</v>
      </c>
      <c r="Y841" s="20" t="n">
        <v>104379.99</v>
      </c>
      <c r="Z841" s="21" t="n">
        <v>0.174</v>
      </c>
      <c r="AA841" s="16" t="n">
        <v>43221</v>
      </c>
      <c r="AB841" s="5">
        <f>IF(V841="","",IF(V841&lt;12,"Months","Weeks"))</f>
        <v/>
      </c>
      <c r="AC841" s="5">
        <f>IF(AB841="","",IF(AB841="Months","Daily","Weekly"))</f>
        <v/>
      </c>
      <c r="AD841" s="17">
        <f>IF(V841="","",IF(AC841="Daily",V841*Controls!$B$13,V841))</f>
        <v/>
      </c>
      <c r="AE841" s="17">
        <f>IF(V841="","",IF(AC841="Daily",V841*Controls!$B$13,V841*Controls!$B$12))</f>
        <v/>
      </c>
      <c r="AF841" s="17">
        <f>IF(OR(E841="",F841=""),"",F841-E841)</f>
        <v/>
      </c>
      <c r="AG841" s="17">
        <f>IF(OR(E841="",F841=""),"",NETWORKDAYS(E841,F841,Ref!$F$4:$F$47))</f>
        <v/>
      </c>
      <c r="AH841" s="39">
        <f>IF(IFERROR(VLOOKUP(D841,Controls!$A$25:$D$35,2,FALSE()),"No")="Yes",1,0)</f>
        <v/>
      </c>
      <c r="AI841" s="39">
        <f>IF(IFERROR(VLOOKUP(D841,Controls!$A$25:$D$35,3,FALSE()),"No")="Yes",1,0)</f>
        <v/>
      </c>
      <c r="AJ841" s="39">
        <f>IF(IFERROR(VLOOKUP(D841,Controls!$A$25:$D$35,4,FALSE()),"No")="Yes",1,0)</f>
        <v/>
      </c>
      <c r="AK841" s="96">
        <f>IF(AND($E841&gt;=Controls!$B$5,$E841&lt;=Controls!$B$6,OR(Controls!$E$9&lt;&gt;"Y",$BE841=1)),1,0)</f>
        <v/>
      </c>
      <c r="AL841" s="39">
        <f>1</f>
        <v/>
      </c>
      <c r="AM841" s="20">
        <f>S841-P841</f>
        <v/>
      </c>
      <c r="AN841" s="20">
        <f>IF(AH841=1,MAX(0,P841-S841),0)</f>
        <v/>
      </c>
      <c r="AO841" s="21">
        <f>IFERROR(S841/P841,"")</f>
        <v/>
      </c>
      <c r="AP841" s="22">
        <f>IF(Y841="","",P841/Y841)</f>
        <v/>
      </c>
      <c r="AQ841" s="39">
        <f>IF(Y841="",0,1)</f>
        <v/>
      </c>
      <c r="AR841" s="39">
        <f>IF(S841&lt;=0,1,0)</f>
        <v/>
      </c>
      <c r="AS841" s="17">
        <f>IF(AH841=1,AG841,"")</f>
        <v/>
      </c>
      <c r="AT841" s="17">
        <f>IF(AND(AH841=0,AJ841=1),AG841,"")</f>
        <v/>
      </c>
      <c r="AU841" s="5">
        <f>IF(P841&lt;10000,"Under $10K",IF(P841&lt;20000,"$10-20K",IF(P841&lt;30000,"$20-30K",IF(P841&lt;50000,"$30-50K",IF(P841&lt;100000,"$50-100K","$100K+")))))</f>
        <v/>
      </c>
      <c r="AV841" s="5">
        <f>IF(O841&lt;=1.35,"1.35 and under",IF(O841&lt;=1.42,"1.36-1.42",IF(O841&lt;=1.45,"1.43-1.45",IF(O841&lt;1.49,"1.46-1.48",IF(O841&lt;=1.49,"1.49","Above 1.49")))))</f>
        <v/>
      </c>
      <c r="AW841" s="5">
        <f>IF(AE841="","",IF(AE841&lt;60,"Under 60",IF(AE841&lt;90,"60-89",IF(AE841&lt;120,"90-119",IF(AE841&lt;150,"120-149","150+")))))</f>
        <v/>
      </c>
      <c r="AX841" s="5">
        <f>IF(AP841="","No revenue data",IF(AP841&lt;0.15,"Under 0.15x",IF(AP841&lt;0.3,"0.15-0.30x",IF(AP841&lt;0.5,"0.30-0.50x",IF(AP841&lt;1,"0.50-1.00x","1.00x+")))))</f>
        <v/>
      </c>
      <c r="AY841" s="5">
        <f>IF(J841="","No SIC",IFERROR(VLOOKUP(J841,Ref!$A$4:$C$67,2,FALSE()),"Unclassified"))</f>
        <v/>
      </c>
      <c r="AZ841" s="5">
        <f>IF(E841="","",TEXT(E841,"YYYY")&amp;"-Q"&amp;ROUNDUP(MONTH(E841)/3,0))</f>
        <v/>
      </c>
      <c r="BA841" s="5">
        <f>IF(E841="","",TEXT(E841,"YYYY-MM"))</f>
        <v/>
      </c>
      <c r="BB841" s="5">
        <f>IF(E841="","",TEXT(E841,"YYYY"))</f>
        <v/>
      </c>
      <c r="BC841" s="92">
        <f>IF($E841="","",NETWORKDAYS($E841,Controls!$B$9,Ref!$F$4:$F$47))</f>
        <v/>
      </c>
      <c r="BD841" s="92">
        <f>IF(OR($AH841=1,$AJ841=1),1,0)</f>
        <v/>
      </c>
      <c r="BE841" s="95">
        <f>IF(OR($BD841=1,AND($AE841&lt;&gt;"",$BC841&gt;=Controls!$B$10*$AE841)),1,0)</f>
        <v/>
      </c>
    </row>
    <row r="842" ht="15.75" customHeight="1" s="79">
      <c r="A842" s="5" t="inlineStr">
        <is>
          <t>5674183018</t>
        </is>
      </c>
      <c r="B842" s="5" t="inlineStr">
        <is>
          <t>Trajum Machine Learning</t>
        </is>
      </c>
      <c r="C842" s="5" t="inlineStr">
        <is>
          <t>Trajum Machine Learning</t>
        </is>
      </c>
      <c r="D842" s="5" t="inlineStr">
        <is>
          <t>Open</t>
        </is>
      </c>
      <c r="E842" s="16" t="n">
        <v>46147</v>
      </c>
      <c r="F842" s="16" t="n">
        <v>46253</v>
      </c>
      <c r="G842" s="17" t="n">
        <v>3</v>
      </c>
      <c r="H842" s="5" t="inlineStr">
        <is>
          <t>7371</t>
        </is>
      </c>
      <c r="I842" s="5" t="inlineStr">
        <is>
          <t>Custom Computer Programming Services</t>
        </is>
      </c>
      <c r="J842" s="5" t="inlineStr">
        <is>
          <t>73</t>
        </is>
      </c>
      <c r="K842" s="5" t="n">
        <v>7372</v>
      </c>
      <c r="L842" s="5" t="inlineStr">
        <is>
          <t>FL</t>
        </is>
      </c>
      <c r="M842" s="5" t="inlineStr">
        <is>
          <t>Shore Funding USA</t>
        </is>
      </c>
      <c r="N842" s="5" t="inlineStr">
        <is>
          <t>New Deal</t>
        </is>
      </c>
      <c r="O842" s="19" t="n">
        <v>1.49</v>
      </c>
      <c r="P842" s="20" t="n">
        <v>5000</v>
      </c>
      <c r="Q842" s="20" t="n">
        <v>700</v>
      </c>
      <c r="R842" s="20" t="n">
        <v>7450</v>
      </c>
      <c r="S842" s="20" t="n">
        <v>5213.04</v>
      </c>
      <c r="T842" s="20" t="n">
        <v>2236.96</v>
      </c>
      <c r="U842" s="21" t="n">
        <v>0.699736912751678</v>
      </c>
      <c r="V842" s="22" t="n">
        <v>1.967</v>
      </c>
      <c r="W842" s="17" t="n">
        <v>0</v>
      </c>
      <c r="X842" s="17" t="n">
        <v>31</v>
      </c>
      <c r="Y842" s="20" t="n">
        <v>20818.97</v>
      </c>
      <c r="Z842" s="21" t="n">
        <v>0.1252</v>
      </c>
      <c r="AA842" s="16" t="n">
        <v>44962</v>
      </c>
      <c r="AB842" s="5">
        <f>IF(V842="","",IF(V842&lt;12,"Months","Weeks"))</f>
        <v/>
      </c>
      <c r="AC842" s="5">
        <f>IF(AB842="","",IF(AB842="Months","Daily","Weekly"))</f>
        <v/>
      </c>
      <c r="AD842" s="17">
        <f>IF(V842="","",IF(AC842="Daily",V842*Controls!$B$13,V842))</f>
        <v/>
      </c>
      <c r="AE842" s="17">
        <f>IF(V842="","",IF(AC842="Daily",V842*Controls!$B$13,V842*Controls!$B$12))</f>
        <v/>
      </c>
      <c r="AF842" s="17">
        <f>IF(OR(E842="",F842=""),"",F842-E842)</f>
        <v/>
      </c>
      <c r="AG842" s="17">
        <f>IF(OR(E842="",F842=""),"",NETWORKDAYS(E842,F842,Ref!$F$4:$F$47))</f>
        <v/>
      </c>
      <c r="AH842" s="39">
        <f>IF(IFERROR(VLOOKUP(D842,Controls!$A$25:$D$35,2,FALSE()),"No")="Yes",1,0)</f>
        <v/>
      </c>
      <c r="AI842" s="39">
        <f>IF(IFERROR(VLOOKUP(D842,Controls!$A$25:$D$35,3,FALSE()),"No")="Yes",1,0)</f>
        <v/>
      </c>
      <c r="AJ842" s="39">
        <f>IF(IFERROR(VLOOKUP(D842,Controls!$A$25:$D$35,4,FALSE()),"No")="Yes",1,0)</f>
        <v/>
      </c>
      <c r="AK842" s="96">
        <f>IF(AND($E842&gt;=Controls!$B$5,$E842&lt;=Controls!$B$6,OR(Controls!$E$9&lt;&gt;"Y",$BE842=1)),1,0)</f>
        <v/>
      </c>
      <c r="AL842" s="39">
        <f>1</f>
        <v/>
      </c>
      <c r="AM842" s="20">
        <f>S842-P842</f>
        <v/>
      </c>
      <c r="AN842" s="20">
        <f>IF(AH842=1,MAX(0,P842-S842),0)</f>
        <v/>
      </c>
      <c r="AO842" s="21">
        <f>IFERROR(S842/P842,"")</f>
        <v/>
      </c>
      <c r="AP842" s="22">
        <f>IF(Y842="","",P842/Y842)</f>
        <v/>
      </c>
      <c r="AQ842" s="39">
        <f>IF(Y842="",0,1)</f>
        <v/>
      </c>
      <c r="AR842" s="39">
        <f>IF(S842&lt;=0,1,0)</f>
        <v/>
      </c>
      <c r="AS842" s="17">
        <f>IF(AH842=1,AG842,"")</f>
        <v/>
      </c>
      <c r="AT842" s="17">
        <f>IF(AND(AH842=0,AJ842=1),AG842,"")</f>
        <v/>
      </c>
      <c r="AU842" s="5">
        <f>IF(P842&lt;10000,"Under $10K",IF(P842&lt;20000,"$10-20K",IF(P842&lt;30000,"$20-30K",IF(P842&lt;50000,"$30-50K",IF(P842&lt;100000,"$50-100K","$100K+")))))</f>
        <v/>
      </c>
      <c r="AV842" s="5">
        <f>IF(O842&lt;=1.35,"1.35 and under",IF(O842&lt;=1.42,"1.36-1.42",IF(O842&lt;=1.45,"1.43-1.45",IF(O842&lt;1.49,"1.46-1.48",IF(O842&lt;=1.49,"1.49","Above 1.49")))))</f>
        <v/>
      </c>
      <c r="AW842" s="5">
        <f>IF(AE842="","",IF(AE842&lt;60,"Under 60",IF(AE842&lt;90,"60-89",IF(AE842&lt;120,"90-119",IF(AE842&lt;150,"120-149","150+")))))</f>
        <v/>
      </c>
      <c r="AX842" s="5">
        <f>IF(AP842="","No revenue data",IF(AP842&lt;0.15,"Under 0.15x",IF(AP842&lt;0.3,"0.15-0.30x",IF(AP842&lt;0.5,"0.30-0.50x",IF(AP842&lt;1,"0.50-1.00x","1.00x+")))))</f>
        <v/>
      </c>
      <c r="AY842" s="5">
        <f>IF(J842="","No SIC",IFERROR(VLOOKUP(J842,Ref!$A$4:$C$67,2,FALSE()),"Unclassified"))</f>
        <v/>
      </c>
      <c r="AZ842" s="5">
        <f>IF(E842="","",TEXT(E842,"YYYY")&amp;"-Q"&amp;ROUNDUP(MONTH(E842)/3,0))</f>
        <v/>
      </c>
      <c r="BA842" s="5">
        <f>IF(E842="","",TEXT(E842,"YYYY-MM"))</f>
        <v/>
      </c>
      <c r="BB842" s="5">
        <f>IF(E842="","",TEXT(E842,"YYYY"))</f>
        <v/>
      </c>
      <c r="BC842" s="92">
        <f>IF($E842="","",NETWORKDAYS($E842,Controls!$B$9,Ref!$F$4:$F$47))</f>
        <v/>
      </c>
      <c r="BD842" s="92">
        <f>IF(OR($AH842=1,$AJ842=1),1,0)</f>
        <v/>
      </c>
      <c r="BE842" s="95">
        <f>IF(OR($BD842=1,AND($AE842&lt;&gt;"",$BC842&gt;=Controls!$B$10*$AE842)),1,0)</f>
        <v/>
      </c>
    </row>
    <row r="843" ht="15.75" customHeight="1" s="79">
      <c r="A843" s="5" t="inlineStr">
        <is>
          <t>5674183058</t>
        </is>
      </c>
      <c r="B843" s="5" t="inlineStr">
        <is>
          <t>B&amp;D Truck and Trailer Repair</t>
        </is>
      </c>
      <c r="C843" s="5" t="inlineStr">
        <is>
          <t>B&amp;D Truck and Trailer Repair</t>
        </is>
      </c>
      <c r="D843" s="5" t="inlineStr">
        <is>
          <t>Legal</t>
        </is>
      </c>
      <c r="E843" s="16" t="n">
        <v>46148</v>
      </c>
      <c r="F843" s="16" t="n">
        <v>46175</v>
      </c>
      <c r="G843" s="17" t="n">
        <v>3</v>
      </c>
      <c r="H843" s="5" t="inlineStr">
        <is>
          <t>7539</t>
        </is>
      </c>
      <c r="I843" s="5" t="inlineStr">
        <is>
          <t>Other Automotive Mechanical and Electrical Repair and Maintenance</t>
        </is>
      </c>
      <c r="J843" s="5" t="inlineStr">
        <is>
          <t>75</t>
        </is>
      </c>
      <c r="K843" s="5" t="n">
        <v>7538</v>
      </c>
      <c r="L843" s="5" t="inlineStr">
        <is>
          <t>TX</t>
        </is>
      </c>
      <c r="M843" s="5" t="inlineStr">
        <is>
          <t>Shore Funding USA</t>
        </is>
      </c>
      <c r="N843" s="5" t="inlineStr">
        <is>
          <t>New Deal</t>
        </is>
      </c>
      <c r="O843" s="19" t="n">
        <v>1.49</v>
      </c>
      <c r="P843" s="20" t="n">
        <v>5000</v>
      </c>
      <c r="Q843" s="20" t="n">
        <v>0</v>
      </c>
      <c r="R843" s="20" t="n">
        <v>7450</v>
      </c>
      <c r="S843" s="20" t="n">
        <v>198.58</v>
      </c>
      <c r="T843" s="20" t="n">
        <v>7251.42</v>
      </c>
      <c r="U843" s="21" t="n">
        <v>0.026655033557047</v>
      </c>
      <c r="V843" s="22" t="n">
        <v>2.459</v>
      </c>
      <c r="W843" s="17" t="n">
        <v>91</v>
      </c>
      <c r="X843" s="17" t="n">
        <v>16</v>
      </c>
      <c r="Y843" s="20" t="n">
        <v>15000</v>
      </c>
      <c r="Z843" s="21" t="n">
        <v>0.06950000000000001</v>
      </c>
      <c r="AA843" s="16" t="n">
        <v>44996</v>
      </c>
      <c r="AB843" s="5">
        <f>IF(V843="","",IF(V843&lt;12,"Months","Weeks"))</f>
        <v/>
      </c>
      <c r="AC843" s="5">
        <f>IF(AB843="","",IF(AB843="Months","Daily","Weekly"))</f>
        <v/>
      </c>
      <c r="AD843" s="17">
        <f>IF(V843="","",IF(AC843="Daily",V843*Controls!$B$13,V843))</f>
        <v/>
      </c>
      <c r="AE843" s="17">
        <f>IF(V843="","",IF(AC843="Daily",V843*Controls!$B$13,V843*Controls!$B$12))</f>
        <v/>
      </c>
      <c r="AF843" s="17">
        <f>IF(OR(E843="",F843=""),"",F843-E843)</f>
        <v/>
      </c>
      <c r="AG843" s="17">
        <f>IF(OR(E843="",F843=""),"",NETWORKDAYS(E843,F843,Ref!$F$4:$F$47))</f>
        <v/>
      </c>
      <c r="AH843" s="39">
        <f>IF(IFERROR(VLOOKUP(D843,Controls!$A$25:$D$35,2,FALSE()),"No")="Yes",1,0)</f>
        <v/>
      </c>
      <c r="AI843" s="39">
        <f>IF(IFERROR(VLOOKUP(D843,Controls!$A$25:$D$35,3,FALSE()),"No")="Yes",1,0)</f>
        <v/>
      </c>
      <c r="AJ843" s="39">
        <f>IF(IFERROR(VLOOKUP(D843,Controls!$A$25:$D$35,4,FALSE()),"No")="Yes",1,0)</f>
        <v/>
      </c>
      <c r="AK843" s="96">
        <f>IF(AND($E843&gt;=Controls!$B$5,$E843&lt;=Controls!$B$6,OR(Controls!$E$9&lt;&gt;"Y",$BE843=1)),1,0)</f>
        <v/>
      </c>
      <c r="AL843" s="39">
        <f>1</f>
        <v/>
      </c>
      <c r="AM843" s="20">
        <f>S843-P843</f>
        <v/>
      </c>
      <c r="AN843" s="20">
        <f>IF(AH843=1,MAX(0,P843-S843),0)</f>
        <v/>
      </c>
      <c r="AO843" s="21">
        <f>IFERROR(S843/P843,"")</f>
        <v/>
      </c>
      <c r="AP843" s="22">
        <f>IF(Y843="","",P843/Y843)</f>
        <v/>
      </c>
      <c r="AQ843" s="39">
        <f>IF(Y843="",0,1)</f>
        <v/>
      </c>
      <c r="AR843" s="39">
        <f>IF(S843&lt;=0,1,0)</f>
        <v/>
      </c>
      <c r="AS843" s="17">
        <f>IF(AH843=1,AG843,"")</f>
        <v/>
      </c>
      <c r="AT843" s="17">
        <f>IF(AND(AH843=0,AJ843=1),AG843,"")</f>
        <v/>
      </c>
      <c r="AU843" s="5">
        <f>IF(P843&lt;10000,"Under $10K",IF(P843&lt;20000,"$10-20K",IF(P843&lt;30000,"$20-30K",IF(P843&lt;50000,"$30-50K",IF(P843&lt;100000,"$50-100K","$100K+")))))</f>
        <v/>
      </c>
      <c r="AV843" s="5">
        <f>IF(O843&lt;=1.35,"1.35 and under",IF(O843&lt;=1.42,"1.36-1.42",IF(O843&lt;=1.45,"1.43-1.45",IF(O843&lt;1.49,"1.46-1.48",IF(O843&lt;=1.49,"1.49","Above 1.49")))))</f>
        <v/>
      </c>
      <c r="AW843" s="5">
        <f>IF(AE843="","",IF(AE843&lt;60,"Under 60",IF(AE843&lt;90,"60-89",IF(AE843&lt;120,"90-119",IF(AE843&lt;150,"120-149","150+")))))</f>
        <v/>
      </c>
      <c r="AX843" s="5">
        <f>IF(AP843="","No revenue data",IF(AP843&lt;0.15,"Under 0.15x",IF(AP843&lt;0.3,"0.15-0.30x",IF(AP843&lt;0.5,"0.30-0.50x",IF(AP843&lt;1,"0.50-1.00x","1.00x+")))))</f>
        <v/>
      </c>
      <c r="AY843" s="5">
        <f>IF(J843="","No SIC",IFERROR(VLOOKUP(J843,Ref!$A$4:$C$67,2,FALSE()),"Unclassified"))</f>
        <v/>
      </c>
      <c r="AZ843" s="5">
        <f>IF(E843="","",TEXT(E843,"YYYY")&amp;"-Q"&amp;ROUNDUP(MONTH(E843)/3,0))</f>
        <v/>
      </c>
      <c r="BA843" s="5">
        <f>IF(E843="","",TEXT(E843,"YYYY-MM"))</f>
        <v/>
      </c>
      <c r="BB843" s="5">
        <f>IF(E843="","",TEXT(E843,"YYYY"))</f>
        <v/>
      </c>
      <c r="BC843" s="92">
        <f>IF($E843="","",NETWORKDAYS($E843,Controls!$B$9,Ref!$F$4:$F$47))</f>
        <v/>
      </c>
      <c r="BD843" s="92">
        <f>IF(OR($AH843=1,$AJ843=1),1,0)</f>
        <v/>
      </c>
      <c r="BE843" s="95">
        <f>IF(OR($BD843=1,AND($AE843&lt;&gt;"",$BC843&gt;=Controls!$B$10*$AE843)),1,0)</f>
        <v/>
      </c>
    </row>
    <row r="844" ht="15.75" customHeight="1" s="79">
      <c r="A844" s="5" t="inlineStr">
        <is>
          <t>5674183068</t>
        </is>
      </c>
      <c r="B844" s="5" t="inlineStr">
        <is>
          <t>HOOF LAW FIRM</t>
        </is>
      </c>
      <c r="C844" s="5" t="inlineStr">
        <is>
          <t>THE HOOF LAW FIRM PLLC</t>
        </is>
      </c>
      <c r="D844" s="5" t="inlineStr">
        <is>
          <t>Open</t>
        </is>
      </c>
      <c r="E844" s="16" t="n">
        <v>46148</v>
      </c>
      <c r="F844" s="16" t="n">
        <v>46251</v>
      </c>
      <c r="G844" s="17" t="n">
        <v>1</v>
      </c>
      <c r="H844" s="5" t="inlineStr">
        <is>
          <t>8111</t>
        </is>
      </c>
      <c r="I844" s="5" t="inlineStr">
        <is>
          <t>Offices of Lawyers</t>
        </is>
      </c>
      <c r="J844" s="5" t="inlineStr">
        <is>
          <t>81</t>
        </is>
      </c>
      <c r="K844" s="5" t="n">
        <v>8111</v>
      </c>
      <c r="L844" s="5" t="inlineStr">
        <is>
          <t>TX</t>
        </is>
      </c>
      <c r="M844" s="5" t="inlineStr">
        <is>
          <t>PMF</t>
        </is>
      </c>
      <c r="N844" s="5" t="inlineStr">
        <is>
          <t>New Deal</t>
        </is>
      </c>
      <c r="O844" s="19" t="n">
        <v>1.49</v>
      </c>
      <c r="P844" s="20" t="n">
        <v>75000</v>
      </c>
      <c r="Q844" s="20" t="n">
        <v>10500</v>
      </c>
      <c r="R844" s="20" t="n">
        <v>111750</v>
      </c>
      <c r="S844" s="20" t="n">
        <v>46575</v>
      </c>
      <c r="T844" s="20" t="n">
        <v>65175</v>
      </c>
      <c r="U844" s="21" t="n">
        <v>0.416778523489933</v>
      </c>
      <c r="V844" s="22" t="n">
        <v>36</v>
      </c>
      <c r="W844" s="17" t="n">
        <v>2</v>
      </c>
      <c r="X844" s="17" t="n">
        <v>0</v>
      </c>
      <c r="Y844" s="20" t="n">
        <v>150000</v>
      </c>
      <c r="Z844" s="21" t="n">
        <v>0.0828</v>
      </c>
      <c r="AA844" s="16" t="n">
        <v>42186</v>
      </c>
      <c r="AB844" s="5">
        <f>IF(V844="","",IF(V844&lt;12,"Months","Weeks"))</f>
        <v/>
      </c>
      <c r="AC844" s="5">
        <f>IF(AB844="","",IF(AB844="Months","Daily","Weekly"))</f>
        <v/>
      </c>
      <c r="AD844" s="17">
        <f>IF(V844="","",IF(AC844="Daily",V844*Controls!$B$13,V844))</f>
        <v/>
      </c>
      <c r="AE844" s="17">
        <f>IF(V844="","",IF(AC844="Daily",V844*Controls!$B$13,V844*Controls!$B$12))</f>
        <v/>
      </c>
      <c r="AF844" s="17">
        <f>IF(OR(E844="",F844=""),"",F844-E844)</f>
        <v/>
      </c>
      <c r="AG844" s="17">
        <f>IF(OR(E844="",F844=""),"",NETWORKDAYS(E844,F844,Ref!$F$4:$F$47))</f>
        <v/>
      </c>
      <c r="AH844" s="39">
        <f>IF(IFERROR(VLOOKUP(D844,Controls!$A$25:$D$35,2,FALSE()),"No")="Yes",1,0)</f>
        <v/>
      </c>
      <c r="AI844" s="39">
        <f>IF(IFERROR(VLOOKUP(D844,Controls!$A$25:$D$35,3,FALSE()),"No")="Yes",1,0)</f>
        <v/>
      </c>
      <c r="AJ844" s="39">
        <f>IF(IFERROR(VLOOKUP(D844,Controls!$A$25:$D$35,4,FALSE()),"No")="Yes",1,0)</f>
        <v/>
      </c>
      <c r="AK844" s="96">
        <f>IF(AND($E844&gt;=Controls!$B$5,$E844&lt;=Controls!$B$6,OR(Controls!$E$9&lt;&gt;"Y",$BE844=1)),1,0)</f>
        <v/>
      </c>
      <c r="AL844" s="39">
        <f>1</f>
        <v/>
      </c>
      <c r="AM844" s="20">
        <f>S844-P844</f>
        <v/>
      </c>
      <c r="AN844" s="20">
        <f>IF(AH844=1,MAX(0,P844-S844),0)</f>
        <v/>
      </c>
      <c r="AO844" s="21">
        <f>IFERROR(S844/P844,"")</f>
        <v/>
      </c>
      <c r="AP844" s="22">
        <f>IF(Y844="","",P844/Y844)</f>
        <v/>
      </c>
      <c r="AQ844" s="39">
        <f>IF(Y844="",0,1)</f>
        <v/>
      </c>
      <c r="AR844" s="39">
        <f>IF(S844&lt;=0,1,0)</f>
        <v/>
      </c>
      <c r="AS844" s="17">
        <f>IF(AH844=1,AG844,"")</f>
        <v/>
      </c>
      <c r="AT844" s="17">
        <f>IF(AND(AH844=0,AJ844=1),AG844,"")</f>
        <v/>
      </c>
      <c r="AU844" s="5">
        <f>IF(P844&lt;10000,"Under $10K",IF(P844&lt;20000,"$10-20K",IF(P844&lt;30000,"$20-30K",IF(P844&lt;50000,"$30-50K",IF(P844&lt;100000,"$50-100K","$100K+")))))</f>
        <v/>
      </c>
      <c r="AV844" s="5">
        <f>IF(O844&lt;=1.35,"1.35 and under",IF(O844&lt;=1.42,"1.36-1.42",IF(O844&lt;=1.45,"1.43-1.45",IF(O844&lt;1.49,"1.46-1.48",IF(O844&lt;=1.49,"1.49","Above 1.49")))))</f>
        <v/>
      </c>
      <c r="AW844" s="5">
        <f>IF(AE844="","",IF(AE844&lt;60,"Under 60",IF(AE844&lt;90,"60-89",IF(AE844&lt;120,"90-119",IF(AE844&lt;150,"120-149","150+")))))</f>
        <v/>
      </c>
      <c r="AX844" s="5">
        <f>IF(AP844="","No revenue data",IF(AP844&lt;0.15,"Under 0.15x",IF(AP844&lt;0.3,"0.15-0.30x",IF(AP844&lt;0.5,"0.30-0.50x",IF(AP844&lt;1,"0.50-1.00x","1.00x+")))))</f>
        <v/>
      </c>
      <c r="AY844" s="5">
        <f>IF(J844="","No SIC",IFERROR(VLOOKUP(J844,Ref!$A$4:$C$67,2,FALSE()),"Unclassified"))</f>
        <v/>
      </c>
      <c r="AZ844" s="5">
        <f>IF(E844="","",TEXT(E844,"YYYY")&amp;"-Q"&amp;ROUNDUP(MONTH(E844)/3,0))</f>
        <v/>
      </c>
      <c r="BA844" s="5">
        <f>IF(E844="","",TEXT(E844,"YYYY-MM"))</f>
        <v/>
      </c>
      <c r="BB844" s="5">
        <f>IF(E844="","",TEXT(E844,"YYYY"))</f>
        <v/>
      </c>
      <c r="BC844" s="92">
        <f>IF($E844="","",NETWORKDAYS($E844,Controls!$B$9,Ref!$F$4:$F$47))</f>
        <v/>
      </c>
      <c r="BD844" s="92">
        <f>IF(OR($AH844=1,$AJ844=1),1,0)</f>
        <v/>
      </c>
      <c r="BE844" s="95">
        <f>IF(OR($BD844=1,AND($AE844&lt;&gt;"",$BC844&gt;=Controls!$B$10*$AE844)),1,0)</f>
        <v/>
      </c>
    </row>
    <row r="845" ht="15.75" customHeight="1" s="79">
      <c r="A845" s="5" t="inlineStr">
        <is>
          <t>5674183070</t>
        </is>
      </c>
      <c r="B845" s="5" t="inlineStr">
        <is>
          <t>Wise Path Recovery Centers</t>
        </is>
      </c>
      <c r="C845" s="5" t="inlineStr">
        <is>
          <t>Westover Project Associates LLC</t>
        </is>
      </c>
      <c r="D845" s="5" t="inlineStr">
        <is>
          <t>Open</t>
        </is>
      </c>
      <c r="E845" s="16" t="n">
        <v>46148</v>
      </c>
      <c r="F845" s="16" t="n">
        <v>46247</v>
      </c>
      <c r="G845" s="17" t="n">
        <v>2</v>
      </c>
      <c r="H845" s="5" t="inlineStr">
        <is>
          <t>8011</t>
        </is>
      </c>
      <c r="I845" s="5" t="inlineStr">
        <is>
          <t>Freestanding Ambulatory Surgical and Emergency Centers</t>
        </is>
      </c>
      <c r="J845" s="5" t="inlineStr">
        <is>
          <t>80</t>
        </is>
      </c>
      <c r="K845" s="5" t="n">
        <v>8011</v>
      </c>
      <c r="L845" s="5" t="inlineStr">
        <is>
          <t>WV</t>
        </is>
      </c>
      <c r="M845" s="5" t="inlineStr">
        <is>
          <t>National Business Capital</t>
        </is>
      </c>
      <c r="N845" s="5" t="inlineStr">
        <is>
          <t>New Deal</t>
        </is>
      </c>
      <c r="O845" s="19" t="n">
        <v>1.45</v>
      </c>
      <c r="P845" s="20" t="n">
        <v>200000</v>
      </c>
      <c r="Q845" s="20" t="n">
        <v>24000</v>
      </c>
      <c r="R845" s="20" t="n">
        <v>290000</v>
      </c>
      <c r="S845" s="20" t="n">
        <v>135357.6</v>
      </c>
      <c r="T845" s="20" t="n">
        <v>154642.4</v>
      </c>
      <c r="U845" s="21" t="n">
        <v>0.466750344827586</v>
      </c>
      <c r="V845" s="22" t="n">
        <v>30</v>
      </c>
      <c r="W845" s="17" t="n">
        <v>6</v>
      </c>
      <c r="X845" s="17" t="n">
        <v>0</v>
      </c>
      <c r="Y845" s="20" t="n">
        <v>233960.04</v>
      </c>
      <c r="Z845" s="21" t="n">
        <v>0.1653</v>
      </c>
      <c r="AA845" s="16" t="n">
        <v>44625</v>
      </c>
      <c r="AB845" s="5">
        <f>IF(V845="","",IF(V845&lt;12,"Months","Weeks"))</f>
        <v/>
      </c>
      <c r="AC845" s="5">
        <f>IF(AB845="","",IF(AB845="Months","Daily","Weekly"))</f>
        <v/>
      </c>
      <c r="AD845" s="17">
        <f>IF(V845="","",IF(AC845="Daily",V845*Controls!$B$13,V845))</f>
        <v/>
      </c>
      <c r="AE845" s="17">
        <f>IF(V845="","",IF(AC845="Daily",V845*Controls!$B$13,V845*Controls!$B$12))</f>
        <v/>
      </c>
      <c r="AF845" s="17">
        <f>IF(OR(E845="",F845=""),"",F845-E845)</f>
        <v/>
      </c>
      <c r="AG845" s="17">
        <f>IF(OR(E845="",F845=""),"",NETWORKDAYS(E845,F845,Ref!$F$4:$F$47))</f>
        <v/>
      </c>
      <c r="AH845" s="39">
        <f>IF(IFERROR(VLOOKUP(D845,Controls!$A$25:$D$35,2,FALSE()),"No")="Yes",1,0)</f>
        <v/>
      </c>
      <c r="AI845" s="39">
        <f>IF(IFERROR(VLOOKUP(D845,Controls!$A$25:$D$35,3,FALSE()),"No")="Yes",1,0)</f>
        <v/>
      </c>
      <c r="AJ845" s="39">
        <f>IF(IFERROR(VLOOKUP(D845,Controls!$A$25:$D$35,4,FALSE()),"No")="Yes",1,0)</f>
        <v/>
      </c>
      <c r="AK845" s="96">
        <f>IF(AND($E845&gt;=Controls!$B$5,$E845&lt;=Controls!$B$6,OR(Controls!$E$9&lt;&gt;"Y",$BE845=1)),1,0)</f>
        <v/>
      </c>
      <c r="AL845" s="39">
        <f>1</f>
        <v/>
      </c>
      <c r="AM845" s="20">
        <f>S845-P845</f>
        <v/>
      </c>
      <c r="AN845" s="20">
        <f>IF(AH845=1,MAX(0,P845-S845),0)</f>
        <v/>
      </c>
      <c r="AO845" s="21">
        <f>IFERROR(S845/P845,"")</f>
        <v/>
      </c>
      <c r="AP845" s="22">
        <f>IF(Y845="","",P845/Y845)</f>
        <v/>
      </c>
      <c r="AQ845" s="39">
        <f>IF(Y845="",0,1)</f>
        <v/>
      </c>
      <c r="AR845" s="39">
        <f>IF(S845&lt;=0,1,0)</f>
        <v/>
      </c>
      <c r="AS845" s="17">
        <f>IF(AH845=1,AG845,"")</f>
        <v/>
      </c>
      <c r="AT845" s="17">
        <f>IF(AND(AH845=0,AJ845=1),AG845,"")</f>
        <v/>
      </c>
      <c r="AU845" s="5">
        <f>IF(P845&lt;10000,"Under $10K",IF(P845&lt;20000,"$10-20K",IF(P845&lt;30000,"$20-30K",IF(P845&lt;50000,"$30-50K",IF(P845&lt;100000,"$50-100K","$100K+")))))</f>
        <v/>
      </c>
      <c r="AV845" s="5">
        <f>IF(O845&lt;=1.35,"1.35 and under",IF(O845&lt;=1.42,"1.36-1.42",IF(O845&lt;=1.45,"1.43-1.45",IF(O845&lt;1.49,"1.46-1.48",IF(O845&lt;=1.49,"1.49","Above 1.49")))))</f>
        <v/>
      </c>
      <c r="AW845" s="5">
        <f>IF(AE845="","",IF(AE845&lt;60,"Under 60",IF(AE845&lt;90,"60-89",IF(AE845&lt;120,"90-119",IF(AE845&lt;150,"120-149","150+")))))</f>
        <v/>
      </c>
      <c r="AX845" s="5">
        <f>IF(AP845="","No revenue data",IF(AP845&lt;0.15,"Under 0.15x",IF(AP845&lt;0.3,"0.15-0.30x",IF(AP845&lt;0.5,"0.30-0.50x",IF(AP845&lt;1,"0.50-1.00x","1.00x+")))))</f>
        <v/>
      </c>
      <c r="AY845" s="5">
        <f>IF(J845="","No SIC",IFERROR(VLOOKUP(J845,Ref!$A$4:$C$67,2,FALSE()),"Unclassified"))</f>
        <v/>
      </c>
      <c r="AZ845" s="5">
        <f>IF(E845="","",TEXT(E845,"YYYY")&amp;"-Q"&amp;ROUNDUP(MONTH(E845)/3,0))</f>
        <v/>
      </c>
      <c r="BA845" s="5">
        <f>IF(E845="","",TEXT(E845,"YYYY-MM"))</f>
        <v/>
      </c>
      <c r="BB845" s="5">
        <f>IF(E845="","",TEXT(E845,"YYYY"))</f>
        <v/>
      </c>
      <c r="BC845" s="92">
        <f>IF($E845="","",NETWORKDAYS($E845,Controls!$B$9,Ref!$F$4:$F$47))</f>
        <v/>
      </c>
      <c r="BD845" s="92">
        <f>IF(OR($AH845=1,$AJ845=1),1,0)</f>
        <v/>
      </c>
      <c r="BE845" s="95">
        <f>IF(OR($BD845=1,AND($AE845&lt;&gt;"",$BC845&gt;=Controls!$B$10*$AE845)),1,0)</f>
        <v/>
      </c>
    </row>
    <row r="846" ht="15.75" customHeight="1" s="79">
      <c r="A846" s="5" t="inlineStr">
        <is>
          <t>5674183112</t>
        </is>
      </c>
      <c r="B846" s="5" t="inlineStr">
        <is>
          <t>Williston Publishing</t>
        </is>
      </c>
      <c r="C846" s="5" t="inlineStr">
        <is>
          <t>Williston Publishing</t>
        </is>
      </c>
      <c r="D846" s="5" t="inlineStr">
        <is>
          <t>Closed</t>
        </is>
      </c>
      <c r="E846" s="16" t="n">
        <v>46148</v>
      </c>
      <c r="F846" s="16" t="n">
        <v>46241</v>
      </c>
      <c r="G846" s="17" t="n">
        <v>3</v>
      </c>
      <c r="H846" s="5" t="inlineStr">
        <is>
          <t>2711</t>
        </is>
      </c>
      <c r="I846" s="5" t="inlineStr">
        <is>
          <t>Newspaper Publishers</t>
        </is>
      </c>
      <c r="J846" s="5" t="inlineStr">
        <is>
          <t>27</t>
        </is>
      </c>
      <c r="K846" s="5" t="n">
        <v>2741</v>
      </c>
      <c r="L846" s="5" t="inlineStr">
        <is>
          <t>VT</t>
        </is>
      </c>
      <c r="M846" s="5" t="inlineStr">
        <is>
          <t>Credibly</t>
        </is>
      </c>
      <c r="N846" s="5" t="inlineStr">
        <is>
          <t>New Deal</t>
        </is>
      </c>
      <c r="O846" s="19" t="n">
        <v>1.39</v>
      </c>
      <c r="P846" s="20" t="n">
        <v>15000</v>
      </c>
      <c r="Q846" s="20" t="n">
        <v>1350</v>
      </c>
      <c r="R846" s="20" t="n">
        <v>20850</v>
      </c>
      <c r="S846" s="20" t="n">
        <v>20850</v>
      </c>
      <c r="T846" s="20" t="n">
        <v>0</v>
      </c>
      <c r="U846" s="21" t="n">
        <v>1</v>
      </c>
      <c r="V846" s="22" t="n">
        <v>20</v>
      </c>
      <c r="W846" s="17" t="n">
        <v>12</v>
      </c>
      <c r="X846" s="17" t="n">
        <v>0</v>
      </c>
      <c r="Y846" s="20" t="n">
        <v>46967.68</v>
      </c>
      <c r="Z846" s="21" t="n">
        <v>0.0888</v>
      </c>
      <c r="AA846" s="16" t="n">
        <v>33970</v>
      </c>
      <c r="AB846" s="5">
        <f>IF(V846="","",IF(V846&lt;12,"Months","Weeks"))</f>
        <v/>
      </c>
      <c r="AC846" s="5">
        <f>IF(AB846="","",IF(AB846="Months","Daily","Weekly"))</f>
        <v/>
      </c>
      <c r="AD846" s="17">
        <f>IF(V846="","",IF(AC846="Daily",V846*Controls!$B$13,V846))</f>
        <v/>
      </c>
      <c r="AE846" s="17">
        <f>IF(V846="","",IF(AC846="Daily",V846*Controls!$B$13,V846*Controls!$B$12))</f>
        <v/>
      </c>
      <c r="AF846" s="17">
        <f>IF(OR(E846="",F846=""),"",F846-E846)</f>
        <v/>
      </c>
      <c r="AG846" s="17">
        <f>IF(OR(E846="",F846=""),"",NETWORKDAYS(E846,F846,Ref!$F$4:$F$47))</f>
        <v/>
      </c>
      <c r="AH846" s="39">
        <f>IF(IFERROR(VLOOKUP(D846,Controls!$A$25:$D$35,2,FALSE()),"No")="Yes",1,0)</f>
        <v/>
      </c>
      <c r="AI846" s="39">
        <f>IF(IFERROR(VLOOKUP(D846,Controls!$A$25:$D$35,3,FALSE()),"No")="Yes",1,0)</f>
        <v/>
      </c>
      <c r="AJ846" s="39">
        <f>IF(IFERROR(VLOOKUP(D846,Controls!$A$25:$D$35,4,FALSE()),"No")="Yes",1,0)</f>
        <v/>
      </c>
      <c r="AK846" s="96">
        <f>IF(AND($E846&gt;=Controls!$B$5,$E846&lt;=Controls!$B$6,OR(Controls!$E$9&lt;&gt;"Y",$BE846=1)),1,0)</f>
        <v/>
      </c>
      <c r="AL846" s="39">
        <f>1</f>
        <v/>
      </c>
      <c r="AM846" s="20">
        <f>S846-P846</f>
        <v/>
      </c>
      <c r="AN846" s="20">
        <f>IF(AH846=1,MAX(0,P846-S846),0)</f>
        <v/>
      </c>
      <c r="AO846" s="21">
        <f>IFERROR(S846/P846,"")</f>
        <v/>
      </c>
      <c r="AP846" s="22">
        <f>IF(Y846="","",P846/Y846)</f>
        <v/>
      </c>
      <c r="AQ846" s="39">
        <f>IF(Y846="",0,1)</f>
        <v/>
      </c>
      <c r="AR846" s="39">
        <f>IF(S846&lt;=0,1,0)</f>
        <v/>
      </c>
      <c r="AS846" s="17">
        <f>IF(AH846=1,AG846,"")</f>
        <v/>
      </c>
      <c r="AT846" s="17">
        <f>IF(AND(AH846=0,AJ846=1),AG846,"")</f>
        <v/>
      </c>
      <c r="AU846" s="5">
        <f>IF(P846&lt;10000,"Under $10K",IF(P846&lt;20000,"$10-20K",IF(P846&lt;30000,"$20-30K",IF(P846&lt;50000,"$30-50K",IF(P846&lt;100000,"$50-100K","$100K+")))))</f>
        <v/>
      </c>
      <c r="AV846" s="5">
        <f>IF(O846&lt;=1.35,"1.35 and under",IF(O846&lt;=1.42,"1.36-1.42",IF(O846&lt;=1.45,"1.43-1.45",IF(O846&lt;1.49,"1.46-1.48",IF(O846&lt;=1.49,"1.49","Above 1.49")))))</f>
        <v/>
      </c>
      <c r="AW846" s="5">
        <f>IF(AE846="","",IF(AE846&lt;60,"Under 60",IF(AE846&lt;90,"60-89",IF(AE846&lt;120,"90-119",IF(AE846&lt;150,"120-149","150+")))))</f>
        <v/>
      </c>
      <c r="AX846" s="5">
        <f>IF(AP846="","No revenue data",IF(AP846&lt;0.15,"Under 0.15x",IF(AP846&lt;0.3,"0.15-0.30x",IF(AP846&lt;0.5,"0.30-0.50x",IF(AP846&lt;1,"0.50-1.00x","1.00x+")))))</f>
        <v/>
      </c>
      <c r="AY846" s="5">
        <f>IF(J846="","No SIC",IFERROR(VLOOKUP(J846,Ref!$A$4:$C$67,2,FALSE()),"Unclassified"))</f>
        <v/>
      </c>
      <c r="AZ846" s="5">
        <f>IF(E846="","",TEXT(E846,"YYYY")&amp;"-Q"&amp;ROUNDUP(MONTH(E846)/3,0))</f>
        <v/>
      </c>
      <c r="BA846" s="5">
        <f>IF(E846="","",TEXT(E846,"YYYY-MM"))</f>
        <v/>
      </c>
      <c r="BB846" s="5">
        <f>IF(E846="","",TEXT(E846,"YYYY"))</f>
        <v/>
      </c>
      <c r="BC846" s="92">
        <f>IF($E846="","",NETWORKDAYS($E846,Controls!$B$9,Ref!$F$4:$F$47))</f>
        <v/>
      </c>
      <c r="BD846" s="92">
        <f>IF(OR($AH846=1,$AJ846=1),1,0)</f>
        <v/>
      </c>
      <c r="BE846" s="95">
        <f>IF(OR($BD846=1,AND($AE846&lt;&gt;"",$BC846&gt;=Controls!$B$10*$AE846)),1,0)</f>
        <v/>
      </c>
    </row>
    <row r="847" ht="15.75" customHeight="1" s="79">
      <c r="A847" s="5" t="inlineStr">
        <is>
          <t>5674183176</t>
        </is>
      </c>
      <c r="B847" s="5" t="inlineStr">
        <is>
          <t>OBrien Mechanical LLC</t>
        </is>
      </c>
      <c r="C847" s="5" t="inlineStr">
        <is>
          <t>OBrien Mechanical LLC</t>
        </is>
      </c>
      <c r="D847" s="5" t="inlineStr">
        <is>
          <t>Open</t>
        </is>
      </c>
      <c r="E847" s="16" t="n">
        <v>46149</v>
      </c>
      <c r="F847" s="16" t="n">
        <v>46248</v>
      </c>
      <c r="G847" s="17" t="n">
        <v>3</v>
      </c>
      <c r="H847" s="5" t="inlineStr">
        <is>
          <t>7538</t>
        </is>
      </c>
      <c r="I847" s="5" t="inlineStr">
        <is>
          <t>General Automotive Repair</t>
        </is>
      </c>
      <c r="J847" s="5" t="inlineStr">
        <is>
          <t>75</t>
        </is>
      </c>
      <c r="K847" s="5" t="n">
        <v>7538</v>
      </c>
      <c r="L847" s="5" t="inlineStr">
        <is>
          <t>IN</t>
        </is>
      </c>
      <c r="M847" s="5" t="inlineStr">
        <is>
          <t>penco holdings</t>
        </is>
      </c>
      <c r="N847" s="5" t="inlineStr">
        <is>
          <t>New Deal</t>
        </is>
      </c>
      <c r="O847" s="19" t="n">
        <v>1.45</v>
      </c>
      <c r="P847" s="20" t="n">
        <v>35000</v>
      </c>
      <c r="Q847" s="20" t="n">
        <v>4200</v>
      </c>
      <c r="R847" s="20" t="n">
        <v>50750</v>
      </c>
      <c r="S847" s="20" t="n">
        <v>22196.16</v>
      </c>
      <c r="T847" s="20" t="n">
        <v>28553.84</v>
      </c>
      <c r="U847" s="21" t="n">
        <v>0.43736275862069</v>
      </c>
      <c r="V847" s="22" t="n">
        <v>32</v>
      </c>
      <c r="W847" s="17" t="n">
        <v>5</v>
      </c>
      <c r="X847" s="17" t="n">
        <v>0</v>
      </c>
      <c r="Y847" s="20" t="n">
        <v>66135.60000000001</v>
      </c>
      <c r="Z847" s="21" t="n">
        <v>0.0853</v>
      </c>
      <c r="AA847" s="16" t="n">
        <v>40057</v>
      </c>
      <c r="AB847" s="5">
        <f>IF(V847="","",IF(V847&lt;12,"Months","Weeks"))</f>
        <v/>
      </c>
      <c r="AC847" s="5">
        <f>IF(AB847="","",IF(AB847="Months","Daily","Weekly"))</f>
        <v/>
      </c>
      <c r="AD847" s="17">
        <f>IF(V847="","",IF(AC847="Daily",V847*Controls!$B$13,V847))</f>
        <v/>
      </c>
      <c r="AE847" s="17">
        <f>IF(V847="","",IF(AC847="Daily",V847*Controls!$B$13,V847*Controls!$B$12))</f>
        <v/>
      </c>
      <c r="AF847" s="17">
        <f>IF(OR(E847="",F847=""),"",F847-E847)</f>
        <v/>
      </c>
      <c r="AG847" s="17">
        <f>IF(OR(E847="",F847=""),"",NETWORKDAYS(E847,F847,Ref!$F$4:$F$47))</f>
        <v/>
      </c>
      <c r="AH847" s="39">
        <f>IF(IFERROR(VLOOKUP(D847,Controls!$A$25:$D$35,2,FALSE()),"No")="Yes",1,0)</f>
        <v/>
      </c>
      <c r="AI847" s="39">
        <f>IF(IFERROR(VLOOKUP(D847,Controls!$A$25:$D$35,3,FALSE()),"No")="Yes",1,0)</f>
        <v/>
      </c>
      <c r="AJ847" s="39">
        <f>IF(IFERROR(VLOOKUP(D847,Controls!$A$25:$D$35,4,FALSE()),"No")="Yes",1,0)</f>
        <v/>
      </c>
      <c r="AK847" s="96">
        <f>IF(AND($E847&gt;=Controls!$B$5,$E847&lt;=Controls!$B$6,OR(Controls!$E$9&lt;&gt;"Y",$BE847=1)),1,0)</f>
        <v/>
      </c>
      <c r="AL847" s="39">
        <f>1</f>
        <v/>
      </c>
      <c r="AM847" s="20">
        <f>S847-P847</f>
        <v/>
      </c>
      <c r="AN847" s="20">
        <f>IF(AH847=1,MAX(0,P847-S847),0)</f>
        <v/>
      </c>
      <c r="AO847" s="21">
        <f>IFERROR(S847/P847,"")</f>
        <v/>
      </c>
      <c r="AP847" s="22">
        <f>IF(Y847="","",P847/Y847)</f>
        <v/>
      </c>
      <c r="AQ847" s="39">
        <f>IF(Y847="",0,1)</f>
        <v/>
      </c>
      <c r="AR847" s="39">
        <f>IF(S847&lt;=0,1,0)</f>
        <v/>
      </c>
      <c r="AS847" s="17">
        <f>IF(AH847=1,AG847,"")</f>
        <v/>
      </c>
      <c r="AT847" s="17">
        <f>IF(AND(AH847=0,AJ847=1),AG847,"")</f>
        <v/>
      </c>
      <c r="AU847" s="5">
        <f>IF(P847&lt;10000,"Under $10K",IF(P847&lt;20000,"$10-20K",IF(P847&lt;30000,"$20-30K",IF(P847&lt;50000,"$30-50K",IF(P847&lt;100000,"$50-100K","$100K+")))))</f>
        <v/>
      </c>
      <c r="AV847" s="5">
        <f>IF(O847&lt;=1.35,"1.35 and under",IF(O847&lt;=1.42,"1.36-1.42",IF(O847&lt;=1.45,"1.43-1.45",IF(O847&lt;1.49,"1.46-1.48",IF(O847&lt;=1.49,"1.49","Above 1.49")))))</f>
        <v/>
      </c>
      <c r="AW847" s="5">
        <f>IF(AE847="","",IF(AE847&lt;60,"Under 60",IF(AE847&lt;90,"60-89",IF(AE847&lt;120,"90-119",IF(AE847&lt;150,"120-149","150+")))))</f>
        <v/>
      </c>
      <c r="AX847" s="5">
        <f>IF(AP847="","No revenue data",IF(AP847&lt;0.15,"Under 0.15x",IF(AP847&lt;0.3,"0.15-0.30x",IF(AP847&lt;0.5,"0.30-0.50x",IF(AP847&lt;1,"0.50-1.00x","1.00x+")))))</f>
        <v/>
      </c>
      <c r="AY847" s="5">
        <f>IF(J847="","No SIC",IFERROR(VLOOKUP(J847,Ref!$A$4:$C$67,2,FALSE()),"Unclassified"))</f>
        <v/>
      </c>
      <c r="AZ847" s="5">
        <f>IF(E847="","",TEXT(E847,"YYYY")&amp;"-Q"&amp;ROUNDUP(MONTH(E847)/3,0))</f>
        <v/>
      </c>
      <c r="BA847" s="5">
        <f>IF(E847="","",TEXT(E847,"YYYY-MM"))</f>
        <v/>
      </c>
      <c r="BB847" s="5">
        <f>IF(E847="","",TEXT(E847,"YYYY"))</f>
        <v/>
      </c>
      <c r="BC847" s="92">
        <f>IF($E847="","",NETWORKDAYS($E847,Controls!$B$9,Ref!$F$4:$F$47))</f>
        <v/>
      </c>
      <c r="BD847" s="92">
        <f>IF(OR($AH847=1,$AJ847=1),1,0)</f>
        <v/>
      </c>
      <c r="BE847" s="95">
        <f>IF(OR($BD847=1,AND($AE847&lt;&gt;"",$BC847&gt;=Controls!$B$10*$AE847)),1,0)</f>
        <v/>
      </c>
    </row>
    <row r="848" ht="15.75" customHeight="1" s="79">
      <c r="A848" s="5" t="inlineStr">
        <is>
          <t>5674183201</t>
        </is>
      </c>
      <c r="B848" s="5" t="inlineStr">
        <is>
          <t>Jacbyte Systems and Software</t>
        </is>
      </c>
      <c r="C848" s="5" t="inlineStr">
        <is>
          <t>EPCG LLC</t>
        </is>
      </c>
      <c r="D848" s="5" t="inlineStr">
        <is>
          <t>Legal</t>
        </is>
      </c>
      <c r="E848" s="16" t="n">
        <v>46149</v>
      </c>
      <c r="F848" s="16" t="n">
        <v>46171</v>
      </c>
      <c r="G848" s="17" t="n">
        <v>3</v>
      </c>
      <c r="H848" s="5" t="inlineStr">
        <is>
          <t>7371</t>
        </is>
      </c>
      <c r="I848" s="5" t="inlineStr">
        <is>
          <t>Custom Computer Programming Services</t>
        </is>
      </c>
      <c r="J848" s="5" t="inlineStr">
        <is>
          <t>73</t>
        </is>
      </c>
      <c r="K848" s="5" t="n">
        <v>7372</v>
      </c>
      <c r="L848" s="5" t="inlineStr">
        <is>
          <t>FL</t>
        </is>
      </c>
      <c r="M848" s="5" t="inlineStr">
        <is>
          <t>United Secured Capital 8</t>
        </is>
      </c>
      <c r="N848" s="5" t="inlineStr">
        <is>
          <t>New Deal</t>
        </is>
      </c>
      <c r="O848" s="19" t="n">
        <v>1.49</v>
      </c>
      <c r="P848" s="20" t="n">
        <v>20000</v>
      </c>
      <c r="Q848" s="20" t="n">
        <v>0</v>
      </c>
      <c r="R848" s="20" t="n">
        <v>29800</v>
      </c>
      <c r="S848" s="20" t="n">
        <v>0</v>
      </c>
      <c r="T848" s="20" t="n">
        <v>29800</v>
      </c>
      <c r="U848" s="21" t="n">
        <v>0</v>
      </c>
      <c r="V848" s="22" t="n">
        <v>24</v>
      </c>
      <c r="W848" s="17" t="n">
        <v>104</v>
      </c>
      <c r="X848" s="17" t="n">
        <v>3</v>
      </c>
      <c r="Y848" s="20" t="n">
        <v>155870.24</v>
      </c>
      <c r="Z848" s="21" t="n">
        <v>0.0452</v>
      </c>
      <c r="AA848" s="16" t="n">
        <v>45828</v>
      </c>
      <c r="AB848" s="5">
        <f>IF(V848="","",IF(V848&lt;12,"Months","Weeks"))</f>
        <v/>
      </c>
      <c r="AC848" s="5">
        <f>IF(AB848="","",IF(AB848="Months","Daily","Weekly"))</f>
        <v/>
      </c>
      <c r="AD848" s="17">
        <f>IF(V848="","",IF(AC848="Daily",V848*Controls!$B$13,V848))</f>
        <v/>
      </c>
      <c r="AE848" s="17">
        <f>IF(V848="","",IF(AC848="Daily",V848*Controls!$B$13,V848*Controls!$B$12))</f>
        <v/>
      </c>
      <c r="AF848" s="17">
        <f>IF(OR(E848="",F848=""),"",F848-E848)</f>
        <v/>
      </c>
      <c r="AG848" s="17">
        <f>IF(OR(E848="",F848=""),"",NETWORKDAYS(E848,F848,Ref!$F$4:$F$47))</f>
        <v/>
      </c>
      <c r="AH848" s="39">
        <f>IF(IFERROR(VLOOKUP(D848,Controls!$A$25:$D$35,2,FALSE()),"No")="Yes",1,0)</f>
        <v/>
      </c>
      <c r="AI848" s="39">
        <f>IF(IFERROR(VLOOKUP(D848,Controls!$A$25:$D$35,3,FALSE()),"No")="Yes",1,0)</f>
        <v/>
      </c>
      <c r="AJ848" s="39">
        <f>IF(IFERROR(VLOOKUP(D848,Controls!$A$25:$D$35,4,FALSE()),"No")="Yes",1,0)</f>
        <v/>
      </c>
      <c r="AK848" s="96">
        <f>IF(AND($E848&gt;=Controls!$B$5,$E848&lt;=Controls!$B$6,OR(Controls!$E$9&lt;&gt;"Y",$BE848=1)),1,0)</f>
        <v/>
      </c>
      <c r="AL848" s="39">
        <f>1</f>
        <v/>
      </c>
      <c r="AM848" s="20">
        <f>S848-P848</f>
        <v/>
      </c>
      <c r="AN848" s="20">
        <f>IF(AH848=1,MAX(0,P848-S848),0)</f>
        <v/>
      </c>
      <c r="AO848" s="21">
        <f>IFERROR(S848/P848,"")</f>
        <v/>
      </c>
      <c r="AP848" s="22">
        <f>IF(Y848="","",P848/Y848)</f>
        <v/>
      </c>
      <c r="AQ848" s="39">
        <f>IF(Y848="",0,1)</f>
        <v/>
      </c>
      <c r="AR848" s="39">
        <f>IF(S848&lt;=0,1,0)</f>
        <v/>
      </c>
      <c r="AS848" s="17">
        <f>IF(AH848=1,AG848,"")</f>
        <v/>
      </c>
      <c r="AT848" s="17">
        <f>IF(AND(AH848=0,AJ848=1),AG848,"")</f>
        <v/>
      </c>
      <c r="AU848" s="5">
        <f>IF(P848&lt;10000,"Under $10K",IF(P848&lt;20000,"$10-20K",IF(P848&lt;30000,"$20-30K",IF(P848&lt;50000,"$30-50K",IF(P848&lt;100000,"$50-100K","$100K+")))))</f>
        <v/>
      </c>
      <c r="AV848" s="5">
        <f>IF(O848&lt;=1.35,"1.35 and under",IF(O848&lt;=1.42,"1.36-1.42",IF(O848&lt;=1.45,"1.43-1.45",IF(O848&lt;1.49,"1.46-1.48",IF(O848&lt;=1.49,"1.49","Above 1.49")))))</f>
        <v/>
      </c>
      <c r="AW848" s="5">
        <f>IF(AE848="","",IF(AE848&lt;60,"Under 60",IF(AE848&lt;90,"60-89",IF(AE848&lt;120,"90-119",IF(AE848&lt;150,"120-149","150+")))))</f>
        <v/>
      </c>
      <c r="AX848" s="5">
        <f>IF(AP848="","No revenue data",IF(AP848&lt;0.15,"Under 0.15x",IF(AP848&lt;0.3,"0.15-0.30x",IF(AP848&lt;0.5,"0.30-0.50x",IF(AP848&lt;1,"0.50-1.00x","1.00x+")))))</f>
        <v/>
      </c>
      <c r="AY848" s="5">
        <f>IF(J848="","No SIC",IFERROR(VLOOKUP(J848,Ref!$A$4:$C$67,2,FALSE()),"Unclassified"))</f>
        <v/>
      </c>
      <c r="AZ848" s="5">
        <f>IF(E848="","",TEXT(E848,"YYYY")&amp;"-Q"&amp;ROUNDUP(MONTH(E848)/3,0))</f>
        <v/>
      </c>
      <c r="BA848" s="5">
        <f>IF(E848="","",TEXT(E848,"YYYY-MM"))</f>
        <v/>
      </c>
      <c r="BB848" s="5">
        <f>IF(E848="","",TEXT(E848,"YYYY"))</f>
        <v/>
      </c>
      <c r="BC848" s="92">
        <f>IF($E848="","",NETWORKDAYS($E848,Controls!$B$9,Ref!$F$4:$F$47))</f>
        <v/>
      </c>
      <c r="BD848" s="92">
        <f>IF(OR($AH848=1,$AJ848=1),1,0)</f>
        <v/>
      </c>
      <c r="BE848" s="95">
        <f>IF(OR($BD848=1,AND($AE848&lt;&gt;"",$BC848&gt;=Controls!$B$10*$AE848)),1,0)</f>
        <v/>
      </c>
    </row>
    <row r="849" ht="15.75" customHeight="1" s="79">
      <c r="A849" s="5" t="inlineStr">
        <is>
          <t>5674183239</t>
        </is>
      </c>
      <c r="B849" s="5" t="inlineStr">
        <is>
          <t>DOMINICANA BUSINESS</t>
        </is>
      </c>
      <c r="C849" s="5" t="inlineStr">
        <is>
          <t>Dominicana Business INC</t>
        </is>
      </c>
      <c r="D849" s="5" t="inlineStr">
        <is>
          <t>Closed</t>
        </is>
      </c>
      <c r="E849" s="16" t="n">
        <v>46149</v>
      </c>
      <c r="F849" s="16" t="n">
        <v>46245</v>
      </c>
      <c r="G849" s="17" t="n">
        <v>3</v>
      </c>
      <c r="H849" s="5" t="inlineStr">
        <is>
          <t>5499</t>
        </is>
      </c>
      <c r="I849" s="5" t="inlineStr">
        <is>
          <t>All Other Specialty Food Stores</t>
        </is>
      </c>
      <c r="J849" s="5" t="inlineStr">
        <is>
          <t>54</t>
        </is>
      </c>
      <c r="K849" s="5" t="n">
        <v>5499</v>
      </c>
      <c r="L849" s="5" t="inlineStr">
        <is>
          <t>VA</t>
        </is>
      </c>
      <c r="M849" s="5" t="inlineStr">
        <is>
          <t>Broadway Advance LLC</t>
        </is>
      </c>
      <c r="N849" s="5" t="inlineStr">
        <is>
          <t>New Deal</t>
        </is>
      </c>
      <c r="O849" s="19" t="n">
        <v>1.45</v>
      </c>
      <c r="P849" s="20" t="n">
        <v>45000</v>
      </c>
      <c r="Q849" s="20" t="n">
        <v>5400</v>
      </c>
      <c r="R849" s="20" t="n">
        <v>65250</v>
      </c>
      <c r="S849" s="20" t="n">
        <v>65250</v>
      </c>
      <c r="T849" s="20" t="n">
        <v>0</v>
      </c>
      <c r="U849" s="21" t="n">
        <v>1</v>
      </c>
      <c r="V849" s="22" t="n">
        <v>4.59</v>
      </c>
      <c r="W849" s="17" t="n">
        <v>8</v>
      </c>
      <c r="X849" s="17" t="n">
        <v>0</v>
      </c>
      <c r="Y849" s="20" t="n">
        <v>154391.41</v>
      </c>
      <c r="Z849" s="21" t="n">
        <v>0.0733</v>
      </c>
      <c r="AA849" s="16" t="n">
        <v>44912</v>
      </c>
      <c r="AB849" s="5">
        <f>IF(V849="","",IF(V849&lt;12,"Months","Weeks"))</f>
        <v/>
      </c>
      <c r="AC849" s="5">
        <f>IF(AB849="","",IF(AB849="Months","Daily","Weekly"))</f>
        <v/>
      </c>
      <c r="AD849" s="17">
        <f>IF(V849="","",IF(AC849="Daily",V849*Controls!$B$13,V849))</f>
        <v/>
      </c>
      <c r="AE849" s="17">
        <f>IF(V849="","",IF(AC849="Daily",V849*Controls!$B$13,V849*Controls!$B$12))</f>
        <v/>
      </c>
      <c r="AF849" s="17">
        <f>IF(OR(E849="",F849=""),"",F849-E849)</f>
        <v/>
      </c>
      <c r="AG849" s="17">
        <f>IF(OR(E849="",F849=""),"",NETWORKDAYS(E849,F849,Ref!$F$4:$F$47))</f>
        <v/>
      </c>
      <c r="AH849" s="39">
        <f>IF(IFERROR(VLOOKUP(D849,Controls!$A$25:$D$35,2,FALSE()),"No")="Yes",1,0)</f>
        <v/>
      </c>
      <c r="AI849" s="39">
        <f>IF(IFERROR(VLOOKUP(D849,Controls!$A$25:$D$35,3,FALSE()),"No")="Yes",1,0)</f>
        <v/>
      </c>
      <c r="AJ849" s="39">
        <f>IF(IFERROR(VLOOKUP(D849,Controls!$A$25:$D$35,4,FALSE()),"No")="Yes",1,0)</f>
        <v/>
      </c>
      <c r="AK849" s="96">
        <f>IF(AND($E849&gt;=Controls!$B$5,$E849&lt;=Controls!$B$6,OR(Controls!$E$9&lt;&gt;"Y",$BE849=1)),1,0)</f>
        <v/>
      </c>
      <c r="AL849" s="39">
        <f>1</f>
        <v/>
      </c>
      <c r="AM849" s="20">
        <f>S849-P849</f>
        <v/>
      </c>
      <c r="AN849" s="20">
        <f>IF(AH849=1,MAX(0,P849-S849),0)</f>
        <v/>
      </c>
      <c r="AO849" s="21">
        <f>IFERROR(S849/P849,"")</f>
        <v/>
      </c>
      <c r="AP849" s="22">
        <f>IF(Y849="","",P849/Y849)</f>
        <v/>
      </c>
      <c r="AQ849" s="39">
        <f>IF(Y849="",0,1)</f>
        <v/>
      </c>
      <c r="AR849" s="39">
        <f>IF(S849&lt;=0,1,0)</f>
        <v/>
      </c>
      <c r="AS849" s="17">
        <f>IF(AH849=1,AG849,"")</f>
        <v/>
      </c>
      <c r="AT849" s="17">
        <f>IF(AND(AH849=0,AJ849=1),AG849,"")</f>
        <v/>
      </c>
      <c r="AU849" s="5">
        <f>IF(P849&lt;10000,"Under $10K",IF(P849&lt;20000,"$10-20K",IF(P849&lt;30000,"$20-30K",IF(P849&lt;50000,"$30-50K",IF(P849&lt;100000,"$50-100K","$100K+")))))</f>
        <v/>
      </c>
      <c r="AV849" s="5">
        <f>IF(O849&lt;=1.35,"1.35 and under",IF(O849&lt;=1.42,"1.36-1.42",IF(O849&lt;=1.45,"1.43-1.45",IF(O849&lt;1.49,"1.46-1.48",IF(O849&lt;=1.49,"1.49","Above 1.49")))))</f>
        <v/>
      </c>
      <c r="AW849" s="5">
        <f>IF(AE849="","",IF(AE849&lt;60,"Under 60",IF(AE849&lt;90,"60-89",IF(AE849&lt;120,"90-119",IF(AE849&lt;150,"120-149","150+")))))</f>
        <v/>
      </c>
      <c r="AX849" s="5">
        <f>IF(AP849="","No revenue data",IF(AP849&lt;0.15,"Under 0.15x",IF(AP849&lt;0.3,"0.15-0.30x",IF(AP849&lt;0.5,"0.30-0.50x",IF(AP849&lt;1,"0.50-1.00x","1.00x+")))))</f>
        <v/>
      </c>
      <c r="AY849" s="5">
        <f>IF(J849="","No SIC",IFERROR(VLOOKUP(J849,Ref!$A$4:$C$67,2,FALSE()),"Unclassified"))</f>
        <v/>
      </c>
      <c r="AZ849" s="5">
        <f>IF(E849="","",TEXT(E849,"YYYY")&amp;"-Q"&amp;ROUNDUP(MONTH(E849)/3,0))</f>
        <v/>
      </c>
      <c r="BA849" s="5">
        <f>IF(E849="","",TEXT(E849,"YYYY-MM"))</f>
        <v/>
      </c>
      <c r="BB849" s="5">
        <f>IF(E849="","",TEXT(E849,"YYYY"))</f>
        <v/>
      </c>
      <c r="BC849" s="92">
        <f>IF($E849="","",NETWORKDAYS($E849,Controls!$B$9,Ref!$F$4:$F$47))</f>
        <v/>
      </c>
      <c r="BD849" s="92">
        <f>IF(OR($AH849=1,$AJ849=1),1,0)</f>
        <v/>
      </c>
      <c r="BE849" s="95">
        <f>IF(OR($BD849=1,AND($AE849&lt;&gt;"",$BC849&gt;=Controls!$B$10*$AE849)),1,0)</f>
        <v/>
      </c>
    </row>
    <row r="850" ht="15.75" customHeight="1" s="79">
      <c r="A850" s="5" t="inlineStr">
        <is>
          <t>5674183265</t>
        </is>
      </c>
      <c r="B850" s="5" t="inlineStr">
        <is>
          <t>SUPER CLEANER</t>
        </is>
      </c>
      <c r="C850" s="5" t="inlineStr">
        <is>
          <t>KIRAN INCORPORATED INC</t>
        </is>
      </c>
      <c r="D850" s="5" t="inlineStr">
        <is>
          <t>Open</t>
        </is>
      </c>
      <c r="E850" s="16" t="n">
        <v>46150</v>
      </c>
      <c r="F850" s="16" t="n">
        <v>46248</v>
      </c>
      <c r="G850" s="17" t="n">
        <v>3</v>
      </c>
      <c r="H850" s="5" t="inlineStr">
        <is>
          <t>5169</t>
        </is>
      </c>
      <c r="I850" s="5" t="inlineStr">
        <is>
          <t>Other Chemical and Allied Products Merchant Wholesalers</t>
        </is>
      </c>
      <c r="J850" s="5" t="inlineStr">
        <is>
          <t>51</t>
        </is>
      </c>
      <c r="K850" s="5" t="n">
        <v>5169</v>
      </c>
      <c r="L850" s="5" t="inlineStr">
        <is>
          <t>TX</t>
        </is>
      </c>
      <c r="M850" s="5" t="inlineStr">
        <is>
          <t>Triumph Cap Fund</t>
        </is>
      </c>
      <c r="N850" s="5" t="inlineStr">
        <is>
          <t>New Deal</t>
        </is>
      </c>
      <c r="O850" s="19" t="n">
        <v>1.32</v>
      </c>
      <c r="P850" s="20" t="n">
        <v>20000</v>
      </c>
      <c r="Q850" s="20" t="n">
        <v>800</v>
      </c>
      <c r="R850" s="20" t="n">
        <v>26400</v>
      </c>
      <c r="S850" s="20" t="n">
        <v>15402.1</v>
      </c>
      <c r="T850" s="20" t="n">
        <v>10997.9</v>
      </c>
      <c r="U850" s="21" t="n">
        <v>0.583412878787879</v>
      </c>
      <c r="V850" s="22" t="n">
        <v>24</v>
      </c>
      <c r="W850" s="17" t="n">
        <v>5</v>
      </c>
      <c r="X850" s="17" t="n">
        <v>0</v>
      </c>
      <c r="Y850" s="20" t="n">
        <v>45890</v>
      </c>
      <c r="Z850" s="21" t="n">
        <v>0.141</v>
      </c>
      <c r="AA850" s="16" t="n">
        <v>44565</v>
      </c>
      <c r="AB850" s="5">
        <f>IF(V850="","",IF(V850&lt;12,"Months","Weeks"))</f>
        <v/>
      </c>
      <c r="AC850" s="5">
        <f>IF(AB850="","",IF(AB850="Months","Daily","Weekly"))</f>
        <v/>
      </c>
      <c r="AD850" s="17">
        <f>IF(V850="","",IF(AC850="Daily",V850*Controls!$B$13,V850))</f>
        <v/>
      </c>
      <c r="AE850" s="17">
        <f>IF(V850="","",IF(AC850="Daily",V850*Controls!$B$13,V850*Controls!$B$12))</f>
        <v/>
      </c>
      <c r="AF850" s="17">
        <f>IF(OR(E850="",F850=""),"",F850-E850)</f>
        <v/>
      </c>
      <c r="AG850" s="17">
        <f>IF(OR(E850="",F850=""),"",NETWORKDAYS(E850,F850,Ref!$F$4:$F$47))</f>
        <v/>
      </c>
      <c r="AH850" s="39">
        <f>IF(IFERROR(VLOOKUP(D850,Controls!$A$25:$D$35,2,FALSE()),"No")="Yes",1,0)</f>
        <v/>
      </c>
      <c r="AI850" s="39">
        <f>IF(IFERROR(VLOOKUP(D850,Controls!$A$25:$D$35,3,FALSE()),"No")="Yes",1,0)</f>
        <v/>
      </c>
      <c r="AJ850" s="39">
        <f>IF(IFERROR(VLOOKUP(D850,Controls!$A$25:$D$35,4,FALSE()),"No")="Yes",1,0)</f>
        <v/>
      </c>
      <c r="AK850" s="96">
        <f>IF(AND($E850&gt;=Controls!$B$5,$E850&lt;=Controls!$B$6,OR(Controls!$E$9&lt;&gt;"Y",$BE850=1)),1,0)</f>
        <v/>
      </c>
      <c r="AL850" s="39">
        <f>1</f>
        <v/>
      </c>
      <c r="AM850" s="20">
        <f>S850-P850</f>
        <v/>
      </c>
      <c r="AN850" s="20">
        <f>IF(AH850=1,MAX(0,P850-S850),0)</f>
        <v/>
      </c>
      <c r="AO850" s="21">
        <f>IFERROR(S850/P850,"")</f>
        <v/>
      </c>
      <c r="AP850" s="22">
        <f>IF(Y850="","",P850/Y850)</f>
        <v/>
      </c>
      <c r="AQ850" s="39">
        <f>IF(Y850="",0,1)</f>
        <v/>
      </c>
      <c r="AR850" s="39">
        <f>IF(S850&lt;=0,1,0)</f>
        <v/>
      </c>
      <c r="AS850" s="17">
        <f>IF(AH850=1,AG850,"")</f>
        <v/>
      </c>
      <c r="AT850" s="17">
        <f>IF(AND(AH850=0,AJ850=1),AG850,"")</f>
        <v/>
      </c>
      <c r="AU850" s="5">
        <f>IF(P850&lt;10000,"Under $10K",IF(P850&lt;20000,"$10-20K",IF(P850&lt;30000,"$20-30K",IF(P850&lt;50000,"$30-50K",IF(P850&lt;100000,"$50-100K","$100K+")))))</f>
        <v/>
      </c>
      <c r="AV850" s="5">
        <f>IF(O850&lt;=1.35,"1.35 and under",IF(O850&lt;=1.42,"1.36-1.42",IF(O850&lt;=1.45,"1.43-1.45",IF(O850&lt;1.49,"1.46-1.48",IF(O850&lt;=1.49,"1.49","Above 1.49")))))</f>
        <v/>
      </c>
      <c r="AW850" s="5">
        <f>IF(AE850="","",IF(AE850&lt;60,"Under 60",IF(AE850&lt;90,"60-89",IF(AE850&lt;120,"90-119",IF(AE850&lt;150,"120-149","150+")))))</f>
        <v/>
      </c>
      <c r="AX850" s="5">
        <f>IF(AP850="","No revenue data",IF(AP850&lt;0.15,"Under 0.15x",IF(AP850&lt;0.3,"0.15-0.30x",IF(AP850&lt;0.5,"0.30-0.50x",IF(AP850&lt;1,"0.50-1.00x","1.00x+")))))</f>
        <v/>
      </c>
      <c r="AY850" s="5">
        <f>IF(J850="","No SIC",IFERROR(VLOOKUP(J850,Ref!$A$4:$C$67,2,FALSE()),"Unclassified"))</f>
        <v/>
      </c>
      <c r="AZ850" s="5">
        <f>IF(E850="","",TEXT(E850,"YYYY")&amp;"-Q"&amp;ROUNDUP(MONTH(E850)/3,0))</f>
        <v/>
      </c>
      <c r="BA850" s="5">
        <f>IF(E850="","",TEXT(E850,"YYYY-MM"))</f>
        <v/>
      </c>
      <c r="BB850" s="5">
        <f>IF(E850="","",TEXT(E850,"YYYY"))</f>
        <v/>
      </c>
      <c r="BC850" s="92">
        <f>IF($E850="","",NETWORKDAYS($E850,Controls!$B$9,Ref!$F$4:$F$47))</f>
        <v/>
      </c>
      <c r="BD850" s="92">
        <f>IF(OR($AH850=1,$AJ850=1),1,0)</f>
        <v/>
      </c>
      <c r="BE850" s="95">
        <f>IF(OR($BD850=1,AND($AE850&lt;&gt;"",$BC850&gt;=Controls!$B$10*$AE850)),1,0)</f>
        <v/>
      </c>
    </row>
    <row r="851" ht="15.75" customHeight="1" s="79">
      <c r="A851" s="5" t="inlineStr">
        <is>
          <t>5674183284</t>
        </is>
      </c>
      <c r="B851" s="5" t="inlineStr">
        <is>
          <t>DBA-HOLO TRAK</t>
        </is>
      </c>
      <c r="C851" s="5" t="inlineStr">
        <is>
          <t>ROCKY MOUNTAIN TRACKING, INC</t>
        </is>
      </c>
      <c r="D851" s="5" t="inlineStr">
        <is>
          <t>Open</t>
        </is>
      </c>
      <c r="E851" s="16" t="n">
        <v>46150</v>
      </c>
      <c r="F851" s="16" t="n">
        <v>46248</v>
      </c>
      <c r="G851" s="17" t="n">
        <v>3</v>
      </c>
      <c r="H851" s="5" t="inlineStr">
        <is>
          <t>5699</t>
        </is>
      </c>
      <c r="I851" s="5" t="inlineStr">
        <is>
          <t>Other Clothing Stores</t>
        </is>
      </c>
      <c r="J851" s="5" t="inlineStr">
        <is>
          <t>56</t>
        </is>
      </c>
      <c r="K851" s="5" t="n">
        <v>5699</v>
      </c>
      <c r="L851" s="5" t="inlineStr">
        <is>
          <t>VA</t>
        </is>
      </c>
      <c r="M851" s="5" t="inlineStr">
        <is>
          <t>Westwood</t>
        </is>
      </c>
      <c r="N851" s="5" t="inlineStr">
        <is>
          <t>New Deal</t>
        </is>
      </c>
      <c r="O851" s="19" t="n">
        <v>1.49</v>
      </c>
      <c r="P851" s="20" t="n">
        <v>12000</v>
      </c>
      <c r="Q851" s="20" t="n">
        <v>1680</v>
      </c>
      <c r="R851" s="20" t="n">
        <v>17880</v>
      </c>
      <c r="S851" s="20" t="n">
        <v>10428.6</v>
      </c>
      <c r="T851" s="20" t="n">
        <v>7451.4</v>
      </c>
      <c r="U851" s="21" t="n">
        <v>0.583255033557047</v>
      </c>
      <c r="V851" s="22" t="n">
        <v>24</v>
      </c>
      <c r="W851" s="17" t="n">
        <v>5</v>
      </c>
      <c r="X851" s="17" t="n">
        <v>0</v>
      </c>
      <c r="Y851" s="20" t="n">
        <v>16416.58</v>
      </c>
      <c r="Z851" s="21" t="n">
        <v>0.1815</v>
      </c>
      <c r="AA851" s="16" t="n">
        <v>43101</v>
      </c>
      <c r="AB851" s="5">
        <f>IF(V851="","",IF(V851&lt;12,"Months","Weeks"))</f>
        <v/>
      </c>
      <c r="AC851" s="5">
        <f>IF(AB851="","",IF(AB851="Months","Daily","Weekly"))</f>
        <v/>
      </c>
      <c r="AD851" s="17">
        <f>IF(V851="","",IF(AC851="Daily",V851*Controls!$B$13,V851))</f>
        <v/>
      </c>
      <c r="AE851" s="17">
        <f>IF(V851="","",IF(AC851="Daily",V851*Controls!$B$13,V851*Controls!$B$12))</f>
        <v/>
      </c>
      <c r="AF851" s="17">
        <f>IF(OR(E851="",F851=""),"",F851-E851)</f>
        <v/>
      </c>
      <c r="AG851" s="17">
        <f>IF(OR(E851="",F851=""),"",NETWORKDAYS(E851,F851,Ref!$F$4:$F$47))</f>
        <v/>
      </c>
      <c r="AH851" s="39">
        <f>IF(IFERROR(VLOOKUP(D851,Controls!$A$25:$D$35,2,FALSE()),"No")="Yes",1,0)</f>
        <v/>
      </c>
      <c r="AI851" s="39">
        <f>IF(IFERROR(VLOOKUP(D851,Controls!$A$25:$D$35,3,FALSE()),"No")="Yes",1,0)</f>
        <v/>
      </c>
      <c r="AJ851" s="39">
        <f>IF(IFERROR(VLOOKUP(D851,Controls!$A$25:$D$35,4,FALSE()),"No")="Yes",1,0)</f>
        <v/>
      </c>
      <c r="AK851" s="96">
        <f>IF(AND($E851&gt;=Controls!$B$5,$E851&lt;=Controls!$B$6,OR(Controls!$E$9&lt;&gt;"Y",$BE851=1)),1,0)</f>
        <v/>
      </c>
      <c r="AL851" s="39">
        <f>1</f>
        <v/>
      </c>
      <c r="AM851" s="20">
        <f>S851-P851</f>
        <v/>
      </c>
      <c r="AN851" s="20">
        <f>IF(AH851=1,MAX(0,P851-S851),0)</f>
        <v/>
      </c>
      <c r="AO851" s="21">
        <f>IFERROR(S851/P851,"")</f>
        <v/>
      </c>
      <c r="AP851" s="22">
        <f>IF(Y851="","",P851/Y851)</f>
        <v/>
      </c>
      <c r="AQ851" s="39">
        <f>IF(Y851="",0,1)</f>
        <v/>
      </c>
      <c r="AR851" s="39">
        <f>IF(S851&lt;=0,1,0)</f>
        <v/>
      </c>
      <c r="AS851" s="17">
        <f>IF(AH851=1,AG851,"")</f>
        <v/>
      </c>
      <c r="AT851" s="17">
        <f>IF(AND(AH851=0,AJ851=1),AG851,"")</f>
        <v/>
      </c>
      <c r="AU851" s="5">
        <f>IF(P851&lt;10000,"Under $10K",IF(P851&lt;20000,"$10-20K",IF(P851&lt;30000,"$20-30K",IF(P851&lt;50000,"$30-50K",IF(P851&lt;100000,"$50-100K","$100K+")))))</f>
        <v/>
      </c>
      <c r="AV851" s="5">
        <f>IF(O851&lt;=1.35,"1.35 and under",IF(O851&lt;=1.42,"1.36-1.42",IF(O851&lt;=1.45,"1.43-1.45",IF(O851&lt;1.49,"1.46-1.48",IF(O851&lt;=1.49,"1.49","Above 1.49")))))</f>
        <v/>
      </c>
      <c r="AW851" s="5">
        <f>IF(AE851="","",IF(AE851&lt;60,"Under 60",IF(AE851&lt;90,"60-89",IF(AE851&lt;120,"90-119",IF(AE851&lt;150,"120-149","150+")))))</f>
        <v/>
      </c>
      <c r="AX851" s="5">
        <f>IF(AP851="","No revenue data",IF(AP851&lt;0.15,"Under 0.15x",IF(AP851&lt;0.3,"0.15-0.30x",IF(AP851&lt;0.5,"0.30-0.50x",IF(AP851&lt;1,"0.50-1.00x","1.00x+")))))</f>
        <v/>
      </c>
      <c r="AY851" s="5">
        <f>IF(J851="","No SIC",IFERROR(VLOOKUP(J851,Ref!$A$4:$C$67,2,FALSE()),"Unclassified"))</f>
        <v/>
      </c>
      <c r="AZ851" s="5">
        <f>IF(E851="","",TEXT(E851,"YYYY")&amp;"-Q"&amp;ROUNDUP(MONTH(E851)/3,0))</f>
        <v/>
      </c>
      <c r="BA851" s="5">
        <f>IF(E851="","",TEXT(E851,"YYYY-MM"))</f>
        <v/>
      </c>
      <c r="BB851" s="5">
        <f>IF(E851="","",TEXT(E851,"YYYY"))</f>
        <v/>
      </c>
      <c r="BC851" s="92">
        <f>IF($E851="","",NETWORKDAYS($E851,Controls!$B$9,Ref!$F$4:$F$47))</f>
        <v/>
      </c>
      <c r="BD851" s="92">
        <f>IF(OR($AH851=1,$AJ851=1),1,0)</f>
        <v/>
      </c>
      <c r="BE851" s="95">
        <f>IF(OR($BD851=1,AND($AE851&lt;&gt;"",$BC851&gt;=Controls!$B$10*$AE851)),1,0)</f>
        <v/>
      </c>
    </row>
    <row r="852" ht="15.75" customHeight="1" s="79">
      <c r="A852" s="5" t="inlineStr">
        <is>
          <t>5674183295</t>
        </is>
      </c>
      <c r="B852" s="5" t="inlineStr">
        <is>
          <t>URSUS VICTOR, LLC</t>
        </is>
      </c>
      <c r="C852" s="5" t="inlineStr">
        <is>
          <t>URSUS VICTOR, LLC</t>
        </is>
      </c>
      <c r="D852" s="5" t="inlineStr">
        <is>
          <t>In House Collection</t>
        </is>
      </c>
      <c r="E852" s="16" t="n">
        <v>46150</v>
      </c>
      <c r="F852" s="16" t="n">
        <v>46253</v>
      </c>
      <c r="G852" s="17" t="n">
        <v>3</v>
      </c>
      <c r="H852" s="5" t="inlineStr">
        <is>
          <t>3629</t>
        </is>
      </c>
      <c r="I852" s="5" t="inlineStr">
        <is>
          <t>All Other Misc. Electrical Equipment and Component Mfg.</t>
        </is>
      </c>
      <c r="J852" s="5" t="inlineStr">
        <is>
          <t>36</t>
        </is>
      </c>
      <c r="K852" s="5" t="n">
        <v>1731</v>
      </c>
      <c r="L852" s="5" t="inlineStr">
        <is>
          <t>CA</t>
        </is>
      </c>
      <c r="M852" s="5" t="inlineStr">
        <is>
          <t>United Secured Capital 8</t>
        </is>
      </c>
      <c r="N852" s="5" t="inlineStr">
        <is>
          <t>New Deal</t>
        </is>
      </c>
      <c r="O852" s="19" t="n">
        <v>1.39</v>
      </c>
      <c r="P852" s="20" t="n">
        <v>25000</v>
      </c>
      <c r="Q852" s="20" t="n">
        <v>2250</v>
      </c>
      <c r="R852" s="20" t="n">
        <v>34750</v>
      </c>
      <c r="S852" s="20" t="n">
        <v>7465.99</v>
      </c>
      <c r="T852" s="20" t="n">
        <v>27284.01</v>
      </c>
      <c r="U852" s="21" t="n">
        <v>0.214848633093525</v>
      </c>
      <c r="V852" s="22" t="n">
        <v>18</v>
      </c>
      <c r="W852" s="17" t="n">
        <v>0</v>
      </c>
      <c r="X852" s="17" t="n">
        <v>9</v>
      </c>
      <c r="Y852" s="20" t="n">
        <v>150576.12</v>
      </c>
      <c r="Z852" s="21" t="n">
        <v>0.0513</v>
      </c>
      <c r="AA852" s="16" t="n">
        <v>44484</v>
      </c>
      <c r="AB852" s="5">
        <f>IF(V852="","",IF(V852&lt;12,"Months","Weeks"))</f>
        <v/>
      </c>
      <c r="AC852" s="5">
        <f>IF(AB852="","",IF(AB852="Months","Daily","Weekly"))</f>
        <v/>
      </c>
      <c r="AD852" s="17">
        <f>IF(V852="","",IF(AC852="Daily",V852*Controls!$B$13,V852))</f>
        <v/>
      </c>
      <c r="AE852" s="17">
        <f>IF(V852="","",IF(AC852="Daily",V852*Controls!$B$13,V852*Controls!$B$12))</f>
        <v/>
      </c>
      <c r="AF852" s="17">
        <f>IF(OR(E852="",F852=""),"",F852-E852)</f>
        <v/>
      </c>
      <c r="AG852" s="17">
        <f>IF(OR(E852="",F852=""),"",NETWORKDAYS(E852,F852,Ref!$F$4:$F$47))</f>
        <v/>
      </c>
      <c r="AH852" s="39">
        <f>IF(IFERROR(VLOOKUP(D852,Controls!$A$25:$D$35,2,FALSE()),"No")="Yes",1,0)</f>
        <v/>
      </c>
      <c r="AI852" s="39">
        <f>IF(IFERROR(VLOOKUP(D852,Controls!$A$25:$D$35,3,FALSE()),"No")="Yes",1,0)</f>
        <v/>
      </c>
      <c r="AJ852" s="39">
        <f>IF(IFERROR(VLOOKUP(D852,Controls!$A$25:$D$35,4,FALSE()),"No")="Yes",1,0)</f>
        <v/>
      </c>
      <c r="AK852" s="96">
        <f>IF(AND($E852&gt;=Controls!$B$5,$E852&lt;=Controls!$B$6,OR(Controls!$E$9&lt;&gt;"Y",$BE852=1)),1,0)</f>
        <v/>
      </c>
      <c r="AL852" s="39">
        <f>1</f>
        <v/>
      </c>
      <c r="AM852" s="20">
        <f>S852-P852</f>
        <v/>
      </c>
      <c r="AN852" s="20">
        <f>IF(AH852=1,MAX(0,P852-S852),0)</f>
        <v/>
      </c>
      <c r="AO852" s="21">
        <f>IFERROR(S852/P852,"")</f>
        <v/>
      </c>
      <c r="AP852" s="22">
        <f>IF(Y852="","",P852/Y852)</f>
        <v/>
      </c>
      <c r="AQ852" s="39">
        <f>IF(Y852="",0,1)</f>
        <v/>
      </c>
      <c r="AR852" s="39">
        <f>IF(S852&lt;=0,1,0)</f>
        <v/>
      </c>
      <c r="AS852" s="17">
        <f>IF(AH852=1,AG852,"")</f>
        <v/>
      </c>
      <c r="AT852" s="17">
        <f>IF(AND(AH852=0,AJ852=1),AG852,"")</f>
        <v/>
      </c>
      <c r="AU852" s="5">
        <f>IF(P852&lt;10000,"Under $10K",IF(P852&lt;20000,"$10-20K",IF(P852&lt;30000,"$20-30K",IF(P852&lt;50000,"$30-50K",IF(P852&lt;100000,"$50-100K","$100K+")))))</f>
        <v/>
      </c>
      <c r="AV852" s="5">
        <f>IF(O852&lt;=1.35,"1.35 and under",IF(O852&lt;=1.42,"1.36-1.42",IF(O852&lt;=1.45,"1.43-1.45",IF(O852&lt;1.49,"1.46-1.48",IF(O852&lt;=1.49,"1.49","Above 1.49")))))</f>
        <v/>
      </c>
      <c r="AW852" s="5">
        <f>IF(AE852="","",IF(AE852&lt;60,"Under 60",IF(AE852&lt;90,"60-89",IF(AE852&lt;120,"90-119",IF(AE852&lt;150,"120-149","150+")))))</f>
        <v/>
      </c>
      <c r="AX852" s="5">
        <f>IF(AP852="","No revenue data",IF(AP852&lt;0.15,"Under 0.15x",IF(AP852&lt;0.3,"0.15-0.30x",IF(AP852&lt;0.5,"0.30-0.50x",IF(AP852&lt;1,"0.50-1.00x","1.00x+")))))</f>
        <v/>
      </c>
      <c r="AY852" s="5">
        <f>IF(J852="","No SIC",IFERROR(VLOOKUP(J852,Ref!$A$4:$C$67,2,FALSE()),"Unclassified"))</f>
        <v/>
      </c>
      <c r="AZ852" s="5">
        <f>IF(E852="","",TEXT(E852,"YYYY")&amp;"-Q"&amp;ROUNDUP(MONTH(E852)/3,0))</f>
        <v/>
      </c>
      <c r="BA852" s="5">
        <f>IF(E852="","",TEXT(E852,"YYYY-MM"))</f>
        <v/>
      </c>
      <c r="BB852" s="5">
        <f>IF(E852="","",TEXT(E852,"YYYY"))</f>
        <v/>
      </c>
      <c r="BC852" s="92">
        <f>IF($E852="","",NETWORKDAYS($E852,Controls!$B$9,Ref!$F$4:$F$47))</f>
        <v/>
      </c>
      <c r="BD852" s="92">
        <f>IF(OR($AH852=1,$AJ852=1),1,0)</f>
        <v/>
      </c>
      <c r="BE852" s="95">
        <f>IF(OR($BD852=1,AND($AE852&lt;&gt;"",$BC852&gt;=Controls!$B$10*$AE852)),1,0)</f>
        <v/>
      </c>
    </row>
    <row r="853" ht="15.75" customHeight="1" s="79">
      <c r="A853" s="5" t="inlineStr">
        <is>
          <t>5674183308</t>
        </is>
      </c>
      <c r="B853" s="5" t="inlineStr">
        <is>
          <t>Craft Roots Vegan Bar and Grill</t>
        </is>
      </c>
      <c r="C853" s="5" t="inlineStr">
        <is>
          <t>Gaich Group LLC</t>
        </is>
      </c>
      <c r="D853" s="5" t="inlineStr">
        <is>
          <t>Open</t>
        </is>
      </c>
      <c r="E853" s="16" t="n">
        <v>46150</v>
      </c>
      <c r="F853" s="16" t="n">
        <v>46253</v>
      </c>
      <c r="G853" s="17" t="n">
        <v>3</v>
      </c>
      <c r="H853" s="5" t="inlineStr">
        <is>
          <t>5812</t>
        </is>
      </c>
      <c r="I853" s="5" t="inlineStr">
        <is>
          <t>Snack and Nonalcoholic Beverage Bars</t>
        </is>
      </c>
      <c r="J853" s="5" t="inlineStr">
        <is>
          <t>58</t>
        </is>
      </c>
      <c r="K853" s="5" t="n">
        <v>5812</v>
      </c>
      <c r="L853" s="5" t="inlineStr">
        <is>
          <t>CA</t>
        </is>
      </c>
      <c r="M853" s="5" t="inlineStr">
        <is>
          <t>National Business Capital</t>
        </is>
      </c>
      <c r="N853" s="5" t="inlineStr">
        <is>
          <t>New Deal</t>
        </is>
      </c>
      <c r="O853" s="19" t="n">
        <v>1.39</v>
      </c>
      <c r="P853" s="20" t="n">
        <v>25000</v>
      </c>
      <c r="Q853" s="20" t="n">
        <v>2250</v>
      </c>
      <c r="R853" s="20" t="n">
        <v>34750</v>
      </c>
      <c r="S853" s="20" t="n">
        <v>20560.18</v>
      </c>
      <c r="T853" s="20" t="n">
        <v>14189.82</v>
      </c>
      <c r="U853" s="21" t="n">
        <v>0.591659856115108</v>
      </c>
      <c r="V853" s="22" t="n">
        <v>3.934</v>
      </c>
      <c r="W853" s="17" t="n">
        <v>0</v>
      </c>
      <c r="X853" s="17" t="n">
        <v>0</v>
      </c>
      <c r="Y853" s="20" t="n">
        <v>164443.24</v>
      </c>
      <c r="Z853" s="21" t="n">
        <v>0.0461</v>
      </c>
      <c r="AA853" s="16" t="n">
        <v>43210</v>
      </c>
      <c r="AB853" s="5">
        <f>IF(V853="","",IF(V853&lt;12,"Months","Weeks"))</f>
        <v/>
      </c>
      <c r="AC853" s="5">
        <f>IF(AB853="","",IF(AB853="Months","Daily","Weekly"))</f>
        <v/>
      </c>
      <c r="AD853" s="17">
        <f>IF(V853="","",IF(AC853="Daily",V853*Controls!$B$13,V853))</f>
        <v/>
      </c>
      <c r="AE853" s="17">
        <f>IF(V853="","",IF(AC853="Daily",V853*Controls!$B$13,V853*Controls!$B$12))</f>
        <v/>
      </c>
      <c r="AF853" s="17">
        <f>IF(OR(E853="",F853=""),"",F853-E853)</f>
        <v/>
      </c>
      <c r="AG853" s="17">
        <f>IF(OR(E853="",F853=""),"",NETWORKDAYS(E853,F853,Ref!$F$4:$F$47))</f>
        <v/>
      </c>
      <c r="AH853" s="39">
        <f>IF(IFERROR(VLOOKUP(D853,Controls!$A$25:$D$35,2,FALSE()),"No")="Yes",1,0)</f>
        <v/>
      </c>
      <c r="AI853" s="39">
        <f>IF(IFERROR(VLOOKUP(D853,Controls!$A$25:$D$35,3,FALSE()),"No")="Yes",1,0)</f>
        <v/>
      </c>
      <c r="AJ853" s="39">
        <f>IF(IFERROR(VLOOKUP(D853,Controls!$A$25:$D$35,4,FALSE()),"No")="Yes",1,0)</f>
        <v/>
      </c>
      <c r="AK853" s="96">
        <f>IF(AND($E853&gt;=Controls!$B$5,$E853&lt;=Controls!$B$6,OR(Controls!$E$9&lt;&gt;"Y",$BE853=1)),1,0)</f>
        <v/>
      </c>
      <c r="AL853" s="39">
        <f>1</f>
        <v/>
      </c>
      <c r="AM853" s="20">
        <f>S853-P853</f>
        <v/>
      </c>
      <c r="AN853" s="20">
        <f>IF(AH853=1,MAX(0,P853-S853),0)</f>
        <v/>
      </c>
      <c r="AO853" s="21">
        <f>IFERROR(S853/P853,"")</f>
        <v/>
      </c>
      <c r="AP853" s="22">
        <f>IF(Y853="","",P853/Y853)</f>
        <v/>
      </c>
      <c r="AQ853" s="39">
        <f>IF(Y853="",0,1)</f>
        <v/>
      </c>
      <c r="AR853" s="39">
        <f>IF(S853&lt;=0,1,0)</f>
        <v/>
      </c>
      <c r="AS853" s="17">
        <f>IF(AH853=1,AG853,"")</f>
        <v/>
      </c>
      <c r="AT853" s="17">
        <f>IF(AND(AH853=0,AJ853=1),AG853,"")</f>
        <v/>
      </c>
      <c r="AU853" s="5">
        <f>IF(P853&lt;10000,"Under $10K",IF(P853&lt;20000,"$10-20K",IF(P853&lt;30000,"$20-30K",IF(P853&lt;50000,"$30-50K",IF(P853&lt;100000,"$50-100K","$100K+")))))</f>
        <v/>
      </c>
      <c r="AV853" s="5">
        <f>IF(O853&lt;=1.35,"1.35 and under",IF(O853&lt;=1.42,"1.36-1.42",IF(O853&lt;=1.45,"1.43-1.45",IF(O853&lt;1.49,"1.46-1.48",IF(O853&lt;=1.49,"1.49","Above 1.49")))))</f>
        <v/>
      </c>
      <c r="AW853" s="5">
        <f>IF(AE853="","",IF(AE853&lt;60,"Under 60",IF(AE853&lt;90,"60-89",IF(AE853&lt;120,"90-119",IF(AE853&lt;150,"120-149","150+")))))</f>
        <v/>
      </c>
      <c r="AX853" s="5">
        <f>IF(AP853="","No revenue data",IF(AP853&lt;0.15,"Under 0.15x",IF(AP853&lt;0.3,"0.15-0.30x",IF(AP853&lt;0.5,"0.30-0.50x",IF(AP853&lt;1,"0.50-1.00x","1.00x+")))))</f>
        <v/>
      </c>
      <c r="AY853" s="5">
        <f>IF(J853="","No SIC",IFERROR(VLOOKUP(J853,Ref!$A$4:$C$67,2,FALSE()),"Unclassified"))</f>
        <v/>
      </c>
      <c r="AZ853" s="5">
        <f>IF(E853="","",TEXT(E853,"YYYY")&amp;"-Q"&amp;ROUNDUP(MONTH(E853)/3,0))</f>
        <v/>
      </c>
      <c r="BA853" s="5">
        <f>IF(E853="","",TEXT(E853,"YYYY-MM"))</f>
        <v/>
      </c>
      <c r="BB853" s="5">
        <f>IF(E853="","",TEXT(E853,"YYYY"))</f>
        <v/>
      </c>
      <c r="BC853" s="92">
        <f>IF($E853="","",NETWORKDAYS($E853,Controls!$B$9,Ref!$F$4:$F$47))</f>
        <v/>
      </c>
      <c r="BD853" s="92">
        <f>IF(OR($AH853=1,$AJ853=1),1,0)</f>
        <v/>
      </c>
      <c r="BE853" s="95">
        <f>IF(OR($BD853=1,AND($AE853&lt;&gt;"",$BC853&gt;=Controls!$B$10*$AE853)),1,0)</f>
        <v/>
      </c>
    </row>
    <row r="854" ht="15.75" customHeight="1" s="79">
      <c r="A854" s="5" t="inlineStr">
        <is>
          <t>5674183319</t>
        </is>
      </c>
      <c r="B854" s="5" t="inlineStr">
        <is>
          <t>Youth Oasis</t>
        </is>
      </c>
      <c r="C854" s="5" t="inlineStr">
        <is>
          <t>Youth Oasis</t>
        </is>
      </c>
      <c r="D854" s="5" t="inlineStr">
        <is>
          <t>Open</t>
        </is>
      </c>
      <c r="E854" s="16" t="n">
        <v>46150</v>
      </c>
      <c r="F854" s="16" t="n">
        <v>46248</v>
      </c>
      <c r="G854" s="17" t="n">
        <v>3</v>
      </c>
      <c r="H854" s="5" t="inlineStr">
        <is>
          <t>7231</t>
        </is>
      </c>
      <c r="I854" s="5" t="inlineStr">
        <is>
          <t>Cosmetology and Barber Schools</t>
        </is>
      </c>
      <c r="J854" s="5" t="inlineStr">
        <is>
          <t>72</t>
        </is>
      </c>
      <c r="K854" s="5" t="n">
        <v>7230</v>
      </c>
      <c r="L854" s="5" t="inlineStr">
        <is>
          <t>LA</t>
        </is>
      </c>
      <c r="M854" s="5" t="inlineStr">
        <is>
          <t>Credibly</t>
        </is>
      </c>
      <c r="N854" s="5" t="inlineStr">
        <is>
          <t>New Deal</t>
        </is>
      </c>
      <c r="O854" s="19" t="n">
        <v>1.47</v>
      </c>
      <c r="P854" s="20" t="n">
        <v>45000</v>
      </c>
      <c r="Q854" s="20" t="n">
        <v>5850</v>
      </c>
      <c r="R854" s="20" t="n">
        <v>66150</v>
      </c>
      <c r="S854" s="20" t="n">
        <v>28940.8</v>
      </c>
      <c r="T854" s="20" t="n">
        <v>37209.2</v>
      </c>
      <c r="U854" s="21" t="n">
        <v>0.437502645502646</v>
      </c>
      <c r="V854" s="22" t="n">
        <v>32</v>
      </c>
      <c r="W854" s="17" t="n">
        <v>5</v>
      </c>
      <c r="X854" s="17" t="n">
        <v>0</v>
      </c>
      <c r="Y854" s="20" t="n">
        <v>102590.51</v>
      </c>
      <c r="Z854" s="21" t="n">
        <v>0.0806</v>
      </c>
      <c r="AA854" s="16" t="n">
        <v>36130</v>
      </c>
      <c r="AB854" s="5">
        <f>IF(V854="","",IF(V854&lt;12,"Months","Weeks"))</f>
        <v/>
      </c>
      <c r="AC854" s="5">
        <f>IF(AB854="","",IF(AB854="Months","Daily","Weekly"))</f>
        <v/>
      </c>
      <c r="AD854" s="17">
        <f>IF(V854="","",IF(AC854="Daily",V854*Controls!$B$13,V854))</f>
        <v/>
      </c>
      <c r="AE854" s="17">
        <f>IF(V854="","",IF(AC854="Daily",V854*Controls!$B$13,V854*Controls!$B$12))</f>
        <v/>
      </c>
      <c r="AF854" s="17">
        <f>IF(OR(E854="",F854=""),"",F854-E854)</f>
        <v/>
      </c>
      <c r="AG854" s="17">
        <f>IF(OR(E854="",F854=""),"",NETWORKDAYS(E854,F854,Ref!$F$4:$F$47))</f>
        <v/>
      </c>
      <c r="AH854" s="39">
        <f>IF(IFERROR(VLOOKUP(D854,Controls!$A$25:$D$35,2,FALSE()),"No")="Yes",1,0)</f>
        <v/>
      </c>
      <c r="AI854" s="39">
        <f>IF(IFERROR(VLOOKUP(D854,Controls!$A$25:$D$35,3,FALSE()),"No")="Yes",1,0)</f>
        <v/>
      </c>
      <c r="AJ854" s="39">
        <f>IF(IFERROR(VLOOKUP(D854,Controls!$A$25:$D$35,4,FALSE()),"No")="Yes",1,0)</f>
        <v/>
      </c>
      <c r="AK854" s="96">
        <f>IF(AND($E854&gt;=Controls!$B$5,$E854&lt;=Controls!$B$6,OR(Controls!$E$9&lt;&gt;"Y",$BE854=1)),1,0)</f>
        <v/>
      </c>
      <c r="AL854" s="39">
        <f>1</f>
        <v/>
      </c>
      <c r="AM854" s="20">
        <f>S854-P854</f>
        <v/>
      </c>
      <c r="AN854" s="20">
        <f>IF(AH854=1,MAX(0,P854-S854),0)</f>
        <v/>
      </c>
      <c r="AO854" s="21">
        <f>IFERROR(S854/P854,"")</f>
        <v/>
      </c>
      <c r="AP854" s="22">
        <f>IF(Y854="","",P854/Y854)</f>
        <v/>
      </c>
      <c r="AQ854" s="39">
        <f>IF(Y854="",0,1)</f>
        <v/>
      </c>
      <c r="AR854" s="39">
        <f>IF(S854&lt;=0,1,0)</f>
        <v/>
      </c>
      <c r="AS854" s="17">
        <f>IF(AH854=1,AG854,"")</f>
        <v/>
      </c>
      <c r="AT854" s="17">
        <f>IF(AND(AH854=0,AJ854=1),AG854,"")</f>
        <v/>
      </c>
      <c r="AU854" s="5">
        <f>IF(P854&lt;10000,"Under $10K",IF(P854&lt;20000,"$10-20K",IF(P854&lt;30000,"$20-30K",IF(P854&lt;50000,"$30-50K",IF(P854&lt;100000,"$50-100K","$100K+")))))</f>
        <v/>
      </c>
      <c r="AV854" s="5">
        <f>IF(O854&lt;=1.35,"1.35 and under",IF(O854&lt;=1.42,"1.36-1.42",IF(O854&lt;=1.45,"1.43-1.45",IF(O854&lt;1.49,"1.46-1.48",IF(O854&lt;=1.49,"1.49","Above 1.49")))))</f>
        <v/>
      </c>
      <c r="AW854" s="5">
        <f>IF(AE854="","",IF(AE854&lt;60,"Under 60",IF(AE854&lt;90,"60-89",IF(AE854&lt;120,"90-119",IF(AE854&lt;150,"120-149","150+")))))</f>
        <v/>
      </c>
      <c r="AX854" s="5">
        <f>IF(AP854="","No revenue data",IF(AP854&lt;0.15,"Under 0.15x",IF(AP854&lt;0.3,"0.15-0.30x",IF(AP854&lt;0.5,"0.30-0.50x",IF(AP854&lt;1,"0.50-1.00x","1.00x+")))))</f>
        <v/>
      </c>
      <c r="AY854" s="5">
        <f>IF(J854="","No SIC",IFERROR(VLOOKUP(J854,Ref!$A$4:$C$67,2,FALSE()),"Unclassified"))</f>
        <v/>
      </c>
      <c r="AZ854" s="5">
        <f>IF(E854="","",TEXT(E854,"YYYY")&amp;"-Q"&amp;ROUNDUP(MONTH(E854)/3,0))</f>
        <v/>
      </c>
      <c r="BA854" s="5">
        <f>IF(E854="","",TEXT(E854,"YYYY-MM"))</f>
        <v/>
      </c>
      <c r="BB854" s="5">
        <f>IF(E854="","",TEXT(E854,"YYYY"))</f>
        <v/>
      </c>
      <c r="BC854" s="92">
        <f>IF($E854="","",NETWORKDAYS($E854,Controls!$B$9,Ref!$F$4:$F$47))</f>
        <v/>
      </c>
      <c r="BD854" s="92">
        <f>IF(OR($AH854=1,$AJ854=1),1,0)</f>
        <v/>
      </c>
      <c r="BE854" s="95">
        <f>IF(OR($BD854=1,AND($AE854&lt;&gt;"",$BC854&gt;=Controls!$B$10*$AE854)),1,0)</f>
        <v/>
      </c>
    </row>
    <row r="855" ht="15.75" customHeight="1" s="79">
      <c r="A855" s="5" t="inlineStr">
        <is>
          <t>5674183324</t>
        </is>
      </c>
      <c r="B855" s="5" t="inlineStr">
        <is>
          <t>WEIPLLC</t>
        </is>
      </c>
      <c r="C855" s="5" t="inlineStr">
        <is>
          <t>WEIPLLC</t>
        </is>
      </c>
      <c r="D855" s="5" t="inlineStr">
        <is>
          <t>Legal</t>
        </is>
      </c>
      <c r="E855" s="16" t="n">
        <v>46150</v>
      </c>
      <c r="F855" s="16" t="n">
        <v>46171</v>
      </c>
      <c r="G855" s="17" t="n">
        <v>3</v>
      </c>
      <c r="H855" s="5" t="inlineStr">
        <is>
          <t>5999</t>
        </is>
      </c>
      <c r="I855" s="5" t="inlineStr">
        <is>
          <t>All Other Health and Personal Care Stores</t>
        </is>
      </c>
      <c r="J855" s="5" t="inlineStr">
        <is>
          <t>59</t>
        </is>
      </c>
      <c r="K855" s="5" t="n">
        <v>5999</v>
      </c>
      <c r="L855" s="5" t="inlineStr">
        <is>
          <t>TN</t>
        </is>
      </c>
      <c r="M855" s="5" t="inlineStr">
        <is>
          <t>United Secured Capital 8</t>
        </is>
      </c>
      <c r="N855" s="5" t="inlineStr">
        <is>
          <t>New Deal</t>
        </is>
      </c>
      <c r="O855" s="19" t="n">
        <v>1.49</v>
      </c>
      <c r="P855" s="20" t="n">
        <v>20000</v>
      </c>
      <c r="Q855" s="20" t="n">
        <v>2800</v>
      </c>
      <c r="R855" s="20" t="n">
        <v>29800</v>
      </c>
      <c r="S855" s="20" t="n">
        <v>2481.88</v>
      </c>
      <c r="T855" s="20" t="n">
        <v>27318.12</v>
      </c>
      <c r="U855" s="21" t="n">
        <v>0.0832845637583893</v>
      </c>
      <c r="V855" s="22" t="n">
        <v>24</v>
      </c>
      <c r="W855" s="17" t="n">
        <v>89</v>
      </c>
      <c r="X855" s="17" t="n">
        <v>1</v>
      </c>
      <c r="Y855" s="20" t="n">
        <v>100684.96</v>
      </c>
      <c r="Z855" s="21" t="n">
        <v>0.0493</v>
      </c>
      <c r="AA855" s="16" t="n">
        <v>44094</v>
      </c>
      <c r="AB855" s="5">
        <f>IF(V855="","",IF(V855&lt;12,"Months","Weeks"))</f>
        <v/>
      </c>
      <c r="AC855" s="5">
        <f>IF(AB855="","",IF(AB855="Months","Daily","Weekly"))</f>
        <v/>
      </c>
      <c r="AD855" s="17">
        <f>IF(V855="","",IF(AC855="Daily",V855*Controls!$B$13,V855))</f>
        <v/>
      </c>
      <c r="AE855" s="17">
        <f>IF(V855="","",IF(AC855="Daily",V855*Controls!$B$13,V855*Controls!$B$12))</f>
        <v/>
      </c>
      <c r="AF855" s="17">
        <f>IF(OR(E855="",F855=""),"",F855-E855)</f>
        <v/>
      </c>
      <c r="AG855" s="17">
        <f>IF(OR(E855="",F855=""),"",NETWORKDAYS(E855,F855,Ref!$F$4:$F$47))</f>
        <v/>
      </c>
      <c r="AH855" s="39">
        <f>IF(IFERROR(VLOOKUP(D855,Controls!$A$25:$D$35,2,FALSE()),"No")="Yes",1,0)</f>
        <v/>
      </c>
      <c r="AI855" s="39">
        <f>IF(IFERROR(VLOOKUP(D855,Controls!$A$25:$D$35,3,FALSE()),"No")="Yes",1,0)</f>
        <v/>
      </c>
      <c r="AJ855" s="39">
        <f>IF(IFERROR(VLOOKUP(D855,Controls!$A$25:$D$35,4,FALSE()),"No")="Yes",1,0)</f>
        <v/>
      </c>
      <c r="AK855" s="96">
        <f>IF(AND($E855&gt;=Controls!$B$5,$E855&lt;=Controls!$B$6,OR(Controls!$E$9&lt;&gt;"Y",$BE855=1)),1,0)</f>
        <v/>
      </c>
      <c r="AL855" s="39">
        <f>1</f>
        <v/>
      </c>
      <c r="AM855" s="20">
        <f>S855-P855</f>
        <v/>
      </c>
      <c r="AN855" s="20">
        <f>IF(AH855=1,MAX(0,P855-S855),0)</f>
        <v/>
      </c>
      <c r="AO855" s="21">
        <f>IFERROR(S855/P855,"")</f>
        <v/>
      </c>
      <c r="AP855" s="22">
        <f>IF(Y855="","",P855/Y855)</f>
        <v/>
      </c>
      <c r="AQ855" s="39">
        <f>IF(Y855="",0,1)</f>
        <v/>
      </c>
      <c r="AR855" s="39">
        <f>IF(S855&lt;=0,1,0)</f>
        <v/>
      </c>
      <c r="AS855" s="17">
        <f>IF(AH855=1,AG855,"")</f>
        <v/>
      </c>
      <c r="AT855" s="17">
        <f>IF(AND(AH855=0,AJ855=1),AG855,"")</f>
        <v/>
      </c>
      <c r="AU855" s="5">
        <f>IF(P855&lt;10000,"Under $10K",IF(P855&lt;20000,"$10-20K",IF(P855&lt;30000,"$20-30K",IF(P855&lt;50000,"$30-50K",IF(P855&lt;100000,"$50-100K","$100K+")))))</f>
        <v/>
      </c>
      <c r="AV855" s="5">
        <f>IF(O855&lt;=1.35,"1.35 and under",IF(O855&lt;=1.42,"1.36-1.42",IF(O855&lt;=1.45,"1.43-1.45",IF(O855&lt;1.49,"1.46-1.48",IF(O855&lt;=1.49,"1.49","Above 1.49")))))</f>
        <v/>
      </c>
      <c r="AW855" s="5">
        <f>IF(AE855="","",IF(AE855&lt;60,"Under 60",IF(AE855&lt;90,"60-89",IF(AE855&lt;120,"90-119",IF(AE855&lt;150,"120-149","150+")))))</f>
        <v/>
      </c>
      <c r="AX855" s="5">
        <f>IF(AP855="","No revenue data",IF(AP855&lt;0.15,"Under 0.15x",IF(AP855&lt;0.3,"0.15-0.30x",IF(AP855&lt;0.5,"0.30-0.50x",IF(AP855&lt;1,"0.50-1.00x","1.00x+")))))</f>
        <v/>
      </c>
      <c r="AY855" s="5">
        <f>IF(J855="","No SIC",IFERROR(VLOOKUP(J855,Ref!$A$4:$C$67,2,FALSE()),"Unclassified"))</f>
        <v/>
      </c>
      <c r="AZ855" s="5">
        <f>IF(E855="","",TEXT(E855,"YYYY")&amp;"-Q"&amp;ROUNDUP(MONTH(E855)/3,0))</f>
        <v/>
      </c>
      <c r="BA855" s="5">
        <f>IF(E855="","",TEXT(E855,"YYYY-MM"))</f>
        <v/>
      </c>
      <c r="BB855" s="5">
        <f>IF(E855="","",TEXT(E855,"YYYY"))</f>
        <v/>
      </c>
      <c r="BC855" s="92">
        <f>IF($E855="","",NETWORKDAYS($E855,Controls!$B$9,Ref!$F$4:$F$47))</f>
        <v/>
      </c>
      <c r="BD855" s="92">
        <f>IF(OR($AH855=1,$AJ855=1),1,0)</f>
        <v/>
      </c>
      <c r="BE855" s="95">
        <f>IF(OR($BD855=1,AND($AE855&lt;&gt;"",$BC855&gt;=Controls!$B$10*$AE855)),1,0)</f>
        <v/>
      </c>
    </row>
    <row r="856" ht="15.75" customHeight="1" s="79">
      <c r="A856" s="5" t="inlineStr">
        <is>
          <t>5674183362</t>
        </is>
      </c>
      <c r="B856" s="5" t="inlineStr">
        <is>
          <t>John Hebert MD</t>
        </is>
      </c>
      <c r="C856" s="5" t="inlineStr">
        <is>
          <t>John Hebert MD</t>
        </is>
      </c>
      <c r="D856" s="5" t="inlineStr">
        <is>
          <t>Closed</t>
        </is>
      </c>
      <c r="E856" s="16" t="n">
        <v>46153</v>
      </c>
      <c r="F856" s="16" t="n">
        <v>46223</v>
      </c>
      <c r="G856" s="17" t="n">
        <v>3</v>
      </c>
      <c r="H856" s="5" t="inlineStr">
        <is>
          <t>8011</t>
        </is>
      </c>
      <c r="I856" s="5" t="inlineStr">
        <is>
          <t>Freestanding Ambulatory Surgical and Emergency Centers</t>
        </is>
      </c>
      <c r="J856" s="5" t="inlineStr">
        <is>
          <t>80</t>
        </is>
      </c>
      <c r="K856" s="5" t="n">
        <v>8011</v>
      </c>
      <c r="L856" s="5" t="inlineStr">
        <is>
          <t>LA</t>
        </is>
      </c>
      <c r="M856" s="5" t="inlineStr">
        <is>
          <t>United Secured Capital 8</t>
        </is>
      </c>
      <c r="N856" s="5" t="inlineStr">
        <is>
          <t>New Deal</t>
        </is>
      </c>
      <c r="O856" s="19" t="n">
        <v>1.49</v>
      </c>
      <c r="P856" s="20" t="n">
        <v>15000</v>
      </c>
      <c r="Q856" s="20" t="n">
        <v>2100</v>
      </c>
      <c r="R856" s="20" t="n">
        <v>22350</v>
      </c>
      <c r="S856" s="20" t="n">
        <v>22350</v>
      </c>
      <c r="T856" s="20" t="n">
        <v>0</v>
      </c>
      <c r="U856" s="21" t="n">
        <v>1</v>
      </c>
      <c r="V856" s="22" t="n">
        <v>3.279</v>
      </c>
      <c r="W856" s="17" t="n">
        <v>30</v>
      </c>
      <c r="X856" s="17" t="n">
        <v>0</v>
      </c>
      <c r="Y856" s="20" t="n">
        <v>28362.13</v>
      </c>
      <c r="Z856" s="21" t="n">
        <v>0.1655</v>
      </c>
      <c r="AA856" s="5" t="n"/>
      <c r="AB856" s="5">
        <f>IF(V856="","",IF(V856&lt;12,"Months","Weeks"))</f>
        <v/>
      </c>
      <c r="AC856" s="5">
        <f>IF(AB856="","",IF(AB856="Months","Daily","Weekly"))</f>
        <v/>
      </c>
      <c r="AD856" s="17">
        <f>IF(V856="","",IF(AC856="Daily",V856*Controls!$B$13,V856))</f>
        <v/>
      </c>
      <c r="AE856" s="17">
        <f>IF(V856="","",IF(AC856="Daily",V856*Controls!$B$13,V856*Controls!$B$12))</f>
        <v/>
      </c>
      <c r="AF856" s="17">
        <f>IF(OR(E856="",F856=""),"",F856-E856)</f>
        <v/>
      </c>
      <c r="AG856" s="17">
        <f>IF(OR(E856="",F856=""),"",NETWORKDAYS(E856,F856,Ref!$F$4:$F$47))</f>
        <v/>
      </c>
      <c r="AH856" s="39">
        <f>IF(IFERROR(VLOOKUP(D856,Controls!$A$25:$D$35,2,FALSE()),"No")="Yes",1,0)</f>
        <v/>
      </c>
      <c r="AI856" s="39">
        <f>IF(IFERROR(VLOOKUP(D856,Controls!$A$25:$D$35,3,FALSE()),"No")="Yes",1,0)</f>
        <v/>
      </c>
      <c r="AJ856" s="39">
        <f>IF(IFERROR(VLOOKUP(D856,Controls!$A$25:$D$35,4,FALSE()),"No")="Yes",1,0)</f>
        <v/>
      </c>
      <c r="AK856" s="96">
        <f>IF(AND($E856&gt;=Controls!$B$5,$E856&lt;=Controls!$B$6,OR(Controls!$E$9&lt;&gt;"Y",$BE856=1)),1,0)</f>
        <v/>
      </c>
      <c r="AL856" s="39">
        <f>1</f>
        <v/>
      </c>
      <c r="AM856" s="20">
        <f>S856-P856</f>
        <v/>
      </c>
      <c r="AN856" s="20">
        <f>IF(AH856=1,MAX(0,P856-S856),0)</f>
        <v/>
      </c>
      <c r="AO856" s="21">
        <f>IFERROR(S856/P856,"")</f>
        <v/>
      </c>
      <c r="AP856" s="22">
        <f>IF(Y856="","",P856/Y856)</f>
        <v/>
      </c>
      <c r="AQ856" s="39">
        <f>IF(Y856="",0,1)</f>
        <v/>
      </c>
      <c r="AR856" s="39">
        <f>IF(S856&lt;=0,1,0)</f>
        <v/>
      </c>
      <c r="AS856" s="17">
        <f>IF(AH856=1,AG856,"")</f>
        <v/>
      </c>
      <c r="AT856" s="17">
        <f>IF(AND(AH856=0,AJ856=1),AG856,"")</f>
        <v/>
      </c>
      <c r="AU856" s="5">
        <f>IF(P856&lt;10000,"Under $10K",IF(P856&lt;20000,"$10-20K",IF(P856&lt;30000,"$20-30K",IF(P856&lt;50000,"$30-50K",IF(P856&lt;100000,"$50-100K","$100K+")))))</f>
        <v/>
      </c>
      <c r="AV856" s="5">
        <f>IF(O856&lt;=1.35,"1.35 and under",IF(O856&lt;=1.42,"1.36-1.42",IF(O856&lt;=1.45,"1.43-1.45",IF(O856&lt;1.49,"1.46-1.48",IF(O856&lt;=1.49,"1.49","Above 1.49")))))</f>
        <v/>
      </c>
      <c r="AW856" s="5">
        <f>IF(AE856="","",IF(AE856&lt;60,"Under 60",IF(AE856&lt;90,"60-89",IF(AE856&lt;120,"90-119",IF(AE856&lt;150,"120-149","150+")))))</f>
        <v/>
      </c>
      <c r="AX856" s="5">
        <f>IF(AP856="","No revenue data",IF(AP856&lt;0.15,"Under 0.15x",IF(AP856&lt;0.3,"0.15-0.30x",IF(AP856&lt;0.5,"0.30-0.50x",IF(AP856&lt;1,"0.50-1.00x","1.00x+")))))</f>
        <v/>
      </c>
      <c r="AY856" s="5">
        <f>IF(J856="","No SIC",IFERROR(VLOOKUP(J856,Ref!$A$4:$C$67,2,FALSE()),"Unclassified"))</f>
        <v/>
      </c>
      <c r="AZ856" s="5">
        <f>IF(E856="","",TEXT(E856,"YYYY")&amp;"-Q"&amp;ROUNDUP(MONTH(E856)/3,0))</f>
        <v/>
      </c>
      <c r="BA856" s="5">
        <f>IF(E856="","",TEXT(E856,"YYYY-MM"))</f>
        <v/>
      </c>
      <c r="BB856" s="5">
        <f>IF(E856="","",TEXT(E856,"YYYY"))</f>
        <v/>
      </c>
      <c r="BC856" s="92">
        <f>IF($E856="","",NETWORKDAYS($E856,Controls!$B$9,Ref!$F$4:$F$47))</f>
        <v/>
      </c>
      <c r="BD856" s="92">
        <f>IF(OR($AH856=1,$AJ856=1),1,0)</f>
        <v/>
      </c>
      <c r="BE856" s="95">
        <f>IF(OR($BD856=1,AND($AE856&lt;&gt;"",$BC856&gt;=Controls!$B$10*$AE856)),1,0)</f>
        <v/>
      </c>
    </row>
    <row r="857" ht="15.75" customHeight="1" s="79">
      <c r="A857" s="5" t="inlineStr">
        <is>
          <t>5674183368</t>
        </is>
      </c>
      <c r="B857" s="5" t="inlineStr">
        <is>
          <t>OBJECT ORIENTED PARTNERS DBA ZENITH PREP ACADEMY DBA FRANK SONG SOLE MBR</t>
        </is>
      </c>
      <c r="C857" s="5" t="inlineStr">
        <is>
          <t>OBJECT ORIENTED PARTNERS LLC</t>
        </is>
      </c>
      <c r="D857" s="5" t="inlineStr">
        <is>
          <t>Open</t>
        </is>
      </c>
      <c r="E857" s="16" t="n">
        <v>46153</v>
      </c>
      <c r="F857" s="16" t="n">
        <v>46252</v>
      </c>
      <c r="G857" s="17" t="n">
        <v>3</v>
      </c>
      <c r="H857" s="5" t="inlineStr">
        <is>
          <t>8741</t>
        </is>
      </c>
      <c r="I857" s="5" t="inlineStr">
        <is>
          <t>Office Administrative Services</t>
        </is>
      </c>
      <c r="J857" s="5" t="inlineStr">
        <is>
          <t>87</t>
        </is>
      </c>
      <c r="K857" s="5" t="n">
        <v>8299</v>
      </c>
      <c r="L857" s="5" t="inlineStr">
        <is>
          <t>CA</t>
        </is>
      </c>
      <c r="M857" s="5" t="inlineStr">
        <is>
          <t>Llama Loan</t>
        </is>
      </c>
      <c r="N857" s="5" t="inlineStr">
        <is>
          <t>New Deal</t>
        </is>
      </c>
      <c r="O857" s="19" t="n">
        <v>1.49</v>
      </c>
      <c r="P857" s="20" t="n">
        <v>250000</v>
      </c>
      <c r="Q857" s="20" t="n">
        <v>35000</v>
      </c>
      <c r="R857" s="20" t="n">
        <v>372500</v>
      </c>
      <c r="S857" s="20" t="n">
        <v>174078.66</v>
      </c>
      <c r="T857" s="20" t="n">
        <v>198421.34</v>
      </c>
      <c r="U857" s="21" t="n">
        <v>0.467325261744967</v>
      </c>
      <c r="V857" s="22" t="n">
        <v>30</v>
      </c>
      <c r="W857" s="17" t="n">
        <v>1</v>
      </c>
      <c r="X857" s="17" t="n">
        <v>0</v>
      </c>
      <c r="Y857" s="20" t="n">
        <v>1697500.34</v>
      </c>
      <c r="Z857" s="21" t="n">
        <v>0.0293</v>
      </c>
      <c r="AA857" s="16" t="n">
        <v>39179</v>
      </c>
      <c r="AB857" s="5">
        <f>IF(V857="","",IF(V857&lt;12,"Months","Weeks"))</f>
        <v/>
      </c>
      <c r="AC857" s="5">
        <f>IF(AB857="","",IF(AB857="Months","Daily","Weekly"))</f>
        <v/>
      </c>
      <c r="AD857" s="17">
        <f>IF(V857="","",IF(AC857="Daily",V857*Controls!$B$13,V857))</f>
        <v/>
      </c>
      <c r="AE857" s="17">
        <f>IF(V857="","",IF(AC857="Daily",V857*Controls!$B$13,V857*Controls!$B$12))</f>
        <v/>
      </c>
      <c r="AF857" s="17">
        <f>IF(OR(E857="",F857=""),"",F857-E857)</f>
        <v/>
      </c>
      <c r="AG857" s="17">
        <f>IF(OR(E857="",F857=""),"",NETWORKDAYS(E857,F857,Ref!$F$4:$F$47))</f>
        <v/>
      </c>
      <c r="AH857" s="39">
        <f>IF(IFERROR(VLOOKUP(D857,Controls!$A$25:$D$35,2,FALSE()),"No")="Yes",1,0)</f>
        <v/>
      </c>
      <c r="AI857" s="39">
        <f>IF(IFERROR(VLOOKUP(D857,Controls!$A$25:$D$35,3,FALSE()),"No")="Yes",1,0)</f>
        <v/>
      </c>
      <c r="AJ857" s="39">
        <f>IF(IFERROR(VLOOKUP(D857,Controls!$A$25:$D$35,4,FALSE()),"No")="Yes",1,0)</f>
        <v/>
      </c>
      <c r="AK857" s="96">
        <f>IF(AND($E857&gt;=Controls!$B$5,$E857&lt;=Controls!$B$6,OR(Controls!$E$9&lt;&gt;"Y",$BE857=1)),1,0)</f>
        <v/>
      </c>
      <c r="AL857" s="39">
        <f>1</f>
        <v/>
      </c>
      <c r="AM857" s="20">
        <f>S857-P857</f>
        <v/>
      </c>
      <c r="AN857" s="20">
        <f>IF(AH857=1,MAX(0,P857-S857),0)</f>
        <v/>
      </c>
      <c r="AO857" s="21">
        <f>IFERROR(S857/P857,"")</f>
        <v/>
      </c>
      <c r="AP857" s="22">
        <f>IF(Y857="","",P857/Y857)</f>
        <v/>
      </c>
      <c r="AQ857" s="39">
        <f>IF(Y857="",0,1)</f>
        <v/>
      </c>
      <c r="AR857" s="39">
        <f>IF(S857&lt;=0,1,0)</f>
        <v/>
      </c>
      <c r="AS857" s="17">
        <f>IF(AH857=1,AG857,"")</f>
        <v/>
      </c>
      <c r="AT857" s="17">
        <f>IF(AND(AH857=0,AJ857=1),AG857,"")</f>
        <v/>
      </c>
      <c r="AU857" s="5">
        <f>IF(P857&lt;10000,"Under $10K",IF(P857&lt;20000,"$10-20K",IF(P857&lt;30000,"$20-30K",IF(P857&lt;50000,"$30-50K",IF(P857&lt;100000,"$50-100K","$100K+")))))</f>
        <v/>
      </c>
      <c r="AV857" s="5">
        <f>IF(O857&lt;=1.35,"1.35 and under",IF(O857&lt;=1.42,"1.36-1.42",IF(O857&lt;=1.45,"1.43-1.45",IF(O857&lt;1.49,"1.46-1.48",IF(O857&lt;=1.49,"1.49","Above 1.49")))))</f>
        <v/>
      </c>
      <c r="AW857" s="5">
        <f>IF(AE857="","",IF(AE857&lt;60,"Under 60",IF(AE857&lt;90,"60-89",IF(AE857&lt;120,"90-119",IF(AE857&lt;150,"120-149","150+")))))</f>
        <v/>
      </c>
      <c r="AX857" s="5">
        <f>IF(AP857="","No revenue data",IF(AP857&lt;0.15,"Under 0.15x",IF(AP857&lt;0.3,"0.15-0.30x",IF(AP857&lt;0.5,"0.30-0.50x",IF(AP857&lt;1,"0.50-1.00x","1.00x+")))))</f>
        <v/>
      </c>
      <c r="AY857" s="5">
        <f>IF(J857="","No SIC",IFERROR(VLOOKUP(J857,Ref!$A$4:$C$67,2,FALSE()),"Unclassified"))</f>
        <v/>
      </c>
      <c r="AZ857" s="5">
        <f>IF(E857="","",TEXT(E857,"YYYY")&amp;"-Q"&amp;ROUNDUP(MONTH(E857)/3,0))</f>
        <v/>
      </c>
      <c r="BA857" s="5">
        <f>IF(E857="","",TEXT(E857,"YYYY-MM"))</f>
        <v/>
      </c>
      <c r="BB857" s="5">
        <f>IF(E857="","",TEXT(E857,"YYYY"))</f>
        <v/>
      </c>
      <c r="BC857" s="92">
        <f>IF($E857="","",NETWORKDAYS($E857,Controls!$B$9,Ref!$F$4:$F$47))</f>
        <v/>
      </c>
      <c r="BD857" s="92">
        <f>IF(OR($AH857=1,$AJ857=1),1,0)</f>
        <v/>
      </c>
      <c r="BE857" s="95">
        <f>IF(OR($BD857=1,AND($AE857&lt;&gt;"",$BC857&gt;=Controls!$B$10*$AE857)),1,0)</f>
        <v/>
      </c>
    </row>
    <row r="858" ht="15.75" customHeight="1" s="79">
      <c r="A858" s="5" t="inlineStr">
        <is>
          <t>5674183390</t>
        </is>
      </c>
      <c r="B858" s="5" t="inlineStr">
        <is>
          <t>MAPULA LOGISTICS LLC</t>
        </is>
      </c>
      <c r="C858" s="5" t="inlineStr">
        <is>
          <t>MAPULA LOGISTICS LLC</t>
        </is>
      </c>
      <c r="D858" s="5" t="inlineStr">
        <is>
          <t>Open</t>
        </is>
      </c>
      <c r="E858" s="16" t="n">
        <v>46153</v>
      </c>
      <c r="F858" s="16" t="n">
        <v>46253</v>
      </c>
      <c r="G858" s="17" t="n">
        <v>3</v>
      </c>
      <c r="H858" s="5" t="inlineStr">
        <is>
          <t>4212</t>
        </is>
      </c>
      <c r="I858" s="5" t="inlineStr">
        <is>
          <t>Specialized Freight (Except Used Goods) Trucking, Local</t>
        </is>
      </c>
      <c r="J858" s="5" t="inlineStr">
        <is>
          <t>42</t>
        </is>
      </c>
      <c r="K858" s="5" t="n">
        <v>4214</v>
      </c>
      <c r="L858" s="5" t="inlineStr">
        <is>
          <t>FL</t>
        </is>
      </c>
      <c r="M858" s="5" t="inlineStr">
        <is>
          <t>DIRECT CAPITAL SOURCE, INC.</t>
        </is>
      </c>
      <c r="N858" s="5" t="inlineStr">
        <is>
          <t>Renewal</t>
        </is>
      </c>
      <c r="O858" s="19" t="n">
        <v>1.49</v>
      </c>
      <c r="P858" s="20" t="n">
        <v>35000</v>
      </c>
      <c r="Q858" s="20" t="n">
        <v>4900</v>
      </c>
      <c r="R858" s="20" t="n">
        <v>52150</v>
      </c>
      <c r="S858" s="20" t="n">
        <v>29130.26</v>
      </c>
      <c r="T858" s="20" t="n">
        <v>23019.74</v>
      </c>
      <c r="U858" s="21" t="n">
        <v>0.558586001917546</v>
      </c>
      <c r="V858" s="22" t="n">
        <v>3.934</v>
      </c>
      <c r="W858" s="17" t="n">
        <v>0</v>
      </c>
      <c r="X858" s="17" t="n">
        <v>3</v>
      </c>
      <c r="Y858" s="20" t="n">
        <v>100887.92</v>
      </c>
      <c r="Z858" s="21" t="n">
        <v>0.0905</v>
      </c>
      <c r="AA858" s="16" t="n">
        <v>44019</v>
      </c>
      <c r="AB858" s="5">
        <f>IF(V858="","",IF(V858&lt;12,"Months","Weeks"))</f>
        <v/>
      </c>
      <c r="AC858" s="5">
        <f>IF(AB858="","",IF(AB858="Months","Daily","Weekly"))</f>
        <v/>
      </c>
      <c r="AD858" s="17">
        <f>IF(V858="","",IF(AC858="Daily",V858*Controls!$B$13,V858))</f>
        <v/>
      </c>
      <c r="AE858" s="17">
        <f>IF(V858="","",IF(AC858="Daily",V858*Controls!$B$13,V858*Controls!$B$12))</f>
        <v/>
      </c>
      <c r="AF858" s="17">
        <f>IF(OR(E858="",F858=""),"",F858-E858)</f>
        <v/>
      </c>
      <c r="AG858" s="17">
        <f>IF(OR(E858="",F858=""),"",NETWORKDAYS(E858,F858,Ref!$F$4:$F$47))</f>
        <v/>
      </c>
      <c r="AH858" s="39">
        <f>IF(IFERROR(VLOOKUP(D858,Controls!$A$25:$D$35,2,FALSE()),"No")="Yes",1,0)</f>
        <v/>
      </c>
      <c r="AI858" s="39">
        <f>IF(IFERROR(VLOOKUP(D858,Controls!$A$25:$D$35,3,FALSE()),"No")="Yes",1,0)</f>
        <v/>
      </c>
      <c r="AJ858" s="39">
        <f>IF(IFERROR(VLOOKUP(D858,Controls!$A$25:$D$35,4,FALSE()),"No")="Yes",1,0)</f>
        <v/>
      </c>
      <c r="AK858" s="96">
        <f>IF(AND($E858&gt;=Controls!$B$5,$E858&lt;=Controls!$B$6,OR(Controls!$E$9&lt;&gt;"Y",$BE858=1)),1,0)</f>
        <v/>
      </c>
      <c r="AL858" s="39">
        <f>1</f>
        <v/>
      </c>
      <c r="AM858" s="20">
        <f>S858-P858</f>
        <v/>
      </c>
      <c r="AN858" s="20">
        <f>IF(AH858=1,MAX(0,P858-S858),0)</f>
        <v/>
      </c>
      <c r="AO858" s="21">
        <f>IFERROR(S858/P858,"")</f>
        <v/>
      </c>
      <c r="AP858" s="22">
        <f>IF(Y858="","",P858/Y858)</f>
        <v/>
      </c>
      <c r="AQ858" s="39">
        <f>IF(Y858="",0,1)</f>
        <v/>
      </c>
      <c r="AR858" s="39">
        <f>IF(S858&lt;=0,1,0)</f>
        <v/>
      </c>
      <c r="AS858" s="17">
        <f>IF(AH858=1,AG858,"")</f>
        <v/>
      </c>
      <c r="AT858" s="17">
        <f>IF(AND(AH858=0,AJ858=1),AG858,"")</f>
        <v/>
      </c>
      <c r="AU858" s="5">
        <f>IF(P858&lt;10000,"Under $10K",IF(P858&lt;20000,"$10-20K",IF(P858&lt;30000,"$20-30K",IF(P858&lt;50000,"$30-50K",IF(P858&lt;100000,"$50-100K","$100K+")))))</f>
        <v/>
      </c>
      <c r="AV858" s="5">
        <f>IF(O858&lt;=1.35,"1.35 and under",IF(O858&lt;=1.42,"1.36-1.42",IF(O858&lt;=1.45,"1.43-1.45",IF(O858&lt;1.49,"1.46-1.48",IF(O858&lt;=1.49,"1.49","Above 1.49")))))</f>
        <v/>
      </c>
      <c r="AW858" s="5">
        <f>IF(AE858="","",IF(AE858&lt;60,"Under 60",IF(AE858&lt;90,"60-89",IF(AE858&lt;120,"90-119",IF(AE858&lt;150,"120-149","150+")))))</f>
        <v/>
      </c>
      <c r="AX858" s="5">
        <f>IF(AP858="","No revenue data",IF(AP858&lt;0.15,"Under 0.15x",IF(AP858&lt;0.3,"0.15-0.30x",IF(AP858&lt;0.5,"0.30-0.50x",IF(AP858&lt;1,"0.50-1.00x","1.00x+")))))</f>
        <v/>
      </c>
      <c r="AY858" s="5">
        <f>IF(J858="","No SIC",IFERROR(VLOOKUP(J858,Ref!$A$4:$C$67,2,FALSE()),"Unclassified"))</f>
        <v/>
      </c>
      <c r="AZ858" s="5">
        <f>IF(E858="","",TEXT(E858,"YYYY")&amp;"-Q"&amp;ROUNDUP(MONTH(E858)/3,0))</f>
        <v/>
      </c>
      <c r="BA858" s="5">
        <f>IF(E858="","",TEXT(E858,"YYYY-MM"))</f>
        <v/>
      </c>
      <c r="BB858" s="5">
        <f>IF(E858="","",TEXT(E858,"YYYY"))</f>
        <v/>
      </c>
      <c r="BC858" s="92">
        <f>IF($E858="","",NETWORKDAYS($E858,Controls!$B$9,Ref!$F$4:$F$47))</f>
        <v/>
      </c>
      <c r="BD858" s="92">
        <f>IF(OR($AH858=1,$AJ858=1),1,0)</f>
        <v/>
      </c>
      <c r="BE858" s="95">
        <f>IF(OR($BD858=1,AND($AE858&lt;&gt;"",$BC858&gt;=Controls!$B$10*$AE858)),1,0)</f>
        <v/>
      </c>
    </row>
    <row r="859" ht="15.75" customHeight="1" s="79">
      <c r="A859" s="5" t="inlineStr">
        <is>
          <t>5674183401</t>
        </is>
      </c>
      <c r="B859" s="5" t="inlineStr">
        <is>
          <t>Holiday Cafe</t>
        </is>
      </c>
      <c r="C859" s="5" t="inlineStr">
        <is>
          <t>Stephanie Sieg</t>
        </is>
      </c>
      <c r="D859" s="5" t="inlineStr">
        <is>
          <t>Open</t>
        </is>
      </c>
      <c r="E859" s="16" t="n">
        <v>46153</v>
      </c>
      <c r="F859" s="16" t="n">
        <v>46231</v>
      </c>
      <c r="G859" s="17" t="n">
        <v>3</v>
      </c>
      <c r="H859" s="5" t="inlineStr">
        <is>
          <t>5812</t>
        </is>
      </c>
      <c r="I859" s="5" t="inlineStr">
        <is>
          <t>Snack and Nonalcoholic Beverage Bars</t>
        </is>
      </c>
      <c r="J859" s="5" t="inlineStr">
        <is>
          <t>58</t>
        </is>
      </c>
      <c r="K859" s="5" t="n">
        <v>5812</v>
      </c>
      <c r="L859" s="5" t="inlineStr">
        <is>
          <t>WI</t>
        </is>
      </c>
      <c r="M859" s="5" t="inlineStr">
        <is>
          <t>lightningfundingsolutions</t>
        </is>
      </c>
      <c r="N859" s="5" t="inlineStr">
        <is>
          <t>New Deal</t>
        </is>
      </c>
      <c r="O859" s="19" t="n">
        <v>1.49</v>
      </c>
      <c r="P859" s="20" t="n">
        <v>10000</v>
      </c>
      <c r="Q859" s="20" t="n">
        <v>1400</v>
      </c>
      <c r="R859" s="20" t="n">
        <v>14900</v>
      </c>
      <c r="S859" s="20" t="n">
        <v>7151.04</v>
      </c>
      <c r="T859" s="20" t="n">
        <v>7748.96</v>
      </c>
      <c r="U859" s="21" t="n">
        <v>0.479935570469799</v>
      </c>
      <c r="V859" s="22" t="n">
        <v>3.279</v>
      </c>
      <c r="W859" s="17" t="n">
        <v>28</v>
      </c>
      <c r="X859" s="17" t="n">
        <v>5</v>
      </c>
      <c r="Y859" s="20" t="n">
        <v>29824.44</v>
      </c>
      <c r="Z859" s="21" t="n">
        <v>0.1049</v>
      </c>
      <c r="AA859" s="16" t="n">
        <v>41255</v>
      </c>
      <c r="AB859" s="5">
        <f>IF(V859="","",IF(V859&lt;12,"Months","Weeks"))</f>
        <v/>
      </c>
      <c r="AC859" s="5">
        <f>IF(AB859="","",IF(AB859="Months","Daily","Weekly"))</f>
        <v/>
      </c>
      <c r="AD859" s="17">
        <f>IF(V859="","",IF(AC859="Daily",V859*Controls!$B$13,V859))</f>
        <v/>
      </c>
      <c r="AE859" s="17">
        <f>IF(V859="","",IF(AC859="Daily",V859*Controls!$B$13,V859*Controls!$B$12))</f>
        <v/>
      </c>
      <c r="AF859" s="17">
        <f>IF(OR(E859="",F859=""),"",F859-E859)</f>
        <v/>
      </c>
      <c r="AG859" s="17">
        <f>IF(OR(E859="",F859=""),"",NETWORKDAYS(E859,F859,Ref!$F$4:$F$47))</f>
        <v/>
      </c>
      <c r="AH859" s="39">
        <f>IF(IFERROR(VLOOKUP(D859,Controls!$A$25:$D$35,2,FALSE()),"No")="Yes",1,0)</f>
        <v/>
      </c>
      <c r="AI859" s="39">
        <f>IF(IFERROR(VLOOKUP(D859,Controls!$A$25:$D$35,3,FALSE()),"No")="Yes",1,0)</f>
        <v/>
      </c>
      <c r="AJ859" s="39">
        <f>IF(IFERROR(VLOOKUP(D859,Controls!$A$25:$D$35,4,FALSE()),"No")="Yes",1,0)</f>
        <v/>
      </c>
      <c r="AK859" s="96">
        <f>IF(AND($E859&gt;=Controls!$B$5,$E859&lt;=Controls!$B$6,OR(Controls!$E$9&lt;&gt;"Y",$BE859=1)),1,0)</f>
        <v/>
      </c>
      <c r="AL859" s="39">
        <f>1</f>
        <v/>
      </c>
      <c r="AM859" s="20">
        <f>S859-P859</f>
        <v/>
      </c>
      <c r="AN859" s="20">
        <f>IF(AH859=1,MAX(0,P859-S859),0)</f>
        <v/>
      </c>
      <c r="AO859" s="21">
        <f>IFERROR(S859/P859,"")</f>
        <v/>
      </c>
      <c r="AP859" s="22">
        <f>IF(Y859="","",P859/Y859)</f>
        <v/>
      </c>
      <c r="AQ859" s="39">
        <f>IF(Y859="",0,1)</f>
        <v/>
      </c>
      <c r="AR859" s="39">
        <f>IF(S859&lt;=0,1,0)</f>
        <v/>
      </c>
      <c r="AS859" s="17">
        <f>IF(AH859=1,AG859,"")</f>
        <v/>
      </c>
      <c r="AT859" s="17">
        <f>IF(AND(AH859=0,AJ859=1),AG859,"")</f>
        <v/>
      </c>
      <c r="AU859" s="5">
        <f>IF(P859&lt;10000,"Under $10K",IF(P859&lt;20000,"$10-20K",IF(P859&lt;30000,"$20-30K",IF(P859&lt;50000,"$30-50K",IF(P859&lt;100000,"$50-100K","$100K+")))))</f>
        <v/>
      </c>
      <c r="AV859" s="5">
        <f>IF(O859&lt;=1.35,"1.35 and under",IF(O859&lt;=1.42,"1.36-1.42",IF(O859&lt;=1.45,"1.43-1.45",IF(O859&lt;1.49,"1.46-1.48",IF(O859&lt;=1.49,"1.49","Above 1.49")))))</f>
        <v/>
      </c>
      <c r="AW859" s="5">
        <f>IF(AE859="","",IF(AE859&lt;60,"Under 60",IF(AE859&lt;90,"60-89",IF(AE859&lt;120,"90-119",IF(AE859&lt;150,"120-149","150+")))))</f>
        <v/>
      </c>
      <c r="AX859" s="5">
        <f>IF(AP859="","No revenue data",IF(AP859&lt;0.15,"Under 0.15x",IF(AP859&lt;0.3,"0.15-0.30x",IF(AP859&lt;0.5,"0.30-0.50x",IF(AP859&lt;1,"0.50-1.00x","1.00x+")))))</f>
        <v/>
      </c>
      <c r="AY859" s="5">
        <f>IF(J859="","No SIC",IFERROR(VLOOKUP(J859,Ref!$A$4:$C$67,2,FALSE()),"Unclassified"))</f>
        <v/>
      </c>
      <c r="AZ859" s="5">
        <f>IF(E859="","",TEXT(E859,"YYYY")&amp;"-Q"&amp;ROUNDUP(MONTH(E859)/3,0))</f>
        <v/>
      </c>
      <c r="BA859" s="5">
        <f>IF(E859="","",TEXT(E859,"YYYY-MM"))</f>
        <v/>
      </c>
      <c r="BB859" s="5">
        <f>IF(E859="","",TEXT(E859,"YYYY"))</f>
        <v/>
      </c>
      <c r="BC859" s="92">
        <f>IF($E859="","",NETWORKDAYS($E859,Controls!$B$9,Ref!$F$4:$F$47))</f>
        <v/>
      </c>
      <c r="BD859" s="92">
        <f>IF(OR($AH859=1,$AJ859=1),1,0)</f>
        <v/>
      </c>
      <c r="BE859" s="95">
        <f>IF(OR($BD859=1,AND($AE859&lt;&gt;"",$BC859&gt;=Controls!$B$10*$AE859)),1,0)</f>
        <v/>
      </c>
    </row>
    <row r="860" ht="15.75" customHeight="1" s="79">
      <c r="A860" s="5" t="inlineStr">
        <is>
          <t>5674183472</t>
        </is>
      </c>
      <c r="B860" s="5" t="inlineStr">
        <is>
          <t>SIZZLING BITES</t>
        </is>
      </c>
      <c r="C860" s="5" t="inlineStr">
        <is>
          <t>SIZZLING BITES LLC</t>
        </is>
      </c>
      <c r="D860" s="5" t="inlineStr">
        <is>
          <t>Open</t>
        </is>
      </c>
      <c r="E860" s="16" t="n">
        <v>46154</v>
      </c>
      <c r="F860" s="16" t="n">
        <v>46247</v>
      </c>
      <c r="G860" s="17" t="n">
        <v>2</v>
      </c>
      <c r="H860" s="5" t="inlineStr">
        <is>
          <t>5812</t>
        </is>
      </c>
      <c r="I860" s="5" t="inlineStr">
        <is>
          <t>Snack and Nonalcoholic Beverage Bars</t>
        </is>
      </c>
      <c r="J860" s="5" t="inlineStr">
        <is>
          <t>58</t>
        </is>
      </c>
      <c r="K860" s="5" t="n">
        <v>5812</v>
      </c>
      <c r="L860" s="5" t="inlineStr">
        <is>
          <t>PA</t>
        </is>
      </c>
      <c r="M860" s="5" t="inlineStr">
        <is>
          <t>PMF</t>
        </is>
      </c>
      <c r="N860" s="5" t="inlineStr">
        <is>
          <t>New Deal</t>
        </is>
      </c>
      <c r="O860" s="19" t="n">
        <v>1.38</v>
      </c>
      <c r="P860" s="20" t="n">
        <v>200000</v>
      </c>
      <c r="Q860" s="20" t="n">
        <v>14000</v>
      </c>
      <c r="R860" s="20" t="n">
        <v>276000</v>
      </c>
      <c r="S860" s="20" t="n">
        <v>63721.8</v>
      </c>
      <c r="T860" s="20" t="n">
        <v>212278.2</v>
      </c>
      <c r="U860" s="21" t="n">
        <v>0.230876086956522</v>
      </c>
      <c r="V860" s="22" t="n">
        <v>52</v>
      </c>
      <c r="W860" s="17" t="n">
        <v>6</v>
      </c>
      <c r="X860" s="17" t="n">
        <v>1</v>
      </c>
      <c r="Y860" s="20" t="n">
        <v>202291.45</v>
      </c>
      <c r="Z860" s="21" t="n">
        <v>0.105</v>
      </c>
      <c r="AA860" s="16" t="n">
        <v>45292</v>
      </c>
      <c r="AB860" s="5">
        <f>IF(V860="","",IF(V860&lt;12,"Months","Weeks"))</f>
        <v/>
      </c>
      <c r="AC860" s="5">
        <f>IF(AB860="","",IF(AB860="Months","Daily","Weekly"))</f>
        <v/>
      </c>
      <c r="AD860" s="17">
        <f>IF(V860="","",IF(AC860="Daily",V860*Controls!$B$13,V860))</f>
        <v/>
      </c>
      <c r="AE860" s="17">
        <f>IF(V860="","",IF(AC860="Daily",V860*Controls!$B$13,V860*Controls!$B$12))</f>
        <v/>
      </c>
      <c r="AF860" s="17">
        <f>IF(OR(E860="",F860=""),"",F860-E860)</f>
        <v/>
      </c>
      <c r="AG860" s="17">
        <f>IF(OR(E860="",F860=""),"",NETWORKDAYS(E860,F860,Ref!$F$4:$F$47))</f>
        <v/>
      </c>
      <c r="AH860" s="39">
        <f>IF(IFERROR(VLOOKUP(D860,Controls!$A$25:$D$35,2,FALSE()),"No")="Yes",1,0)</f>
        <v/>
      </c>
      <c r="AI860" s="39">
        <f>IF(IFERROR(VLOOKUP(D860,Controls!$A$25:$D$35,3,FALSE()),"No")="Yes",1,0)</f>
        <v/>
      </c>
      <c r="AJ860" s="39">
        <f>IF(IFERROR(VLOOKUP(D860,Controls!$A$25:$D$35,4,FALSE()),"No")="Yes",1,0)</f>
        <v/>
      </c>
      <c r="AK860" s="96">
        <f>IF(AND($E860&gt;=Controls!$B$5,$E860&lt;=Controls!$B$6,OR(Controls!$E$9&lt;&gt;"Y",$BE860=1)),1,0)</f>
        <v/>
      </c>
      <c r="AL860" s="39">
        <f>1</f>
        <v/>
      </c>
      <c r="AM860" s="20">
        <f>S860-P860</f>
        <v/>
      </c>
      <c r="AN860" s="20">
        <f>IF(AH860=1,MAX(0,P860-S860),0)</f>
        <v/>
      </c>
      <c r="AO860" s="21">
        <f>IFERROR(S860/P860,"")</f>
        <v/>
      </c>
      <c r="AP860" s="22">
        <f>IF(Y860="","",P860/Y860)</f>
        <v/>
      </c>
      <c r="AQ860" s="39">
        <f>IF(Y860="",0,1)</f>
        <v/>
      </c>
      <c r="AR860" s="39">
        <f>IF(S860&lt;=0,1,0)</f>
        <v/>
      </c>
      <c r="AS860" s="17">
        <f>IF(AH860=1,AG860,"")</f>
        <v/>
      </c>
      <c r="AT860" s="17">
        <f>IF(AND(AH860=0,AJ860=1),AG860,"")</f>
        <v/>
      </c>
      <c r="AU860" s="5">
        <f>IF(P860&lt;10000,"Under $10K",IF(P860&lt;20000,"$10-20K",IF(P860&lt;30000,"$20-30K",IF(P860&lt;50000,"$30-50K",IF(P860&lt;100000,"$50-100K","$100K+")))))</f>
        <v/>
      </c>
      <c r="AV860" s="5">
        <f>IF(O860&lt;=1.35,"1.35 and under",IF(O860&lt;=1.42,"1.36-1.42",IF(O860&lt;=1.45,"1.43-1.45",IF(O860&lt;1.49,"1.46-1.48",IF(O860&lt;=1.49,"1.49","Above 1.49")))))</f>
        <v/>
      </c>
      <c r="AW860" s="5">
        <f>IF(AE860="","",IF(AE860&lt;60,"Under 60",IF(AE860&lt;90,"60-89",IF(AE860&lt;120,"90-119",IF(AE860&lt;150,"120-149","150+")))))</f>
        <v/>
      </c>
      <c r="AX860" s="5">
        <f>IF(AP860="","No revenue data",IF(AP860&lt;0.15,"Under 0.15x",IF(AP860&lt;0.3,"0.15-0.30x",IF(AP860&lt;0.5,"0.30-0.50x",IF(AP860&lt;1,"0.50-1.00x","1.00x+")))))</f>
        <v/>
      </c>
      <c r="AY860" s="5">
        <f>IF(J860="","No SIC",IFERROR(VLOOKUP(J860,Ref!$A$4:$C$67,2,FALSE()),"Unclassified"))</f>
        <v/>
      </c>
      <c r="AZ860" s="5">
        <f>IF(E860="","",TEXT(E860,"YYYY")&amp;"-Q"&amp;ROUNDUP(MONTH(E860)/3,0))</f>
        <v/>
      </c>
      <c r="BA860" s="5">
        <f>IF(E860="","",TEXT(E860,"YYYY-MM"))</f>
        <v/>
      </c>
      <c r="BB860" s="5">
        <f>IF(E860="","",TEXT(E860,"YYYY"))</f>
        <v/>
      </c>
      <c r="BC860" s="92">
        <f>IF($E860="","",NETWORKDAYS($E860,Controls!$B$9,Ref!$F$4:$F$47))</f>
        <v/>
      </c>
      <c r="BD860" s="92">
        <f>IF(OR($AH860=1,$AJ860=1),1,0)</f>
        <v/>
      </c>
      <c r="BE860" s="95">
        <f>IF(OR($BD860=1,AND($AE860&lt;&gt;"",$BC860&gt;=Controls!$B$10*$AE860)),1,0)</f>
        <v/>
      </c>
    </row>
    <row r="861" ht="15.75" customHeight="1" s="79">
      <c r="A861" s="5" t="inlineStr">
        <is>
          <t>5674183524</t>
        </is>
      </c>
      <c r="B861" s="5" t="inlineStr">
        <is>
          <t>EL TACO LOCO AL VAPOR II,</t>
        </is>
      </c>
      <c r="C861" s="5" t="inlineStr">
        <is>
          <t>EL TACO LOCO AL VAPOR II,</t>
        </is>
      </c>
      <c r="D861" s="5" t="inlineStr">
        <is>
          <t>Open</t>
        </is>
      </c>
      <c r="E861" s="16" t="n">
        <v>46155</v>
      </c>
      <c r="F861" s="16" t="n">
        <v>46248</v>
      </c>
      <c r="G861" s="17" t="n">
        <v>3</v>
      </c>
      <c r="H861" s="5" t="inlineStr">
        <is>
          <t>5812</t>
        </is>
      </c>
      <c r="I861" s="5" t="inlineStr">
        <is>
          <t>Snack and Nonalcoholic Beverage Bars</t>
        </is>
      </c>
      <c r="J861" s="5" t="inlineStr">
        <is>
          <t>58</t>
        </is>
      </c>
      <c r="K861" s="5" t="n">
        <v>5812</v>
      </c>
      <c r="L861" s="5" t="inlineStr">
        <is>
          <t>TX</t>
        </is>
      </c>
      <c r="M861" s="5" t="inlineStr">
        <is>
          <t>Westwood</t>
        </is>
      </c>
      <c r="N861" s="5" t="inlineStr">
        <is>
          <t>Renewal</t>
        </is>
      </c>
      <c r="O861" s="19" t="n">
        <v>1.49</v>
      </c>
      <c r="P861" s="20" t="n">
        <v>35000</v>
      </c>
      <c r="Q861" s="20" t="n">
        <v>4900</v>
      </c>
      <c r="R861" s="20" t="n">
        <v>52150</v>
      </c>
      <c r="S861" s="20" t="n">
        <v>22602.19</v>
      </c>
      <c r="T861" s="20" t="n">
        <v>29547.81</v>
      </c>
      <c r="U861" s="21" t="n">
        <v>0.433407286673058</v>
      </c>
      <c r="V861" s="22" t="n">
        <v>30</v>
      </c>
      <c r="W861" s="17" t="n">
        <v>5</v>
      </c>
      <c r="X861" s="17" t="n">
        <v>0</v>
      </c>
      <c r="Y861" s="20" t="n">
        <v>48000</v>
      </c>
      <c r="Z861" s="21" t="n">
        <v>0.1987</v>
      </c>
      <c r="AA861" s="16" t="n">
        <v>44854</v>
      </c>
      <c r="AB861" s="5">
        <f>IF(V861="","",IF(V861&lt;12,"Months","Weeks"))</f>
        <v/>
      </c>
      <c r="AC861" s="5">
        <f>IF(AB861="","",IF(AB861="Months","Daily","Weekly"))</f>
        <v/>
      </c>
      <c r="AD861" s="17">
        <f>IF(V861="","",IF(AC861="Daily",V861*Controls!$B$13,V861))</f>
        <v/>
      </c>
      <c r="AE861" s="17">
        <f>IF(V861="","",IF(AC861="Daily",V861*Controls!$B$13,V861*Controls!$B$12))</f>
        <v/>
      </c>
      <c r="AF861" s="17">
        <f>IF(OR(E861="",F861=""),"",F861-E861)</f>
        <v/>
      </c>
      <c r="AG861" s="17">
        <f>IF(OR(E861="",F861=""),"",NETWORKDAYS(E861,F861,Ref!$F$4:$F$47))</f>
        <v/>
      </c>
      <c r="AH861" s="39">
        <f>IF(IFERROR(VLOOKUP(D861,Controls!$A$25:$D$35,2,FALSE()),"No")="Yes",1,0)</f>
        <v/>
      </c>
      <c r="AI861" s="39">
        <f>IF(IFERROR(VLOOKUP(D861,Controls!$A$25:$D$35,3,FALSE()),"No")="Yes",1,0)</f>
        <v/>
      </c>
      <c r="AJ861" s="39">
        <f>IF(IFERROR(VLOOKUP(D861,Controls!$A$25:$D$35,4,FALSE()),"No")="Yes",1,0)</f>
        <v/>
      </c>
      <c r="AK861" s="96">
        <f>IF(AND($E861&gt;=Controls!$B$5,$E861&lt;=Controls!$B$6,OR(Controls!$E$9&lt;&gt;"Y",$BE861=1)),1,0)</f>
        <v/>
      </c>
      <c r="AL861" s="39">
        <f>1</f>
        <v/>
      </c>
      <c r="AM861" s="20">
        <f>S861-P861</f>
        <v/>
      </c>
      <c r="AN861" s="20">
        <f>IF(AH861=1,MAX(0,P861-S861),0)</f>
        <v/>
      </c>
      <c r="AO861" s="21">
        <f>IFERROR(S861/P861,"")</f>
        <v/>
      </c>
      <c r="AP861" s="22">
        <f>IF(Y861="","",P861/Y861)</f>
        <v/>
      </c>
      <c r="AQ861" s="39">
        <f>IF(Y861="",0,1)</f>
        <v/>
      </c>
      <c r="AR861" s="39">
        <f>IF(S861&lt;=0,1,0)</f>
        <v/>
      </c>
      <c r="AS861" s="17">
        <f>IF(AH861=1,AG861,"")</f>
        <v/>
      </c>
      <c r="AT861" s="17">
        <f>IF(AND(AH861=0,AJ861=1),AG861,"")</f>
        <v/>
      </c>
      <c r="AU861" s="5">
        <f>IF(P861&lt;10000,"Under $10K",IF(P861&lt;20000,"$10-20K",IF(P861&lt;30000,"$20-30K",IF(P861&lt;50000,"$30-50K",IF(P861&lt;100000,"$50-100K","$100K+")))))</f>
        <v/>
      </c>
      <c r="AV861" s="5">
        <f>IF(O861&lt;=1.35,"1.35 and under",IF(O861&lt;=1.42,"1.36-1.42",IF(O861&lt;=1.45,"1.43-1.45",IF(O861&lt;1.49,"1.46-1.48",IF(O861&lt;=1.49,"1.49","Above 1.49")))))</f>
        <v/>
      </c>
      <c r="AW861" s="5">
        <f>IF(AE861="","",IF(AE861&lt;60,"Under 60",IF(AE861&lt;90,"60-89",IF(AE861&lt;120,"90-119",IF(AE861&lt;150,"120-149","150+")))))</f>
        <v/>
      </c>
      <c r="AX861" s="5">
        <f>IF(AP861="","No revenue data",IF(AP861&lt;0.15,"Under 0.15x",IF(AP861&lt;0.3,"0.15-0.30x",IF(AP861&lt;0.5,"0.30-0.50x",IF(AP861&lt;1,"0.50-1.00x","1.00x+")))))</f>
        <v/>
      </c>
      <c r="AY861" s="5">
        <f>IF(J861="","No SIC",IFERROR(VLOOKUP(J861,Ref!$A$4:$C$67,2,FALSE()),"Unclassified"))</f>
        <v/>
      </c>
      <c r="AZ861" s="5">
        <f>IF(E861="","",TEXT(E861,"YYYY")&amp;"-Q"&amp;ROUNDUP(MONTH(E861)/3,0))</f>
        <v/>
      </c>
      <c r="BA861" s="5">
        <f>IF(E861="","",TEXT(E861,"YYYY-MM"))</f>
        <v/>
      </c>
      <c r="BB861" s="5">
        <f>IF(E861="","",TEXT(E861,"YYYY"))</f>
        <v/>
      </c>
      <c r="BC861" s="92">
        <f>IF($E861="","",NETWORKDAYS($E861,Controls!$B$9,Ref!$F$4:$F$47))</f>
        <v/>
      </c>
      <c r="BD861" s="92">
        <f>IF(OR($AH861=1,$AJ861=1),1,0)</f>
        <v/>
      </c>
      <c r="BE861" s="95">
        <f>IF(OR($BD861=1,AND($AE861&lt;&gt;"",$BC861&gt;=Controls!$B$10*$AE861)),1,0)</f>
        <v/>
      </c>
    </row>
    <row r="862" ht="15.75" customHeight="1" s="79">
      <c r="A862" s="5" t="inlineStr">
        <is>
          <t>5674183525</t>
        </is>
      </c>
      <c r="B862" s="5" t="inlineStr">
        <is>
          <t>ANDREW R KLAUSNER, P.C. , KLAUSNER JOHNSON LLP</t>
        </is>
      </c>
      <c r="C862" s="5" t="inlineStr">
        <is>
          <t>ANDREW R KLAUSNER A PROFESSIONAL CORPORATION</t>
        </is>
      </c>
      <c r="D862" s="5" t="inlineStr">
        <is>
          <t>Bankruptcy</t>
        </is>
      </c>
      <c r="E862" s="16" t="n">
        <v>46155</v>
      </c>
      <c r="F862" s="16" t="n">
        <v>46244</v>
      </c>
      <c r="G862" s="17" t="n">
        <v>4</v>
      </c>
      <c r="H862" s="5" t="inlineStr">
        <is>
          <t>8111</t>
        </is>
      </c>
      <c r="I862" s="5" t="inlineStr">
        <is>
          <t>Offices of Lawyers</t>
        </is>
      </c>
      <c r="J862" s="5" t="inlineStr">
        <is>
          <t>81</t>
        </is>
      </c>
      <c r="K862" s="5" t="n">
        <v>8111</v>
      </c>
      <c r="L862" s="5" t="inlineStr">
        <is>
          <t>No state</t>
        </is>
      </c>
      <c r="M862" s="5" t="inlineStr">
        <is>
          <t>Vanguard Equities</t>
        </is>
      </c>
      <c r="N862" s="5" t="inlineStr">
        <is>
          <t>New Deal</t>
        </is>
      </c>
      <c r="O862" s="19" t="n">
        <v>1.37</v>
      </c>
      <c r="P862" s="20" t="n">
        <v>25000</v>
      </c>
      <c r="Q862" s="20" t="n">
        <v>2000</v>
      </c>
      <c r="R862" s="20" t="n">
        <v>34250</v>
      </c>
      <c r="S862" s="20" t="n">
        <v>12844.26</v>
      </c>
      <c r="T862" s="20" t="n">
        <v>21405.74</v>
      </c>
      <c r="U862" s="21" t="n">
        <v>0.375014890510949</v>
      </c>
      <c r="V862" s="22" t="n">
        <v>24</v>
      </c>
      <c r="W862" s="17" t="n">
        <v>36</v>
      </c>
      <c r="X862" s="17" t="n">
        <v>9</v>
      </c>
      <c r="Y862" s="20" t="n">
        <v>91000</v>
      </c>
      <c r="Z862" s="21" t="n">
        <v>0.333</v>
      </c>
      <c r="AA862" s="16" t="n">
        <v>43586</v>
      </c>
      <c r="AB862" s="5">
        <f>IF(V862="","",IF(V862&lt;12,"Months","Weeks"))</f>
        <v/>
      </c>
      <c r="AC862" s="5">
        <f>IF(AB862="","",IF(AB862="Months","Daily","Weekly"))</f>
        <v/>
      </c>
      <c r="AD862" s="17">
        <f>IF(V862="","",IF(AC862="Daily",V862*Controls!$B$13,V862))</f>
        <v/>
      </c>
      <c r="AE862" s="17">
        <f>IF(V862="","",IF(AC862="Daily",V862*Controls!$B$13,V862*Controls!$B$12))</f>
        <v/>
      </c>
      <c r="AF862" s="17">
        <f>IF(OR(E862="",F862=""),"",F862-E862)</f>
        <v/>
      </c>
      <c r="AG862" s="17">
        <f>IF(OR(E862="",F862=""),"",NETWORKDAYS(E862,F862,Ref!$F$4:$F$47))</f>
        <v/>
      </c>
      <c r="AH862" s="39">
        <f>IF(IFERROR(VLOOKUP(D862,Controls!$A$25:$D$35,2,FALSE()),"No")="Yes",1,0)</f>
        <v/>
      </c>
      <c r="AI862" s="39">
        <f>IF(IFERROR(VLOOKUP(D862,Controls!$A$25:$D$35,3,FALSE()),"No")="Yes",1,0)</f>
        <v/>
      </c>
      <c r="AJ862" s="39">
        <f>IF(IFERROR(VLOOKUP(D862,Controls!$A$25:$D$35,4,FALSE()),"No")="Yes",1,0)</f>
        <v/>
      </c>
      <c r="AK862" s="96">
        <f>IF(AND($E862&gt;=Controls!$B$5,$E862&lt;=Controls!$B$6,OR(Controls!$E$9&lt;&gt;"Y",$BE862=1)),1,0)</f>
        <v/>
      </c>
      <c r="AL862" s="39">
        <f>1</f>
        <v/>
      </c>
      <c r="AM862" s="20">
        <f>S862-P862</f>
        <v/>
      </c>
      <c r="AN862" s="20">
        <f>IF(AH862=1,MAX(0,P862-S862),0)</f>
        <v/>
      </c>
      <c r="AO862" s="21">
        <f>IFERROR(S862/P862,"")</f>
        <v/>
      </c>
      <c r="AP862" s="22">
        <f>IF(Y862="","",P862/Y862)</f>
        <v/>
      </c>
      <c r="AQ862" s="39">
        <f>IF(Y862="",0,1)</f>
        <v/>
      </c>
      <c r="AR862" s="39">
        <f>IF(S862&lt;=0,1,0)</f>
        <v/>
      </c>
      <c r="AS862" s="17">
        <f>IF(AH862=1,AG862,"")</f>
        <v/>
      </c>
      <c r="AT862" s="17">
        <f>IF(AND(AH862=0,AJ862=1),AG862,"")</f>
        <v/>
      </c>
      <c r="AU862" s="5">
        <f>IF(P862&lt;10000,"Under $10K",IF(P862&lt;20000,"$10-20K",IF(P862&lt;30000,"$20-30K",IF(P862&lt;50000,"$30-50K",IF(P862&lt;100000,"$50-100K","$100K+")))))</f>
        <v/>
      </c>
      <c r="AV862" s="5">
        <f>IF(O862&lt;=1.35,"1.35 and under",IF(O862&lt;=1.42,"1.36-1.42",IF(O862&lt;=1.45,"1.43-1.45",IF(O862&lt;1.49,"1.46-1.48",IF(O862&lt;=1.49,"1.49","Above 1.49")))))</f>
        <v/>
      </c>
      <c r="AW862" s="5">
        <f>IF(AE862="","",IF(AE862&lt;60,"Under 60",IF(AE862&lt;90,"60-89",IF(AE862&lt;120,"90-119",IF(AE862&lt;150,"120-149","150+")))))</f>
        <v/>
      </c>
      <c r="AX862" s="5">
        <f>IF(AP862="","No revenue data",IF(AP862&lt;0.15,"Under 0.15x",IF(AP862&lt;0.3,"0.15-0.30x",IF(AP862&lt;0.5,"0.30-0.50x",IF(AP862&lt;1,"0.50-1.00x","1.00x+")))))</f>
        <v/>
      </c>
      <c r="AY862" s="5">
        <f>IF(J862="","No SIC",IFERROR(VLOOKUP(J862,Ref!$A$4:$C$67,2,FALSE()),"Unclassified"))</f>
        <v/>
      </c>
      <c r="AZ862" s="5">
        <f>IF(E862="","",TEXT(E862,"YYYY")&amp;"-Q"&amp;ROUNDUP(MONTH(E862)/3,0))</f>
        <v/>
      </c>
      <c r="BA862" s="5">
        <f>IF(E862="","",TEXT(E862,"YYYY-MM"))</f>
        <v/>
      </c>
      <c r="BB862" s="5">
        <f>IF(E862="","",TEXT(E862,"YYYY"))</f>
        <v/>
      </c>
      <c r="BC862" s="92">
        <f>IF($E862="","",NETWORKDAYS($E862,Controls!$B$9,Ref!$F$4:$F$47))</f>
        <v/>
      </c>
      <c r="BD862" s="92">
        <f>IF(OR($AH862=1,$AJ862=1),1,0)</f>
        <v/>
      </c>
      <c r="BE862" s="95">
        <f>IF(OR($BD862=1,AND($AE862&lt;&gt;"",$BC862&gt;=Controls!$B$10*$AE862)),1,0)</f>
        <v/>
      </c>
    </row>
    <row r="863" ht="15.75" customHeight="1" s="79">
      <c r="A863" s="5" t="inlineStr">
        <is>
          <t>5674183565</t>
        </is>
      </c>
      <c r="B863" s="5" t="inlineStr">
        <is>
          <t>PLATINUM PARTNERS EST LLC</t>
        </is>
      </c>
      <c r="C863" s="5" t="inlineStr">
        <is>
          <t>PLATINUM PARTNERS EST LLC</t>
        </is>
      </c>
      <c r="D863" s="5" t="inlineStr">
        <is>
          <t>Legal</t>
        </is>
      </c>
      <c r="E863" s="16" t="n">
        <v>46155</v>
      </c>
      <c r="F863" s="16" t="n">
        <v>46199</v>
      </c>
      <c r="G863" s="17" t="n">
        <v>3</v>
      </c>
      <c r="H863" s="5" t="inlineStr">
        <is>
          <t>6531</t>
        </is>
      </c>
      <c r="I863" s="5" t="inlineStr">
        <is>
          <t>Other Activities Related to Real Estate</t>
        </is>
      </c>
      <c r="J863" s="5" t="inlineStr">
        <is>
          <t>65</t>
        </is>
      </c>
      <c r="K863" s="5" t="n">
        <v>6513</v>
      </c>
      <c r="L863" s="5" t="inlineStr">
        <is>
          <t>SC</t>
        </is>
      </c>
      <c r="M863" s="5" t="inlineStr">
        <is>
          <t>DBS FUNDING GROUP</t>
        </is>
      </c>
      <c r="N863" s="5" t="inlineStr">
        <is>
          <t>New Deal</t>
        </is>
      </c>
      <c r="O863" s="19" t="n">
        <v>1.49</v>
      </c>
      <c r="P863" s="20" t="n">
        <v>17000</v>
      </c>
      <c r="Q863" s="20" t="n">
        <v>0</v>
      </c>
      <c r="R863" s="20" t="n">
        <v>25330</v>
      </c>
      <c r="S863" s="20" t="n">
        <v>2533.95</v>
      </c>
      <c r="T863" s="20" t="n">
        <v>22796.05</v>
      </c>
      <c r="U863" s="21" t="n">
        <v>0.10003750493486</v>
      </c>
      <c r="V863" s="22" t="n">
        <v>1.639</v>
      </c>
      <c r="W863" s="17" t="n">
        <v>79</v>
      </c>
      <c r="X863" s="17" t="n">
        <v>23</v>
      </c>
      <c r="Y863" s="20" t="n">
        <v>84734.25</v>
      </c>
      <c r="Z863" s="21" t="n">
        <v>0.1256</v>
      </c>
      <c r="AA863" s="16" t="n">
        <v>43910</v>
      </c>
      <c r="AB863" s="5">
        <f>IF(V863="","",IF(V863&lt;12,"Months","Weeks"))</f>
        <v/>
      </c>
      <c r="AC863" s="5">
        <f>IF(AB863="","",IF(AB863="Months","Daily","Weekly"))</f>
        <v/>
      </c>
      <c r="AD863" s="17">
        <f>IF(V863="","",IF(AC863="Daily",V863*Controls!$B$13,V863))</f>
        <v/>
      </c>
      <c r="AE863" s="17">
        <f>IF(V863="","",IF(AC863="Daily",V863*Controls!$B$13,V863*Controls!$B$12))</f>
        <v/>
      </c>
      <c r="AF863" s="17">
        <f>IF(OR(E863="",F863=""),"",F863-E863)</f>
        <v/>
      </c>
      <c r="AG863" s="17">
        <f>IF(OR(E863="",F863=""),"",NETWORKDAYS(E863,F863,Ref!$F$4:$F$47))</f>
        <v/>
      </c>
      <c r="AH863" s="39">
        <f>IF(IFERROR(VLOOKUP(D863,Controls!$A$25:$D$35,2,FALSE()),"No")="Yes",1,0)</f>
        <v/>
      </c>
      <c r="AI863" s="39">
        <f>IF(IFERROR(VLOOKUP(D863,Controls!$A$25:$D$35,3,FALSE()),"No")="Yes",1,0)</f>
        <v/>
      </c>
      <c r="AJ863" s="39">
        <f>IF(IFERROR(VLOOKUP(D863,Controls!$A$25:$D$35,4,FALSE()),"No")="Yes",1,0)</f>
        <v/>
      </c>
      <c r="AK863" s="96">
        <f>IF(AND($E863&gt;=Controls!$B$5,$E863&lt;=Controls!$B$6,OR(Controls!$E$9&lt;&gt;"Y",$BE863=1)),1,0)</f>
        <v/>
      </c>
      <c r="AL863" s="39">
        <f>1</f>
        <v/>
      </c>
      <c r="AM863" s="20">
        <f>S863-P863</f>
        <v/>
      </c>
      <c r="AN863" s="20">
        <f>IF(AH863=1,MAX(0,P863-S863),0)</f>
        <v/>
      </c>
      <c r="AO863" s="21">
        <f>IFERROR(S863/P863,"")</f>
        <v/>
      </c>
      <c r="AP863" s="22">
        <f>IF(Y863="","",P863/Y863)</f>
        <v/>
      </c>
      <c r="AQ863" s="39">
        <f>IF(Y863="",0,1)</f>
        <v/>
      </c>
      <c r="AR863" s="39">
        <f>IF(S863&lt;=0,1,0)</f>
        <v/>
      </c>
      <c r="AS863" s="17">
        <f>IF(AH863=1,AG863,"")</f>
        <v/>
      </c>
      <c r="AT863" s="17">
        <f>IF(AND(AH863=0,AJ863=1),AG863,"")</f>
        <v/>
      </c>
      <c r="AU863" s="5">
        <f>IF(P863&lt;10000,"Under $10K",IF(P863&lt;20000,"$10-20K",IF(P863&lt;30000,"$20-30K",IF(P863&lt;50000,"$30-50K",IF(P863&lt;100000,"$50-100K","$100K+")))))</f>
        <v/>
      </c>
      <c r="AV863" s="5">
        <f>IF(O863&lt;=1.35,"1.35 and under",IF(O863&lt;=1.42,"1.36-1.42",IF(O863&lt;=1.45,"1.43-1.45",IF(O863&lt;1.49,"1.46-1.48",IF(O863&lt;=1.49,"1.49","Above 1.49")))))</f>
        <v/>
      </c>
      <c r="AW863" s="5">
        <f>IF(AE863="","",IF(AE863&lt;60,"Under 60",IF(AE863&lt;90,"60-89",IF(AE863&lt;120,"90-119",IF(AE863&lt;150,"120-149","150+")))))</f>
        <v/>
      </c>
      <c r="AX863" s="5">
        <f>IF(AP863="","No revenue data",IF(AP863&lt;0.15,"Under 0.15x",IF(AP863&lt;0.3,"0.15-0.30x",IF(AP863&lt;0.5,"0.30-0.50x",IF(AP863&lt;1,"0.50-1.00x","1.00x+")))))</f>
        <v/>
      </c>
      <c r="AY863" s="5">
        <f>IF(J863="","No SIC",IFERROR(VLOOKUP(J863,Ref!$A$4:$C$67,2,FALSE()),"Unclassified"))</f>
        <v/>
      </c>
      <c r="AZ863" s="5">
        <f>IF(E863="","",TEXT(E863,"YYYY")&amp;"-Q"&amp;ROUNDUP(MONTH(E863)/3,0))</f>
        <v/>
      </c>
      <c r="BA863" s="5">
        <f>IF(E863="","",TEXT(E863,"YYYY-MM"))</f>
        <v/>
      </c>
      <c r="BB863" s="5">
        <f>IF(E863="","",TEXT(E863,"YYYY"))</f>
        <v/>
      </c>
      <c r="BC863" s="92">
        <f>IF($E863="","",NETWORKDAYS($E863,Controls!$B$9,Ref!$F$4:$F$47))</f>
        <v/>
      </c>
      <c r="BD863" s="92">
        <f>IF(OR($AH863=1,$AJ863=1),1,0)</f>
        <v/>
      </c>
      <c r="BE863" s="95">
        <f>IF(OR($BD863=1,AND($AE863&lt;&gt;"",$BC863&gt;=Controls!$B$10*$AE863)),1,0)</f>
        <v/>
      </c>
    </row>
    <row r="864" ht="15.75" customHeight="1" s="79">
      <c r="A864" s="5" t="inlineStr">
        <is>
          <t>5674183566</t>
        </is>
      </c>
      <c r="B864" s="5" t="inlineStr">
        <is>
          <t>MOISES MARES AGUILAR</t>
        </is>
      </c>
      <c r="C864" s="5" t="inlineStr">
        <is>
          <t>MOISES MARES AGUILAR</t>
        </is>
      </c>
      <c r="D864" s="5" t="inlineStr">
        <is>
          <t>Open</t>
        </is>
      </c>
      <c r="E864" s="16" t="n">
        <v>46155</v>
      </c>
      <c r="F864" s="16" t="n">
        <v>46251</v>
      </c>
      <c r="G864" s="17" t="n">
        <v>3</v>
      </c>
      <c r="H864" s="5" t="inlineStr">
        <is>
          <t>7538</t>
        </is>
      </c>
      <c r="I864" s="5" t="inlineStr">
        <is>
          <t>General Automotive Repair</t>
        </is>
      </c>
      <c r="J864" s="5" t="inlineStr">
        <is>
          <t>75</t>
        </is>
      </c>
      <c r="K864" s="5" t="n">
        <v>7538</v>
      </c>
      <c r="L864" s="5" t="inlineStr">
        <is>
          <t>TX</t>
        </is>
      </c>
      <c r="M864" s="5" t="inlineStr">
        <is>
          <t>United Secured Capital 8</t>
        </is>
      </c>
      <c r="N864" s="5" t="inlineStr">
        <is>
          <t>Renewal</t>
        </is>
      </c>
      <c r="O864" s="19" t="n">
        <v>1.44</v>
      </c>
      <c r="P864" s="20" t="n">
        <v>58000</v>
      </c>
      <c r="Q864" s="20" t="n">
        <v>6670</v>
      </c>
      <c r="R864" s="20" t="n">
        <v>83520</v>
      </c>
      <c r="S864" s="20" t="n">
        <v>36525.02</v>
      </c>
      <c r="T864" s="20" t="n">
        <v>46994.98</v>
      </c>
      <c r="U864" s="21" t="n">
        <v>0.437320641762452</v>
      </c>
      <c r="V864" s="22" t="n">
        <v>32</v>
      </c>
      <c r="W864" s="17" t="n">
        <v>2</v>
      </c>
      <c r="X864" s="17" t="n">
        <v>0</v>
      </c>
      <c r="Y864" s="20" t="n">
        <v>135177.51</v>
      </c>
      <c r="Z864" s="21" t="n">
        <v>0.0772</v>
      </c>
      <c r="AA864" s="5" t="n"/>
      <c r="AB864" s="5">
        <f>IF(V864="","",IF(V864&lt;12,"Months","Weeks"))</f>
        <v/>
      </c>
      <c r="AC864" s="5">
        <f>IF(AB864="","",IF(AB864="Months","Daily","Weekly"))</f>
        <v/>
      </c>
      <c r="AD864" s="17">
        <f>IF(V864="","",IF(AC864="Daily",V864*Controls!$B$13,V864))</f>
        <v/>
      </c>
      <c r="AE864" s="17">
        <f>IF(V864="","",IF(AC864="Daily",V864*Controls!$B$13,V864*Controls!$B$12))</f>
        <v/>
      </c>
      <c r="AF864" s="17">
        <f>IF(OR(E864="",F864=""),"",F864-E864)</f>
        <v/>
      </c>
      <c r="AG864" s="17">
        <f>IF(OR(E864="",F864=""),"",NETWORKDAYS(E864,F864,Ref!$F$4:$F$47))</f>
        <v/>
      </c>
      <c r="AH864" s="39">
        <f>IF(IFERROR(VLOOKUP(D864,Controls!$A$25:$D$35,2,FALSE()),"No")="Yes",1,0)</f>
        <v/>
      </c>
      <c r="AI864" s="39">
        <f>IF(IFERROR(VLOOKUP(D864,Controls!$A$25:$D$35,3,FALSE()),"No")="Yes",1,0)</f>
        <v/>
      </c>
      <c r="AJ864" s="39">
        <f>IF(IFERROR(VLOOKUP(D864,Controls!$A$25:$D$35,4,FALSE()),"No")="Yes",1,0)</f>
        <v/>
      </c>
      <c r="AK864" s="96">
        <f>IF(AND($E864&gt;=Controls!$B$5,$E864&lt;=Controls!$B$6,OR(Controls!$E$9&lt;&gt;"Y",$BE864=1)),1,0)</f>
        <v/>
      </c>
      <c r="AL864" s="39">
        <f>1</f>
        <v/>
      </c>
      <c r="AM864" s="20">
        <f>S864-P864</f>
        <v/>
      </c>
      <c r="AN864" s="20">
        <f>IF(AH864=1,MAX(0,P864-S864),0)</f>
        <v/>
      </c>
      <c r="AO864" s="21">
        <f>IFERROR(S864/P864,"")</f>
        <v/>
      </c>
      <c r="AP864" s="22">
        <f>IF(Y864="","",P864/Y864)</f>
        <v/>
      </c>
      <c r="AQ864" s="39">
        <f>IF(Y864="",0,1)</f>
        <v/>
      </c>
      <c r="AR864" s="39">
        <f>IF(S864&lt;=0,1,0)</f>
        <v/>
      </c>
      <c r="AS864" s="17">
        <f>IF(AH864=1,AG864,"")</f>
        <v/>
      </c>
      <c r="AT864" s="17">
        <f>IF(AND(AH864=0,AJ864=1),AG864,"")</f>
        <v/>
      </c>
      <c r="AU864" s="5">
        <f>IF(P864&lt;10000,"Under $10K",IF(P864&lt;20000,"$10-20K",IF(P864&lt;30000,"$20-30K",IF(P864&lt;50000,"$30-50K",IF(P864&lt;100000,"$50-100K","$100K+")))))</f>
        <v/>
      </c>
      <c r="AV864" s="5">
        <f>IF(O864&lt;=1.35,"1.35 and under",IF(O864&lt;=1.42,"1.36-1.42",IF(O864&lt;=1.45,"1.43-1.45",IF(O864&lt;1.49,"1.46-1.48",IF(O864&lt;=1.49,"1.49","Above 1.49")))))</f>
        <v/>
      </c>
      <c r="AW864" s="5">
        <f>IF(AE864="","",IF(AE864&lt;60,"Under 60",IF(AE864&lt;90,"60-89",IF(AE864&lt;120,"90-119",IF(AE864&lt;150,"120-149","150+")))))</f>
        <v/>
      </c>
      <c r="AX864" s="5">
        <f>IF(AP864="","No revenue data",IF(AP864&lt;0.15,"Under 0.15x",IF(AP864&lt;0.3,"0.15-0.30x",IF(AP864&lt;0.5,"0.30-0.50x",IF(AP864&lt;1,"0.50-1.00x","1.00x+")))))</f>
        <v/>
      </c>
      <c r="AY864" s="5">
        <f>IF(J864="","No SIC",IFERROR(VLOOKUP(J864,Ref!$A$4:$C$67,2,FALSE()),"Unclassified"))</f>
        <v/>
      </c>
      <c r="AZ864" s="5">
        <f>IF(E864="","",TEXT(E864,"YYYY")&amp;"-Q"&amp;ROUNDUP(MONTH(E864)/3,0))</f>
        <v/>
      </c>
      <c r="BA864" s="5">
        <f>IF(E864="","",TEXT(E864,"YYYY-MM"))</f>
        <v/>
      </c>
      <c r="BB864" s="5">
        <f>IF(E864="","",TEXT(E864,"YYYY"))</f>
        <v/>
      </c>
      <c r="BC864" s="92">
        <f>IF($E864="","",NETWORKDAYS($E864,Controls!$B$9,Ref!$F$4:$F$47))</f>
        <v/>
      </c>
      <c r="BD864" s="92">
        <f>IF(OR($AH864=1,$AJ864=1),1,0)</f>
        <v/>
      </c>
      <c r="BE864" s="95">
        <f>IF(OR($BD864=1,AND($AE864&lt;&gt;"",$BC864&gt;=Controls!$B$10*$AE864)),1,0)</f>
        <v/>
      </c>
    </row>
    <row r="865" ht="15.75" customHeight="1" s="79">
      <c r="A865" s="5" t="inlineStr">
        <is>
          <t>5674183568</t>
        </is>
      </c>
      <c r="B865" s="5" t="inlineStr">
        <is>
          <t>The beauty Clinic Med Spa</t>
        </is>
      </c>
      <c r="C865" s="5" t="inlineStr">
        <is>
          <t>THE BEAUTY CLINIC MED SPA INC</t>
        </is>
      </c>
      <c r="D865" s="5" t="inlineStr">
        <is>
          <t>Open</t>
        </is>
      </c>
      <c r="E865" s="16" t="n">
        <v>46155</v>
      </c>
      <c r="F865" s="16" t="n">
        <v>46248</v>
      </c>
      <c r="G865" s="17" t="n">
        <v>3</v>
      </c>
      <c r="H865" s="5" t="inlineStr">
        <is>
          <t>7231</t>
        </is>
      </c>
      <c r="I865" s="5" t="inlineStr">
        <is>
          <t>Cosmetology and Barber Schools</t>
        </is>
      </c>
      <c r="J865" s="5" t="inlineStr">
        <is>
          <t>72</t>
        </is>
      </c>
      <c r="K865" s="5" t="n">
        <v>7230</v>
      </c>
      <c r="L865" s="5" t="inlineStr">
        <is>
          <t>TX</t>
        </is>
      </c>
      <c r="M865" s="5" t="inlineStr">
        <is>
          <t>Ballicci</t>
        </is>
      </c>
      <c r="N865" s="5" t="inlineStr">
        <is>
          <t>New Deal</t>
        </is>
      </c>
      <c r="O865" s="19" t="n">
        <v>1.49</v>
      </c>
      <c r="P865" s="20" t="n">
        <v>15000</v>
      </c>
      <c r="Q865" s="20" t="n">
        <v>2100</v>
      </c>
      <c r="R865" s="20" t="n">
        <v>22350</v>
      </c>
      <c r="S865" s="20" t="n">
        <v>13035.54</v>
      </c>
      <c r="T865" s="20" t="n">
        <v>9314.459999999999</v>
      </c>
      <c r="U865" s="21" t="n">
        <v>0.583245637583893</v>
      </c>
      <c r="V865" s="22" t="n">
        <v>24</v>
      </c>
      <c r="W865" s="17" t="n">
        <v>5</v>
      </c>
      <c r="X865" s="17" t="n">
        <v>0</v>
      </c>
      <c r="Y865" s="20" t="n">
        <v>26698.44</v>
      </c>
      <c r="Z865" s="21" t="n">
        <v>0.1395</v>
      </c>
      <c r="AA865" s="16" t="n">
        <v>37622</v>
      </c>
      <c r="AB865" s="5">
        <f>IF(V865="","",IF(V865&lt;12,"Months","Weeks"))</f>
        <v/>
      </c>
      <c r="AC865" s="5">
        <f>IF(AB865="","",IF(AB865="Months","Daily","Weekly"))</f>
        <v/>
      </c>
      <c r="AD865" s="17">
        <f>IF(V865="","",IF(AC865="Daily",V865*Controls!$B$13,V865))</f>
        <v/>
      </c>
      <c r="AE865" s="17">
        <f>IF(V865="","",IF(AC865="Daily",V865*Controls!$B$13,V865*Controls!$B$12))</f>
        <v/>
      </c>
      <c r="AF865" s="17">
        <f>IF(OR(E865="",F865=""),"",F865-E865)</f>
        <v/>
      </c>
      <c r="AG865" s="17">
        <f>IF(OR(E865="",F865=""),"",NETWORKDAYS(E865,F865,Ref!$F$4:$F$47))</f>
        <v/>
      </c>
      <c r="AH865" s="39">
        <f>IF(IFERROR(VLOOKUP(D865,Controls!$A$25:$D$35,2,FALSE()),"No")="Yes",1,0)</f>
        <v/>
      </c>
      <c r="AI865" s="39">
        <f>IF(IFERROR(VLOOKUP(D865,Controls!$A$25:$D$35,3,FALSE()),"No")="Yes",1,0)</f>
        <v/>
      </c>
      <c r="AJ865" s="39">
        <f>IF(IFERROR(VLOOKUP(D865,Controls!$A$25:$D$35,4,FALSE()),"No")="Yes",1,0)</f>
        <v/>
      </c>
      <c r="AK865" s="96">
        <f>IF(AND($E865&gt;=Controls!$B$5,$E865&lt;=Controls!$B$6,OR(Controls!$E$9&lt;&gt;"Y",$BE865=1)),1,0)</f>
        <v/>
      </c>
      <c r="AL865" s="39">
        <f>1</f>
        <v/>
      </c>
      <c r="AM865" s="20">
        <f>S865-P865</f>
        <v/>
      </c>
      <c r="AN865" s="20">
        <f>IF(AH865=1,MAX(0,P865-S865),0)</f>
        <v/>
      </c>
      <c r="AO865" s="21">
        <f>IFERROR(S865/P865,"")</f>
        <v/>
      </c>
      <c r="AP865" s="22">
        <f>IF(Y865="","",P865/Y865)</f>
        <v/>
      </c>
      <c r="AQ865" s="39">
        <f>IF(Y865="",0,1)</f>
        <v/>
      </c>
      <c r="AR865" s="39">
        <f>IF(S865&lt;=0,1,0)</f>
        <v/>
      </c>
      <c r="AS865" s="17">
        <f>IF(AH865=1,AG865,"")</f>
        <v/>
      </c>
      <c r="AT865" s="17">
        <f>IF(AND(AH865=0,AJ865=1),AG865,"")</f>
        <v/>
      </c>
      <c r="AU865" s="5">
        <f>IF(P865&lt;10000,"Under $10K",IF(P865&lt;20000,"$10-20K",IF(P865&lt;30000,"$20-30K",IF(P865&lt;50000,"$30-50K",IF(P865&lt;100000,"$50-100K","$100K+")))))</f>
        <v/>
      </c>
      <c r="AV865" s="5">
        <f>IF(O865&lt;=1.35,"1.35 and under",IF(O865&lt;=1.42,"1.36-1.42",IF(O865&lt;=1.45,"1.43-1.45",IF(O865&lt;1.49,"1.46-1.48",IF(O865&lt;=1.49,"1.49","Above 1.49")))))</f>
        <v/>
      </c>
      <c r="AW865" s="5">
        <f>IF(AE865="","",IF(AE865&lt;60,"Under 60",IF(AE865&lt;90,"60-89",IF(AE865&lt;120,"90-119",IF(AE865&lt;150,"120-149","150+")))))</f>
        <v/>
      </c>
      <c r="AX865" s="5">
        <f>IF(AP865="","No revenue data",IF(AP865&lt;0.15,"Under 0.15x",IF(AP865&lt;0.3,"0.15-0.30x",IF(AP865&lt;0.5,"0.30-0.50x",IF(AP865&lt;1,"0.50-1.00x","1.00x+")))))</f>
        <v/>
      </c>
      <c r="AY865" s="5">
        <f>IF(J865="","No SIC",IFERROR(VLOOKUP(J865,Ref!$A$4:$C$67,2,FALSE()),"Unclassified"))</f>
        <v/>
      </c>
      <c r="AZ865" s="5">
        <f>IF(E865="","",TEXT(E865,"YYYY")&amp;"-Q"&amp;ROUNDUP(MONTH(E865)/3,0))</f>
        <v/>
      </c>
      <c r="BA865" s="5">
        <f>IF(E865="","",TEXT(E865,"YYYY-MM"))</f>
        <v/>
      </c>
      <c r="BB865" s="5">
        <f>IF(E865="","",TEXT(E865,"YYYY"))</f>
        <v/>
      </c>
      <c r="BC865" s="92">
        <f>IF($E865="","",NETWORKDAYS($E865,Controls!$B$9,Ref!$F$4:$F$47))</f>
        <v/>
      </c>
      <c r="BD865" s="92">
        <f>IF(OR($AH865=1,$AJ865=1),1,0)</f>
        <v/>
      </c>
      <c r="BE865" s="95">
        <f>IF(OR($BD865=1,AND($AE865&lt;&gt;"",$BC865&gt;=Controls!$B$10*$AE865)),1,0)</f>
        <v/>
      </c>
    </row>
    <row r="866" ht="15.75" customHeight="1" s="79">
      <c r="A866" s="5" t="inlineStr">
        <is>
          <t>5674183576</t>
        </is>
      </c>
      <c r="B866" s="5" t="inlineStr">
        <is>
          <t>Barberia calle loiza</t>
        </is>
      </c>
      <c r="C866" s="5" t="inlineStr">
        <is>
          <t>Barberia calle loiza</t>
        </is>
      </c>
      <c r="D866" s="5" t="inlineStr">
        <is>
          <t>Closed</t>
        </is>
      </c>
      <c r="E866" s="16" t="n">
        <v>46155</v>
      </c>
      <c r="F866" s="16" t="n">
        <v>46244</v>
      </c>
      <c r="G866" s="17" t="n">
        <v>3</v>
      </c>
      <c r="H866" s="5" t="inlineStr">
        <is>
          <t>7241</t>
        </is>
      </c>
      <c r="I866" s="5" t="inlineStr">
        <is>
          <t>Barber Shops</t>
        </is>
      </c>
      <c r="J866" s="5" t="inlineStr">
        <is>
          <t>72</t>
        </is>
      </c>
      <c r="K866" s="5" t="n">
        <v>7230</v>
      </c>
      <c r="L866" s="5" t="inlineStr">
        <is>
          <t>PR</t>
        </is>
      </c>
      <c r="M866" s="5" t="inlineStr">
        <is>
          <t>Siriux internacional corp</t>
        </is>
      </c>
      <c r="N866" s="5" t="inlineStr">
        <is>
          <t>Renewal</t>
        </is>
      </c>
      <c r="O866" s="19" t="n">
        <v>1.49</v>
      </c>
      <c r="P866" s="20" t="n">
        <v>10000</v>
      </c>
      <c r="Q866" s="20" t="n">
        <v>1400</v>
      </c>
      <c r="R866" s="20" t="n">
        <v>14900</v>
      </c>
      <c r="S866" s="20" t="n">
        <v>14900</v>
      </c>
      <c r="T866" s="20" t="n">
        <v>0</v>
      </c>
      <c r="U866" s="21" t="n">
        <v>1</v>
      </c>
      <c r="V866" s="22" t="n">
        <v>2.951</v>
      </c>
      <c r="W866" s="17" t="n">
        <v>9</v>
      </c>
      <c r="X866" s="17" t="n">
        <v>0</v>
      </c>
      <c r="Y866" s="20" t="n">
        <v>24522.78</v>
      </c>
      <c r="Z866" s="21" t="n">
        <v>0.1418</v>
      </c>
      <c r="AA866" s="16" t="n">
        <v>42309</v>
      </c>
      <c r="AB866" s="5">
        <f>IF(V866="","",IF(V866&lt;12,"Months","Weeks"))</f>
        <v/>
      </c>
      <c r="AC866" s="5">
        <f>IF(AB866="","",IF(AB866="Months","Daily","Weekly"))</f>
        <v/>
      </c>
      <c r="AD866" s="17">
        <f>IF(V866="","",IF(AC866="Daily",V866*Controls!$B$13,V866))</f>
        <v/>
      </c>
      <c r="AE866" s="17">
        <f>IF(V866="","",IF(AC866="Daily",V866*Controls!$B$13,V866*Controls!$B$12))</f>
        <v/>
      </c>
      <c r="AF866" s="17">
        <f>IF(OR(E866="",F866=""),"",F866-E866)</f>
        <v/>
      </c>
      <c r="AG866" s="17">
        <f>IF(OR(E866="",F866=""),"",NETWORKDAYS(E866,F866,Ref!$F$4:$F$47))</f>
        <v/>
      </c>
      <c r="AH866" s="39">
        <f>IF(IFERROR(VLOOKUP(D866,Controls!$A$25:$D$35,2,FALSE()),"No")="Yes",1,0)</f>
        <v/>
      </c>
      <c r="AI866" s="39">
        <f>IF(IFERROR(VLOOKUP(D866,Controls!$A$25:$D$35,3,FALSE()),"No")="Yes",1,0)</f>
        <v/>
      </c>
      <c r="AJ866" s="39">
        <f>IF(IFERROR(VLOOKUP(D866,Controls!$A$25:$D$35,4,FALSE()),"No")="Yes",1,0)</f>
        <v/>
      </c>
      <c r="AK866" s="96">
        <f>IF(AND($E866&gt;=Controls!$B$5,$E866&lt;=Controls!$B$6,OR(Controls!$E$9&lt;&gt;"Y",$BE866=1)),1,0)</f>
        <v/>
      </c>
      <c r="AL866" s="39">
        <f>1</f>
        <v/>
      </c>
      <c r="AM866" s="20">
        <f>S866-P866</f>
        <v/>
      </c>
      <c r="AN866" s="20">
        <f>IF(AH866=1,MAX(0,P866-S866),0)</f>
        <v/>
      </c>
      <c r="AO866" s="21">
        <f>IFERROR(S866/P866,"")</f>
        <v/>
      </c>
      <c r="AP866" s="22">
        <f>IF(Y866="","",P866/Y866)</f>
        <v/>
      </c>
      <c r="AQ866" s="39">
        <f>IF(Y866="",0,1)</f>
        <v/>
      </c>
      <c r="AR866" s="39">
        <f>IF(S866&lt;=0,1,0)</f>
        <v/>
      </c>
      <c r="AS866" s="17">
        <f>IF(AH866=1,AG866,"")</f>
        <v/>
      </c>
      <c r="AT866" s="17">
        <f>IF(AND(AH866=0,AJ866=1),AG866,"")</f>
        <v/>
      </c>
      <c r="AU866" s="5">
        <f>IF(P866&lt;10000,"Under $10K",IF(P866&lt;20000,"$10-20K",IF(P866&lt;30000,"$20-30K",IF(P866&lt;50000,"$30-50K",IF(P866&lt;100000,"$50-100K","$100K+")))))</f>
        <v/>
      </c>
      <c r="AV866" s="5">
        <f>IF(O866&lt;=1.35,"1.35 and under",IF(O866&lt;=1.42,"1.36-1.42",IF(O866&lt;=1.45,"1.43-1.45",IF(O866&lt;1.49,"1.46-1.48",IF(O866&lt;=1.49,"1.49","Above 1.49")))))</f>
        <v/>
      </c>
      <c r="AW866" s="5">
        <f>IF(AE866="","",IF(AE866&lt;60,"Under 60",IF(AE866&lt;90,"60-89",IF(AE866&lt;120,"90-119",IF(AE866&lt;150,"120-149","150+")))))</f>
        <v/>
      </c>
      <c r="AX866" s="5">
        <f>IF(AP866="","No revenue data",IF(AP866&lt;0.15,"Under 0.15x",IF(AP866&lt;0.3,"0.15-0.30x",IF(AP866&lt;0.5,"0.30-0.50x",IF(AP866&lt;1,"0.50-1.00x","1.00x+")))))</f>
        <v/>
      </c>
      <c r="AY866" s="5">
        <f>IF(J866="","No SIC",IFERROR(VLOOKUP(J866,Ref!$A$4:$C$67,2,FALSE()),"Unclassified"))</f>
        <v/>
      </c>
      <c r="AZ866" s="5">
        <f>IF(E866="","",TEXT(E866,"YYYY")&amp;"-Q"&amp;ROUNDUP(MONTH(E866)/3,0))</f>
        <v/>
      </c>
      <c r="BA866" s="5">
        <f>IF(E866="","",TEXT(E866,"YYYY-MM"))</f>
        <v/>
      </c>
      <c r="BB866" s="5">
        <f>IF(E866="","",TEXT(E866,"YYYY"))</f>
        <v/>
      </c>
      <c r="BC866" s="92">
        <f>IF($E866="","",NETWORKDAYS($E866,Controls!$B$9,Ref!$F$4:$F$47))</f>
        <v/>
      </c>
      <c r="BD866" s="92">
        <f>IF(OR($AH866=1,$AJ866=1),1,0)</f>
        <v/>
      </c>
      <c r="BE866" s="95">
        <f>IF(OR($BD866=1,AND($AE866&lt;&gt;"",$BC866&gt;=Controls!$B$10*$AE866)),1,0)</f>
        <v/>
      </c>
    </row>
    <row r="867" ht="15.75" customHeight="1" s="79">
      <c r="A867" s="5" t="inlineStr">
        <is>
          <t>5674183596</t>
        </is>
      </c>
      <c r="B867" s="5" t="inlineStr">
        <is>
          <t>Jordan services llc</t>
        </is>
      </c>
      <c r="C867" s="5" t="inlineStr">
        <is>
          <t>Jordan services llc</t>
        </is>
      </c>
      <c r="D867" s="5" t="inlineStr">
        <is>
          <t>Open</t>
        </is>
      </c>
      <c r="E867" s="16" t="n">
        <v>46155</v>
      </c>
      <c r="F867" s="16" t="n">
        <v>46253</v>
      </c>
      <c r="G867" s="17" t="n">
        <v>3</v>
      </c>
      <c r="H867" s="5" t="inlineStr">
        <is>
          <t>5999</t>
        </is>
      </c>
      <c r="I867" s="5" t="inlineStr">
        <is>
          <t>All Other Health and Personal Care Stores</t>
        </is>
      </c>
      <c r="J867" s="5" t="inlineStr">
        <is>
          <t>59</t>
        </is>
      </c>
      <c r="K867" s="5" t="n">
        <v>5999</v>
      </c>
      <c r="L867" s="5" t="inlineStr">
        <is>
          <t>No state</t>
        </is>
      </c>
      <c r="M867" s="5" t="inlineStr">
        <is>
          <t>Redline Capital</t>
        </is>
      </c>
      <c r="N867" s="5" t="inlineStr">
        <is>
          <t>New Deal</t>
        </is>
      </c>
      <c r="O867" s="19" t="n">
        <v>1.49</v>
      </c>
      <c r="P867" s="20" t="n">
        <v>10000</v>
      </c>
      <c r="Q867" s="20" t="n">
        <v>1400</v>
      </c>
      <c r="R867" s="20" t="n">
        <v>14900</v>
      </c>
      <c r="S867" s="20" t="n">
        <v>10126.56</v>
      </c>
      <c r="T867" s="20" t="n">
        <v>4773.44</v>
      </c>
      <c r="U867" s="21" t="n">
        <v>0.679634899328859</v>
      </c>
      <c r="V867" s="22" t="n">
        <v>3.279</v>
      </c>
      <c r="W867" s="17" t="n">
        <v>0</v>
      </c>
      <c r="X867" s="17" t="n">
        <v>0</v>
      </c>
      <c r="Y867" s="20" t="n">
        <v>40562.51</v>
      </c>
      <c r="Z867" s="21" t="n">
        <v>0.0771</v>
      </c>
      <c r="AA867" s="16" t="n">
        <v>42675</v>
      </c>
      <c r="AB867" s="5">
        <f>IF(V867="","",IF(V867&lt;12,"Months","Weeks"))</f>
        <v/>
      </c>
      <c r="AC867" s="5">
        <f>IF(AB867="","",IF(AB867="Months","Daily","Weekly"))</f>
        <v/>
      </c>
      <c r="AD867" s="17">
        <f>IF(V867="","",IF(AC867="Daily",V867*Controls!$B$13,V867))</f>
        <v/>
      </c>
      <c r="AE867" s="17">
        <f>IF(V867="","",IF(AC867="Daily",V867*Controls!$B$13,V867*Controls!$B$12))</f>
        <v/>
      </c>
      <c r="AF867" s="17">
        <f>IF(OR(E867="",F867=""),"",F867-E867)</f>
        <v/>
      </c>
      <c r="AG867" s="17">
        <f>IF(OR(E867="",F867=""),"",NETWORKDAYS(E867,F867,Ref!$F$4:$F$47))</f>
        <v/>
      </c>
      <c r="AH867" s="39">
        <f>IF(IFERROR(VLOOKUP(D867,Controls!$A$25:$D$35,2,FALSE()),"No")="Yes",1,0)</f>
        <v/>
      </c>
      <c r="AI867" s="39">
        <f>IF(IFERROR(VLOOKUP(D867,Controls!$A$25:$D$35,3,FALSE()),"No")="Yes",1,0)</f>
        <v/>
      </c>
      <c r="AJ867" s="39">
        <f>IF(IFERROR(VLOOKUP(D867,Controls!$A$25:$D$35,4,FALSE()),"No")="Yes",1,0)</f>
        <v/>
      </c>
      <c r="AK867" s="96">
        <f>IF(AND($E867&gt;=Controls!$B$5,$E867&lt;=Controls!$B$6,OR(Controls!$E$9&lt;&gt;"Y",$BE867=1)),1,0)</f>
        <v/>
      </c>
      <c r="AL867" s="39">
        <f>1</f>
        <v/>
      </c>
      <c r="AM867" s="20">
        <f>S867-P867</f>
        <v/>
      </c>
      <c r="AN867" s="20">
        <f>IF(AH867=1,MAX(0,P867-S867),0)</f>
        <v/>
      </c>
      <c r="AO867" s="21">
        <f>IFERROR(S867/P867,"")</f>
        <v/>
      </c>
      <c r="AP867" s="22">
        <f>IF(Y867="","",P867/Y867)</f>
        <v/>
      </c>
      <c r="AQ867" s="39">
        <f>IF(Y867="",0,1)</f>
        <v/>
      </c>
      <c r="AR867" s="39">
        <f>IF(S867&lt;=0,1,0)</f>
        <v/>
      </c>
      <c r="AS867" s="17">
        <f>IF(AH867=1,AG867,"")</f>
        <v/>
      </c>
      <c r="AT867" s="17">
        <f>IF(AND(AH867=0,AJ867=1),AG867,"")</f>
        <v/>
      </c>
      <c r="AU867" s="5">
        <f>IF(P867&lt;10000,"Under $10K",IF(P867&lt;20000,"$10-20K",IF(P867&lt;30000,"$20-30K",IF(P867&lt;50000,"$30-50K",IF(P867&lt;100000,"$50-100K","$100K+")))))</f>
        <v/>
      </c>
      <c r="AV867" s="5">
        <f>IF(O867&lt;=1.35,"1.35 and under",IF(O867&lt;=1.42,"1.36-1.42",IF(O867&lt;=1.45,"1.43-1.45",IF(O867&lt;1.49,"1.46-1.48",IF(O867&lt;=1.49,"1.49","Above 1.49")))))</f>
        <v/>
      </c>
      <c r="AW867" s="5">
        <f>IF(AE867="","",IF(AE867&lt;60,"Under 60",IF(AE867&lt;90,"60-89",IF(AE867&lt;120,"90-119",IF(AE867&lt;150,"120-149","150+")))))</f>
        <v/>
      </c>
      <c r="AX867" s="5">
        <f>IF(AP867="","No revenue data",IF(AP867&lt;0.15,"Under 0.15x",IF(AP867&lt;0.3,"0.15-0.30x",IF(AP867&lt;0.5,"0.30-0.50x",IF(AP867&lt;1,"0.50-1.00x","1.00x+")))))</f>
        <v/>
      </c>
      <c r="AY867" s="5">
        <f>IF(J867="","No SIC",IFERROR(VLOOKUP(J867,Ref!$A$4:$C$67,2,FALSE()),"Unclassified"))</f>
        <v/>
      </c>
      <c r="AZ867" s="5">
        <f>IF(E867="","",TEXT(E867,"YYYY")&amp;"-Q"&amp;ROUNDUP(MONTH(E867)/3,0))</f>
        <v/>
      </c>
      <c r="BA867" s="5">
        <f>IF(E867="","",TEXT(E867,"YYYY-MM"))</f>
        <v/>
      </c>
      <c r="BB867" s="5">
        <f>IF(E867="","",TEXT(E867,"YYYY"))</f>
        <v/>
      </c>
      <c r="BC867" s="92">
        <f>IF($E867="","",NETWORKDAYS($E867,Controls!$B$9,Ref!$F$4:$F$47))</f>
        <v/>
      </c>
      <c r="BD867" s="92">
        <f>IF(OR($AH867=1,$AJ867=1),1,0)</f>
        <v/>
      </c>
      <c r="BE867" s="95">
        <f>IF(OR($BD867=1,AND($AE867&lt;&gt;"",$BC867&gt;=Controls!$B$10*$AE867)),1,0)</f>
        <v/>
      </c>
    </row>
    <row r="868" ht="15.75" customHeight="1" s="79">
      <c r="A868" s="5" t="inlineStr">
        <is>
          <t>5674183634</t>
        </is>
      </c>
      <c r="B868" s="5" t="inlineStr">
        <is>
          <t>Fiduol sxm llc</t>
        </is>
      </c>
      <c r="C868" s="5" t="inlineStr">
        <is>
          <t>Fiduol sxm llc</t>
        </is>
      </c>
      <c r="D868" s="5" t="inlineStr">
        <is>
          <t>Open</t>
        </is>
      </c>
      <c r="E868" s="16" t="n">
        <v>46156</v>
      </c>
      <c r="F868" s="16" t="n">
        <v>46252</v>
      </c>
      <c r="G868" s="17" t="n">
        <v>1</v>
      </c>
      <c r="H868" s="5" t="inlineStr">
        <is>
          <t>5812</t>
        </is>
      </c>
      <c r="I868" s="5" t="inlineStr">
        <is>
          <t>Snack and Nonalcoholic Beverage Bars</t>
        </is>
      </c>
      <c r="J868" s="5" t="inlineStr">
        <is>
          <t>58</t>
        </is>
      </c>
      <c r="K868" s="5" t="n">
        <v>5812</v>
      </c>
      <c r="L868" s="5" t="inlineStr">
        <is>
          <t>FL</t>
        </is>
      </c>
      <c r="M868" s="5" t="inlineStr">
        <is>
          <t>Credibly</t>
        </is>
      </c>
      <c r="N868" s="5" t="inlineStr">
        <is>
          <t>New Deal</t>
        </is>
      </c>
      <c r="O868" s="19" t="n">
        <v>1.35</v>
      </c>
      <c r="P868" s="20" t="n">
        <v>70000</v>
      </c>
      <c r="Q868" s="20" t="n">
        <v>4900</v>
      </c>
      <c r="R868" s="20" t="n">
        <v>94500</v>
      </c>
      <c r="S868" s="20" t="n">
        <v>55085.1</v>
      </c>
      <c r="T868" s="20" t="n">
        <v>39414.9</v>
      </c>
      <c r="U868" s="21" t="n">
        <v>0.582911111111111</v>
      </c>
      <c r="V868" s="22" t="n">
        <v>24</v>
      </c>
      <c r="W868" s="17" t="n">
        <v>1</v>
      </c>
      <c r="X868" s="17" t="n">
        <v>0</v>
      </c>
      <c r="Y868" s="20" t="n">
        <v>382005.05</v>
      </c>
      <c r="Z868" s="21" t="n">
        <v>0.0412</v>
      </c>
      <c r="AA868" s="16" t="n">
        <v>45398</v>
      </c>
      <c r="AB868" s="5">
        <f>IF(V868="","",IF(V868&lt;12,"Months","Weeks"))</f>
        <v/>
      </c>
      <c r="AC868" s="5">
        <f>IF(AB868="","",IF(AB868="Months","Daily","Weekly"))</f>
        <v/>
      </c>
      <c r="AD868" s="17">
        <f>IF(V868="","",IF(AC868="Daily",V868*Controls!$B$13,V868))</f>
        <v/>
      </c>
      <c r="AE868" s="17">
        <f>IF(V868="","",IF(AC868="Daily",V868*Controls!$B$13,V868*Controls!$B$12))</f>
        <v/>
      </c>
      <c r="AF868" s="17">
        <f>IF(OR(E868="",F868=""),"",F868-E868)</f>
        <v/>
      </c>
      <c r="AG868" s="17">
        <f>IF(OR(E868="",F868=""),"",NETWORKDAYS(E868,F868,Ref!$F$4:$F$47))</f>
        <v/>
      </c>
      <c r="AH868" s="39">
        <f>IF(IFERROR(VLOOKUP(D868,Controls!$A$25:$D$35,2,FALSE()),"No")="Yes",1,0)</f>
        <v/>
      </c>
      <c r="AI868" s="39">
        <f>IF(IFERROR(VLOOKUP(D868,Controls!$A$25:$D$35,3,FALSE()),"No")="Yes",1,0)</f>
        <v/>
      </c>
      <c r="AJ868" s="39">
        <f>IF(IFERROR(VLOOKUP(D868,Controls!$A$25:$D$35,4,FALSE()),"No")="Yes",1,0)</f>
        <v/>
      </c>
      <c r="AK868" s="96">
        <f>IF(AND($E868&gt;=Controls!$B$5,$E868&lt;=Controls!$B$6,OR(Controls!$E$9&lt;&gt;"Y",$BE868=1)),1,0)</f>
        <v/>
      </c>
      <c r="AL868" s="39">
        <f>1</f>
        <v/>
      </c>
      <c r="AM868" s="20">
        <f>S868-P868</f>
        <v/>
      </c>
      <c r="AN868" s="20">
        <f>IF(AH868=1,MAX(0,P868-S868),0)</f>
        <v/>
      </c>
      <c r="AO868" s="21">
        <f>IFERROR(S868/P868,"")</f>
        <v/>
      </c>
      <c r="AP868" s="22">
        <f>IF(Y868="","",P868/Y868)</f>
        <v/>
      </c>
      <c r="AQ868" s="39">
        <f>IF(Y868="",0,1)</f>
        <v/>
      </c>
      <c r="AR868" s="39">
        <f>IF(S868&lt;=0,1,0)</f>
        <v/>
      </c>
      <c r="AS868" s="17">
        <f>IF(AH868=1,AG868,"")</f>
        <v/>
      </c>
      <c r="AT868" s="17">
        <f>IF(AND(AH868=0,AJ868=1),AG868,"")</f>
        <v/>
      </c>
      <c r="AU868" s="5">
        <f>IF(P868&lt;10000,"Under $10K",IF(P868&lt;20000,"$10-20K",IF(P868&lt;30000,"$20-30K",IF(P868&lt;50000,"$30-50K",IF(P868&lt;100000,"$50-100K","$100K+")))))</f>
        <v/>
      </c>
      <c r="AV868" s="5">
        <f>IF(O868&lt;=1.35,"1.35 and under",IF(O868&lt;=1.42,"1.36-1.42",IF(O868&lt;=1.45,"1.43-1.45",IF(O868&lt;1.49,"1.46-1.48",IF(O868&lt;=1.49,"1.49","Above 1.49")))))</f>
        <v/>
      </c>
      <c r="AW868" s="5">
        <f>IF(AE868="","",IF(AE868&lt;60,"Under 60",IF(AE868&lt;90,"60-89",IF(AE868&lt;120,"90-119",IF(AE868&lt;150,"120-149","150+")))))</f>
        <v/>
      </c>
      <c r="AX868" s="5">
        <f>IF(AP868="","No revenue data",IF(AP868&lt;0.15,"Under 0.15x",IF(AP868&lt;0.3,"0.15-0.30x",IF(AP868&lt;0.5,"0.30-0.50x",IF(AP868&lt;1,"0.50-1.00x","1.00x+")))))</f>
        <v/>
      </c>
      <c r="AY868" s="5">
        <f>IF(J868="","No SIC",IFERROR(VLOOKUP(J868,Ref!$A$4:$C$67,2,FALSE()),"Unclassified"))</f>
        <v/>
      </c>
      <c r="AZ868" s="5">
        <f>IF(E868="","",TEXT(E868,"YYYY")&amp;"-Q"&amp;ROUNDUP(MONTH(E868)/3,0))</f>
        <v/>
      </c>
      <c r="BA868" s="5">
        <f>IF(E868="","",TEXT(E868,"YYYY-MM"))</f>
        <v/>
      </c>
      <c r="BB868" s="5">
        <f>IF(E868="","",TEXT(E868,"YYYY"))</f>
        <v/>
      </c>
      <c r="BC868" s="92">
        <f>IF($E868="","",NETWORKDAYS($E868,Controls!$B$9,Ref!$F$4:$F$47))</f>
        <v/>
      </c>
      <c r="BD868" s="92">
        <f>IF(OR($AH868=1,$AJ868=1),1,0)</f>
        <v/>
      </c>
      <c r="BE868" s="95">
        <f>IF(OR($BD868=1,AND($AE868&lt;&gt;"",$BC868&gt;=Controls!$B$10*$AE868)),1,0)</f>
        <v/>
      </c>
    </row>
    <row r="869" ht="15.75" customHeight="1" s="79">
      <c r="A869" s="5" t="inlineStr">
        <is>
          <t>5674183658</t>
        </is>
      </c>
      <c r="B869" s="5" t="inlineStr">
        <is>
          <t>SC GROUP LLC</t>
        </is>
      </c>
      <c r="C869" s="5" t="inlineStr">
        <is>
          <t>SC GROUP LLC</t>
        </is>
      </c>
      <c r="D869" s="5" t="inlineStr">
        <is>
          <t>Open</t>
        </is>
      </c>
      <c r="E869" s="16" t="n">
        <v>46156</v>
      </c>
      <c r="F869" s="16" t="n">
        <v>46244</v>
      </c>
      <c r="G869" s="17" t="n">
        <v>3</v>
      </c>
      <c r="H869" s="5" t="inlineStr">
        <is>
          <t>1521</t>
        </is>
      </c>
      <c r="I869" s="5" t="inlineStr">
        <is>
          <t>New Single-Family Housing Construction (Except For-Sale Builders)</t>
        </is>
      </c>
      <c r="J869" s="5" t="inlineStr">
        <is>
          <t>15</t>
        </is>
      </c>
      <c r="K869" s="5" t="n">
        <v>1520</v>
      </c>
      <c r="L869" s="5" t="inlineStr">
        <is>
          <t>No state</t>
        </is>
      </c>
      <c r="M869" s="5" t="inlineStr">
        <is>
          <t>level 3 funding</t>
        </is>
      </c>
      <c r="N869" s="5" t="inlineStr">
        <is>
          <t>Renewal</t>
        </is>
      </c>
      <c r="O869" s="19" t="n">
        <v>1.49</v>
      </c>
      <c r="P869" s="20" t="n">
        <v>15000</v>
      </c>
      <c r="Q869" s="20" t="n">
        <v>2100</v>
      </c>
      <c r="R869" s="20" t="n">
        <v>22350</v>
      </c>
      <c r="S869" s="20" t="n">
        <v>21961.46</v>
      </c>
      <c r="T869" s="20" t="n">
        <v>388.540000000001</v>
      </c>
      <c r="U869" s="21" t="n">
        <v>0.982615659955257</v>
      </c>
      <c r="V869" s="22" t="n">
        <v>3.77</v>
      </c>
      <c r="W869" s="17" t="n">
        <v>9</v>
      </c>
      <c r="X869" s="17" t="n">
        <v>2</v>
      </c>
      <c r="Y869" s="20" t="n">
        <v>38306.63</v>
      </c>
      <c r="Z869" s="21" t="n">
        <v>0.1065</v>
      </c>
      <c r="AA869" s="16" t="n">
        <v>43374</v>
      </c>
      <c r="AB869" s="5">
        <f>IF(V869="","",IF(V869&lt;12,"Months","Weeks"))</f>
        <v/>
      </c>
      <c r="AC869" s="5">
        <f>IF(AB869="","",IF(AB869="Months","Daily","Weekly"))</f>
        <v/>
      </c>
      <c r="AD869" s="17">
        <f>IF(V869="","",IF(AC869="Daily",V869*Controls!$B$13,V869))</f>
        <v/>
      </c>
      <c r="AE869" s="17">
        <f>IF(V869="","",IF(AC869="Daily",V869*Controls!$B$13,V869*Controls!$B$12))</f>
        <v/>
      </c>
      <c r="AF869" s="17">
        <f>IF(OR(E869="",F869=""),"",F869-E869)</f>
        <v/>
      </c>
      <c r="AG869" s="17">
        <f>IF(OR(E869="",F869=""),"",NETWORKDAYS(E869,F869,Ref!$F$4:$F$47))</f>
        <v/>
      </c>
      <c r="AH869" s="39">
        <f>IF(IFERROR(VLOOKUP(D869,Controls!$A$25:$D$35,2,FALSE()),"No")="Yes",1,0)</f>
        <v/>
      </c>
      <c r="AI869" s="39">
        <f>IF(IFERROR(VLOOKUP(D869,Controls!$A$25:$D$35,3,FALSE()),"No")="Yes",1,0)</f>
        <v/>
      </c>
      <c r="AJ869" s="39">
        <f>IF(IFERROR(VLOOKUP(D869,Controls!$A$25:$D$35,4,FALSE()),"No")="Yes",1,0)</f>
        <v/>
      </c>
      <c r="AK869" s="96">
        <f>IF(AND($E869&gt;=Controls!$B$5,$E869&lt;=Controls!$B$6,OR(Controls!$E$9&lt;&gt;"Y",$BE869=1)),1,0)</f>
        <v/>
      </c>
      <c r="AL869" s="39">
        <f>1</f>
        <v/>
      </c>
      <c r="AM869" s="20">
        <f>S869-P869</f>
        <v/>
      </c>
      <c r="AN869" s="20">
        <f>IF(AH869=1,MAX(0,P869-S869),0)</f>
        <v/>
      </c>
      <c r="AO869" s="21">
        <f>IFERROR(S869/P869,"")</f>
        <v/>
      </c>
      <c r="AP869" s="22">
        <f>IF(Y869="","",P869/Y869)</f>
        <v/>
      </c>
      <c r="AQ869" s="39">
        <f>IF(Y869="",0,1)</f>
        <v/>
      </c>
      <c r="AR869" s="39">
        <f>IF(S869&lt;=0,1,0)</f>
        <v/>
      </c>
      <c r="AS869" s="17">
        <f>IF(AH869=1,AG869,"")</f>
        <v/>
      </c>
      <c r="AT869" s="17">
        <f>IF(AND(AH869=0,AJ869=1),AG869,"")</f>
        <v/>
      </c>
      <c r="AU869" s="5">
        <f>IF(P869&lt;10000,"Under $10K",IF(P869&lt;20000,"$10-20K",IF(P869&lt;30000,"$20-30K",IF(P869&lt;50000,"$30-50K",IF(P869&lt;100000,"$50-100K","$100K+")))))</f>
        <v/>
      </c>
      <c r="AV869" s="5">
        <f>IF(O869&lt;=1.35,"1.35 and under",IF(O869&lt;=1.42,"1.36-1.42",IF(O869&lt;=1.45,"1.43-1.45",IF(O869&lt;1.49,"1.46-1.48",IF(O869&lt;=1.49,"1.49","Above 1.49")))))</f>
        <v/>
      </c>
      <c r="AW869" s="5">
        <f>IF(AE869="","",IF(AE869&lt;60,"Under 60",IF(AE869&lt;90,"60-89",IF(AE869&lt;120,"90-119",IF(AE869&lt;150,"120-149","150+")))))</f>
        <v/>
      </c>
      <c r="AX869" s="5">
        <f>IF(AP869="","No revenue data",IF(AP869&lt;0.15,"Under 0.15x",IF(AP869&lt;0.3,"0.15-0.30x",IF(AP869&lt;0.5,"0.30-0.50x",IF(AP869&lt;1,"0.50-1.00x","1.00x+")))))</f>
        <v/>
      </c>
      <c r="AY869" s="5">
        <f>IF(J869="","No SIC",IFERROR(VLOOKUP(J869,Ref!$A$4:$C$67,2,FALSE()),"Unclassified"))</f>
        <v/>
      </c>
      <c r="AZ869" s="5">
        <f>IF(E869="","",TEXT(E869,"YYYY")&amp;"-Q"&amp;ROUNDUP(MONTH(E869)/3,0))</f>
        <v/>
      </c>
      <c r="BA869" s="5">
        <f>IF(E869="","",TEXT(E869,"YYYY-MM"))</f>
        <v/>
      </c>
      <c r="BB869" s="5">
        <f>IF(E869="","",TEXT(E869,"YYYY"))</f>
        <v/>
      </c>
      <c r="BC869" s="92">
        <f>IF($E869="","",NETWORKDAYS($E869,Controls!$B$9,Ref!$F$4:$F$47))</f>
        <v/>
      </c>
      <c r="BD869" s="92">
        <f>IF(OR($AH869=1,$AJ869=1),1,0)</f>
        <v/>
      </c>
      <c r="BE869" s="95">
        <f>IF(OR($BD869=1,AND($AE869&lt;&gt;"",$BC869&gt;=Controls!$B$10*$AE869)),1,0)</f>
        <v/>
      </c>
    </row>
    <row r="870" ht="15.75" customHeight="1" s="79">
      <c r="A870" s="5" t="inlineStr">
        <is>
          <t>5674183673</t>
        </is>
      </c>
      <c r="B870" s="5" t="inlineStr">
        <is>
          <t>SKEENS RESTORATION &amp; CONSTRUCTION LLC</t>
        </is>
      </c>
      <c r="C870" s="5" t="inlineStr">
        <is>
          <t>SKEENS RESTORATION &amp; CONSTRUCTION LLC</t>
        </is>
      </c>
      <c r="D870" s="5" t="inlineStr">
        <is>
          <t>Open</t>
        </is>
      </c>
      <c r="E870" s="16" t="n">
        <v>46156</v>
      </c>
      <c r="F870" s="16" t="n">
        <v>46248</v>
      </c>
      <c r="G870" s="17" t="n">
        <v>3</v>
      </c>
      <c r="H870" s="5" t="inlineStr">
        <is>
          <t>1521</t>
        </is>
      </c>
      <c r="I870" s="5" t="inlineStr">
        <is>
          <t>Residential Remodelers</t>
        </is>
      </c>
      <c r="J870" s="5" t="inlineStr">
        <is>
          <t>15</t>
        </is>
      </c>
      <c r="K870" s="5" t="n">
        <v>1520</v>
      </c>
      <c r="L870" s="5" t="inlineStr">
        <is>
          <t>TN</t>
        </is>
      </c>
      <c r="M870" s="5" t="inlineStr">
        <is>
          <t>United Secured Capital 8</t>
        </is>
      </c>
      <c r="N870" s="5" t="inlineStr">
        <is>
          <t>Renewal</t>
        </is>
      </c>
      <c r="O870" s="19" t="n">
        <v>1.45</v>
      </c>
      <c r="P870" s="20" t="n">
        <v>15000</v>
      </c>
      <c r="Q870" s="20" t="n">
        <v>1800</v>
      </c>
      <c r="R870" s="20" t="n">
        <v>21750</v>
      </c>
      <c r="S870" s="20" t="n">
        <v>6223.04</v>
      </c>
      <c r="T870" s="20" t="n">
        <v>15526.96</v>
      </c>
      <c r="U870" s="21" t="n">
        <v>0.286116781609195</v>
      </c>
      <c r="V870" s="22" t="n">
        <v>28</v>
      </c>
      <c r="W870" s="17" t="n">
        <v>19</v>
      </c>
      <c r="X870" s="17" t="n">
        <v>5</v>
      </c>
      <c r="Y870" s="20" t="n">
        <v>117415.63</v>
      </c>
      <c r="Z870" s="21" t="n">
        <v>0.0265</v>
      </c>
      <c r="AA870" s="16" t="n">
        <v>36020</v>
      </c>
      <c r="AB870" s="5">
        <f>IF(V870="","",IF(V870&lt;12,"Months","Weeks"))</f>
        <v/>
      </c>
      <c r="AC870" s="5">
        <f>IF(AB870="","",IF(AB870="Months","Daily","Weekly"))</f>
        <v/>
      </c>
      <c r="AD870" s="17">
        <f>IF(V870="","",IF(AC870="Daily",V870*Controls!$B$13,V870))</f>
        <v/>
      </c>
      <c r="AE870" s="17">
        <f>IF(V870="","",IF(AC870="Daily",V870*Controls!$B$13,V870*Controls!$B$12))</f>
        <v/>
      </c>
      <c r="AF870" s="17">
        <f>IF(OR(E870="",F870=""),"",F870-E870)</f>
        <v/>
      </c>
      <c r="AG870" s="17">
        <f>IF(OR(E870="",F870=""),"",NETWORKDAYS(E870,F870,Ref!$F$4:$F$47))</f>
        <v/>
      </c>
      <c r="AH870" s="39">
        <f>IF(IFERROR(VLOOKUP(D870,Controls!$A$25:$D$35,2,FALSE()),"No")="Yes",1,0)</f>
        <v/>
      </c>
      <c r="AI870" s="39">
        <f>IF(IFERROR(VLOOKUP(D870,Controls!$A$25:$D$35,3,FALSE()),"No")="Yes",1,0)</f>
        <v/>
      </c>
      <c r="AJ870" s="39">
        <f>IF(IFERROR(VLOOKUP(D870,Controls!$A$25:$D$35,4,FALSE()),"No")="Yes",1,0)</f>
        <v/>
      </c>
      <c r="AK870" s="96">
        <f>IF(AND($E870&gt;=Controls!$B$5,$E870&lt;=Controls!$B$6,OR(Controls!$E$9&lt;&gt;"Y",$BE870=1)),1,0)</f>
        <v/>
      </c>
      <c r="AL870" s="39">
        <f>1</f>
        <v/>
      </c>
      <c r="AM870" s="20">
        <f>S870-P870</f>
        <v/>
      </c>
      <c r="AN870" s="20">
        <f>IF(AH870=1,MAX(0,P870-S870),0)</f>
        <v/>
      </c>
      <c r="AO870" s="21">
        <f>IFERROR(S870/P870,"")</f>
        <v/>
      </c>
      <c r="AP870" s="22">
        <f>IF(Y870="","",P870/Y870)</f>
        <v/>
      </c>
      <c r="AQ870" s="39">
        <f>IF(Y870="",0,1)</f>
        <v/>
      </c>
      <c r="AR870" s="39">
        <f>IF(S870&lt;=0,1,0)</f>
        <v/>
      </c>
      <c r="AS870" s="17">
        <f>IF(AH870=1,AG870,"")</f>
        <v/>
      </c>
      <c r="AT870" s="17">
        <f>IF(AND(AH870=0,AJ870=1),AG870,"")</f>
        <v/>
      </c>
      <c r="AU870" s="5">
        <f>IF(P870&lt;10000,"Under $10K",IF(P870&lt;20000,"$10-20K",IF(P870&lt;30000,"$20-30K",IF(P870&lt;50000,"$30-50K",IF(P870&lt;100000,"$50-100K","$100K+")))))</f>
        <v/>
      </c>
      <c r="AV870" s="5">
        <f>IF(O870&lt;=1.35,"1.35 and under",IF(O870&lt;=1.42,"1.36-1.42",IF(O870&lt;=1.45,"1.43-1.45",IF(O870&lt;1.49,"1.46-1.48",IF(O870&lt;=1.49,"1.49","Above 1.49")))))</f>
        <v/>
      </c>
      <c r="AW870" s="5">
        <f>IF(AE870="","",IF(AE870&lt;60,"Under 60",IF(AE870&lt;90,"60-89",IF(AE870&lt;120,"90-119",IF(AE870&lt;150,"120-149","150+")))))</f>
        <v/>
      </c>
      <c r="AX870" s="5">
        <f>IF(AP870="","No revenue data",IF(AP870&lt;0.15,"Under 0.15x",IF(AP870&lt;0.3,"0.15-0.30x",IF(AP870&lt;0.5,"0.30-0.50x",IF(AP870&lt;1,"0.50-1.00x","1.00x+")))))</f>
        <v/>
      </c>
      <c r="AY870" s="5">
        <f>IF(J870="","No SIC",IFERROR(VLOOKUP(J870,Ref!$A$4:$C$67,2,FALSE()),"Unclassified"))</f>
        <v/>
      </c>
      <c r="AZ870" s="5">
        <f>IF(E870="","",TEXT(E870,"YYYY")&amp;"-Q"&amp;ROUNDUP(MONTH(E870)/3,0))</f>
        <v/>
      </c>
      <c r="BA870" s="5">
        <f>IF(E870="","",TEXT(E870,"YYYY-MM"))</f>
        <v/>
      </c>
      <c r="BB870" s="5">
        <f>IF(E870="","",TEXT(E870,"YYYY"))</f>
        <v/>
      </c>
      <c r="BC870" s="92">
        <f>IF($E870="","",NETWORKDAYS($E870,Controls!$B$9,Ref!$F$4:$F$47))</f>
        <v/>
      </c>
      <c r="BD870" s="92">
        <f>IF(OR($AH870=1,$AJ870=1),1,0)</f>
        <v/>
      </c>
      <c r="BE870" s="95">
        <f>IF(OR($BD870=1,AND($AE870&lt;&gt;"",$BC870&gt;=Controls!$B$10*$AE870)),1,0)</f>
        <v/>
      </c>
    </row>
    <row r="871" ht="15.75" customHeight="1" s="79">
      <c r="A871" s="5" t="inlineStr">
        <is>
          <t>5674183703</t>
        </is>
      </c>
      <c r="B871" s="5" t="inlineStr">
        <is>
          <t>DENVER IMMERSIVE REPERTORY THEATER</t>
        </is>
      </c>
      <c r="C871" s="5" t="inlineStr">
        <is>
          <t>DENVER IMMERSIVE REPERTORY THEATER</t>
        </is>
      </c>
      <c r="D871" s="5" t="inlineStr">
        <is>
          <t>In House Collection</t>
        </is>
      </c>
      <c r="E871" s="16" t="n">
        <v>46156</v>
      </c>
      <c r="F871" s="16" t="n">
        <v>46244</v>
      </c>
      <c r="G871" s="17" t="n">
        <v>3</v>
      </c>
      <c r="H871" s="5" t="inlineStr">
        <is>
          <t>7922</t>
        </is>
      </c>
      <c r="I871" s="5" t="inlineStr">
        <is>
          <t>Theater Cos. and Dinner Theaters</t>
        </is>
      </c>
      <c r="J871" s="5" t="inlineStr">
        <is>
          <t>79</t>
        </is>
      </c>
      <c r="K871" s="5" t="n">
        <v>7922</v>
      </c>
      <c r="L871" s="5" t="inlineStr">
        <is>
          <t>FL</t>
        </is>
      </c>
      <c r="M871" s="5" t="inlineStr">
        <is>
          <t>Ballicci</t>
        </is>
      </c>
      <c r="N871" s="5" t="inlineStr">
        <is>
          <t>New Deal</t>
        </is>
      </c>
      <c r="O871" s="19" t="n">
        <v>1.49</v>
      </c>
      <c r="P871" s="20" t="n">
        <v>25000</v>
      </c>
      <c r="Q871" s="20" t="n">
        <v>3500</v>
      </c>
      <c r="R871" s="20" t="n">
        <v>37250</v>
      </c>
      <c r="S871" s="20" t="n">
        <v>3362.86</v>
      </c>
      <c r="T871" s="20" t="n">
        <v>33887.14</v>
      </c>
      <c r="U871" s="21" t="n">
        <v>0.09027812080536909</v>
      </c>
      <c r="V871" s="22" t="n">
        <v>24</v>
      </c>
      <c r="W871" s="17" t="n">
        <v>9</v>
      </c>
      <c r="X871" s="17" t="n">
        <v>9</v>
      </c>
      <c r="Y871" s="20" t="n">
        <v>187788.78</v>
      </c>
      <c r="Z871" s="21" t="n">
        <v>0.0331</v>
      </c>
      <c r="AA871" s="16" t="n">
        <v>45378</v>
      </c>
      <c r="AB871" s="5">
        <f>IF(V871="","",IF(V871&lt;12,"Months","Weeks"))</f>
        <v/>
      </c>
      <c r="AC871" s="5">
        <f>IF(AB871="","",IF(AB871="Months","Daily","Weekly"))</f>
        <v/>
      </c>
      <c r="AD871" s="17">
        <f>IF(V871="","",IF(AC871="Daily",V871*Controls!$B$13,V871))</f>
        <v/>
      </c>
      <c r="AE871" s="17">
        <f>IF(V871="","",IF(AC871="Daily",V871*Controls!$B$13,V871*Controls!$B$12))</f>
        <v/>
      </c>
      <c r="AF871" s="17">
        <f>IF(OR(E871="",F871=""),"",F871-E871)</f>
        <v/>
      </c>
      <c r="AG871" s="17">
        <f>IF(OR(E871="",F871=""),"",NETWORKDAYS(E871,F871,Ref!$F$4:$F$47))</f>
        <v/>
      </c>
      <c r="AH871" s="39">
        <f>IF(IFERROR(VLOOKUP(D871,Controls!$A$25:$D$35,2,FALSE()),"No")="Yes",1,0)</f>
        <v/>
      </c>
      <c r="AI871" s="39">
        <f>IF(IFERROR(VLOOKUP(D871,Controls!$A$25:$D$35,3,FALSE()),"No")="Yes",1,0)</f>
        <v/>
      </c>
      <c r="AJ871" s="39">
        <f>IF(IFERROR(VLOOKUP(D871,Controls!$A$25:$D$35,4,FALSE()),"No")="Yes",1,0)</f>
        <v/>
      </c>
      <c r="AK871" s="96">
        <f>IF(AND($E871&gt;=Controls!$B$5,$E871&lt;=Controls!$B$6,OR(Controls!$E$9&lt;&gt;"Y",$BE871=1)),1,0)</f>
        <v/>
      </c>
      <c r="AL871" s="39">
        <f>1</f>
        <v/>
      </c>
      <c r="AM871" s="20">
        <f>S871-P871</f>
        <v/>
      </c>
      <c r="AN871" s="20">
        <f>IF(AH871=1,MAX(0,P871-S871),0)</f>
        <v/>
      </c>
      <c r="AO871" s="21">
        <f>IFERROR(S871/P871,"")</f>
        <v/>
      </c>
      <c r="AP871" s="22">
        <f>IF(Y871="","",P871/Y871)</f>
        <v/>
      </c>
      <c r="AQ871" s="39">
        <f>IF(Y871="",0,1)</f>
        <v/>
      </c>
      <c r="AR871" s="39">
        <f>IF(S871&lt;=0,1,0)</f>
        <v/>
      </c>
      <c r="AS871" s="17">
        <f>IF(AH871=1,AG871,"")</f>
        <v/>
      </c>
      <c r="AT871" s="17">
        <f>IF(AND(AH871=0,AJ871=1),AG871,"")</f>
        <v/>
      </c>
      <c r="AU871" s="5">
        <f>IF(P871&lt;10000,"Under $10K",IF(P871&lt;20000,"$10-20K",IF(P871&lt;30000,"$20-30K",IF(P871&lt;50000,"$30-50K",IF(P871&lt;100000,"$50-100K","$100K+")))))</f>
        <v/>
      </c>
      <c r="AV871" s="5">
        <f>IF(O871&lt;=1.35,"1.35 and under",IF(O871&lt;=1.42,"1.36-1.42",IF(O871&lt;=1.45,"1.43-1.45",IF(O871&lt;1.49,"1.46-1.48",IF(O871&lt;=1.49,"1.49","Above 1.49")))))</f>
        <v/>
      </c>
      <c r="AW871" s="5">
        <f>IF(AE871="","",IF(AE871&lt;60,"Under 60",IF(AE871&lt;90,"60-89",IF(AE871&lt;120,"90-119",IF(AE871&lt;150,"120-149","150+")))))</f>
        <v/>
      </c>
      <c r="AX871" s="5">
        <f>IF(AP871="","No revenue data",IF(AP871&lt;0.15,"Under 0.15x",IF(AP871&lt;0.3,"0.15-0.30x",IF(AP871&lt;0.5,"0.30-0.50x",IF(AP871&lt;1,"0.50-1.00x","1.00x+")))))</f>
        <v/>
      </c>
      <c r="AY871" s="5">
        <f>IF(J871="","No SIC",IFERROR(VLOOKUP(J871,Ref!$A$4:$C$67,2,FALSE()),"Unclassified"))</f>
        <v/>
      </c>
      <c r="AZ871" s="5">
        <f>IF(E871="","",TEXT(E871,"YYYY")&amp;"-Q"&amp;ROUNDUP(MONTH(E871)/3,0))</f>
        <v/>
      </c>
      <c r="BA871" s="5">
        <f>IF(E871="","",TEXT(E871,"YYYY-MM"))</f>
        <v/>
      </c>
      <c r="BB871" s="5">
        <f>IF(E871="","",TEXT(E871,"YYYY"))</f>
        <v/>
      </c>
      <c r="BC871" s="92">
        <f>IF($E871="","",NETWORKDAYS($E871,Controls!$B$9,Ref!$F$4:$F$47))</f>
        <v/>
      </c>
      <c r="BD871" s="92">
        <f>IF(OR($AH871=1,$AJ871=1),1,0)</f>
        <v/>
      </c>
      <c r="BE871" s="95">
        <f>IF(OR($BD871=1,AND($AE871&lt;&gt;"",$BC871&gt;=Controls!$B$10*$AE871)),1,0)</f>
        <v/>
      </c>
    </row>
    <row r="872" ht="15.75" customHeight="1" s="79">
      <c r="A872" s="5" t="inlineStr">
        <is>
          <t>5674183704</t>
        </is>
      </c>
      <c r="B872" s="5" t="inlineStr">
        <is>
          <t>El bombazo Cuban food</t>
        </is>
      </c>
      <c r="C872" s="5" t="inlineStr">
        <is>
          <t>El bombazo Cuban food LLC</t>
        </is>
      </c>
      <c r="D872" s="5" t="inlineStr">
        <is>
          <t>Open</t>
        </is>
      </c>
      <c r="E872" s="16" t="n">
        <v>46156</v>
      </c>
      <c r="F872" s="16" t="n">
        <v>46251</v>
      </c>
      <c r="G872" s="17" t="n">
        <v>3</v>
      </c>
      <c r="H872" s="5" t="inlineStr">
        <is>
          <t>5812</t>
        </is>
      </c>
      <c r="I872" s="5" t="inlineStr">
        <is>
          <t>Snack and Nonalcoholic Beverage Bars</t>
        </is>
      </c>
      <c r="J872" s="5" t="inlineStr">
        <is>
          <t>58</t>
        </is>
      </c>
      <c r="K872" s="5" t="n">
        <v>5812</v>
      </c>
      <c r="L872" s="5" t="inlineStr">
        <is>
          <t>No state</t>
        </is>
      </c>
      <c r="M872" s="5" t="inlineStr">
        <is>
          <t>The Funding Channel</t>
        </is>
      </c>
      <c r="N872" s="5" t="inlineStr">
        <is>
          <t>New Deal</t>
        </is>
      </c>
      <c r="O872" s="19" t="n">
        <v>1.49</v>
      </c>
      <c r="P872" s="20" t="n">
        <v>12000</v>
      </c>
      <c r="Q872" s="20" t="n">
        <v>1680</v>
      </c>
      <c r="R872" s="20" t="n">
        <v>17880</v>
      </c>
      <c r="S872" s="20" t="n">
        <v>11621.61</v>
      </c>
      <c r="T872" s="20" t="n">
        <v>6258.39</v>
      </c>
      <c r="U872" s="21" t="n">
        <v>0.649978187919463</v>
      </c>
      <c r="V872" s="22" t="n">
        <v>20</v>
      </c>
      <c r="W872" s="17" t="n">
        <v>2</v>
      </c>
      <c r="X872" s="17" t="n">
        <v>0</v>
      </c>
      <c r="Y872" s="20" t="n">
        <v>24953.93</v>
      </c>
      <c r="Z872" s="21" t="n">
        <v>0.1433</v>
      </c>
      <c r="AA872" s="16" t="n">
        <v>45641</v>
      </c>
      <c r="AB872" s="5">
        <f>IF(V872="","",IF(V872&lt;12,"Months","Weeks"))</f>
        <v/>
      </c>
      <c r="AC872" s="5">
        <f>IF(AB872="","",IF(AB872="Months","Daily","Weekly"))</f>
        <v/>
      </c>
      <c r="AD872" s="17">
        <f>IF(V872="","",IF(AC872="Daily",V872*Controls!$B$13,V872))</f>
        <v/>
      </c>
      <c r="AE872" s="17">
        <f>IF(V872="","",IF(AC872="Daily",V872*Controls!$B$13,V872*Controls!$B$12))</f>
        <v/>
      </c>
      <c r="AF872" s="17">
        <f>IF(OR(E872="",F872=""),"",F872-E872)</f>
        <v/>
      </c>
      <c r="AG872" s="17">
        <f>IF(OR(E872="",F872=""),"",NETWORKDAYS(E872,F872,Ref!$F$4:$F$47))</f>
        <v/>
      </c>
      <c r="AH872" s="39">
        <f>IF(IFERROR(VLOOKUP(D872,Controls!$A$25:$D$35,2,FALSE()),"No")="Yes",1,0)</f>
        <v/>
      </c>
      <c r="AI872" s="39">
        <f>IF(IFERROR(VLOOKUP(D872,Controls!$A$25:$D$35,3,FALSE()),"No")="Yes",1,0)</f>
        <v/>
      </c>
      <c r="AJ872" s="39">
        <f>IF(IFERROR(VLOOKUP(D872,Controls!$A$25:$D$35,4,FALSE()),"No")="Yes",1,0)</f>
        <v/>
      </c>
      <c r="AK872" s="96">
        <f>IF(AND($E872&gt;=Controls!$B$5,$E872&lt;=Controls!$B$6,OR(Controls!$E$9&lt;&gt;"Y",$BE872=1)),1,0)</f>
        <v/>
      </c>
      <c r="AL872" s="39">
        <f>1</f>
        <v/>
      </c>
      <c r="AM872" s="20">
        <f>S872-P872</f>
        <v/>
      </c>
      <c r="AN872" s="20">
        <f>IF(AH872=1,MAX(0,P872-S872),0)</f>
        <v/>
      </c>
      <c r="AO872" s="21">
        <f>IFERROR(S872/P872,"")</f>
        <v/>
      </c>
      <c r="AP872" s="22">
        <f>IF(Y872="","",P872/Y872)</f>
        <v/>
      </c>
      <c r="AQ872" s="39">
        <f>IF(Y872="",0,1)</f>
        <v/>
      </c>
      <c r="AR872" s="39">
        <f>IF(S872&lt;=0,1,0)</f>
        <v/>
      </c>
      <c r="AS872" s="17">
        <f>IF(AH872=1,AG872,"")</f>
        <v/>
      </c>
      <c r="AT872" s="17">
        <f>IF(AND(AH872=0,AJ872=1),AG872,"")</f>
        <v/>
      </c>
      <c r="AU872" s="5">
        <f>IF(P872&lt;10000,"Under $10K",IF(P872&lt;20000,"$10-20K",IF(P872&lt;30000,"$20-30K",IF(P872&lt;50000,"$30-50K",IF(P872&lt;100000,"$50-100K","$100K+")))))</f>
        <v/>
      </c>
      <c r="AV872" s="5">
        <f>IF(O872&lt;=1.35,"1.35 and under",IF(O872&lt;=1.42,"1.36-1.42",IF(O872&lt;=1.45,"1.43-1.45",IF(O872&lt;1.49,"1.46-1.48",IF(O872&lt;=1.49,"1.49","Above 1.49")))))</f>
        <v/>
      </c>
      <c r="AW872" s="5">
        <f>IF(AE872="","",IF(AE872&lt;60,"Under 60",IF(AE872&lt;90,"60-89",IF(AE872&lt;120,"90-119",IF(AE872&lt;150,"120-149","150+")))))</f>
        <v/>
      </c>
      <c r="AX872" s="5">
        <f>IF(AP872="","No revenue data",IF(AP872&lt;0.15,"Under 0.15x",IF(AP872&lt;0.3,"0.15-0.30x",IF(AP872&lt;0.5,"0.30-0.50x",IF(AP872&lt;1,"0.50-1.00x","1.00x+")))))</f>
        <v/>
      </c>
      <c r="AY872" s="5">
        <f>IF(J872="","No SIC",IFERROR(VLOOKUP(J872,Ref!$A$4:$C$67,2,FALSE()),"Unclassified"))</f>
        <v/>
      </c>
      <c r="AZ872" s="5">
        <f>IF(E872="","",TEXT(E872,"YYYY")&amp;"-Q"&amp;ROUNDUP(MONTH(E872)/3,0))</f>
        <v/>
      </c>
      <c r="BA872" s="5">
        <f>IF(E872="","",TEXT(E872,"YYYY-MM"))</f>
        <v/>
      </c>
      <c r="BB872" s="5">
        <f>IF(E872="","",TEXT(E872,"YYYY"))</f>
        <v/>
      </c>
      <c r="BC872" s="92">
        <f>IF($E872="","",NETWORKDAYS($E872,Controls!$B$9,Ref!$F$4:$F$47))</f>
        <v/>
      </c>
      <c r="BD872" s="92">
        <f>IF(OR($AH872=1,$AJ872=1),1,0)</f>
        <v/>
      </c>
      <c r="BE872" s="95">
        <f>IF(OR($BD872=1,AND($AE872&lt;&gt;"",$BC872&gt;=Controls!$B$10*$AE872)),1,0)</f>
        <v/>
      </c>
    </row>
    <row r="873" ht="15.75" customHeight="1" s="79">
      <c r="A873" s="5" t="inlineStr">
        <is>
          <t>5674183705</t>
        </is>
      </c>
      <c r="B873" s="5" t="inlineStr">
        <is>
          <t>Foreman Logistics Inc.</t>
        </is>
      </c>
      <c r="C873" s="5" t="inlineStr">
        <is>
          <t>Foreman Logistics Inc.</t>
        </is>
      </c>
      <c r="D873" s="5" t="inlineStr">
        <is>
          <t>Open</t>
        </is>
      </c>
      <c r="E873" s="16" t="n">
        <v>46156</v>
      </c>
      <c r="F873" s="16" t="n">
        <v>46251</v>
      </c>
      <c r="G873" s="17" t="n">
        <v>2</v>
      </c>
      <c r="H873" s="5" t="inlineStr">
        <is>
          <t>4731</t>
        </is>
      </c>
      <c r="I873" s="5" t="inlineStr">
        <is>
          <t>Freight Transportation Arrangement</t>
        </is>
      </c>
      <c r="J873" s="5" t="inlineStr">
        <is>
          <t>47</t>
        </is>
      </c>
      <c r="K873" s="5" t="n">
        <v>4214</v>
      </c>
      <c r="L873" s="5" t="inlineStr">
        <is>
          <t>CA</t>
        </is>
      </c>
      <c r="M873" s="5" t="inlineStr">
        <is>
          <t>PMF</t>
        </is>
      </c>
      <c r="N873" s="5" t="inlineStr">
        <is>
          <t>New Deal</t>
        </is>
      </c>
      <c r="O873" s="19" t="n">
        <v>1.36</v>
      </c>
      <c r="P873" s="20" t="n">
        <v>400000</v>
      </c>
      <c r="Q873" s="20" t="n">
        <v>38000</v>
      </c>
      <c r="R873" s="20" t="n">
        <v>544000</v>
      </c>
      <c r="S873" s="20" t="n">
        <v>160675.71</v>
      </c>
      <c r="T873" s="20" t="n">
        <v>383324.29</v>
      </c>
      <c r="U873" s="21" t="n">
        <v>0.295359761029412</v>
      </c>
      <c r="V873" s="22" t="n">
        <v>44</v>
      </c>
      <c r="W873" s="17" t="n">
        <v>2</v>
      </c>
      <c r="X873" s="17" t="n">
        <v>0</v>
      </c>
      <c r="Y873" s="20" t="n">
        <v>973202.2</v>
      </c>
      <c r="Z873" s="21" t="n">
        <v>0.0508</v>
      </c>
      <c r="AA873" s="16" t="n">
        <v>42917</v>
      </c>
      <c r="AB873" s="5">
        <f>IF(V873="","",IF(V873&lt;12,"Months","Weeks"))</f>
        <v/>
      </c>
      <c r="AC873" s="5">
        <f>IF(AB873="","",IF(AB873="Months","Daily","Weekly"))</f>
        <v/>
      </c>
      <c r="AD873" s="17">
        <f>IF(V873="","",IF(AC873="Daily",V873*Controls!$B$13,V873))</f>
        <v/>
      </c>
      <c r="AE873" s="17">
        <f>IF(V873="","",IF(AC873="Daily",V873*Controls!$B$13,V873*Controls!$B$12))</f>
        <v/>
      </c>
      <c r="AF873" s="17">
        <f>IF(OR(E873="",F873=""),"",F873-E873)</f>
        <v/>
      </c>
      <c r="AG873" s="17">
        <f>IF(OR(E873="",F873=""),"",NETWORKDAYS(E873,F873,Ref!$F$4:$F$47))</f>
        <v/>
      </c>
      <c r="AH873" s="39">
        <f>IF(IFERROR(VLOOKUP(D873,Controls!$A$25:$D$35,2,FALSE()),"No")="Yes",1,0)</f>
        <v/>
      </c>
      <c r="AI873" s="39">
        <f>IF(IFERROR(VLOOKUP(D873,Controls!$A$25:$D$35,3,FALSE()),"No")="Yes",1,0)</f>
        <v/>
      </c>
      <c r="AJ873" s="39">
        <f>IF(IFERROR(VLOOKUP(D873,Controls!$A$25:$D$35,4,FALSE()),"No")="Yes",1,0)</f>
        <v/>
      </c>
      <c r="AK873" s="96">
        <f>IF(AND($E873&gt;=Controls!$B$5,$E873&lt;=Controls!$B$6,OR(Controls!$E$9&lt;&gt;"Y",$BE873=1)),1,0)</f>
        <v/>
      </c>
      <c r="AL873" s="39">
        <f>1</f>
        <v/>
      </c>
      <c r="AM873" s="20">
        <f>S873-P873</f>
        <v/>
      </c>
      <c r="AN873" s="20">
        <f>IF(AH873=1,MAX(0,P873-S873),0)</f>
        <v/>
      </c>
      <c r="AO873" s="21">
        <f>IFERROR(S873/P873,"")</f>
        <v/>
      </c>
      <c r="AP873" s="22">
        <f>IF(Y873="","",P873/Y873)</f>
        <v/>
      </c>
      <c r="AQ873" s="39">
        <f>IF(Y873="",0,1)</f>
        <v/>
      </c>
      <c r="AR873" s="39">
        <f>IF(S873&lt;=0,1,0)</f>
        <v/>
      </c>
      <c r="AS873" s="17">
        <f>IF(AH873=1,AG873,"")</f>
        <v/>
      </c>
      <c r="AT873" s="17">
        <f>IF(AND(AH873=0,AJ873=1),AG873,"")</f>
        <v/>
      </c>
      <c r="AU873" s="5">
        <f>IF(P873&lt;10000,"Under $10K",IF(P873&lt;20000,"$10-20K",IF(P873&lt;30000,"$20-30K",IF(P873&lt;50000,"$30-50K",IF(P873&lt;100000,"$50-100K","$100K+")))))</f>
        <v/>
      </c>
      <c r="AV873" s="5">
        <f>IF(O873&lt;=1.35,"1.35 and under",IF(O873&lt;=1.42,"1.36-1.42",IF(O873&lt;=1.45,"1.43-1.45",IF(O873&lt;1.49,"1.46-1.48",IF(O873&lt;=1.49,"1.49","Above 1.49")))))</f>
        <v/>
      </c>
      <c r="AW873" s="5">
        <f>IF(AE873="","",IF(AE873&lt;60,"Under 60",IF(AE873&lt;90,"60-89",IF(AE873&lt;120,"90-119",IF(AE873&lt;150,"120-149","150+")))))</f>
        <v/>
      </c>
      <c r="AX873" s="5">
        <f>IF(AP873="","No revenue data",IF(AP873&lt;0.15,"Under 0.15x",IF(AP873&lt;0.3,"0.15-0.30x",IF(AP873&lt;0.5,"0.30-0.50x",IF(AP873&lt;1,"0.50-1.00x","1.00x+")))))</f>
        <v/>
      </c>
      <c r="AY873" s="5">
        <f>IF(J873="","No SIC",IFERROR(VLOOKUP(J873,Ref!$A$4:$C$67,2,FALSE()),"Unclassified"))</f>
        <v/>
      </c>
      <c r="AZ873" s="5">
        <f>IF(E873="","",TEXT(E873,"YYYY")&amp;"-Q"&amp;ROUNDUP(MONTH(E873)/3,0))</f>
        <v/>
      </c>
      <c r="BA873" s="5">
        <f>IF(E873="","",TEXT(E873,"YYYY-MM"))</f>
        <v/>
      </c>
      <c r="BB873" s="5">
        <f>IF(E873="","",TEXT(E873,"YYYY"))</f>
        <v/>
      </c>
      <c r="BC873" s="92">
        <f>IF($E873="","",NETWORKDAYS($E873,Controls!$B$9,Ref!$F$4:$F$47))</f>
        <v/>
      </c>
      <c r="BD873" s="92">
        <f>IF(OR($AH873=1,$AJ873=1),1,0)</f>
        <v/>
      </c>
      <c r="BE873" s="95">
        <f>IF(OR($BD873=1,AND($AE873&lt;&gt;"",$BC873&gt;=Controls!$B$10*$AE873)),1,0)</f>
        <v/>
      </c>
    </row>
    <row r="874" ht="15.75" customHeight="1" s="79">
      <c r="A874" s="5" t="inlineStr">
        <is>
          <t>5674183724</t>
        </is>
      </c>
      <c r="B874" s="5" t="inlineStr">
        <is>
          <t>Luminous Dental Studio</t>
        </is>
      </c>
      <c r="C874" s="5" t="inlineStr">
        <is>
          <t>Luminous Dental Associates PLLC</t>
        </is>
      </c>
      <c r="D874" s="5" t="inlineStr">
        <is>
          <t>Open</t>
        </is>
      </c>
      <c r="E874" s="16" t="n">
        <v>46157</v>
      </c>
      <c r="F874" s="16" t="n">
        <v>46247</v>
      </c>
      <c r="G874" s="17" t="n">
        <v>2</v>
      </c>
      <c r="H874" s="5" t="inlineStr">
        <is>
          <t>8021</t>
        </is>
      </c>
      <c r="I874" s="5" t="inlineStr">
        <is>
          <t>Offices of Dentists</t>
        </is>
      </c>
      <c r="J874" s="5" t="inlineStr">
        <is>
          <t>80</t>
        </is>
      </c>
      <c r="K874" s="5" t="n">
        <v>8021</v>
      </c>
      <c r="L874" s="5" t="inlineStr">
        <is>
          <t>TX</t>
        </is>
      </c>
      <c r="M874" s="5" t="inlineStr">
        <is>
          <t>Fundwell</t>
        </is>
      </c>
      <c r="N874" s="5" t="inlineStr">
        <is>
          <t>Renewal</t>
        </is>
      </c>
      <c r="O874" s="19" t="n">
        <v>1.38</v>
      </c>
      <c r="P874" s="20" t="n">
        <v>15000</v>
      </c>
      <c r="Q874" s="20" t="n">
        <v>1650</v>
      </c>
      <c r="R874" s="20" t="n">
        <v>20700</v>
      </c>
      <c r="S874" s="20" t="n">
        <v>8122</v>
      </c>
      <c r="T874" s="20" t="n">
        <v>12578</v>
      </c>
      <c r="U874" s="21" t="n">
        <v>0.392367149758454</v>
      </c>
      <c r="V874" s="22" t="n">
        <v>36</v>
      </c>
      <c r="W874" s="17" t="n">
        <v>6</v>
      </c>
      <c r="X874" s="17" t="n">
        <v>0</v>
      </c>
      <c r="Y874" s="20" t="n">
        <v>46940.92</v>
      </c>
      <c r="Z874" s="21" t="n">
        <v>0.049</v>
      </c>
      <c r="AA874" s="16" t="n">
        <v>42227</v>
      </c>
      <c r="AB874" s="5">
        <f>IF(V874="","",IF(V874&lt;12,"Months","Weeks"))</f>
        <v/>
      </c>
      <c r="AC874" s="5">
        <f>IF(AB874="","",IF(AB874="Months","Daily","Weekly"))</f>
        <v/>
      </c>
      <c r="AD874" s="17">
        <f>IF(V874="","",IF(AC874="Daily",V874*Controls!$B$13,V874))</f>
        <v/>
      </c>
      <c r="AE874" s="17">
        <f>IF(V874="","",IF(AC874="Daily",V874*Controls!$B$13,V874*Controls!$B$12))</f>
        <v/>
      </c>
      <c r="AF874" s="17">
        <f>IF(OR(E874="",F874=""),"",F874-E874)</f>
        <v/>
      </c>
      <c r="AG874" s="17">
        <f>IF(OR(E874="",F874=""),"",NETWORKDAYS(E874,F874,Ref!$F$4:$F$47))</f>
        <v/>
      </c>
      <c r="AH874" s="39">
        <f>IF(IFERROR(VLOOKUP(D874,Controls!$A$25:$D$35,2,FALSE()),"No")="Yes",1,0)</f>
        <v/>
      </c>
      <c r="AI874" s="39">
        <f>IF(IFERROR(VLOOKUP(D874,Controls!$A$25:$D$35,3,FALSE()),"No")="Yes",1,0)</f>
        <v/>
      </c>
      <c r="AJ874" s="39">
        <f>IF(IFERROR(VLOOKUP(D874,Controls!$A$25:$D$35,4,FALSE()),"No")="Yes",1,0)</f>
        <v/>
      </c>
      <c r="AK874" s="96">
        <f>IF(AND($E874&gt;=Controls!$B$5,$E874&lt;=Controls!$B$6,OR(Controls!$E$9&lt;&gt;"Y",$BE874=1)),1,0)</f>
        <v/>
      </c>
      <c r="AL874" s="39">
        <f>1</f>
        <v/>
      </c>
      <c r="AM874" s="20">
        <f>S874-P874</f>
        <v/>
      </c>
      <c r="AN874" s="20">
        <f>IF(AH874=1,MAX(0,P874-S874),0)</f>
        <v/>
      </c>
      <c r="AO874" s="21">
        <f>IFERROR(S874/P874,"")</f>
        <v/>
      </c>
      <c r="AP874" s="22">
        <f>IF(Y874="","",P874/Y874)</f>
        <v/>
      </c>
      <c r="AQ874" s="39">
        <f>IF(Y874="",0,1)</f>
        <v/>
      </c>
      <c r="AR874" s="39">
        <f>IF(S874&lt;=0,1,0)</f>
        <v/>
      </c>
      <c r="AS874" s="17">
        <f>IF(AH874=1,AG874,"")</f>
        <v/>
      </c>
      <c r="AT874" s="17">
        <f>IF(AND(AH874=0,AJ874=1),AG874,"")</f>
        <v/>
      </c>
      <c r="AU874" s="5">
        <f>IF(P874&lt;10000,"Under $10K",IF(P874&lt;20000,"$10-20K",IF(P874&lt;30000,"$20-30K",IF(P874&lt;50000,"$30-50K",IF(P874&lt;100000,"$50-100K","$100K+")))))</f>
        <v/>
      </c>
      <c r="AV874" s="5">
        <f>IF(O874&lt;=1.35,"1.35 and under",IF(O874&lt;=1.42,"1.36-1.42",IF(O874&lt;=1.45,"1.43-1.45",IF(O874&lt;1.49,"1.46-1.48",IF(O874&lt;=1.49,"1.49","Above 1.49")))))</f>
        <v/>
      </c>
      <c r="AW874" s="5">
        <f>IF(AE874="","",IF(AE874&lt;60,"Under 60",IF(AE874&lt;90,"60-89",IF(AE874&lt;120,"90-119",IF(AE874&lt;150,"120-149","150+")))))</f>
        <v/>
      </c>
      <c r="AX874" s="5">
        <f>IF(AP874="","No revenue data",IF(AP874&lt;0.15,"Under 0.15x",IF(AP874&lt;0.3,"0.15-0.30x",IF(AP874&lt;0.5,"0.30-0.50x",IF(AP874&lt;1,"0.50-1.00x","1.00x+")))))</f>
        <v/>
      </c>
      <c r="AY874" s="5">
        <f>IF(J874="","No SIC",IFERROR(VLOOKUP(J874,Ref!$A$4:$C$67,2,FALSE()),"Unclassified"))</f>
        <v/>
      </c>
      <c r="AZ874" s="5">
        <f>IF(E874="","",TEXT(E874,"YYYY")&amp;"-Q"&amp;ROUNDUP(MONTH(E874)/3,0))</f>
        <v/>
      </c>
      <c r="BA874" s="5">
        <f>IF(E874="","",TEXT(E874,"YYYY-MM"))</f>
        <v/>
      </c>
      <c r="BB874" s="5">
        <f>IF(E874="","",TEXT(E874,"YYYY"))</f>
        <v/>
      </c>
      <c r="BC874" s="92">
        <f>IF($E874="","",NETWORKDAYS($E874,Controls!$B$9,Ref!$F$4:$F$47))</f>
        <v/>
      </c>
      <c r="BD874" s="92">
        <f>IF(OR($AH874=1,$AJ874=1),1,0)</f>
        <v/>
      </c>
      <c r="BE874" s="95">
        <f>IF(OR($BD874=1,AND($AE874&lt;&gt;"",$BC874&gt;=Controls!$B$10*$AE874)),1,0)</f>
        <v/>
      </c>
    </row>
    <row r="875" ht="15.75" customHeight="1" s="79">
      <c r="A875" s="5" t="inlineStr">
        <is>
          <t>5674183726</t>
        </is>
      </c>
      <c r="B875" s="5" t="inlineStr">
        <is>
          <t>Construction of the Texans ILLC</t>
        </is>
      </c>
      <c r="C875" s="5" t="inlineStr">
        <is>
          <t>Construction of the Texans LLC</t>
        </is>
      </c>
      <c r="D875" s="5" t="inlineStr">
        <is>
          <t>Open</t>
        </is>
      </c>
      <c r="E875" s="16" t="n">
        <v>46157</v>
      </c>
      <c r="F875" s="16" t="n">
        <v>46239</v>
      </c>
      <c r="G875" s="17" t="n">
        <v>3</v>
      </c>
      <c r="H875" s="5" t="inlineStr">
        <is>
          <t>1521</t>
        </is>
      </c>
      <c r="I875" s="5" t="inlineStr">
        <is>
          <t>Residential Remodelers</t>
        </is>
      </c>
      <c r="J875" s="5" t="inlineStr">
        <is>
          <t>15</t>
        </is>
      </c>
      <c r="K875" s="5" t="n">
        <v>1520</v>
      </c>
      <c r="L875" s="5" t="inlineStr">
        <is>
          <t>TX</t>
        </is>
      </c>
      <c r="M875" s="5" t="inlineStr">
        <is>
          <t>United Secured Capital 8</t>
        </is>
      </c>
      <c r="N875" s="5" t="inlineStr">
        <is>
          <t>New Deal</t>
        </is>
      </c>
      <c r="O875" s="19" t="n">
        <v>1.49</v>
      </c>
      <c r="P875" s="20" t="n">
        <v>17000</v>
      </c>
      <c r="Q875" s="20" t="n">
        <v>2380</v>
      </c>
      <c r="R875" s="20" t="n">
        <v>25330</v>
      </c>
      <c r="S875" s="20" t="n">
        <v>23604</v>
      </c>
      <c r="T875" s="20" t="n">
        <v>1726</v>
      </c>
      <c r="U875" s="21" t="n">
        <v>0.931859455191473</v>
      </c>
      <c r="V875" s="22" t="n">
        <v>1.475</v>
      </c>
      <c r="W875" s="17" t="n">
        <v>21</v>
      </c>
      <c r="X875" s="17" t="n">
        <v>10</v>
      </c>
      <c r="Y875" s="20" t="n">
        <v>135688.85</v>
      </c>
      <c r="Z875" s="21" t="n">
        <v>0.0871</v>
      </c>
      <c r="AA875" s="16" t="n">
        <v>44560</v>
      </c>
      <c r="AB875" s="5">
        <f>IF(V875="","",IF(V875&lt;12,"Months","Weeks"))</f>
        <v/>
      </c>
      <c r="AC875" s="5">
        <f>IF(AB875="","",IF(AB875="Months","Daily","Weekly"))</f>
        <v/>
      </c>
      <c r="AD875" s="17">
        <f>IF(V875="","",IF(AC875="Daily",V875*Controls!$B$13,V875))</f>
        <v/>
      </c>
      <c r="AE875" s="17">
        <f>IF(V875="","",IF(AC875="Daily",V875*Controls!$B$13,V875*Controls!$B$12))</f>
        <v/>
      </c>
      <c r="AF875" s="17">
        <f>IF(OR(E875="",F875=""),"",F875-E875)</f>
        <v/>
      </c>
      <c r="AG875" s="17">
        <f>IF(OR(E875="",F875=""),"",NETWORKDAYS(E875,F875,Ref!$F$4:$F$47))</f>
        <v/>
      </c>
      <c r="AH875" s="39">
        <f>IF(IFERROR(VLOOKUP(D875,Controls!$A$25:$D$35,2,FALSE()),"No")="Yes",1,0)</f>
        <v/>
      </c>
      <c r="AI875" s="39">
        <f>IF(IFERROR(VLOOKUP(D875,Controls!$A$25:$D$35,3,FALSE()),"No")="Yes",1,0)</f>
        <v/>
      </c>
      <c r="AJ875" s="39">
        <f>IF(IFERROR(VLOOKUP(D875,Controls!$A$25:$D$35,4,FALSE()),"No")="Yes",1,0)</f>
        <v/>
      </c>
      <c r="AK875" s="96">
        <f>IF(AND($E875&gt;=Controls!$B$5,$E875&lt;=Controls!$B$6,OR(Controls!$E$9&lt;&gt;"Y",$BE875=1)),1,0)</f>
        <v/>
      </c>
      <c r="AL875" s="39">
        <f>1</f>
        <v/>
      </c>
      <c r="AM875" s="20">
        <f>S875-P875</f>
        <v/>
      </c>
      <c r="AN875" s="20">
        <f>IF(AH875=1,MAX(0,P875-S875),0)</f>
        <v/>
      </c>
      <c r="AO875" s="21">
        <f>IFERROR(S875/P875,"")</f>
        <v/>
      </c>
      <c r="AP875" s="22">
        <f>IF(Y875="","",P875/Y875)</f>
        <v/>
      </c>
      <c r="AQ875" s="39">
        <f>IF(Y875="",0,1)</f>
        <v/>
      </c>
      <c r="AR875" s="39">
        <f>IF(S875&lt;=0,1,0)</f>
        <v/>
      </c>
      <c r="AS875" s="17">
        <f>IF(AH875=1,AG875,"")</f>
        <v/>
      </c>
      <c r="AT875" s="17">
        <f>IF(AND(AH875=0,AJ875=1),AG875,"")</f>
        <v/>
      </c>
      <c r="AU875" s="5">
        <f>IF(P875&lt;10000,"Under $10K",IF(P875&lt;20000,"$10-20K",IF(P875&lt;30000,"$20-30K",IF(P875&lt;50000,"$30-50K",IF(P875&lt;100000,"$50-100K","$100K+")))))</f>
        <v/>
      </c>
      <c r="AV875" s="5">
        <f>IF(O875&lt;=1.35,"1.35 and under",IF(O875&lt;=1.42,"1.36-1.42",IF(O875&lt;=1.45,"1.43-1.45",IF(O875&lt;1.49,"1.46-1.48",IF(O875&lt;=1.49,"1.49","Above 1.49")))))</f>
        <v/>
      </c>
      <c r="AW875" s="5">
        <f>IF(AE875="","",IF(AE875&lt;60,"Under 60",IF(AE875&lt;90,"60-89",IF(AE875&lt;120,"90-119",IF(AE875&lt;150,"120-149","150+")))))</f>
        <v/>
      </c>
      <c r="AX875" s="5">
        <f>IF(AP875="","No revenue data",IF(AP875&lt;0.15,"Under 0.15x",IF(AP875&lt;0.3,"0.15-0.30x",IF(AP875&lt;0.5,"0.30-0.50x",IF(AP875&lt;1,"0.50-1.00x","1.00x+")))))</f>
        <v/>
      </c>
      <c r="AY875" s="5">
        <f>IF(J875="","No SIC",IFERROR(VLOOKUP(J875,Ref!$A$4:$C$67,2,FALSE()),"Unclassified"))</f>
        <v/>
      </c>
      <c r="AZ875" s="5">
        <f>IF(E875="","",TEXT(E875,"YYYY")&amp;"-Q"&amp;ROUNDUP(MONTH(E875)/3,0))</f>
        <v/>
      </c>
      <c r="BA875" s="5">
        <f>IF(E875="","",TEXT(E875,"YYYY-MM"))</f>
        <v/>
      </c>
      <c r="BB875" s="5">
        <f>IF(E875="","",TEXT(E875,"YYYY"))</f>
        <v/>
      </c>
      <c r="BC875" s="92">
        <f>IF($E875="","",NETWORKDAYS($E875,Controls!$B$9,Ref!$F$4:$F$47))</f>
        <v/>
      </c>
      <c r="BD875" s="92">
        <f>IF(OR($AH875=1,$AJ875=1),1,0)</f>
        <v/>
      </c>
      <c r="BE875" s="95">
        <f>IF(OR($BD875=1,AND($AE875&lt;&gt;"",$BC875&gt;=Controls!$B$10*$AE875)),1,0)</f>
        <v/>
      </c>
    </row>
    <row r="876" ht="15.75" customHeight="1" s="79">
      <c r="A876" s="5" t="inlineStr">
        <is>
          <t>5674183750</t>
        </is>
      </c>
      <c r="B876" s="5" t="inlineStr">
        <is>
          <t>CM&amp;M Construction Enterprise LLC</t>
        </is>
      </c>
      <c r="C876" s="5" t="inlineStr">
        <is>
          <t>CM&amp;M Construction Enterprise LLC</t>
        </is>
      </c>
      <c r="D876" s="5" t="inlineStr">
        <is>
          <t>Open</t>
        </is>
      </c>
      <c r="E876" s="16" t="n">
        <v>46157</v>
      </c>
      <c r="F876" s="16" t="n">
        <v>46253</v>
      </c>
      <c r="G876" s="17" t="n">
        <v>3</v>
      </c>
      <c r="H876" s="5" t="inlineStr">
        <is>
          <t>1521</t>
        </is>
      </c>
      <c r="I876" s="5" t="inlineStr">
        <is>
          <t>Residential Remodelers</t>
        </is>
      </c>
      <c r="J876" s="5" t="inlineStr">
        <is>
          <t>15</t>
        </is>
      </c>
      <c r="K876" s="5" t="n">
        <v>1520</v>
      </c>
      <c r="L876" s="5" t="inlineStr">
        <is>
          <t>AR</t>
        </is>
      </c>
      <c r="M876" s="5" t="inlineStr">
        <is>
          <t>PMF</t>
        </is>
      </c>
      <c r="N876" s="5" t="inlineStr">
        <is>
          <t>New Deal</t>
        </is>
      </c>
      <c r="O876" s="19" t="n">
        <v>1.45</v>
      </c>
      <c r="P876" s="20" t="n">
        <v>35000</v>
      </c>
      <c r="Q876" s="20" t="n">
        <v>4200</v>
      </c>
      <c r="R876" s="20" t="n">
        <v>50750</v>
      </c>
      <c r="S876" s="20" t="n">
        <v>16415.3</v>
      </c>
      <c r="T876" s="20" t="n">
        <v>34334.7</v>
      </c>
      <c r="U876" s="21" t="n">
        <v>0.323454187192118</v>
      </c>
      <c r="V876" s="22" t="n">
        <v>34</v>
      </c>
      <c r="W876" s="17" t="n">
        <v>0</v>
      </c>
      <c r="X876" s="17" t="n">
        <v>2</v>
      </c>
      <c r="Y876" s="20" t="n">
        <v>496528.38</v>
      </c>
      <c r="Z876" s="21" t="n">
        <v>0.0934</v>
      </c>
      <c r="AA876" s="16" t="n">
        <v>43417</v>
      </c>
      <c r="AB876" s="5">
        <f>IF(V876="","",IF(V876&lt;12,"Months","Weeks"))</f>
        <v/>
      </c>
      <c r="AC876" s="5">
        <f>IF(AB876="","",IF(AB876="Months","Daily","Weekly"))</f>
        <v/>
      </c>
      <c r="AD876" s="17">
        <f>IF(V876="","",IF(AC876="Daily",V876*Controls!$B$13,V876))</f>
        <v/>
      </c>
      <c r="AE876" s="17">
        <f>IF(V876="","",IF(AC876="Daily",V876*Controls!$B$13,V876*Controls!$B$12))</f>
        <v/>
      </c>
      <c r="AF876" s="17">
        <f>IF(OR(E876="",F876=""),"",F876-E876)</f>
        <v/>
      </c>
      <c r="AG876" s="17">
        <f>IF(OR(E876="",F876=""),"",NETWORKDAYS(E876,F876,Ref!$F$4:$F$47))</f>
        <v/>
      </c>
      <c r="AH876" s="39">
        <f>IF(IFERROR(VLOOKUP(D876,Controls!$A$25:$D$35,2,FALSE()),"No")="Yes",1,0)</f>
        <v/>
      </c>
      <c r="AI876" s="39">
        <f>IF(IFERROR(VLOOKUP(D876,Controls!$A$25:$D$35,3,FALSE()),"No")="Yes",1,0)</f>
        <v/>
      </c>
      <c r="AJ876" s="39">
        <f>IF(IFERROR(VLOOKUP(D876,Controls!$A$25:$D$35,4,FALSE()),"No")="Yes",1,0)</f>
        <v/>
      </c>
      <c r="AK876" s="96">
        <f>IF(AND($E876&gt;=Controls!$B$5,$E876&lt;=Controls!$B$6,OR(Controls!$E$9&lt;&gt;"Y",$BE876=1)),1,0)</f>
        <v/>
      </c>
      <c r="AL876" s="39">
        <f>1</f>
        <v/>
      </c>
      <c r="AM876" s="20">
        <f>S876-P876</f>
        <v/>
      </c>
      <c r="AN876" s="20">
        <f>IF(AH876=1,MAX(0,P876-S876),0)</f>
        <v/>
      </c>
      <c r="AO876" s="21">
        <f>IFERROR(S876/P876,"")</f>
        <v/>
      </c>
      <c r="AP876" s="22">
        <f>IF(Y876="","",P876/Y876)</f>
        <v/>
      </c>
      <c r="AQ876" s="39">
        <f>IF(Y876="",0,1)</f>
        <v/>
      </c>
      <c r="AR876" s="39">
        <f>IF(S876&lt;=0,1,0)</f>
        <v/>
      </c>
      <c r="AS876" s="17">
        <f>IF(AH876=1,AG876,"")</f>
        <v/>
      </c>
      <c r="AT876" s="17">
        <f>IF(AND(AH876=0,AJ876=1),AG876,"")</f>
        <v/>
      </c>
      <c r="AU876" s="5">
        <f>IF(P876&lt;10000,"Under $10K",IF(P876&lt;20000,"$10-20K",IF(P876&lt;30000,"$20-30K",IF(P876&lt;50000,"$30-50K",IF(P876&lt;100000,"$50-100K","$100K+")))))</f>
        <v/>
      </c>
      <c r="AV876" s="5">
        <f>IF(O876&lt;=1.35,"1.35 and under",IF(O876&lt;=1.42,"1.36-1.42",IF(O876&lt;=1.45,"1.43-1.45",IF(O876&lt;1.49,"1.46-1.48",IF(O876&lt;=1.49,"1.49","Above 1.49")))))</f>
        <v/>
      </c>
      <c r="AW876" s="5">
        <f>IF(AE876="","",IF(AE876&lt;60,"Under 60",IF(AE876&lt;90,"60-89",IF(AE876&lt;120,"90-119",IF(AE876&lt;150,"120-149","150+")))))</f>
        <v/>
      </c>
      <c r="AX876" s="5">
        <f>IF(AP876="","No revenue data",IF(AP876&lt;0.15,"Under 0.15x",IF(AP876&lt;0.3,"0.15-0.30x",IF(AP876&lt;0.5,"0.30-0.50x",IF(AP876&lt;1,"0.50-1.00x","1.00x+")))))</f>
        <v/>
      </c>
      <c r="AY876" s="5">
        <f>IF(J876="","No SIC",IFERROR(VLOOKUP(J876,Ref!$A$4:$C$67,2,FALSE()),"Unclassified"))</f>
        <v/>
      </c>
      <c r="AZ876" s="5">
        <f>IF(E876="","",TEXT(E876,"YYYY")&amp;"-Q"&amp;ROUNDUP(MONTH(E876)/3,0))</f>
        <v/>
      </c>
      <c r="BA876" s="5">
        <f>IF(E876="","",TEXT(E876,"YYYY-MM"))</f>
        <v/>
      </c>
      <c r="BB876" s="5">
        <f>IF(E876="","",TEXT(E876,"YYYY"))</f>
        <v/>
      </c>
      <c r="BC876" s="92">
        <f>IF($E876="","",NETWORKDAYS($E876,Controls!$B$9,Ref!$F$4:$F$47))</f>
        <v/>
      </c>
      <c r="BD876" s="92">
        <f>IF(OR($AH876=1,$AJ876=1),1,0)</f>
        <v/>
      </c>
      <c r="BE876" s="95">
        <f>IF(OR($BD876=1,AND($AE876&lt;&gt;"",$BC876&gt;=Controls!$B$10*$AE876)),1,0)</f>
        <v/>
      </c>
    </row>
    <row r="877" ht="15.75" customHeight="1" s="79">
      <c r="A877" s="5" t="inlineStr">
        <is>
          <t>5674183764</t>
        </is>
      </c>
      <c r="B877" s="5" t="inlineStr">
        <is>
          <t>Recharge Exteriors</t>
        </is>
      </c>
      <c r="C877" s="5" t="inlineStr">
        <is>
          <t>Recharge Exteriors</t>
        </is>
      </c>
      <c r="D877" s="5" t="inlineStr">
        <is>
          <t>Legal</t>
        </is>
      </c>
      <c r="E877" s="16" t="n">
        <v>46157</v>
      </c>
      <c r="F877" s="16" t="n">
        <v>46178</v>
      </c>
      <c r="G877" s="17" t="n">
        <v>3</v>
      </c>
      <c r="H877" s="5" t="inlineStr">
        <is>
          <t>1521</t>
        </is>
      </c>
      <c r="I877" s="5" t="inlineStr">
        <is>
          <t>Residential Remodelers</t>
        </is>
      </c>
      <c r="J877" s="5" t="inlineStr">
        <is>
          <t>15</t>
        </is>
      </c>
      <c r="K877" s="5" t="n">
        <v>1520</v>
      </c>
      <c r="L877" s="5" t="inlineStr">
        <is>
          <t>FL</t>
        </is>
      </c>
      <c r="M877" s="5" t="inlineStr">
        <is>
          <t>United Secured Capital 8</t>
        </is>
      </c>
      <c r="N877" s="5" t="inlineStr">
        <is>
          <t>Renewal</t>
        </is>
      </c>
      <c r="O877" s="19" t="n">
        <v>1.44</v>
      </c>
      <c r="P877" s="20" t="n">
        <v>40000</v>
      </c>
      <c r="Q877" s="20" t="n">
        <v>4600</v>
      </c>
      <c r="R877" s="20" t="n">
        <v>57600</v>
      </c>
      <c r="S877" s="20" t="n">
        <v>4115</v>
      </c>
      <c r="T877" s="20" t="n">
        <v>53485</v>
      </c>
      <c r="U877" s="21" t="n">
        <v>0.0714409722222222</v>
      </c>
      <c r="V877" s="22" t="n">
        <v>28</v>
      </c>
      <c r="W877" s="17" t="n">
        <v>82</v>
      </c>
      <c r="X877" s="17" t="n">
        <v>1</v>
      </c>
      <c r="Y877" s="20" t="n">
        <v>40722.38</v>
      </c>
      <c r="Z877" s="21" t="n">
        <v>0.2021</v>
      </c>
      <c r="AA877" s="16" t="n">
        <v>44835</v>
      </c>
      <c r="AB877" s="5">
        <f>IF(V877="","",IF(V877&lt;12,"Months","Weeks"))</f>
        <v/>
      </c>
      <c r="AC877" s="5">
        <f>IF(AB877="","",IF(AB877="Months","Daily","Weekly"))</f>
        <v/>
      </c>
      <c r="AD877" s="17">
        <f>IF(V877="","",IF(AC877="Daily",V877*Controls!$B$13,V877))</f>
        <v/>
      </c>
      <c r="AE877" s="17">
        <f>IF(V877="","",IF(AC877="Daily",V877*Controls!$B$13,V877*Controls!$B$12))</f>
        <v/>
      </c>
      <c r="AF877" s="17">
        <f>IF(OR(E877="",F877=""),"",F877-E877)</f>
        <v/>
      </c>
      <c r="AG877" s="17">
        <f>IF(OR(E877="",F877=""),"",NETWORKDAYS(E877,F877,Ref!$F$4:$F$47))</f>
        <v/>
      </c>
      <c r="AH877" s="39">
        <f>IF(IFERROR(VLOOKUP(D877,Controls!$A$25:$D$35,2,FALSE()),"No")="Yes",1,0)</f>
        <v/>
      </c>
      <c r="AI877" s="39">
        <f>IF(IFERROR(VLOOKUP(D877,Controls!$A$25:$D$35,3,FALSE()),"No")="Yes",1,0)</f>
        <v/>
      </c>
      <c r="AJ877" s="39">
        <f>IF(IFERROR(VLOOKUP(D877,Controls!$A$25:$D$35,4,FALSE()),"No")="Yes",1,0)</f>
        <v/>
      </c>
      <c r="AK877" s="96">
        <f>IF(AND($E877&gt;=Controls!$B$5,$E877&lt;=Controls!$B$6,OR(Controls!$E$9&lt;&gt;"Y",$BE877=1)),1,0)</f>
        <v/>
      </c>
      <c r="AL877" s="39">
        <f>1</f>
        <v/>
      </c>
      <c r="AM877" s="20">
        <f>S877-P877</f>
        <v/>
      </c>
      <c r="AN877" s="20">
        <f>IF(AH877=1,MAX(0,P877-S877),0)</f>
        <v/>
      </c>
      <c r="AO877" s="21">
        <f>IFERROR(S877/P877,"")</f>
        <v/>
      </c>
      <c r="AP877" s="22">
        <f>IF(Y877="","",P877/Y877)</f>
        <v/>
      </c>
      <c r="AQ877" s="39">
        <f>IF(Y877="",0,1)</f>
        <v/>
      </c>
      <c r="AR877" s="39">
        <f>IF(S877&lt;=0,1,0)</f>
        <v/>
      </c>
      <c r="AS877" s="17">
        <f>IF(AH877=1,AG877,"")</f>
        <v/>
      </c>
      <c r="AT877" s="17">
        <f>IF(AND(AH877=0,AJ877=1),AG877,"")</f>
        <v/>
      </c>
      <c r="AU877" s="5">
        <f>IF(P877&lt;10000,"Under $10K",IF(P877&lt;20000,"$10-20K",IF(P877&lt;30000,"$20-30K",IF(P877&lt;50000,"$30-50K",IF(P877&lt;100000,"$50-100K","$100K+")))))</f>
        <v/>
      </c>
      <c r="AV877" s="5">
        <f>IF(O877&lt;=1.35,"1.35 and under",IF(O877&lt;=1.42,"1.36-1.42",IF(O877&lt;=1.45,"1.43-1.45",IF(O877&lt;1.49,"1.46-1.48",IF(O877&lt;=1.49,"1.49","Above 1.49")))))</f>
        <v/>
      </c>
      <c r="AW877" s="5">
        <f>IF(AE877="","",IF(AE877&lt;60,"Under 60",IF(AE877&lt;90,"60-89",IF(AE877&lt;120,"90-119",IF(AE877&lt;150,"120-149","150+")))))</f>
        <v/>
      </c>
      <c r="AX877" s="5">
        <f>IF(AP877="","No revenue data",IF(AP877&lt;0.15,"Under 0.15x",IF(AP877&lt;0.3,"0.15-0.30x",IF(AP877&lt;0.5,"0.30-0.50x",IF(AP877&lt;1,"0.50-1.00x","1.00x+")))))</f>
        <v/>
      </c>
      <c r="AY877" s="5">
        <f>IF(J877="","No SIC",IFERROR(VLOOKUP(J877,Ref!$A$4:$C$67,2,FALSE()),"Unclassified"))</f>
        <v/>
      </c>
      <c r="AZ877" s="5">
        <f>IF(E877="","",TEXT(E877,"YYYY")&amp;"-Q"&amp;ROUNDUP(MONTH(E877)/3,0))</f>
        <v/>
      </c>
      <c r="BA877" s="5">
        <f>IF(E877="","",TEXT(E877,"YYYY-MM"))</f>
        <v/>
      </c>
      <c r="BB877" s="5">
        <f>IF(E877="","",TEXT(E877,"YYYY"))</f>
        <v/>
      </c>
      <c r="BC877" s="92">
        <f>IF($E877="","",NETWORKDAYS($E877,Controls!$B$9,Ref!$F$4:$F$47))</f>
        <v/>
      </c>
      <c r="BD877" s="92">
        <f>IF(OR($AH877=1,$AJ877=1),1,0)</f>
        <v/>
      </c>
      <c r="BE877" s="95">
        <f>IF(OR($BD877=1,AND($AE877&lt;&gt;"",$BC877&gt;=Controls!$B$10*$AE877)),1,0)</f>
        <v/>
      </c>
    </row>
    <row r="878" ht="15.75" customHeight="1" s="79">
      <c r="A878" s="5" t="inlineStr">
        <is>
          <t>5674183838</t>
        </is>
      </c>
      <c r="B878" s="5" t="inlineStr">
        <is>
          <t>BARWAAQA CAFE</t>
        </is>
      </c>
      <c r="C878" s="5" t="inlineStr">
        <is>
          <t>BARWAAQA CAFE LLC</t>
        </is>
      </c>
      <c r="D878" s="5" t="inlineStr">
        <is>
          <t>Open</t>
        </is>
      </c>
      <c r="E878" s="16" t="n">
        <v>46160</v>
      </c>
      <c r="F878" s="16" t="n">
        <v>46253</v>
      </c>
      <c r="G878" s="17" t="n">
        <v>2</v>
      </c>
      <c r="H878" s="5" t="inlineStr">
        <is>
          <t>5812</t>
        </is>
      </c>
      <c r="I878" s="5" t="inlineStr">
        <is>
          <t>Snack and Nonalcoholic Beverage Bars</t>
        </is>
      </c>
      <c r="J878" s="5" t="inlineStr">
        <is>
          <t>58</t>
        </is>
      </c>
      <c r="K878" s="5" t="n">
        <v>5812</v>
      </c>
      <c r="L878" s="5" t="inlineStr">
        <is>
          <t>OH</t>
        </is>
      </c>
      <c r="M878" s="5" t="inlineStr">
        <is>
          <t>Lemonaid</t>
        </is>
      </c>
      <c r="N878" s="5" t="inlineStr">
        <is>
          <t>New Deal</t>
        </is>
      </c>
      <c r="O878" s="19" t="n">
        <v>1.49</v>
      </c>
      <c r="P878" s="20" t="n">
        <v>5000</v>
      </c>
      <c r="Q878" s="20" t="n">
        <v>700</v>
      </c>
      <c r="R878" s="20" t="n">
        <v>7450</v>
      </c>
      <c r="S878" s="20" t="n">
        <v>3723</v>
      </c>
      <c r="T878" s="20" t="n">
        <v>3727</v>
      </c>
      <c r="U878" s="21" t="n">
        <v>0.499731543624161</v>
      </c>
      <c r="V878" s="22" t="n">
        <v>3.279</v>
      </c>
      <c r="W878" s="17" t="n">
        <v>0</v>
      </c>
      <c r="X878" s="17" t="n">
        <v>15</v>
      </c>
      <c r="Y878" s="20" t="n">
        <v>22371.11</v>
      </c>
      <c r="Z878" s="21" t="n">
        <v>0.0699</v>
      </c>
      <c r="AA878" s="16" t="n">
        <v>44634</v>
      </c>
      <c r="AB878" s="5">
        <f>IF(V878="","",IF(V878&lt;12,"Months","Weeks"))</f>
        <v/>
      </c>
      <c r="AC878" s="5">
        <f>IF(AB878="","",IF(AB878="Months","Daily","Weekly"))</f>
        <v/>
      </c>
      <c r="AD878" s="17">
        <f>IF(V878="","",IF(AC878="Daily",V878*Controls!$B$13,V878))</f>
        <v/>
      </c>
      <c r="AE878" s="17">
        <f>IF(V878="","",IF(AC878="Daily",V878*Controls!$B$13,V878*Controls!$B$12))</f>
        <v/>
      </c>
      <c r="AF878" s="17">
        <f>IF(OR(E878="",F878=""),"",F878-E878)</f>
        <v/>
      </c>
      <c r="AG878" s="17">
        <f>IF(OR(E878="",F878=""),"",NETWORKDAYS(E878,F878,Ref!$F$4:$F$47))</f>
        <v/>
      </c>
      <c r="AH878" s="39">
        <f>IF(IFERROR(VLOOKUP(D878,Controls!$A$25:$D$35,2,FALSE()),"No")="Yes",1,0)</f>
        <v/>
      </c>
      <c r="AI878" s="39">
        <f>IF(IFERROR(VLOOKUP(D878,Controls!$A$25:$D$35,3,FALSE()),"No")="Yes",1,0)</f>
        <v/>
      </c>
      <c r="AJ878" s="39">
        <f>IF(IFERROR(VLOOKUP(D878,Controls!$A$25:$D$35,4,FALSE()),"No")="Yes",1,0)</f>
        <v/>
      </c>
      <c r="AK878" s="96">
        <f>IF(AND($E878&gt;=Controls!$B$5,$E878&lt;=Controls!$B$6,OR(Controls!$E$9&lt;&gt;"Y",$BE878=1)),1,0)</f>
        <v/>
      </c>
      <c r="AL878" s="39">
        <f>1</f>
        <v/>
      </c>
      <c r="AM878" s="20">
        <f>S878-P878</f>
        <v/>
      </c>
      <c r="AN878" s="20">
        <f>IF(AH878=1,MAX(0,P878-S878),0)</f>
        <v/>
      </c>
      <c r="AO878" s="21">
        <f>IFERROR(S878/P878,"")</f>
        <v/>
      </c>
      <c r="AP878" s="22">
        <f>IF(Y878="","",P878/Y878)</f>
        <v/>
      </c>
      <c r="AQ878" s="39">
        <f>IF(Y878="",0,1)</f>
        <v/>
      </c>
      <c r="AR878" s="39">
        <f>IF(S878&lt;=0,1,0)</f>
        <v/>
      </c>
      <c r="AS878" s="17">
        <f>IF(AH878=1,AG878,"")</f>
        <v/>
      </c>
      <c r="AT878" s="17">
        <f>IF(AND(AH878=0,AJ878=1),AG878,"")</f>
        <v/>
      </c>
      <c r="AU878" s="5">
        <f>IF(P878&lt;10000,"Under $10K",IF(P878&lt;20000,"$10-20K",IF(P878&lt;30000,"$20-30K",IF(P878&lt;50000,"$30-50K",IF(P878&lt;100000,"$50-100K","$100K+")))))</f>
        <v/>
      </c>
      <c r="AV878" s="5">
        <f>IF(O878&lt;=1.35,"1.35 and under",IF(O878&lt;=1.42,"1.36-1.42",IF(O878&lt;=1.45,"1.43-1.45",IF(O878&lt;1.49,"1.46-1.48",IF(O878&lt;=1.49,"1.49","Above 1.49")))))</f>
        <v/>
      </c>
      <c r="AW878" s="5">
        <f>IF(AE878="","",IF(AE878&lt;60,"Under 60",IF(AE878&lt;90,"60-89",IF(AE878&lt;120,"90-119",IF(AE878&lt;150,"120-149","150+")))))</f>
        <v/>
      </c>
      <c r="AX878" s="5">
        <f>IF(AP878="","No revenue data",IF(AP878&lt;0.15,"Under 0.15x",IF(AP878&lt;0.3,"0.15-0.30x",IF(AP878&lt;0.5,"0.30-0.50x",IF(AP878&lt;1,"0.50-1.00x","1.00x+")))))</f>
        <v/>
      </c>
      <c r="AY878" s="5">
        <f>IF(J878="","No SIC",IFERROR(VLOOKUP(J878,Ref!$A$4:$C$67,2,FALSE()),"Unclassified"))</f>
        <v/>
      </c>
      <c r="AZ878" s="5">
        <f>IF(E878="","",TEXT(E878,"YYYY")&amp;"-Q"&amp;ROUNDUP(MONTH(E878)/3,0))</f>
        <v/>
      </c>
      <c r="BA878" s="5">
        <f>IF(E878="","",TEXT(E878,"YYYY-MM"))</f>
        <v/>
      </c>
      <c r="BB878" s="5">
        <f>IF(E878="","",TEXT(E878,"YYYY"))</f>
        <v/>
      </c>
      <c r="BC878" s="92">
        <f>IF($E878="","",NETWORKDAYS($E878,Controls!$B$9,Ref!$F$4:$F$47))</f>
        <v/>
      </c>
      <c r="BD878" s="92">
        <f>IF(OR($AH878=1,$AJ878=1),1,0)</f>
        <v/>
      </c>
      <c r="BE878" s="95">
        <f>IF(OR($BD878=1,AND($AE878&lt;&gt;"",$BC878&gt;=Controls!$B$10*$AE878)),1,0)</f>
        <v/>
      </c>
    </row>
    <row r="879" ht="15.75" customHeight="1" s="79">
      <c r="A879" s="5" t="inlineStr">
        <is>
          <t>5674183839</t>
        </is>
      </c>
      <c r="B879" s="5" t="inlineStr">
        <is>
          <t>ABOVE AND BEYOND EARLY LEARNERS ACADEMY LLC</t>
        </is>
      </c>
      <c r="C879" s="5" t="inlineStr">
        <is>
          <t>ABOVE AND BEYOND EARLY LEARNERS ACADEMY LLC</t>
        </is>
      </c>
      <c r="D879" s="5" t="inlineStr">
        <is>
          <t>In House Collection</t>
        </is>
      </c>
      <c r="E879" s="16" t="n">
        <v>46160</v>
      </c>
      <c r="F879" s="16" t="n">
        <v>46195</v>
      </c>
      <c r="G879" s="17" t="n">
        <v>3</v>
      </c>
      <c r="H879" s="5" t="inlineStr">
        <is>
          <t>8351</t>
        </is>
      </c>
      <c r="I879" s="5" t="inlineStr">
        <is>
          <t>Child Day Care Services</t>
        </is>
      </c>
      <c r="J879" s="5" t="inlineStr">
        <is>
          <t>83</t>
        </is>
      </c>
      <c r="K879" s="5" t="n">
        <v>8351</v>
      </c>
      <c r="L879" s="5" t="inlineStr">
        <is>
          <t>PA</t>
        </is>
      </c>
      <c r="M879" s="5" t="inlineStr">
        <is>
          <t>Ballicci</t>
        </is>
      </c>
      <c r="N879" s="5" t="inlineStr">
        <is>
          <t>New Deal</t>
        </is>
      </c>
      <c r="O879" s="19" t="n">
        <v>1.49</v>
      </c>
      <c r="P879" s="20" t="n">
        <v>15000</v>
      </c>
      <c r="Q879" s="20" t="n">
        <v>0</v>
      </c>
      <c r="R879" s="20" t="n">
        <v>22350</v>
      </c>
      <c r="S879" s="20" t="n">
        <v>2904.72</v>
      </c>
      <c r="T879" s="20" t="n">
        <v>19445.28</v>
      </c>
      <c r="U879" s="21" t="n">
        <v>0.129965100671141</v>
      </c>
      <c r="V879" s="22" t="n">
        <v>3.279</v>
      </c>
      <c r="W879" s="17" t="n">
        <v>65</v>
      </c>
      <c r="X879" s="17" t="n">
        <v>10</v>
      </c>
      <c r="Y879" s="20" t="n">
        <v>38148.46</v>
      </c>
      <c r="Z879" s="21" t="n">
        <v>0.123</v>
      </c>
      <c r="AA879" s="16" t="n">
        <v>45261</v>
      </c>
      <c r="AB879" s="5">
        <f>IF(V879="","",IF(V879&lt;12,"Months","Weeks"))</f>
        <v/>
      </c>
      <c r="AC879" s="5">
        <f>IF(AB879="","",IF(AB879="Months","Daily","Weekly"))</f>
        <v/>
      </c>
      <c r="AD879" s="17">
        <f>IF(V879="","",IF(AC879="Daily",V879*Controls!$B$13,V879))</f>
        <v/>
      </c>
      <c r="AE879" s="17">
        <f>IF(V879="","",IF(AC879="Daily",V879*Controls!$B$13,V879*Controls!$B$12))</f>
        <v/>
      </c>
      <c r="AF879" s="17">
        <f>IF(OR(E879="",F879=""),"",F879-E879)</f>
        <v/>
      </c>
      <c r="AG879" s="17">
        <f>IF(OR(E879="",F879=""),"",NETWORKDAYS(E879,F879,Ref!$F$4:$F$47))</f>
        <v/>
      </c>
      <c r="AH879" s="39">
        <f>IF(IFERROR(VLOOKUP(D879,Controls!$A$25:$D$35,2,FALSE()),"No")="Yes",1,0)</f>
        <v/>
      </c>
      <c r="AI879" s="39">
        <f>IF(IFERROR(VLOOKUP(D879,Controls!$A$25:$D$35,3,FALSE()),"No")="Yes",1,0)</f>
        <v/>
      </c>
      <c r="AJ879" s="39">
        <f>IF(IFERROR(VLOOKUP(D879,Controls!$A$25:$D$35,4,FALSE()),"No")="Yes",1,0)</f>
        <v/>
      </c>
      <c r="AK879" s="96">
        <f>IF(AND($E879&gt;=Controls!$B$5,$E879&lt;=Controls!$B$6,OR(Controls!$E$9&lt;&gt;"Y",$BE879=1)),1,0)</f>
        <v/>
      </c>
      <c r="AL879" s="39">
        <f>1</f>
        <v/>
      </c>
      <c r="AM879" s="20">
        <f>S879-P879</f>
        <v/>
      </c>
      <c r="AN879" s="20">
        <f>IF(AH879=1,MAX(0,P879-S879),0)</f>
        <v/>
      </c>
      <c r="AO879" s="21">
        <f>IFERROR(S879/P879,"")</f>
        <v/>
      </c>
      <c r="AP879" s="22">
        <f>IF(Y879="","",P879/Y879)</f>
        <v/>
      </c>
      <c r="AQ879" s="39">
        <f>IF(Y879="",0,1)</f>
        <v/>
      </c>
      <c r="AR879" s="39">
        <f>IF(S879&lt;=0,1,0)</f>
        <v/>
      </c>
      <c r="AS879" s="17">
        <f>IF(AH879=1,AG879,"")</f>
        <v/>
      </c>
      <c r="AT879" s="17">
        <f>IF(AND(AH879=0,AJ879=1),AG879,"")</f>
        <v/>
      </c>
      <c r="AU879" s="5">
        <f>IF(P879&lt;10000,"Under $10K",IF(P879&lt;20000,"$10-20K",IF(P879&lt;30000,"$20-30K",IF(P879&lt;50000,"$30-50K",IF(P879&lt;100000,"$50-100K","$100K+")))))</f>
        <v/>
      </c>
      <c r="AV879" s="5">
        <f>IF(O879&lt;=1.35,"1.35 and under",IF(O879&lt;=1.42,"1.36-1.42",IF(O879&lt;=1.45,"1.43-1.45",IF(O879&lt;1.49,"1.46-1.48",IF(O879&lt;=1.49,"1.49","Above 1.49")))))</f>
        <v/>
      </c>
      <c r="AW879" s="5">
        <f>IF(AE879="","",IF(AE879&lt;60,"Under 60",IF(AE879&lt;90,"60-89",IF(AE879&lt;120,"90-119",IF(AE879&lt;150,"120-149","150+")))))</f>
        <v/>
      </c>
      <c r="AX879" s="5">
        <f>IF(AP879="","No revenue data",IF(AP879&lt;0.15,"Under 0.15x",IF(AP879&lt;0.3,"0.15-0.30x",IF(AP879&lt;0.5,"0.30-0.50x",IF(AP879&lt;1,"0.50-1.00x","1.00x+")))))</f>
        <v/>
      </c>
      <c r="AY879" s="5">
        <f>IF(J879="","No SIC",IFERROR(VLOOKUP(J879,Ref!$A$4:$C$67,2,FALSE()),"Unclassified"))</f>
        <v/>
      </c>
      <c r="AZ879" s="5">
        <f>IF(E879="","",TEXT(E879,"YYYY")&amp;"-Q"&amp;ROUNDUP(MONTH(E879)/3,0))</f>
        <v/>
      </c>
      <c r="BA879" s="5">
        <f>IF(E879="","",TEXT(E879,"YYYY-MM"))</f>
        <v/>
      </c>
      <c r="BB879" s="5">
        <f>IF(E879="","",TEXT(E879,"YYYY"))</f>
        <v/>
      </c>
      <c r="BC879" s="92">
        <f>IF($E879="","",NETWORKDAYS($E879,Controls!$B$9,Ref!$F$4:$F$47))</f>
        <v/>
      </c>
      <c r="BD879" s="92">
        <f>IF(OR($AH879=1,$AJ879=1),1,0)</f>
        <v/>
      </c>
      <c r="BE879" s="95">
        <f>IF(OR($BD879=1,AND($AE879&lt;&gt;"",$BC879&gt;=Controls!$B$10*$AE879)),1,0)</f>
        <v/>
      </c>
    </row>
    <row r="880" ht="15.75" customHeight="1" s="79">
      <c r="A880" s="5" t="inlineStr">
        <is>
          <t>5674183849</t>
        </is>
      </c>
      <c r="B880" s="5" t="inlineStr">
        <is>
          <t>Chasing More Vacations</t>
        </is>
      </c>
      <c r="C880" s="5" t="inlineStr">
        <is>
          <t>LORETTA DARNELL</t>
        </is>
      </c>
      <c r="D880" s="5" t="inlineStr">
        <is>
          <t>Open</t>
        </is>
      </c>
      <c r="E880" s="16" t="n">
        <v>46160</v>
      </c>
      <c r="F880" s="16" t="n">
        <v>46253</v>
      </c>
      <c r="G880" s="17" t="n">
        <v>2</v>
      </c>
      <c r="H880" s="5" t="inlineStr">
        <is>
          <t>4724</t>
        </is>
      </c>
      <c r="I880" s="5" t="inlineStr">
        <is>
          <t>Travel Agencies</t>
        </is>
      </c>
      <c r="J880" s="5" t="inlineStr">
        <is>
          <t>47</t>
        </is>
      </c>
      <c r="K880" s="5" t="n">
        <v>4722</v>
      </c>
      <c r="L880" s="5" t="inlineStr">
        <is>
          <t>TX</t>
        </is>
      </c>
      <c r="M880" s="5" t="inlineStr">
        <is>
          <t>Fundwell</t>
        </is>
      </c>
      <c r="N880" s="5" t="inlineStr">
        <is>
          <t>Renewal</t>
        </is>
      </c>
      <c r="O880" s="19" t="n">
        <v>1.42</v>
      </c>
      <c r="P880" s="20" t="n">
        <v>11000</v>
      </c>
      <c r="Q880" s="20" t="n">
        <v>1540</v>
      </c>
      <c r="R880" s="20" t="n">
        <v>15620</v>
      </c>
      <c r="S880" s="20" t="n">
        <v>7252.7</v>
      </c>
      <c r="T880" s="20" t="n">
        <v>8367.299999999999</v>
      </c>
      <c r="U880" s="21" t="n">
        <v>0.46432138284251</v>
      </c>
      <c r="V880" s="22" t="n">
        <v>4.59</v>
      </c>
      <c r="W880" s="17" t="n">
        <v>0</v>
      </c>
      <c r="X880" s="17" t="n">
        <v>0</v>
      </c>
      <c r="Y880" s="20" t="n">
        <v>14115.65</v>
      </c>
      <c r="Z880" s="21" t="n">
        <v>0.2311</v>
      </c>
      <c r="AA880" s="16" t="n">
        <v>43299</v>
      </c>
      <c r="AB880" s="5">
        <f>IF(V880="","",IF(V880&lt;12,"Months","Weeks"))</f>
        <v/>
      </c>
      <c r="AC880" s="5">
        <f>IF(AB880="","",IF(AB880="Months","Daily","Weekly"))</f>
        <v/>
      </c>
      <c r="AD880" s="17">
        <f>IF(V880="","",IF(AC880="Daily",V880*Controls!$B$13,V880))</f>
        <v/>
      </c>
      <c r="AE880" s="17">
        <f>IF(V880="","",IF(AC880="Daily",V880*Controls!$B$13,V880*Controls!$B$12))</f>
        <v/>
      </c>
      <c r="AF880" s="17">
        <f>IF(OR(E880="",F880=""),"",F880-E880)</f>
        <v/>
      </c>
      <c r="AG880" s="17">
        <f>IF(OR(E880="",F880=""),"",NETWORKDAYS(E880,F880,Ref!$F$4:$F$47))</f>
        <v/>
      </c>
      <c r="AH880" s="39">
        <f>IF(IFERROR(VLOOKUP(D880,Controls!$A$25:$D$35,2,FALSE()),"No")="Yes",1,0)</f>
        <v/>
      </c>
      <c r="AI880" s="39">
        <f>IF(IFERROR(VLOOKUP(D880,Controls!$A$25:$D$35,3,FALSE()),"No")="Yes",1,0)</f>
        <v/>
      </c>
      <c r="AJ880" s="39">
        <f>IF(IFERROR(VLOOKUP(D880,Controls!$A$25:$D$35,4,FALSE()),"No")="Yes",1,0)</f>
        <v/>
      </c>
      <c r="AK880" s="96">
        <f>IF(AND($E880&gt;=Controls!$B$5,$E880&lt;=Controls!$B$6,OR(Controls!$E$9&lt;&gt;"Y",$BE880=1)),1,0)</f>
        <v/>
      </c>
      <c r="AL880" s="39">
        <f>1</f>
        <v/>
      </c>
      <c r="AM880" s="20">
        <f>S880-P880</f>
        <v/>
      </c>
      <c r="AN880" s="20">
        <f>IF(AH880=1,MAX(0,P880-S880),0)</f>
        <v/>
      </c>
      <c r="AO880" s="21">
        <f>IFERROR(S880/P880,"")</f>
        <v/>
      </c>
      <c r="AP880" s="22">
        <f>IF(Y880="","",P880/Y880)</f>
        <v/>
      </c>
      <c r="AQ880" s="39">
        <f>IF(Y880="",0,1)</f>
        <v/>
      </c>
      <c r="AR880" s="39">
        <f>IF(S880&lt;=0,1,0)</f>
        <v/>
      </c>
      <c r="AS880" s="17">
        <f>IF(AH880=1,AG880,"")</f>
        <v/>
      </c>
      <c r="AT880" s="17">
        <f>IF(AND(AH880=0,AJ880=1),AG880,"")</f>
        <v/>
      </c>
      <c r="AU880" s="5">
        <f>IF(P880&lt;10000,"Under $10K",IF(P880&lt;20000,"$10-20K",IF(P880&lt;30000,"$20-30K",IF(P880&lt;50000,"$30-50K",IF(P880&lt;100000,"$50-100K","$100K+")))))</f>
        <v/>
      </c>
      <c r="AV880" s="5">
        <f>IF(O880&lt;=1.35,"1.35 and under",IF(O880&lt;=1.42,"1.36-1.42",IF(O880&lt;=1.45,"1.43-1.45",IF(O880&lt;1.49,"1.46-1.48",IF(O880&lt;=1.49,"1.49","Above 1.49")))))</f>
        <v/>
      </c>
      <c r="AW880" s="5">
        <f>IF(AE880="","",IF(AE880&lt;60,"Under 60",IF(AE880&lt;90,"60-89",IF(AE880&lt;120,"90-119",IF(AE880&lt;150,"120-149","150+")))))</f>
        <v/>
      </c>
      <c r="AX880" s="5">
        <f>IF(AP880="","No revenue data",IF(AP880&lt;0.15,"Under 0.15x",IF(AP880&lt;0.3,"0.15-0.30x",IF(AP880&lt;0.5,"0.30-0.50x",IF(AP880&lt;1,"0.50-1.00x","1.00x+")))))</f>
        <v/>
      </c>
      <c r="AY880" s="5">
        <f>IF(J880="","No SIC",IFERROR(VLOOKUP(J880,Ref!$A$4:$C$67,2,FALSE()),"Unclassified"))</f>
        <v/>
      </c>
      <c r="AZ880" s="5">
        <f>IF(E880="","",TEXT(E880,"YYYY")&amp;"-Q"&amp;ROUNDUP(MONTH(E880)/3,0))</f>
        <v/>
      </c>
      <c r="BA880" s="5">
        <f>IF(E880="","",TEXT(E880,"YYYY-MM"))</f>
        <v/>
      </c>
      <c r="BB880" s="5">
        <f>IF(E880="","",TEXT(E880,"YYYY"))</f>
        <v/>
      </c>
      <c r="BC880" s="92">
        <f>IF($E880="","",NETWORKDAYS($E880,Controls!$B$9,Ref!$F$4:$F$47))</f>
        <v/>
      </c>
      <c r="BD880" s="92">
        <f>IF(OR($AH880=1,$AJ880=1),1,0)</f>
        <v/>
      </c>
      <c r="BE880" s="95">
        <f>IF(OR($BD880=1,AND($AE880&lt;&gt;"",$BC880&gt;=Controls!$B$10*$AE880)),1,0)</f>
        <v/>
      </c>
    </row>
    <row r="881" ht="15.75" customHeight="1" s="79">
      <c r="A881" s="5" t="inlineStr">
        <is>
          <t>5674183898</t>
        </is>
      </c>
      <c r="B881" s="5" t="inlineStr">
        <is>
          <t>Exquisite Bride, LLC</t>
        </is>
      </c>
      <c r="C881" s="5" t="inlineStr">
        <is>
          <t>Exquisite Bride, LLC</t>
        </is>
      </c>
      <c r="D881" s="5" t="inlineStr">
        <is>
          <t>In House Collection</t>
        </is>
      </c>
      <c r="E881" s="16" t="n">
        <v>46161</v>
      </c>
      <c r="F881" s="16" t="n">
        <v>46251</v>
      </c>
      <c r="G881" s="17" t="n">
        <v>2</v>
      </c>
      <c r="H881" s="5" t="inlineStr">
        <is>
          <t>2331</t>
        </is>
      </c>
      <c r="I881" s="5" t="inlineStr">
        <is>
          <t>Women's, Girls', and Infants' Cut and Sew Apparel Mfg.</t>
        </is>
      </c>
      <c r="J881" s="5" t="inlineStr">
        <is>
          <t>23</t>
        </is>
      </c>
      <c r="K881" s="5" t="n">
        <v>5137</v>
      </c>
      <c r="L881" s="5" t="inlineStr">
        <is>
          <t>TX</t>
        </is>
      </c>
      <c r="M881" s="5" t="inlineStr">
        <is>
          <t>Viking Funding LLC</t>
        </is>
      </c>
      <c r="N881" s="5" t="inlineStr">
        <is>
          <t>Renewal</t>
        </is>
      </c>
      <c r="O881" s="19" t="n">
        <v>1.49</v>
      </c>
      <c r="P881" s="20" t="n">
        <v>15000</v>
      </c>
      <c r="Q881" s="20" t="n">
        <v>2100</v>
      </c>
      <c r="R881" s="20" t="n">
        <v>22350</v>
      </c>
      <c r="S881" s="20" t="n">
        <v>1989.88</v>
      </c>
      <c r="T881" s="20" t="n">
        <v>20360.12</v>
      </c>
      <c r="U881" s="21" t="n">
        <v>0.0890326621923937</v>
      </c>
      <c r="V881" s="22" t="n">
        <v>4.918</v>
      </c>
      <c r="W881" s="17" t="n">
        <v>2</v>
      </c>
      <c r="X881" s="17" t="n">
        <v>20</v>
      </c>
      <c r="Y881" s="20" t="n">
        <v>38438.18</v>
      </c>
      <c r="Z881" s="21" t="n">
        <v>0.0814</v>
      </c>
      <c r="AA881" s="16" t="n">
        <v>44562</v>
      </c>
      <c r="AB881" s="5">
        <f>IF(V881="","",IF(V881&lt;12,"Months","Weeks"))</f>
        <v/>
      </c>
      <c r="AC881" s="5">
        <f>IF(AB881="","",IF(AB881="Months","Daily","Weekly"))</f>
        <v/>
      </c>
      <c r="AD881" s="17">
        <f>IF(V881="","",IF(AC881="Daily",V881*Controls!$B$13,V881))</f>
        <v/>
      </c>
      <c r="AE881" s="17">
        <f>IF(V881="","",IF(AC881="Daily",V881*Controls!$B$13,V881*Controls!$B$12))</f>
        <v/>
      </c>
      <c r="AF881" s="17">
        <f>IF(OR(E881="",F881=""),"",F881-E881)</f>
        <v/>
      </c>
      <c r="AG881" s="17">
        <f>IF(OR(E881="",F881=""),"",NETWORKDAYS(E881,F881,Ref!$F$4:$F$47))</f>
        <v/>
      </c>
      <c r="AH881" s="39">
        <f>IF(IFERROR(VLOOKUP(D881,Controls!$A$25:$D$35,2,FALSE()),"No")="Yes",1,0)</f>
        <v/>
      </c>
      <c r="AI881" s="39">
        <f>IF(IFERROR(VLOOKUP(D881,Controls!$A$25:$D$35,3,FALSE()),"No")="Yes",1,0)</f>
        <v/>
      </c>
      <c r="AJ881" s="39">
        <f>IF(IFERROR(VLOOKUP(D881,Controls!$A$25:$D$35,4,FALSE()),"No")="Yes",1,0)</f>
        <v/>
      </c>
      <c r="AK881" s="96">
        <f>IF(AND($E881&gt;=Controls!$B$5,$E881&lt;=Controls!$B$6,OR(Controls!$E$9&lt;&gt;"Y",$BE881=1)),1,0)</f>
        <v/>
      </c>
      <c r="AL881" s="39">
        <f>1</f>
        <v/>
      </c>
      <c r="AM881" s="20">
        <f>S881-P881</f>
        <v/>
      </c>
      <c r="AN881" s="20">
        <f>IF(AH881=1,MAX(0,P881-S881),0)</f>
        <v/>
      </c>
      <c r="AO881" s="21">
        <f>IFERROR(S881/P881,"")</f>
        <v/>
      </c>
      <c r="AP881" s="22">
        <f>IF(Y881="","",P881/Y881)</f>
        <v/>
      </c>
      <c r="AQ881" s="39">
        <f>IF(Y881="",0,1)</f>
        <v/>
      </c>
      <c r="AR881" s="39">
        <f>IF(S881&lt;=0,1,0)</f>
        <v/>
      </c>
      <c r="AS881" s="17">
        <f>IF(AH881=1,AG881,"")</f>
        <v/>
      </c>
      <c r="AT881" s="17">
        <f>IF(AND(AH881=0,AJ881=1),AG881,"")</f>
        <v/>
      </c>
      <c r="AU881" s="5">
        <f>IF(P881&lt;10000,"Under $10K",IF(P881&lt;20000,"$10-20K",IF(P881&lt;30000,"$20-30K",IF(P881&lt;50000,"$30-50K",IF(P881&lt;100000,"$50-100K","$100K+")))))</f>
        <v/>
      </c>
      <c r="AV881" s="5">
        <f>IF(O881&lt;=1.35,"1.35 and under",IF(O881&lt;=1.42,"1.36-1.42",IF(O881&lt;=1.45,"1.43-1.45",IF(O881&lt;1.49,"1.46-1.48",IF(O881&lt;=1.49,"1.49","Above 1.49")))))</f>
        <v/>
      </c>
      <c r="AW881" s="5">
        <f>IF(AE881="","",IF(AE881&lt;60,"Under 60",IF(AE881&lt;90,"60-89",IF(AE881&lt;120,"90-119",IF(AE881&lt;150,"120-149","150+")))))</f>
        <v/>
      </c>
      <c r="AX881" s="5">
        <f>IF(AP881="","No revenue data",IF(AP881&lt;0.15,"Under 0.15x",IF(AP881&lt;0.3,"0.15-0.30x",IF(AP881&lt;0.5,"0.30-0.50x",IF(AP881&lt;1,"0.50-1.00x","1.00x+")))))</f>
        <v/>
      </c>
      <c r="AY881" s="5">
        <f>IF(J881="","No SIC",IFERROR(VLOOKUP(J881,Ref!$A$4:$C$67,2,FALSE()),"Unclassified"))</f>
        <v/>
      </c>
      <c r="AZ881" s="5">
        <f>IF(E881="","",TEXT(E881,"YYYY")&amp;"-Q"&amp;ROUNDUP(MONTH(E881)/3,0))</f>
        <v/>
      </c>
      <c r="BA881" s="5">
        <f>IF(E881="","",TEXT(E881,"YYYY-MM"))</f>
        <v/>
      </c>
      <c r="BB881" s="5">
        <f>IF(E881="","",TEXT(E881,"YYYY"))</f>
        <v/>
      </c>
      <c r="BC881" s="92">
        <f>IF($E881="","",NETWORKDAYS($E881,Controls!$B$9,Ref!$F$4:$F$47))</f>
        <v/>
      </c>
      <c r="BD881" s="92">
        <f>IF(OR($AH881=1,$AJ881=1),1,0)</f>
        <v/>
      </c>
      <c r="BE881" s="95">
        <f>IF(OR($BD881=1,AND($AE881&lt;&gt;"",$BC881&gt;=Controls!$B$10*$AE881)),1,0)</f>
        <v/>
      </c>
    </row>
    <row r="882" ht="15.75" customHeight="1" s="79">
      <c r="A882" s="5" t="inlineStr">
        <is>
          <t>5674183906</t>
        </is>
      </c>
      <c r="B882" s="5" t="inlineStr">
        <is>
          <t>The Eklund Companies, INC</t>
        </is>
      </c>
      <c r="C882" s="5" t="inlineStr">
        <is>
          <t>The Eklund Companies, INC</t>
        </is>
      </c>
      <c r="D882" s="5" t="inlineStr">
        <is>
          <t>Open</t>
        </is>
      </c>
      <c r="E882" s="16" t="n">
        <v>46161</v>
      </c>
      <c r="F882" s="16" t="n">
        <v>46227</v>
      </c>
      <c r="G882" s="17" t="n">
        <v>3</v>
      </c>
      <c r="H882" s="5" t="inlineStr">
        <is>
          <t>1521</t>
        </is>
      </c>
      <c r="I882" s="5" t="inlineStr">
        <is>
          <t>SINGLE-FAMILY HOUSING CONSTRUCTION</t>
        </is>
      </c>
      <c r="J882" s="5" t="inlineStr">
        <is>
          <t>15</t>
        </is>
      </c>
      <c r="K882" s="5" t="n"/>
      <c r="L882" s="5" t="inlineStr">
        <is>
          <t>No state</t>
        </is>
      </c>
      <c r="M882" s="5" t="inlineStr">
        <is>
          <t>TRUSTFI</t>
        </is>
      </c>
      <c r="N882" s="5" t="inlineStr">
        <is>
          <t>Renewal</t>
        </is>
      </c>
      <c r="O882" s="19" t="n">
        <v>1.49</v>
      </c>
      <c r="P882" s="20" t="n">
        <v>35000</v>
      </c>
      <c r="Q882" s="20" t="n">
        <v>4900</v>
      </c>
      <c r="R882" s="20" t="n">
        <v>52150</v>
      </c>
      <c r="S882" s="20" t="n">
        <v>15639.57</v>
      </c>
      <c r="T882" s="20" t="n">
        <v>36510.43</v>
      </c>
      <c r="U882" s="21" t="n">
        <v>0.299895877277085</v>
      </c>
      <c r="V882" s="22" t="n">
        <v>30</v>
      </c>
      <c r="W882" s="17" t="n">
        <v>33</v>
      </c>
      <c r="X882" s="17" t="n">
        <v>1</v>
      </c>
      <c r="Y882" s="5" t="n"/>
      <c r="Z882" s="5" t="n"/>
      <c r="AA882" s="16" t="n">
        <v>41591</v>
      </c>
      <c r="AB882" s="5">
        <f>IF(V882="","",IF(V882&lt;12,"Months","Weeks"))</f>
        <v/>
      </c>
      <c r="AC882" s="5">
        <f>IF(AB882="","",IF(AB882="Months","Daily","Weekly"))</f>
        <v/>
      </c>
      <c r="AD882" s="17">
        <f>IF(V882="","",IF(AC882="Daily",V882*Controls!$B$13,V882))</f>
        <v/>
      </c>
      <c r="AE882" s="17">
        <f>IF(V882="","",IF(AC882="Daily",V882*Controls!$B$13,V882*Controls!$B$12))</f>
        <v/>
      </c>
      <c r="AF882" s="17">
        <f>IF(OR(E882="",F882=""),"",F882-E882)</f>
        <v/>
      </c>
      <c r="AG882" s="17">
        <f>IF(OR(E882="",F882=""),"",NETWORKDAYS(E882,F882,Ref!$F$4:$F$47))</f>
        <v/>
      </c>
      <c r="AH882" s="39">
        <f>IF(IFERROR(VLOOKUP(D882,Controls!$A$25:$D$35,2,FALSE()),"No")="Yes",1,0)</f>
        <v/>
      </c>
      <c r="AI882" s="39">
        <f>IF(IFERROR(VLOOKUP(D882,Controls!$A$25:$D$35,3,FALSE()),"No")="Yes",1,0)</f>
        <v/>
      </c>
      <c r="AJ882" s="39">
        <f>IF(IFERROR(VLOOKUP(D882,Controls!$A$25:$D$35,4,FALSE()),"No")="Yes",1,0)</f>
        <v/>
      </c>
      <c r="AK882" s="96">
        <f>IF(AND($E882&gt;=Controls!$B$5,$E882&lt;=Controls!$B$6,OR(Controls!$E$9&lt;&gt;"Y",$BE882=1)),1,0)</f>
        <v/>
      </c>
      <c r="AL882" s="39">
        <f>1</f>
        <v/>
      </c>
      <c r="AM882" s="20">
        <f>S882-P882</f>
        <v/>
      </c>
      <c r="AN882" s="20">
        <f>IF(AH882=1,MAX(0,P882-S882),0)</f>
        <v/>
      </c>
      <c r="AO882" s="21">
        <f>IFERROR(S882/P882,"")</f>
        <v/>
      </c>
      <c r="AP882" s="22">
        <f>IF(Y882="","",P882/Y882)</f>
        <v/>
      </c>
      <c r="AQ882" s="39">
        <f>IF(Y882="",0,1)</f>
        <v/>
      </c>
      <c r="AR882" s="39">
        <f>IF(S882&lt;=0,1,0)</f>
        <v/>
      </c>
      <c r="AS882" s="17">
        <f>IF(AH882=1,AG882,"")</f>
        <v/>
      </c>
      <c r="AT882" s="17">
        <f>IF(AND(AH882=0,AJ882=1),AG882,"")</f>
        <v/>
      </c>
      <c r="AU882" s="5">
        <f>IF(P882&lt;10000,"Under $10K",IF(P882&lt;20000,"$10-20K",IF(P882&lt;30000,"$20-30K",IF(P882&lt;50000,"$30-50K",IF(P882&lt;100000,"$50-100K","$100K+")))))</f>
        <v/>
      </c>
      <c r="AV882" s="5">
        <f>IF(O882&lt;=1.35,"1.35 and under",IF(O882&lt;=1.42,"1.36-1.42",IF(O882&lt;=1.45,"1.43-1.45",IF(O882&lt;1.49,"1.46-1.48",IF(O882&lt;=1.49,"1.49","Above 1.49")))))</f>
        <v/>
      </c>
      <c r="AW882" s="5">
        <f>IF(AE882="","",IF(AE882&lt;60,"Under 60",IF(AE882&lt;90,"60-89",IF(AE882&lt;120,"90-119",IF(AE882&lt;150,"120-149","150+")))))</f>
        <v/>
      </c>
      <c r="AX882" s="5">
        <f>IF(AP882="","No revenue data",IF(AP882&lt;0.15,"Under 0.15x",IF(AP882&lt;0.3,"0.15-0.30x",IF(AP882&lt;0.5,"0.30-0.50x",IF(AP882&lt;1,"0.50-1.00x","1.00x+")))))</f>
        <v/>
      </c>
      <c r="AY882" s="5">
        <f>IF(J882="","No SIC",IFERROR(VLOOKUP(J882,Ref!$A$4:$C$67,2,FALSE()),"Unclassified"))</f>
        <v/>
      </c>
      <c r="AZ882" s="5">
        <f>IF(E882="","",TEXT(E882,"YYYY")&amp;"-Q"&amp;ROUNDUP(MONTH(E882)/3,0))</f>
        <v/>
      </c>
      <c r="BA882" s="5">
        <f>IF(E882="","",TEXT(E882,"YYYY-MM"))</f>
        <v/>
      </c>
      <c r="BB882" s="5">
        <f>IF(E882="","",TEXT(E882,"YYYY"))</f>
        <v/>
      </c>
      <c r="BC882" s="92">
        <f>IF($E882="","",NETWORKDAYS($E882,Controls!$B$9,Ref!$F$4:$F$47))</f>
        <v/>
      </c>
      <c r="BD882" s="92">
        <f>IF(OR($AH882=1,$AJ882=1),1,0)</f>
        <v/>
      </c>
      <c r="BE882" s="95">
        <f>IF(OR($BD882=1,AND($AE882&lt;&gt;"",$BC882&gt;=Controls!$B$10*$AE882)),1,0)</f>
        <v/>
      </c>
    </row>
    <row r="883" ht="15.75" customHeight="1" s="79">
      <c r="A883" s="5" t="inlineStr">
        <is>
          <t>5674183929</t>
        </is>
      </c>
      <c r="B883" s="5" t="inlineStr">
        <is>
          <t>ALPHA 3 MASONRY &amp; REMODEL</t>
        </is>
      </c>
      <c r="C883" s="5" t="inlineStr">
        <is>
          <t>ALPHA 3 MASONRY &amp; REMODEL LLC</t>
        </is>
      </c>
      <c r="D883" s="5" t="inlineStr">
        <is>
          <t>Open</t>
        </is>
      </c>
      <c r="E883" s="16" t="n">
        <v>46161</v>
      </c>
      <c r="F883" s="16" t="n">
        <v>46253</v>
      </c>
      <c r="G883" s="17" t="n">
        <v>3</v>
      </c>
      <c r="H883" s="5" t="inlineStr">
        <is>
          <t>1521</t>
        </is>
      </c>
      <c r="I883" s="5" t="inlineStr">
        <is>
          <t>Residential Remodelers</t>
        </is>
      </c>
      <c r="J883" s="5" t="inlineStr">
        <is>
          <t>15</t>
        </is>
      </c>
      <c r="K883" s="5" t="n">
        <v>1520</v>
      </c>
      <c r="L883" s="5" t="inlineStr">
        <is>
          <t>AZ</t>
        </is>
      </c>
      <c r="M883" s="5" t="inlineStr">
        <is>
          <t>FIMACAP INC</t>
        </is>
      </c>
      <c r="N883" s="5" t="inlineStr">
        <is>
          <t>New Deal</t>
        </is>
      </c>
      <c r="O883" s="19" t="n">
        <v>1.49</v>
      </c>
      <c r="P883" s="20" t="n">
        <v>27000</v>
      </c>
      <c r="Q883" s="20" t="n">
        <v>3780</v>
      </c>
      <c r="R883" s="20" t="n">
        <v>40230</v>
      </c>
      <c r="S883" s="20" t="n">
        <v>12418.04</v>
      </c>
      <c r="T883" s="20" t="n">
        <v>27811.96</v>
      </c>
      <c r="U883" s="21" t="n">
        <v>0.308676112353965</v>
      </c>
      <c r="V883" s="22" t="n">
        <v>28</v>
      </c>
      <c r="W883" s="17" t="n">
        <v>0</v>
      </c>
      <c r="X883" s="17" t="n">
        <v>0</v>
      </c>
      <c r="Y883" s="20" t="n">
        <v>123628.7</v>
      </c>
      <c r="Z883" s="21" t="n">
        <v>0.0465</v>
      </c>
      <c r="AA883" s="16" t="n">
        <v>44562</v>
      </c>
      <c r="AB883" s="5">
        <f>IF(V883="","",IF(V883&lt;12,"Months","Weeks"))</f>
        <v/>
      </c>
      <c r="AC883" s="5">
        <f>IF(AB883="","",IF(AB883="Months","Daily","Weekly"))</f>
        <v/>
      </c>
      <c r="AD883" s="17">
        <f>IF(V883="","",IF(AC883="Daily",V883*Controls!$B$13,V883))</f>
        <v/>
      </c>
      <c r="AE883" s="17">
        <f>IF(V883="","",IF(AC883="Daily",V883*Controls!$B$13,V883*Controls!$B$12))</f>
        <v/>
      </c>
      <c r="AF883" s="17">
        <f>IF(OR(E883="",F883=""),"",F883-E883)</f>
        <v/>
      </c>
      <c r="AG883" s="17">
        <f>IF(OR(E883="",F883=""),"",NETWORKDAYS(E883,F883,Ref!$F$4:$F$47))</f>
        <v/>
      </c>
      <c r="AH883" s="39">
        <f>IF(IFERROR(VLOOKUP(D883,Controls!$A$25:$D$35,2,FALSE()),"No")="Yes",1,0)</f>
        <v/>
      </c>
      <c r="AI883" s="39">
        <f>IF(IFERROR(VLOOKUP(D883,Controls!$A$25:$D$35,3,FALSE()),"No")="Yes",1,0)</f>
        <v/>
      </c>
      <c r="AJ883" s="39">
        <f>IF(IFERROR(VLOOKUP(D883,Controls!$A$25:$D$35,4,FALSE()),"No")="Yes",1,0)</f>
        <v/>
      </c>
      <c r="AK883" s="96">
        <f>IF(AND($E883&gt;=Controls!$B$5,$E883&lt;=Controls!$B$6,OR(Controls!$E$9&lt;&gt;"Y",$BE883=1)),1,0)</f>
        <v/>
      </c>
      <c r="AL883" s="39">
        <f>1</f>
        <v/>
      </c>
      <c r="AM883" s="20">
        <f>S883-P883</f>
        <v/>
      </c>
      <c r="AN883" s="20">
        <f>IF(AH883=1,MAX(0,P883-S883),0)</f>
        <v/>
      </c>
      <c r="AO883" s="21">
        <f>IFERROR(S883/P883,"")</f>
        <v/>
      </c>
      <c r="AP883" s="22">
        <f>IF(Y883="","",P883/Y883)</f>
        <v/>
      </c>
      <c r="AQ883" s="39">
        <f>IF(Y883="",0,1)</f>
        <v/>
      </c>
      <c r="AR883" s="39">
        <f>IF(S883&lt;=0,1,0)</f>
        <v/>
      </c>
      <c r="AS883" s="17">
        <f>IF(AH883=1,AG883,"")</f>
        <v/>
      </c>
      <c r="AT883" s="17">
        <f>IF(AND(AH883=0,AJ883=1),AG883,"")</f>
        <v/>
      </c>
      <c r="AU883" s="5">
        <f>IF(P883&lt;10000,"Under $10K",IF(P883&lt;20000,"$10-20K",IF(P883&lt;30000,"$20-30K",IF(P883&lt;50000,"$30-50K",IF(P883&lt;100000,"$50-100K","$100K+")))))</f>
        <v/>
      </c>
      <c r="AV883" s="5">
        <f>IF(O883&lt;=1.35,"1.35 and under",IF(O883&lt;=1.42,"1.36-1.42",IF(O883&lt;=1.45,"1.43-1.45",IF(O883&lt;1.49,"1.46-1.48",IF(O883&lt;=1.49,"1.49","Above 1.49")))))</f>
        <v/>
      </c>
      <c r="AW883" s="5">
        <f>IF(AE883="","",IF(AE883&lt;60,"Under 60",IF(AE883&lt;90,"60-89",IF(AE883&lt;120,"90-119",IF(AE883&lt;150,"120-149","150+")))))</f>
        <v/>
      </c>
      <c r="AX883" s="5">
        <f>IF(AP883="","No revenue data",IF(AP883&lt;0.15,"Under 0.15x",IF(AP883&lt;0.3,"0.15-0.30x",IF(AP883&lt;0.5,"0.30-0.50x",IF(AP883&lt;1,"0.50-1.00x","1.00x+")))))</f>
        <v/>
      </c>
      <c r="AY883" s="5">
        <f>IF(J883="","No SIC",IFERROR(VLOOKUP(J883,Ref!$A$4:$C$67,2,FALSE()),"Unclassified"))</f>
        <v/>
      </c>
      <c r="AZ883" s="5">
        <f>IF(E883="","",TEXT(E883,"YYYY")&amp;"-Q"&amp;ROUNDUP(MONTH(E883)/3,0))</f>
        <v/>
      </c>
      <c r="BA883" s="5">
        <f>IF(E883="","",TEXT(E883,"YYYY-MM"))</f>
        <v/>
      </c>
      <c r="BB883" s="5">
        <f>IF(E883="","",TEXT(E883,"YYYY"))</f>
        <v/>
      </c>
      <c r="BC883" s="92">
        <f>IF($E883="","",NETWORKDAYS($E883,Controls!$B$9,Ref!$F$4:$F$47))</f>
        <v/>
      </c>
      <c r="BD883" s="92">
        <f>IF(OR($AH883=1,$AJ883=1),1,0)</f>
        <v/>
      </c>
      <c r="BE883" s="95">
        <f>IF(OR($BD883=1,AND($AE883&lt;&gt;"",$BC883&gt;=Controls!$B$10*$AE883)),1,0)</f>
        <v/>
      </c>
    </row>
    <row r="884" ht="15.75" customHeight="1" s="79">
      <c r="A884" s="5" t="inlineStr">
        <is>
          <t>5674183945</t>
        </is>
      </c>
      <c r="B884" s="5" t="inlineStr">
        <is>
          <t>LEAD MASTERS, INC.</t>
        </is>
      </c>
      <c r="C884" s="5" t="inlineStr">
        <is>
          <t>LEAD MASTERS, INC.</t>
        </is>
      </c>
      <c r="D884" s="5" t="inlineStr">
        <is>
          <t>Closed</t>
        </is>
      </c>
      <c r="E884" s="16" t="n">
        <v>46161</v>
      </c>
      <c r="F884" s="16" t="n">
        <v>46238</v>
      </c>
      <c r="G884" s="17" t="n">
        <v>3</v>
      </c>
      <c r="H884" s="5" t="inlineStr">
        <is>
          <t>5999</t>
        </is>
      </c>
      <c r="I884" s="5" t="inlineStr">
        <is>
          <t>MISC. RETAIL STORES, NEC</t>
        </is>
      </c>
      <c r="J884" s="5" t="inlineStr">
        <is>
          <t>59</t>
        </is>
      </c>
      <c r="K884" s="5" t="n"/>
      <c r="L884" s="5" t="inlineStr">
        <is>
          <t>No state</t>
        </is>
      </c>
      <c r="M884" s="5" t="inlineStr">
        <is>
          <t>United Secured Capital 8</t>
        </is>
      </c>
      <c r="N884" s="5" t="inlineStr">
        <is>
          <t>New Deal</t>
        </is>
      </c>
      <c r="O884" s="19" t="n">
        <v>1.44</v>
      </c>
      <c r="P884" s="20" t="n">
        <v>15000</v>
      </c>
      <c r="Q884" s="20" t="n">
        <v>1725</v>
      </c>
      <c r="R884" s="20" t="n">
        <v>21600</v>
      </c>
      <c r="S884" s="20" t="n">
        <v>21600</v>
      </c>
      <c r="T884" s="20" t="n">
        <v>0</v>
      </c>
      <c r="U884" s="21" t="n">
        <v>1</v>
      </c>
      <c r="V884" s="22" t="n">
        <v>2.951</v>
      </c>
      <c r="W884" s="17" t="n">
        <v>15</v>
      </c>
      <c r="X884" s="17" t="n">
        <v>3</v>
      </c>
      <c r="Y884" s="5" t="n"/>
      <c r="Z884" s="5" t="n"/>
      <c r="AA884" s="16" t="n">
        <v>29695</v>
      </c>
      <c r="AB884" s="5">
        <f>IF(V884="","",IF(V884&lt;12,"Months","Weeks"))</f>
        <v/>
      </c>
      <c r="AC884" s="5">
        <f>IF(AB884="","",IF(AB884="Months","Daily","Weekly"))</f>
        <v/>
      </c>
      <c r="AD884" s="17">
        <f>IF(V884="","",IF(AC884="Daily",V884*Controls!$B$13,V884))</f>
        <v/>
      </c>
      <c r="AE884" s="17">
        <f>IF(V884="","",IF(AC884="Daily",V884*Controls!$B$13,V884*Controls!$B$12))</f>
        <v/>
      </c>
      <c r="AF884" s="17">
        <f>IF(OR(E884="",F884=""),"",F884-E884)</f>
        <v/>
      </c>
      <c r="AG884" s="17">
        <f>IF(OR(E884="",F884=""),"",NETWORKDAYS(E884,F884,Ref!$F$4:$F$47))</f>
        <v/>
      </c>
      <c r="AH884" s="39">
        <f>IF(IFERROR(VLOOKUP(D884,Controls!$A$25:$D$35,2,FALSE()),"No")="Yes",1,0)</f>
        <v/>
      </c>
      <c r="AI884" s="39">
        <f>IF(IFERROR(VLOOKUP(D884,Controls!$A$25:$D$35,3,FALSE()),"No")="Yes",1,0)</f>
        <v/>
      </c>
      <c r="AJ884" s="39">
        <f>IF(IFERROR(VLOOKUP(D884,Controls!$A$25:$D$35,4,FALSE()),"No")="Yes",1,0)</f>
        <v/>
      </c>
      <c r="AK884" s="96">
        <f>IF(AND($E884&gt;=Controls!$B$5,$E884&lt;=Controls!$B$6,OR(Controls!$E$9&lt;&gt;"Y",$BE884=1)),1,0)</f>
        <v/>
      </c>
      <c r="AL884" s="39">
        <f>1</f>
        <v/>
      </c>
      <c r="AM884" s="20">
        <f>S884-P884</f>
        <v/>
      </c>
      <c r="AN884" s="20">
        <f>IF(AH884=1,MAX(0,P884-S884),0)</f>
        <v/>
      </c>
      <c r="AO884" s="21">
        <f>IFERROR(S884/P884,"")</f>
        <v/>
      </c>
      <c r="AP884" s="22">
        <f>IF(Y884="","",P884/Y884)</f>
        <v/>
      </c>
      <c r="AQ884" s="39">
        <f>IF(Y884="",0,1)</f>
        <v/>
      </c>
      <c r="AR884" s="39">
        <f>IF(S884&lt;=0,1,0)</f>
        <v/>
      </c>
      <c r="AS884" s="17">
        <f>IF(AH884=1,AG884,"")</f>
        <v/>
      </c>
      <c r="AT884" s="17">
        <f>IF(AND(AH884=0,AJ884=1),AG884,"")</f>
        <v/>
      </c>
      <c r="AU884" s="5">
        <f>IF(P884&lt;10000,"Under $10K",IF(P884&lt;20000,"$10-20K",IF(P884&lt;30000,"$20-30K",IF(P884&lt;50000,"$30-50K",IF(P884&lt;100000,"$50-100K","$100K+")))))</f>
        <v/>
      </c>
      <c r="AV884" s="5">
        <f>IF(O884&lt;=1.35,"1.35 and under",IF(O884&lt;=1.42,"1.36-1.42",IF(O884&lt;=1.45,"1.43-1.45",IF(O884&lt;1.49,"1.46-1.48",IF(O884&lt;=1.49,"1.49","Above 1.49")))))</f>
        <v/>
      </c>
      <c r="AW884" s="5">
        <f>IF(AE884="","",IF(AE884&lt;60,"Under 60",IF(AE884&lt;90,"60-89",IF(AE884&lt;120,"90-119",IF(AE884&lt;150,"120-149","150+")))))</f>
        <v/>
      </c>
      <c r="AX884" s="5">
        <f>IF(AP884="","No revenue data",IF(AP884&lt;0.15,"Under 0.15x",IF(AP884&lt;0.3,"0.15-0.30x",IF(AP884&lt;0.5,"0.30-0.50x",IF(AP884&lt;1,"0.50-1.00x","1.00x+")))))</f>
        <v/>
      </c>
      <c r="AY884" s="5">
        <f>IF(J884="","No SIC",IFERROR(VLOOKUP(J884,Ref!$A$4:$C$67,2,FALSE()),"Unclassified"))</f>
        <v/>
      </c>
      <c r="AZ884" s="5">
        <f>IF(E884="","",TEXT(E884,"YYYY")&amp;"-Q"&amp;ROUNDUP(MONTH(E884)/3,0))</f>
        <v/>
      </c>
      <c r="BA884" s="5">
        <f>IF(E884="","",TEXT(E884,"YYYY-MM"))</f>
        <v/>
      </c>
      <c r="BB884" s="5">
        <f>IF(E884="","",TEXT(E884,"YYYY"))</f>
        <v/>
      </c>
      <c r="BC884" s="92">
        <f>IF($E884="","",NETWORKDAYS($E884,Controls!$B$9,Ref!$F$4:$F$47))</f>
        <v/>
      </c>
      <c r="BD884" s="92">
        <f>IF(OR($AH884=1,$AJ884=1),1,0)</f>
        <v/>
      </c>
      <c r="BE884" s="95">
        <f>IF(OR($BD884=1,AND($AE884&lt;&gt;"",$BC884&gt;=Controls!$B$10*$AE884)),1,0)</f>
        <v/>
      </c>
    </row>
    <row r="885" ht="15.75" customHeight="1" s="79">
      <c r="A885" s="5" t="inlineStr">
        <is>
          <t>5674183949</t>
        </is>
      </c>
      <c r="B885" s="5" t="inlineStr">
        <is>
          <t>SILVER STAR INVESTIGATION</t>
        </is>
      </c>
      <c r="C885" s="5" t="inlineStr">
        <is>
          <t>SILVER STAR INVESTIGATION CORP</t>
        </is>
      </c>
      <c r="D885" s="5" t="inlineStr">
        <is>
          <t>Open</t>
        </is>
      </c>
      <c r="E885" s="16" t="n">
        <v>46161</v>
      </c>
      <c r="F885" s="16" t="n">
        <v>46253</v>
      </c>
      <c r="G885" s="17" t="n">
        <v>3</v>
      </c>
      <c r="H885" s="5" t="inlineStr">
        <is>
          <t>7381</t>
        </is>
      </c>
      <c r="I885" s="5" t="inlineStr">
        <is>
          <t>DETECTIVE &amp; ARMORED CAR SERVICES</t>
        </is>
      </c>
      <c r="J885" s="5" t="inlineStr">
        <is>
          <t>73</t>
        </is>
      </c>
      <c r="K885" s="5" t="n"/>
      <c r="L885" s="5" t="inlineStr">
        <is>
          <t>No state</t>
        </is>
      </c>
      <c r="M885" s="5" t="inlineStr">
        <is>
          <t>Westwood</t>
        </is>
      </c>
      <c r="N885" s="5" t="inlineStr">
        <is>
          <t>Renewal</t>
        </is>
      </c>
      <c r="O885" s="19" t="n">
        <v>1.49</v>
      </c>
      <c r="P885" s="20" t="n">
        <v>16000</v>
      </c>
      <c r="Q885" s="20" t="n">
        <v>2240</v>
      </c>
      <c r="R885" s="20" t="n">
        <v>23840</v>
      </c>
      <c r="S885" s="20" t="n">
        <v>9236.25</v>
      </c>
      <c r="T885" s="20" t="n">
        <v>14603.75</v>
      </c>
      <c r="U885" s="21" t="n">
        <v>0.387426593959732</v>
      </c>
      <c r="V885" s="22" t="n">
        <v>3.934</v>
      </c>
      <c r="W885" s="17" t="n">
        <v>0</v>
      </c>
      <c r="X885" s="17" t="n">
        <v>17</v>
      </c>
      <c r="Y885" s="5" t="n"/>
      <c r="Z885" s="5" t="n"/>
      <c r="AA885" s="16" t="n">
        <v>40850</v>
      </c>
      <c r="AB885" s="5">
        <f>IF(V885="","",IF(V885&lt;12,"Months","Weeks"))</f>
        <v/>
      </c>
      <c r="AC885" s="5">
        <f>IF(AB885="","",IF(AB885="Months","Daily","Weekly"))</f>
        <v/>
      </c>
      <c r="AD885" s="17">
        <f>IF(V885="","",IF(AC885="Daily",V885*Controls!$B$13,V885))</f>
        <v/>
      </c>
      <c r="AE885" s="17">
        <f>IF(V885="","",IF(AC885="Daily",V885*Controls!$B$13,V885*Controls!$B$12))</f>
        <v/>
      </c>
      <c r="AF885" s="17">
        <f>IF(OR(E885="",F885=""),"",F885-E885)</f>
        <v/>
      </c>
      <c r="AG885" s="17">
        <f>IF(OR(E885="",F885=""),"",NETWORKDAYS(E885,F885,Ref!$F$4:$F$47))</f>
        <v/>
      </c>
      <c r="AH885" s="39">
        <f>IF(IFERROR(VLOOKUP(D885,Controls!$A$25:$D$35,2,FALSE()),"No")="Yes",1,0)</f>
        <v/>
      </c>
      <c r="AI885" s="39">
        <f>IF(IFERROR(VLOOKUP(D885,Controls!$A$25:$D$35,3,FALSE()),"No")="Yes",1,0)</f>
        <v/>
      </c>
      <c r="AJ885" s="39">
        <f>IF(IFERROR(VLOOKUP(D885,Controls!$A$25:$D$35,4,FALSE()),"No")="Yes",1,0)</f>
        <v/>
      </c>
      <c r="AK885" s="96">
        <f>IF(AND($E885&gt;=Controls!$B$5,$E885&lt;=Controls!$B$6,OR(Controls!$E$9&lt;&gt;"Y",$BE885=1)),1,0)</f>
        <v/>
      </c>
      <c r="AL885" s="39">
        <f>1</f>
        <v/>
      </c>
      <c r="AM885" s="20">
        <f>S885-P885</f>
        <v/>
      </c>
      <c r="AN885" s="20">
        <f>IF(AH885=1,MAX(0,P885-S885),0)</f>
        <v/>
      </c>
      <c r="AO885" s="21">
        <f>IFERROR(S885/P885,"")</f>
        <v/>
      </c>
      <c r="AP885" s="22">
        <f>IF(Y885="","",P885/Y885)</f>
        <v/>
      </c>
      <c r="AQ885" s="39">
        <f>IF(Y885="",0,1)</f>
        <v/>
      </c>
      <c r="AR885" s="39">
        <f>IF(S885&lt;=0,1,0)</f>
        <v/>
      </c>
      <c r="AS885" s="17">
        <f>IF(AH885=1,AG885,"")</f>
        <v/>
      </c>
      <c r="AT885" s="17">
        <f>IF(AND(AH885=0,AJ885=1),AG885,"")</f>
        <v/>
      </c>
      <c r="AU885" s="5">
        <f>IF(P885&lt;10000,"Under $10K",IF(P885&lt;20000,"$10-20K",IF(P885&lt;30000,"$20-30K",IF(P885&lt;50000,"$30-50K",IF(P885&lt;100000,"$50-100K","$100K+")))))</f>
        <v/>
      </c>
      <c r="AV885" s="5">
        <f>IF(O885&lt;=1.35,"1.35 and under",IF(O885&lt;=1.42,"1.36-1.42",IF(O885&lt;=1.45,"1.43-1.45",IF(O885&lt;1.49,"1.46-1.48",IF(O885&lt;=1.49,"1.49","Above 1.49")))))</f>
        <v/>
      </c>
      <c r="AW885" s="5">
        <f>IF(AE885="","",IF(AE885&lt;60,"Under 60",IF(AE885&lt;90,"60-89",IF(AE885&lt;120,"90-119",IF(AE885&lt;150,"120-149","150+")))))</f>
        <v/>
      </c>
      <c r="AX885" s="5">
        <f>IF(AP885="","No revenue data",IF(AP885&lt;0.15,"Under 0.15x",IF(AP885&lt;0.3,"0.15-0.30x",IF(AP885&lt;0.5,"0.30-0.50x",IF(AP885&lt;1,"0.50-1.00x","1.00x+")))))</f>
        <v/>
      </c>
      <c r="AY885" s="5">
        <f>IF(J885="","No SIC",IFERROR(VLOOKUP(J885,Ref!$A$4:$C$67,2,FALSE()),"Unclassified"))</f>
        <v/>
      </c>
      <c r="AZ885" s="5">
        <f>IF(E885="","",TEXT(E885,"YYYY")&amp;"-Q"&amp;ROUNDUP(MONTH(E885)/3,0))</f>
        <v/>
      </c>
      <c r="BA885" s="5">
        <f>IF(E885="","",TEXT(E885,"YYYY-MM"))</f>
        <v/>
      </c>
      <c r="BB885" s="5">
        <f>IF(E885="","",TEXT(E885,"YYYY"))</f>
        <v/>
      </c>
      <c r="BC885" s="92">
        <f>IF($E885="","",NETWORKDAYS($E885,Controls!$B$9,Ref!$F$4:$F$47))</f>
        <v/>
      </c>
      <c r="BD885" s="92">
        <f>IF(OR($AH885=1,$AJ885=1),1,0)</f>
        <v/>
      </c>
      <c r="BE885" s="95">
        <f>IF(OR($BD885=1,AND($AE885&lt;&gt;"",$BC885&gt;=Controls!$B$10*$AE885)),1,0)</f>
        <v/>
      </c>
    </row>
    <row r="886" ht="15.75" customHeight="1" s="79">
      <c r="A886" s="5" t="inlineStr">
        <is>
          <t>5674183971</t>
        </is>
      </c>
      <c r="B886" s="5" t="inlineStr">
        <is>
          <t>IVY BROOK ACADEMY</t>
        </is>
      </c>
      <c r="C886" s="5" t="inlineStr">
        <is>
          <t>DANI ACADEMY INC</t>
        </is>
      </c>
      <c r="D886" s="5" t="inlineStr">
        <is>
          <t>Open</t>
        </is>
      </c>
      <c r="E886" s="16" t="n">
        <v>46162</v>
      </c>
      <c r="F886" s="16" t="n">
        <v>46251</v>
      </c>
      <c r="G886" s="17" t="n">
        <v>1</v>
      </c>
      <c r="H886" s="5" t="inlineStr">
        <is>
          <t>8211</t>
        </is>
      </c>
      <c r="I886" s="5" t="inlineStr">
        <is>
          <t>Elementary and Secondary Schools</t>
        </is>
      </c>
      <c r="J886" s="5" t="inlineStr">
        <is>
          <t>82</t>
        </is>
      </c>
      <c r="K886" s="5" t="n">
        <v>8211</v>
      </c>
      <c r="L886" s="5" t="inlineStr">
        <is>
          <t>TX</t>
        </is>
      </c>
      <c r="M886" s="5" t="inlineStr">
        <is>
          <t>Linked In Funding</t>
        </is>
      </c>
      <c r="N886" s="5" t="inlineStr">
        <is>
          <t>New Deal</t>
        </is>
      </c>
      <c r="O886" s="19" t="n">
        <v>1.49</v>
      </c>
      <c r="P886" s="20" t="n">
        <v>25000</v>
      </c>
      <c r="Q886" s="20" t="n">
        <v>3500</v>
      </c>
      <c r="R886" s="20" t="n">
        <v>37250</v>
      </c>
      <c r="S886" s="20" t="n">
        <v>17879.52</v>
      </c>
      <c r="T886" s="20" t="n">
        <v>19370.48</v>
      </c>
      <c r="U886" s="21" t="n">
        <v>0.47998711409396</v>
      </c>
      <c r="V886" s="22" t="n">
        <v>25</v>
      </c>
      <c r="W886" s="17" t="n">
        <v>2</v>
      </c>
      <c r="X886" s="17" t="n">
        <v>0</v>
      </c>
      <c r="Y886" s="20" t="n">
        <v>38550.16</v>
      </c>
      <c r="Z886" s="21" t="n">
        <v>0.1546</v>
      </c>
      <c r="AA886" s="16" t="n">
        <v>45066</v>
      </c>
      <c r="AB886" s="5">
        <f>IF(V886="","",IF(V886&lt;12,"Months","Weeks"))</f>
        <v/>
      </c>
      <c r="AC886" s="5">
        <f>IF(AB886="","",IF(AB886="Months","Daily","Weekly"))</f>
        <v/>
      </c>
      <c r="AD886" s="17">
        <f>IF(V886="","",IF(AC886="Daily",V886*Controls!$B$13,V886))</f>
        <v/>
      </c>
      <c r="AE886" s="17">
        <f>IF(V886="","",IF(AC886="Daily",V886*Controls!$B$13,V886*Controls!$B$12))</f>
        <v/>
      </c>
      <c r="AF886" s="17">
        <f>IF(OR(E886="",F886=""),"",F886-E886)</f>
        <v/>
      </c>
      <c r="AG886" s="17">
        <f>IF(OR(E886="",F886=""),"",NETWORKDAYS(E886,F886,Ref!$F$4:$F$47))</f>
        <v/>
      </c>
      <c r="AH886" s="39">
        <f>IF(IFERROR(VLOOKUP(D886,Controls!$A$25:$D$35,2,FALSE()),"No")="Yes",1,0)</f>
        <v/>
      </c>
      <c r="AI886" s="39">
        <f>IF(IFERROR(VLOOKUP(D886,Controls!$A$25:$D$35,3,FALSE()),"No")="Yes",1,0)</f>
        <v/>
      </c>
      <c r="AJ886" s="39">
        <f>IF(IFERROR(VLOOKUP(D886,Controls!$A$25:$D$35,4,FALSE()),"No")="Yes",1,0)</f>
        <v/>
      </c>
      <c r="AK886" s="96">
        <f>IF(AND($E886&gt;=Controls!$B$5,$E886&lt;=Controls!$B$6,OR(Controls!$E$9&lt;&gt;"Y",$BE886=1)),1,0)</f>
        <v/>
      </c>
      <c r="AL886" s="39">
        <f>1</f>
        <v/>
      </c>
      <c r="AM886" s="20">
        <f>S886-P886</f>
        <v/>
      </c>
      <c r="AN886" s="20">
        <f>IF(AH886=1,MAX(0,P886-S886),0)</f>
        <v/>
      </c>
      <c r="AO886" s="21">
        <f>IFERROR(S886/P886,"")</f>
        <v/>
      </c>
      <c r="AP886" s="22">
        <f>IF(Y886="","",P886/Y886)</f>
        <v/>
      </c>
      <c r="AQ886" s="39">
        <f>IF(Y886="",0,1)</f>
        <v/>
      </c>
      <c r="AR886" s="39">
        <f>IF(S886&lt;=0,1,0)</f>
        <v/>
      </c>
      <c r="AS886" s="17">
        <f>IF(AH886=1,AG886,"")</f>
        <v/>
      </c>
      <c r="AT886" s="17">
        <f>IF(AND(AH886=0,AJ886=1),AG886,"")</f>
        <v/>
      </c>
      <c r="AU886" s="5">
        <f>IF(P886&lt;10000,"Under $10K",IF(P886&lt;20000,"$10-20K",IF(P886&lt;30000,"$20-30K",IF(P886&lt;50000,"$30-50K",IF(P886&lt;100000,"$50-100K","$100K+")))))</f>
        <v/>
      </c>
      <c r="AV886" s="5">
        <f>IF(O886&lt;=1.35,"1.35 and under",IF(O886&lt;=1.42,"1.36-1.42",IF(O886&lt;=1.45,"1.43-1.45",IF(O886&lt;1.49,"1.46-1.48",IF(O886&lt;=1.49,"1.49","Above 1.49")))))</f>
        <v/>
      </c>
      <c r="AW886" s="5">
        <f>IF(AE886="","",IF(AE886&lt;60,"Under 60",IF(AE886&lt;90,"60-89",IF(AE886&lt;120,"90-119",IF(AE886&lt;150,"120-149","150+")))))</f>
        <v/>
      </c>
      <c r="AX886" s="5">
        <f>IF(AP886="","No revenue data",IF(AP886&lt;0.15,"Under 0.15x",IF(AP886&lt;0.3,"0.15-0.30x",IF(AP886&lt;0.5,"0.30-0.50x",IF(AP886&lt;1,"0.50-1.00x","1.00x+")))))</f>
        <v/>
      </c>
      <c r="AY886" s="5">
        <f>IF(J886="","No SIC",IFERROR(VLOOKUP(J886,Ref!$A$4:$C$67,2,FALSE()),"Unclassified"))</f>
        <v/>
      </c>
      <c r="AZ886" s="5">
        <f>IF(E886="","",TEXT(E886,"YYYY")&amp;"-Q"&amp;ROUNDUP(MONTH(E886)/3,0))</f>
        <v/>
      </c>
      <c r="BA886" s="5">
        <f>IF(E886="","",TEXT(E886,"YYYY-MM"))</f>
        <v/>
      </c>
      <c r="BB886" s="5">
        <f>IF(E886="","",TEXT(E886,"YYYY"))</f>
        <v/>
      </c>
      <c r="BC886" s="92">
        <f>IF($E886="","",NETWORKDAYS($E886,Controls!$B$9,Ref!$F$4:$F$47))</f>
        <v/>
      </c>
      <c r="BD886" s="92">
        <f>IF(OR($AH886=1,$AJ886=1),1,0)</f>
        <v/>
      </c>
      <c r="BE886" s="95">
        <f>IF(OR($BD886=1,AND($AE886&lt;&gt;"",$BC886&gt;=Controls!$B$10*$AE886)),1,0)</f>
        <v/>
      </c>
    </row>
    <row r="887" ht="15.75" customHeight="1" s="79">
      <c r="A887" s="5" t="inlineStr">
        <is>
          <t>5674183985</t>
        </is>
      </c>
      <c r="B887" s="5" t="inlineStr">
        <is>
          <t>Road Logistics Freight LLC</t>
        </is>
      </c>
      <c r="C887" s="5" t="inlineStr">
        <is>
          <t>Road Logistics Freight LLC</t>
        </is>
      </c>
      <c r="D887" s="5" t="inlineStr">
        <is>
          <t>Open</t>
        </is>
      </c>
      <c r="E887" s="16" t="n">
        <v>46162</v>
      </c>
      <c r="F887" s="16" t="n">
        <v>46253</v>
      </c>
      <c r="G887" s="17" t="n">
        <v>3</v>
      </c>
      <c r="H887" s="5" t="inlineStr">
        <is>
          <t>4212</t>
        </is>
      </c>
      <c r="I887" s="5" t="inlineStr">
        <is>
          <t>Specialized Freight (Except Used Goods) Trucking, Local</t>
        </is>
      </c>
      <c r="J887" s="5" t="inlineStr">
        <is>
          <t>42</t>
        </is>
      </c>
      <c r="K887" s="5" t="n">
        <v>4214</v>
      </c>
      <c r="L887" s="5" t="inlineStr">
        <is>
          <t>PR</t>
        </is>
      </c>
      <c r="M887" s="5" t="inlineStr">
        <is>
          <t>Financial Express LLC</t>
        </is>
      </c>
      <c r="N887" s="5" t="inlineStr">
        <is>
          <t>New Deal</t>
        </is>
      </c>
      <c r="O887" s="19" t="n">
        <v>1.49</v>
      </c>
      <c r="P887" s="20" t="n">
        <v>5000</v>
      </c>
      <c r="Q887" s="20" t="n">
        <v>700</v>
      </c>
      <c r="R887" s="20" t="n">
        <v>7450</v>
      </c>
      <c r="S887" s="20" t="n">
        <v>4376.64</v>
      </c>
      <c r="T887" s="20" t="n">
        <v>3073.36</v>
      </c>
      <c r="U887" s="21" t="n">
        <v>0.587468456375839</v>
      </c>
      <c r="V887" s="22" t="n">
        <v>2.623</v>
      </c>
      <c r="W887" s="17" t="n">
        <v>0</v>
      </c>
      <c r="X887" s="17" t="n">
        <v>12</v>
      </c>
      <c r="Y887" s="20" t="n">
        <v>26677.17</v>
      </c>
      <c r="Z887" s="21" t="n">
        <v>0.0733</v>
      </c>
      <c r="AA887" s="16" t="n">
        <v>42692</v>
      </c>
      <c r="AB887" s="5">
        <f>IF(V887="","",IF(V887&lt;12,"Months","Weeks"))</f>
        <v/>
      </c>
      <c r="AC887" s="5">
        <f>IF(AB887="","",IF(AB887="Months","Daily","Weekly"))</f>
        <v/>
      </c>
      <c r="AD887" s="17">
        <f>IF(V887="","",IF(AC887="Daily",V887*Controls!$B$13,V887))</f>
        <v/>
      </c>
      <c r="AE887" s="17">
        <f>IF(V887="","",IF(AC887="Daily",V887*Controls!$B$13,V887*Controls!$B$12))</f>
        <v/>
      </c>
      <c r="AF887" s="17">
        <f>IF(OR(E887="",F887=""),"",F887-E887)</f>
        <v/>
      </c>
      <c r="AG887" s="17">
        <f>IF(OR(E887="",F887=""),"",NETWORKDAYS(E887,F887,Ref!$F$4:$F$47))</f>
        <v/>
      </c>
      <c r="AH887" s="39">
        <f>IF(IFERROR(VLOOKUP(D887,Controls!$A$25:$D$35,2,FALSE()),"No")="Yes",1,0)</f>
        <v/>
      </c>
      <c r="AI887" s="39">
        <f>IF(IFERROR(VLOOKUP(D887,Controls!$A$25:$D$35,3,FALSE()),"No")="Yes",1,0)</f>
        <v/>
      </c>
      <c r="AJ887" s="39">
        <f>IF(IFERROR(VLOOKUP(D887,Controls!$A$25:$D$35,4,FALSE()),"No")="Yes",1,0)</f>
        <v/>
      </c>
      <c r="AK887" s="96">
        <f>IF(AND($E887&gt;=Controls!$B$5,$E887&lt;=Controls!$B$6,OR(Controls!$E$9&lt;&gt;"Y",$BE887=1)),1,0)</f>
        <v/>
      </c>
      <c r="AL887" s="39">
        <f>1</f>
        <v/>
      </c>
      <c r="AM887" s="20">
        <f>S887-P887</f>
        <v/>
      </c>
      <c r="AN887" s="20">
        <f>IF(AH887=1,MAX(0,P887-S887),0)</f>
        <v/>
      </c>
      <c r="AO887" s="21">
        <f>IFERROR(S887/P887,"")</f>
        <v/>
      </c>
      <c r="AP887" s="22">
        <f>IF(Y887="","",P887/Y887)</f>
        <v/>
      </c>
      <c r="AQ887" s="39">
        <f>IF(Y887="",0,1)</f>
        <v/>
      </c>
      <c r="AR887" s="39">
        <f>IF(S887&lt;=0,1,0)</f>
        <v/>
      </c>
      <c r="AS887" s="17">
        <f>IF(AH887=1,AG887,"")</f>
        <v/>
      </c>
      <c r="AT887" s="17">
        <f>IF(AND(AH887=0,AJ887=1),AG887,"")</f>
        <v/>
      </c>
      <c r="AU887" s="5">
        <f>IF(P887&lt;10000,"Under $10K",IF(P887&lt;20000,"$10-20K",IF(P887&lt;30000,"$20-30K",IF(P887&lt;50000,"$30-50K",IF(P887&lt;100000,"$50-100K","$100K+")))))</f>
        <v/>
      </c>
      <c r="AV887" s="5">
        <f>IF(O887&lt;=1.35,"1.35 and under",IF(O887&lt;=1.42,"1.36-1.42",IF(O887&lt;=1.45,"1.43-1.45",IF(O887&lt;1.49,"1.46-1.48",IF(O887&lt;=1.49,"1.49","Above 1.49")))))</f>
        <v/>
      </c>
      <c r="AW887" s="5">
        <f>IF(AE887="","",IF(AE887&lt;60,"Under 60",IF(AE887&lt;90,"60-89",IF(AE887&lt;120,"90-119",IF(AE887&lt;150,"120-149","150+")))))</f>
        <v/>
      </c>
      <c r="AX887" s="5">
        <f>IF(AP887="","No revenue data",IF(AP887&lt;0.15,"Under 0.15x",IF(AP887&lt;0.3,"0.15-0.30x",IF(AP887&lt;0.5,"0.30-0.50x",IF(AP887&lt;1,"0.50-1.00x","1.00x+")))))</f>
        <v/>
      </c>
      <c r="AY887" s="5">
        <f>IF(J887="","No SIC",IFERROR(VLOOKUP(J887,Ref!$A$4:$C$67,2,FALSE()),"Unclassified"))</f>
        <v/>
      </c>
      <c r="AZ887" s="5">
        <f>IF(E887="","",TEXT(E887,"YYYY")&amp;"-Q"&amp;ROUNDUP(MONTH(E887)/3,0))</f>
        <v/>
      </c>
      <c r="BA887" s="5">
        <f>IF(E887="","",TEXT(E887,"YYYY-MM"))</f>
        <v/>
      </c>
      <c r="BB887" s="5">
        <f>IF(E887="","",TEXT(E887,"YYYY"))</f>
        <v/>
      </c>
      <c r="BC887" s="92">
        <f>IF($E887="","",NETWORKDAYS($E887,Controls!$B$9,Ref!$F$4:$F$47))</f>
        <v/>
      </c>
      <c r="BD887" s="92">
        <f>IF(OR($AH887=1,$AJ887=1),1,0)</f>
        <v/>
      </c>
      <c r="BE887" s="95">
        <f>IF(OR($BD887=1,AND($AE887&lt;&gt;"",$BC887&gt;=Controls!$B$10*$AE887)),1,0)</f>
        <v/>
      </c>
    </row>
    <row r="888" ht="15.75" customHeight="1" s="79">
      <c r="A888" s="5" t="inlineStr">
        <is>
          <t>5674184007</t>
        </is>
      </c>
      <c r="B888" s="5" t="inlineStr">
        <is>
          <t>TAPCLASSIFIEDS AUTO DBA TAPOVERDRIVE</t>
        </is>
      </c>
      <c r="C888" s="5" t="inlineStr">
        <is>
          <t>TAPCLASSIFIEDS AUTO, INC</t>
        </is>
      </c>
      <c r="D888" s="5" t="inlineStr">
        <is>
          <t>Open</t>
        </is>
      </c>
      <c r="E888" s="16" t="n">
        <v>46162</v>
      </c>
      <c r="F888" s="16" t="n">
        <v>46252</v>
      </c>
      <c r="G888" s="17" t="n">
        <v>3</v>
      </c>
      <c r="H888" s="5" t="inlineStr">
        <is>
          <t>5599</t>
        </is>
      </c>
      <c r="I888" s="5" t="inlineStr">
        <is>
          <t>Motorcycle, ATV, and All Other Motor Vehicle Dealers</t>
        </is>
      </c>
      <c r="J888" s="5" t="inlineStr">
        <is>
          <t>55</t>
        </is>
      </c>
      <c r="K888" s="5" t="n">
        <v>5599</v>
      </c>
      <c r="L888" s="5" t="inlineStr">
        <is>
          <t>CA</t>
        </is>
      </c>
      <c r="M888" s="5" t="inlineStr">
        <is>
          <t>PMF</t>
        </is>
      </c>
      <c r="N888" s="5" t="inlineStr">
        <is>
          <t>New Deal</t>
        </is>
      </c>
      <c r="O888" s="19" t="n">
        <v>1.35</v>
      </c>
      <c r="P888" s="20" t="n">
        <v>155000</v>
      </c>
      <c r="Q888" s="20" t="n">
        <v>10850</v>
      </c>
      <c r="R888" s="20" t="n">
        <v>209250</v>
      </c>
      <c r="S888" s="20" t="n">
        <v>71566.42999999999</v>
      </c>
      <c r="T888" s="20" t="n">
        <v>137683.57</v>
      </c>
      <c r="U888" s="21" t="n">
        <v>0.342014002389486</v>
      </c>
      <c r="V888" s="22" t="n">
        <v>38</v>
      </c>
      <c r="W888" s="17" t="n">
        <v>1</v>
      </c>
      <c r="X888" s="17" t="n">
        <v>0</v>
      </c>
      <c r="Y888" s="20" t="n">
        <v>387002.54</v>
      </c>
      <c r="Z888" s="21" t="n">
        <v>0.0569</v>
      </c>
      <c r="AA888" s="16" t="n">
        <v>41575</v>
      </c>
      <c r="AB888" s="5">
        <f>IF(V888="","",IF(V888&lt;12,"Months","Weeks"))</f>
        <v/>
      </c>
      <c r="AC888" s="5">
        <f>IF(AB888="","",IF(AB888="Months","Daily","Weekly"))</f>
        <v/>
      </c>
      <c r="AD888" s="17">
        <f>IF(V888="","",IF(AC888="Daily",V888*Controls!$B$13,V888))</f>
        <v/>
      </c>
      <c r="AE888" s="17">
        <f>IF(V888="","",IF(AC888="Daily",V888*Controls!$B$13,V888*Controls!$B$12))</f>
        <v/>
      </c>
      <c r="AF888" s="17">
        <f>IF(OR(E888="",F888=""),"",F888-E888)</f>
        <v/>
      </c>
      <c r="AG888" s="17">
        <f>IF(OR(E888="",F888=""),"",NETWORKDAYS(E888,F888,Ref!$F$4:$F$47))</f>
        <v/>
      </c>
      <c r="AH888" s="39">
        <f>IF(IFERROR(VLOOKUP(D888,Controls!$A$25:$D$35,2,FALSE()),"No")="Yes",1,0)</f>
        <v/>
      </c>
      <c r="AI888" s="39">
        <f>IF(IFERROR(VLOOKUP(D888,Controls!$A$25:$D$35,3,FALSE()),"No")="Yes",1,0)</f>
        <v/>
      </c>
      <c r="AJ888" s="39">
        <f>IF(IFERROR(VLOOKUP(D888,Controls!$A$25:$D$35,4,FALSE()),"No")="Yes",1,0)</f>
        <v/>
      </c>
      <c r="AK888" s="96">
        <f>IF(AND($E888&gt;=Controls!$B$5,$E888&lt;=Controls!$B$6,OR(Controls!$E$9&lt;&gt;"Y",$BE888=1)),1,0)</f>
        <v/>
      </c>
      <c r="AL888" s="39">
        <f>1</f>
        <v/>
      </c>
      <c r="AM888" s="20">
        <f>S888-P888</f>
        <v/>
      </c>
      <c r="AN888" s="20">
        <f>IF(AH888=1,MAX(0,P888-S888),0)</f>
        <v/>
      </c>
      <c r="AO888" s="21">
        <f>IFERROR(S888/P888,"")</f>
        <v/>
      </c>
      <c r="AP888" s="22">
        <f>IF(Y888="","",P888/Y888)</f>
        <v/>
      </c>
      <c r="AQ888" s="39">
        <f>IF(Y888="",0,1)</f>
        <v/>
      </c>
      <c r="AR888" s="39">
        <f>IF(S888&lt;=0,1,0)</f>
        <v/>
      </c>
      <c r="AS888" s="17">
        <f>IF(AH888=1,AG888,"")</f>
        <v/>
      </c>
      <c r="AT888" s="17">
        <f>IF(AND(AH888=0,AJ888=1),AG888,"")</f>
        <v/>
      </c>
      <c r="AU888" s="5">
        <f>IF(P888&lt;10000,"Under $10K",IF(P888&lt;20000,"$10-20K",IF(P888&lt;30000,"$20-30K",IF(P888&lt;50000,"$30-50K",IF(P888&lt;100000,"$50-100K","$100K+")))))</f>
        <v/>
      </c>
      <c r="AV888" s="5">
        <f>IF(O888&lt;=1.35,"1.35 and under",IF(O888&lt;=1.42,"1.36-1.42",IF(O888&lt;=1.45,"1.43-1.45",IF(O888&lt;1.49,"1.46-1.48",IF(O888&lt;=1.49,"1.49","Above 1.49")))))</f>
        <v/>
      </c>
      <c r="AW888" s="5">
        <f>IF(AE888="","",IF(AE888&lt;60,"Under 60",IF(AE888&lt;90,"60-89",IF(AE888&lt;120,"90-119",IF(AE888&lt;150,"120-149","150+")))))</f>
        <v/>
      </c>
      <c r="AX888" s="5">
        <f>IF(AP888="","No revenue data",IF(AP888&lt;0.15,"Under 0.15x",IF(AP888&lt;0.3,"0.15-0.30x",IF(AP888&lt;0.5,"0.30-0.50x",IF(AP888&lt;1,"0.50-1.00x","1.00x+")))))</f>
        <v/>
      </c>
      <c r="AY888" s="5">
        <f>IF(J888="","No SIC",IFERROR(VLOOKUP(J888,Ref!$A$4:$C$67,2,FALSE()),"Unclassified"))</f>
        <v/>
      </c>
      <c r="AZ888" s="5">
        <f>IF(E888="","",TEXT(E888,"YYYY")&amp;"-Q"&amp;ROUNDUP(MONTH(E888)/3,0))</f>
        <v/>
      </c>
      <c r="BA888" s="5">
        <f>IF(E888="","",TEXT(E888,"YYYY-MM"))</f>
        <v/>
      </c>
      <c r="BB888" s="5">
        <f>IF(E888="","",TEXT(E888,"YYYY"))</f>
        <v/>
      </c>
      <c r="BC888" s="92">
        <f>IF($E888="","",NETWORKDAYS($E888,Controls!$B$9,Ref!$F$4:$F$47))</f>
        <v/>
      </c>
      <c r="BD888" s="92">
        <f>IF(OR($AH888=1,$AJ888=1),1,0)</f>
        <v/>
      </c>
      <c r="BE888" s="95">
        <f>IF(OR($BD888=1,AND($AE888&lt;&gt;"",$BC888&gt;=Controls!$B$10*$AE888)),1,0)</f>
        <v/>
      </c>
    </row>
    <row r="889" ht="15.75" customHeight="1" s="79">
      <c r="A889" s="5" t="inlineStr">
        <is>
          <t>5674184019</t>
        </is>
      </c>
      <c r="B889" s="5" t="inlineStr">
        <is>
          <t>Wcs All Immigration Document Service</t>
        </is>
      </c>
      <c r="C889" s="5" t="inlineStr">
        <is>
          <t>WORLD COMPUTER SYSTEMS INC</t>
        </is>
      </c>
      <c r="D889" s="5" t="inlineStr">
        <is>
          <t>Open</t>
        </is>
      </c>
      <c r="E889" s="16" t="n">
        <v>46162</v>
      </c>
      <c r="F889" s="16" t="n">
        <v>46253</v>
      </c>
      <c r="G889" s="17" t="n">
        <v>3</v>
      </c>
      <c r="H889" s="5" t="inlineStr">
        <is>
          <t>8111</t>
        </is>
      </c>
      <c r="I889" s="5" t="inlineStr">
        <is>
          <t>Offices of Lawyers</t>
        </is>
      </c>
      <c r="J889" s="5" t="inlineStr">
        <is>
          <t>81</t>
        </is>
      </c>
      <c r="K889" s="5" t="n">
        <v>8111</v>
      </c>
      <c r="L889" s="5" t="inlineStr">
        <is>
          <t>FL</t>
        </is>
      </c>
      <c r="M889" s="5" t="inlineStr">
        <is>
          <t>LENDCAP SOLUTIONS</t>
        </is>
      </c>
      <c r="N889" s="5" t="inlineStr">
        <is>
          <t>New Deal</t>
        </is>
      </c>
      <c r="O889" s="19" t="n">
        <v>1.49</v>
      </c>
      <c r="P889" s="20" t="n">
        <v>25000</v>
      </c>
      <c r="Q889" s="20" t="n">
        <v>3500</v>
      </c>
      <c r="R889" s="20" t="n">
        <v>37250</v>
      </c>
      <c r="S889" s="20" t="n">
        <v>18617.88</v>
      </c>
      <c r="T889" s="20" t="n">
        <v>18632.12</v>
      </c>
      <c r="U889" s="21" t="n">
        <v>0.499808859060403</v>
      </c>
      <c r="V889" s="22" t="n">
        <v>20</v>
      </c>
      <c r="W889" s="17" t="n">
        <v>0</v>
      </c>
      <c r="X889" s="17" t="n">
        <v>9</v>
      </c>
      <c r="Y889" s="20" t="n">
        <v>120314.31</v>
      </c>
      <c r="Z889" s="21" t="n">
        <v>0.0619</v>
      </c>
      <c r="AA889" s="16" t="n">
        <v>42566</v>
      </c>
      <c r="AB889" s="5">
        <f>IF(V889="","",IF(V889&lt;12,"Months","Weeks"))</f>
        <v/>
      </c>
      <c r="AC889" s="5">
        <f>IF(AB889="","",IF(AB889="Months","Daily","Weekly"))</f>
        <v/>
      </c>
      <c r="AD889" s="17">
        <f>IF(V889="","",IF(AC889="Daily",V889*Controls!$B$13,V889))</f>
        <v/>
      </c>
      <c r="AE889" s="17">
        <f>IF(V889="","",IF(AC889="Daily",V889*Controls!$B$13,V889*Controls!$B$12))</f>
        <v/>
      </c>
      <c r="AF889" s="17">
        <f>IF(OR(E889="",F889=""),"",F889-E889)</f>
        <v/>
      </c>
      <c r="AG889" s="17">
        <f>IF(OR(E889="",F889=""),"",NETWORKDAYS(E889,F889,Ref!$F$4:$F$47))</f>
        <v/>
      </c>
      <c r="AH889" s="39">
        <f>IF(IFERROR(VLOOKUP(D889,Controls!$A$25:$D$35,2,FALSE()),"No")="Yes",1,0)</f>
        <v/>
      </c>
      <c r="AI889" s="39">
        <f>IF(IFERROR(VLOOKUP(D889,Controls!$A$25:$D$35,3,FALSE()),"No")="Yes",1,0)</f>
        <v/>
      </c>
      <c r="AJ889" s="39">
        <f>IF(IFERROR(VLOOKUP(D889,Controls!$A$25:$D$35,4,FALSE()),"No")="Yes",1,0)</f>
        <v/>
      </c>
      <c r="AK889" s="96">
        <f>IF(AND($E889&gt;=Controls!$B$5,$E889&lt;=Controls!$B$6,OR(Controls!$E$9&lt;&gt;"Y",$BE889=1)),1,0)</f>
        <v/>
      </c>
      <c r="AL889" s="39">
        <f>1</f>
        <v/>
      </c>
      <c r="AM889" s="20">
        <f>S889-P889</f>
        <v/>
      </c>
      <c r="AN889" s="20">
        <f>IF(AH889=1,MAX(0,P889-S889),0)</f>
        <v/>
      </c>
      <c r="AO889" s="21">
        <f>IFERROR(S889/P889,"")</f>
        <v/>
      </c>
      <c r="AP889" s="22">
        <f>IF(Y889="","",P889/Y889)</f>
        <v/>
      </c>
      <c r="AQ889" s="39">
        <f>IF(Y889="",0,1)</f>
        <v/>
      </c>
      <c r="AR889" s="39">
        <f>IF(S889&lt;=0,1,0)</f>
        <v/>
      </c>
      <c r="AS889" s="17">
        <f>IF(AH889=1,AG889,"")</f>
        <v/>
      </c>
      <c r="AT889" s="17">
        <f>IF(AND(AH889=0,AJ889=1),AG889,"")</f>
        <v/>
      </c>
      <c r="AU889" s="5">
        <f>IF(P889&lt;10000,"Under $10K",IF(P889&lt;20000,"$10-20K",IF(P889&lt;30000,"$20-30K",IF(P889&lt;50000,"$30-50K",IF(P889&lt;100000,"$50-100K","$100K+")))))</f>
        <v/>
      </c>
      <c r="AV889" s="5">
        <f>IF(O889&lt;=1.35,"1.35 and under",IF(O889&lt;=1.42,"1.36-1.42",IF(O889&lt;=1.45,"1.43-1.45",IF(O889&lt;1.49,"1.46-1.48",IF(O889&lt;=1.49,"1.49","Above 1.49")))))</f>
        <v/>
      </c>
      <c r="AW889" s="5">
        <f>IF(AE889="","",IF(AE889&lt;60,"Under 60",IF(AE889&lt;90,"60-89",IF(AE889&lt;120,"90-119",IF(AE889&lt;150,"120-149","150+")))))</f>
        <v/>
      </c>
      <c r="AX889" s="5">
        <f>IF(AP889="","No revenue data",IF(AP889&lt;0.15,"Under 0.15x",IF(AP889&lt;0.3,"0.15-0.30x",IF(AP889&lt;0.5,"0.30-0.50x",IF(AP889&lt;1,"0.50-1.00x","1.00x+")))))</f>
        <v/>
      </c>
      <c r="AY889" s="5">
        <f>IF(J889="","No SIC",IFERROR(VLOOKUP(J889,Ref!$A$4:$C$67,2,FALSE()),"Unclassified"))</f>
        <v/>
      </c>
      <c r="AZ889" s="5">
        <f>IF(E889="","",TEXT(E889,"YYYY")&amp;"-Q"&amp;ROUNDUP(MONTH(E889)/3,0))</f>
        <v/>
      </c>
      <c r="BA889" s="5">
        <f>IF(E889="","",TEXT(E889,"YYYY-MM"))</f>
        <v/>
      </c>
      <c r="BB889" s="5">
        <f>IF(E889="","",TEXT(E889,"YYYY"))</f>
        <v/>
      </c>
      <c r="BC889" s="92">
        <f>IF($E889="","",NETWORKDAYS($E889,Controls!$B$9,Ref!$F$4:$F$47))</f>
        <v/>
      </c>
      <c r="BD889" s="92">
        <f>IF(OR($AH889=1,$AJ889=1),1,0)</f>
        <v/>
      </c>
      <c r="BE889" s="95">
        <f>IF(OR($BD889=1,AND($AE889&lt;&gt;"",$BC889&gt;=Controls!$B$10*$AE889)),1,0)</f>
        <v/>
      </c>
    </row>
    <row r="890" ht="15.75" customHeight="1" s="79">
      <c r="A890" s="5" t="inlineStr">
        <is>
          <t>5674184028</t>
        </is>
      </c>
      <c r="B890" s="5" t="inlineStr">
        <is>
          <t>JACKS PEST MGMT LLC</t>
        </is>
      </c>
      <c r="C890" s="5" t="inlineStr">
        <is>
          <t>JACKS PEST MGMT LLC</t>
        </is>
      </c>
      <c r="D890" s="5" t="inlineStr">
        <is>
          <t>Open</t>
        </is>
      </c>
      <c r="E890" s="16" t="n">
        <v>46162</v>
      </c>
      <c r="F890" s="16" t="n">
        <v>46248</v>
      </c>
      <c r="G890" s="17" t="n">
        <v>3</v>
      </c>
      <c r="H890" s="5" t="inlineStr">
        <is>
          <t>7342</t>
        </is>
      </c>
      <c r="I890" s="5" t="inlineStr">
        <is>
          <t>Exterminating and Pest Control Services</t>
        </is>
      </c>
      <c r="J890" s="5" t="inlineStr">
        <is>
          <t>73</t>
        </is>
      </c>
      <c r="K890" s="5" t="n">
        <v>7342</v>
      </c>
      <c r="L890" s="5" t="inlineStr">
        <is>
          <t>MO</t>
        </is>
      </c>
      <c r="M890" s="5" t="inlineStr">
        <is>
          <t>Samson Funding</t>
        </is>
      </c>
      <c r="N890" s="5" t="inlineStr">
        <is>
          <t>Renewal</t>
        </is>
      </c>
      <c r="O890" s="19" t="n">
        <v>1.35</v>
      </c>
      <c r="P890" s="20" t="n">
        <v>15000</v>
      </c>
      <c r="Q890" s="20" t="n">
        <v>1050</v>
      </c>
      <c r="R890" s="20" t="n">
        <v>20250</v>
      </c>
      <c r="S890" s="20" t="n">
        <v>7593.12</v>
      </c>
      <c r="T890" s="20" t="n">
        <v>12656.88</v>
      </c>
      <c r="U890" s="21" t="n">
        <v>0.374968888888889</v>
      </c>
      <c r="V890" s="22" t="n">
        <v>32</v>
      </c>
      <c r="W890" s="17" t="n">
        <v>5</v>
      </c>
      <c r="X890" s="17" t="n">
        <v>0</v>
      </c>
      <c r="Y890" s="20" t="n">
        <v>12993</v>
      </c>
      <c r="Z890" s="21" t="n">
        <v>0.1948</v>
      </c>
      <c r="AA890" s="16" t="n">
        <v>45280</v>
      </c>
      <c r="AB890" s="5">
        <f>IF(V890="","",IF(V890&lt;12,"Months","Weeks"))</f>
        <v/>
      </c>
      <c r="AC890" s="5">
        <f>IF(AB890="","",IF(AB890="Months","Daily","Weekly"))</f>
        <v/>
      </c>
      <c r="AD890" s="17">
        <f>IF(V890="","",IF(AC890="Daily",V890*Controls!$B$13,V890))</f>
        <v/>
      </c>
      <c r="AE890" s="17">
        <f>IF(V890="","",IF(AC890="Daily",V890*Controls!$B$13,V890*Controls!$B$12))</f>
        <v/>
      </c>
      <c r="AF890" s="17">
        <f>IF(OR(E890="",F890=""),"",F890-E890)</f>
        <v/>
      </c>
      <c r="AG890" s="17">
        <f>IF(OR(E890="",F890=""),"",NETWORKDAYS(E890,F890,Ref!$F$4:$F$47))</f>
        <v/>
      </c>
      <c r="AH890" s="39">
        <f>IF(IFERROR(VLOOKUP(D890,Controls!$A$25:$D$35,2,FALSE()),"No")="Yes",1,0)</f>
        <v/>
      </c>
      <c r="AI890" s="39">
        <f>IF(IFERROR(VLOOKUP(D890,Controls!$A$25:$D$35,3,FALSE()),"No")="Yes",1,0)</f>
        <v/>
      </c>
      <c r="AJ890" s="39">
        <f>IF(IFERROR(VLOOKUP(D890,Controls!$A$25:$D$35,4,FALSE()),"No")="Yes",1,0)</f>
        <v/>
      </c>
      <c r="AK890" s="96">
        <f>IF(AND($E890&gt;=Controls!$B$5,$E890&lt;=Controls!$B$6,OR(Controls!$E$9&lt;&gt;"Y",$BE890=1)),1,0)</f>
        <v/>
      </c>
      <c r="AL890" s="39">
        <f>1</f>
        <v/>
      </c>
      <c r="AM890" s="20">
        <f>S890-P890</f>
        <v/>
      </c>
      <c r="AN890" s="20">
        <f>IF(AH890=1,MAX(0,P890-S890),0)</f>
        <v/>
      </c>
      <c r="AO890" s="21">
        <f>IFERROR(S890/P890,"")</f>
        <v/>
      </c>
      <c r="AP890" s="22">
        <f>IF(Y890="","",P890/Y890)</f>
        <v/>
      </c>
      <c r="AQ890" s="39">
        <f>IF(Y890="",0,1)</f>
        <v/>
      </c>
      <c r="AR890" s="39">
        <f>IF(S890&lt;=0,1,0)</f>
        <v/>
      </c>
      <c r="AS890" s="17">
        <f>IF(AH890=1,AG890,"")</f>
        <v/>
      </c>
      <c r="AT890" s="17">
        <f>IF(AND(AH890=0,AJ890=1),AG890,"")</f>
        <v/>
      </c>
      <c r="AU890" s="5">
        <f>IF(P890&lt;10000,"Under $10K",IF(P890&lt;20000,"$10-20K",IF(P890&lt;30000,"$20-30K",IF(P890&lt;50000,"$30-50K",IF(P890&lt;100000,"$50-100K","$100K+")))))</f>
        <v/>
      </c>
      <c r="AV890" s="5">
        <f>IF(O890&lt;=1.35,"1.35 and under",IF(O890&lt;=1.42,"1.36-1.42",IF(O890&lt;=1.45,"1.43-1.45",IF(O890&lt;1.49,"1.46-1.48",IF(O890&lt;=1.49,"1.49","Above 1.49")))))</f>
        <v/>
      </c>
      <c r="AW890" s="5">
        <f>IF(AE890="","",IF(AE890&lt;60,"Under 60",IF(AE890&lt;90,"60-89",IF(AE890&lt;120,"90-119",IF(AE890&lt;150,"120-149","150+")))))</f>
        <v/>
      </c>
      <c r="AX890" s="5">
        <f>IF(AP890="","No revenue data",IF(AP890&lt;0.15,"Under 0.15x",IF(AP890&lt;0.3,"0.15-0.30x",IF(AP890&lt;0.5,"0.30-0.50x",IF(AP890&lt;1,"0.50-1.00x","1.00x+")))))</f>
        <v/>
      </c>
      <c r="AY890" s="5">
        <f>IF(J890="","No SIC",IFERROR(VLOOKUP(J890,Ref!$A$4:$C$67,2,FALSE()),"Unclassified"))</f>
        <v/>
      </c>
      <c r="AZ890" s="5">
        <f>IF(E890="","",TEXT(E890,"YYYY")&amp;"-Q"&amp;ROUNDUP(MONTH(E890)/3,0))</f>
        <v/>
      </c>
      <c r="BA890" s="5">
        <f>IF(E890="","",TEXT(E890,"YYYY-MM"))</f>
        <v/>
      </c>
      <c r="BB890" s="5">
        <f>IF(E890="","",TEXT(E890,"YYYY"))</f>
        <v/>
      </c>
      <c r="BC890" s="92">
        <f>IF($E890="","",NETWORKDAYS($E890,Controls!$B$9,Ref!$F$4:$F$47))</f>
        <v/>
      </c>
      <c r="BD890" s="92">
        <f>IF(OR($AH890=1,$AJ890=1),1,0)</f>
        <v/>
      </c>
      <c r="BE890" s="95">
        <f>IF(OR($BD890=1,AND($AE890&lt;&gt;"",$BC890&gt;=Controls!$B$10*$AE890)),1,0)</f>
        <v/>
      </c>
    </row>
    <row r="891" ht="15.75" customHeight="1" s="79">
      <c r="A891" s="5" t="inlineStr">
        <is>
          <t>5674184040</t>
        </is>
      </c>
      <c r="B891" s="5" t="inlineStr">
        <is>
          <t>TASHAV'S CARIBBEAN &amp; SOUL FOOD CUISINE</t>
        </is>
      </c>
      <c r="C891" s="5" t="inlineStr">
        <is>
          <t>TASHA'S CARIBBEAN &amp; SOUL FOOD</t>
        </is>
      </c>
      <c r="D891" s="5" t="inlineStr">
        <is>
          <t>Open</t>
        </is>
      </c>
      <c r="E891" s="16" t="n">
        <v>46162</v>
      </c>
      <c r="F891" s="16" t="n">
        <v>46241</v>
      </c>
      <c r="G891" s="17" t="n">
        <v>3</v>
      </c>
      <c r="H891" s="5" t="inlineStr">
        <is>
          <t>5812</t>
        </is>
      </c>
      <c r="I891" s="5" t="inlineStr">
        <is>
          <t>Snack and Nonalcoholic Beverage Bars</t>
        </is>
      </c>
      <c r="J891" s="5" t="inlineStr">
        <is>
          <t>58</t>
        </is>
      </c>
      <c r="K891" s="5" t="n">
        <v>5812</v>
      </c>
      <c r="L891" s="5" t="inlineStr">
        <is>
          <t>NJ</t>
        </is>
      </c>
      <c r="M891" s="5" t="inlineStr">
        <is>
          <t>Ballicci</t>
        </is>
      </c>
      <c r="N891" s="5" t="inlineStr">
        <is>
          <t>Renewal</t>
        </is>
      </c>
      <c r="O891" s="19" t="n">
        <v>1.42</v>
      </c>
      <c r="P891" s="20" t="n">
        <v>19000</v>
      </c>
      <c r="Q891" s="20" t="n">
        <v>1995</v>
      </c>
      <c r="R891" s="20" t="n">
        <v>26980</v>
      </c>
      <c r="S891" s="20" t="n">
        <v>8996.16</v>
      </c>
      <c r="T891" s="20" t="n">
        <v>17983.84</v>
      </c>
      <c r="U891" s="21" t="n">
        <v>0.333438102297999</v>
      </c>
      <c r="V891" s="22" t="n">
        <v>24</v>
      </c>
      <c r="W891" s="17" t="n">
        <v>19</v>
      </c>
      <c r="X891" s="17" t="n">
        <v>1</v>
      </c>
      <c r="Y891" s="20" t="n">
        <v>39147.9</v>
      </c>
      <c r="Z891" s="21" t="n">
        <v>0.1149</v>
      </c>
      <c r="AA891" s="16" t="n">
        <v>43466</v>
      </c>
      <c r="AB891" s="5">
        <f>IF(V891="","",IF(V891&lt;12,"Months","Weeks"))</f>
        <v/>
      </c>
      <c r="AC891" s="5">
        <f>IF(AB891="","",IF(AB891="Months","Daily","Weekly"))</f>
        <v/>
      </c>
      <c r="AD891" s="17">
        <f>IF(V891="","",IF(AC891="Daily",V891*Controls!$B$13,V891))</f>
        <v/>
      </c>
      <c r="AE891" s="17">
        <f>IF(V891="","",IF(AC891="Daily",V891*Controls!$B$13,V891*Controls!$B$12))</f>
        <v/>
      </c>
      <c r="AF891" s="17">
        <f>IF(OR(E891="",F891=""),"",F891-E891)</f>
        <v/>
      </c>
      <c r="AG891" s="17">
        <f>IF(OR(E891="",F891=""),"",NETWORKDAYS(E891,F891,Ref!$F$4:$F$47))</f>
        <v/>
      </c>
      <c r="AH891" s="39">
        <f>IF(IFERROR(VLOOKUP(D891,Controls!$A$25:$D$35,2,FALSE()),"No")="Yes",1,0)</f>
        <v/>
      </c>
      <c r="AI891" s="39">
        <f>IF(IFERROR(VLOOKUP(D891,Controls!$A$25:$D$35,3,FALSE()),"No")="Yes",1,0)</f>
        <v/>
      </c>
      <c r="AJ891" s="39">
        <f>IF(IFERROR(VLOOKUP(D891,Controls!$A$25:$D$35,4,FALSE()),"No")="Yes",1,0)</f>
        <v/>
      </c>
      <c r="AK891" s="96">
        <f>IF(AND($E891&gt;=Controls!$B$5,$E891&lt;=Controls!$B$6,OR(Controls!$E$9&lt;&gt;"Y",$BE891=1)),1,0)</f>
        <v/>
      </c>
      <c r="AL891" s="39">
        <f>1</f>
        <v/>
      </c>
      <c r="AM891" s="20">
        <f>S891-P891</f>
        <v/>
      </c>
      <c r="AN891" s="20">
        <f>IF(AH891=1,MAX(0,P891-S891),0)</f>
        <v/>
      </c>
      <c r="AO891" s="21">
        <f>IFERROR(S891/P891,"")</f>
        <v/>
      </c>
      <c r="AP891" s="22">
        <f>IF(Y891="","",P891/Y891)</f>
        <v/>
      </c>
      <c r="AQ891" s="39">
        <f>IF(Y891="",0,1)</f>
        <v/>
      </c>
      <c r="AR891" s="39">
        <f>IF(S891&lt;=0,1,0)</f>
        <v/>
      </c>
      <c r="AS891" s="17">
        <f>IF(AH891=1,AG891,"")</f>
        <v/>
      </c>
      <c r="AT891" s="17">
        <f>IF(AND(AH891=0,AJ891=1),AG891,"")</f>
        <v/>
      </c>
      <c r="AU891" s="5">
        <f>IF(P891&lt;10000,"Under $10K",IF(P891&lt;20000,"$10-20K",IF(P891&lt;30000,"$20-30K",IF(P891&lt;50000,"$30-50K",IF(P891&lt;100000,"$50-100K","$100K+")))))</f>
        <v/>
      </c>
      <c r="AV891" s="5">
        <f>IF(O891&lt;=1.35,"1.35 and under",IF(O891&lt;=1.42,"1.36-1.42",IF(O891&lt;=1.45,"1.43-1.45",IF(O891&lt;1.49,"1.46-1.48",IF(O891&lt;=1.49,"1.49","Above 1.49")))))</f>
        <v/>
      </c>
      <c r="AW891" s="5">
        <f>IF(AE891="","",IF(AE891&lt;60,"Under 60",IF(AE891&lt;90,"60-89",IF(AE891&lt;120,"90-119",IF(AE891&lt;150,"120-149","150+")))))</f>
        <v/>
      </c>
      <c r="AX891" s="5">
        <f>IF(AP891="","No revenue data",IF(AP891&lt;0.15,"Under 0.15x",IF(AP891&lt;0.3,"0.15-0.30x",IF(AP891&lt;0.5,"0.30-0.50x",IF(AP891&lt;1,"0.50-1.00x","1.00x+")))))</f>
        <v/>
      </c>
      <c r="AY891" s="5">
        <f>IF(J891="","No SIC",IFERROR(VLOOKUP(J891,Ref!$A$4:$C$67,2,FALSE()),"Unclassified"))</f>
        <v/>
      </c>
      <c r="AZ891" s="5">
        <f>IF(E891="","",TEXT(E891,"YYYY")&amp;"-Q"&amp;ROUNDUP(MONTH(E891)/3,0))</f>
        <v/>
      </c>
      <c r="BA891" s="5">
        <f>IF(E891="","",TEXT(E891,"YYYY-MM"))</f>
        <v/>
      </c>
      <c r="BB891" s="5">
        <f>IF(E891="","",TEXT(E891,"YYYY"))</f>
        <v/>
      </c>
      <c r="BC891" s="92">
        <f>IF($E891="","",NETWORKDAYS($E891,Controls!$B$9,Ref!$F$4:$F$47))</f>
        <v/>
      </c>
      <c r="BD891" s="92">
        <f>IF(OR($AH891=1,$AJ891=1),1,0)</f>
        <v/>
      </c>
      <c r="BE891" s="95">
        <f>IF(OR($BD891=1,AND($AE891&lt;&gt;"",$BC891&gt;=Controls!$B$10*$AE891)),1,0)</f>
        <v/>
      </c>
    </row>
    <row r="892" ht="15.75" customHeight="1" s="79">
      <c r="A892" s="5" t="inlineStr">
        <is>
          <t>5674184066</t>
        </is>
      </c>
      <c r="B892" s="5" t="inlineStr">
        <is>
          <t>YOUR FAMILY HEALTHCARE</t>
        </is>
      </c>
      <c r="C892" s="5" t="inlineStr">
        <is>
          <t>YOUR FAMILY HEALTHCARE LLC</t>
        </is>
      </c>
      <c r="D892" s="5" t="inlineStr">
        <is>
          <t>Open</t>
        </is>
      </c>
      <c r="E892" s="16" t="n">
        <v>46163</v>
      </c>
      <c r="F892" s="16" t="n">
        <v>46247</v>
      </c>
      <c r="G892" s="17" t="n">
        <v>3</v>
      </c>
      <c r="H892" s="5" t="inlineStr">
        <is>
          <t>8011</t>
        </is>
      </c>
      <c r="I892" s="5" t="inlineStr">
        <is>
          <t>Offices of Physicians (Except Mental Health Specialists)</t>
        </is>
      </c>
      <c r="J892" s="5" t="inlineStr">
        <is>
          <t>80</t>
        </is>
      </c>
      <c r="K892" s="5" t="n">
        <v>8011</v>
      </c>
      <c r="L892" s="5" t="inlineStr">
        <is>
          <t>TX</t>
        </is>
      </c>
      <c r="M892" s="5" t="inlineStr">
        <is>
          <t>SNB CAPITAL 18 LLC</t>
        </is>
      </c>
      <c r="N892" s="5" t="inlineStr">
        <is>
          <t>New Deal</t>
        </is>
      </c>
      <c r="O892" s="19" t="n">
        <v>1.45</v>
      </c>
      <c r="P892" s="20" t="n">
        <v>200000</v>
      </c>
      <c r="Q892" s="20" t="n">
        <v>24000</v>
      </c>
      <c r="R892" s="20" t="n">
        <v>290000</v>
      </c>
      <c r="S892" s="20" t="n">
        <v>90479.17999999999</v>
      </c>
      <c r="T892" s="20" t="n">
        <v>199520.82</v>
      </c>
      <c r="U892" s="21" t="n">
        <v>0.311997172413793</v>
      </c>
      <c r="V892" s="22" t="n">
        <v>36</v>
      </c>
      <c r="W892" s="17" t="n">
        <v>6</v>
      </c>
      <c r="X892" s="17" t="n">
        <v>1</v>
      </c>
      <c r="Y892" s="20" t="n">
        <v>465351.99</v>
      </c>
      <c r="Z892" s="21" t="n">
        <v>0.0692</v>
      </c>
      <c r="AA892" s="16" t="n">
        <v>42826</v>
      </c>
      <c r="AB892" s="5">
        <f>IF(V892="","",IF(V892&lt;12,"Months","Weeks"))</f>
        <v/>
      </c>
      <c r="AC892" s="5">
        <f>IF(AB892="","",IF(AB892="Months","Daily","Weekly"))</f>
        <v/>
      </c>
      <c r="AD892" s="17">
        <f>IF(V892="","",IF(AC892="Daily",V892*Controls!$B$13,V892))</f>
        <v/>
      </c>
      <c r="AE892" s="17">
        <f>IF(V892="","",IF(AC892="Daily",V892*Controls!$B$13,V892*Controls!$B$12))</f>
        <v/>
      </c>
      <c r="AF892" s="17">
        <f>IF(OR(E892="",F892=""),"",F892-E892)</f>
        <v/>
      </c>
      <c r="AG892" s="17">
        <f>IF(OR(E892="",F892=""),"",NETWORKDAYS(E892,F892,Ref!$F$4:$F$47))</f>
        <v/>
      </c>
      <c r="AH892" s="39">
        <f>IF(IFERROR(VLOOKUP(D892,Controls!$A$25:$D$35,2,FALSE()),"No")="Yes",1,0)</f>
        <v/>
      </c>
      <c r="AI892" s="39">
        <f>IF(IFERROR(VLOOKUP(D892,Controls!$A$25:$D$35,3,FALSE()),"No")="Yes",1,0)</f>
        <v/>
      </c>
      <c r="AJ892" s="39">
        <f>IF(IFERROR(VLOOKUP(D892,Controls!$A$25:$D$35,4,FALSE()),"No")="Yes",1,0)</f>
        <v/>
      </c>
      <c r="AK892" s="96">
        <f>IF(AND($E892&gt;=Controls!$B$5,$E892&lt;=Controls!$B$6,OR(Controls!$E$9&lt;&gt;"Y",$BE892=1)),1,0)</f>
        <v/>
      </c>
      <c r="AL892" s="39">
        <f>1</f>
        <v/>
      </c>
      <c r="AM892" s="20">
        <f>S892-P892</f>
        <v/>
      </c>
      <c r="AN892" s="20">
        <f>IF(AH892=1,MAX(0,P892-S892),0)</f>
        <v/>
      </c>
      <c r="AO892" s="21">
        <f>IFERROR(S892/P892,"")</f>
        <v/>
      </c>
      <c r="AP892" s="22">
        <f>IF(Y892="","",P892/Y892)</f>
        <v/>
      </c>
      <c r="AQ892" s="39">
        <f>IF(Y892="",0,1)</f>
        <v/>
      </c>
      <c r="AR892" s="39">
        <f>IF(S892&lt;=0,1,0)</f>
        <v/>
      </c>
      <c r="AS892" s="17">
        <f>IF(AH892=1,AG892,"")</f>
        <v/>
      </c>
      <c r="AT892" s="17">
        <f>IF(AND(AH892=0,AJ892=1),AG892,"")</f>
        <v/>
      </c>
      <c r="AU892" s="5">
        <f>IF(P892&lt;10000,"Under $10K",IF(P892&lt;20000,"$10-20K",IF(P892&lt;30000,"$20-30K",IF(P892&lt;50000,"$30-50K",IF(P892&lt;100000,"$50-100K","$100K+")))))</f>
        <v/>
      </c>
      <c r="AV892" s="5">
        <f>IF(O892&lt;=1.35,"1.35 and under",IF(O892&lt;=1.42,"1.36-1.42",IF(O892&lt;=1.45,"1.43-1.45",IF(O892&lt;1.49,"1.46-1.48",IF(O892&lt;=1.49,"1.49","Above 1.49")))))</f>
        <v/>
      </c>
      <c r="AW892" s="5">
        <f>IF(AE892="","",IF(AE892&lt;60,"Under 60",IF(AE892&lt;90,"60-89",IF(AE892&lt;120,"90-119",IF(AE892&lt;150,"120-149","150+")))))</f>
        <v/>
      </c>
      <c r="AX892" s="5">
        <f>IF(AP892="","No revenue data",IF(AP892&lt;0.15,"Under 0.15x",IF(AP892&lt;0.3,"0.15-0.30x",IF(AP892&lt;0.5,"0.30-0.50x",IF(AP892&lt;1,"0.50-1.00x","1.00x+")))))</f>
        <v/>
      </c>
      <c r="AY892" s="5">
        <f>IF(J892="","No SIC",IFERROR(VLOOKUP(J892,Ref!$A$4:$C$67,2,FALSE()),"Unclassified"))</f>
        <v/>
      </c>
      <c r="AZ892" s="5">
        <f>IF(E892="","",TEXT(E892,"YYYY")&amp;"-Q"&amp;ROUNDUP(MONTH(E892)/3,0))</f>
        <v/>
      </c>
      <c r="BA892" s="5">
        <f>IF(E892="","",TEXT(E892,"YYYY-MM"))</f>
        <v/>
      </c>
      <c r="BB892" s="5">
        <f>IF(E892="","",TEXT(E892,"YYYY"))</f>
        <v/>
      </c>
      <c r="BC892" s="92">
        <f>IF($E892="","",NETWORKDAYS($E892,Controls!$B$9,Ref!$F$4:$F$47))</f>
        <v/>
      </c>
      <c r="BD892" s="92">
        <f>IF(OR($AH892=1,$AJ892=1),1,0)</f>
        <v/>
      </c>
      <c r="BE892" s="95">
        <f>IF(OR($BD892=1,AND($AE892&lt;&gt;"",$BC892&gt;=Controls!$B$10*$AE892)),1,0)</f>
        <v/>
      </c>
    </row>
    <row r="893" ht="15.75" customHeight="1" s="79">
      <c r="A893" s="5" t="inlineStr">
        <is>
          <t>5674184091</t>
        </is>
      </c>
      <c r="B893" s="5" t="inlineStr">
        <is>
          <t>Millersroom</t>
        </is>
      </c>
      <c r="C893" s="5" t="inlineStr">
        <is>
          <t>MILLERSROOM LLC, MARQUISE MILLER</t>
        </is>
      </c>
      <c r="D893" s="5" t="inlineStr">
        <is>
          <t>Open</t>
        </is>
      </c>
      <c r="E893" s="16" t="n">
        <v>46163</v>
      </c>
      <c r="F893" s="16" t="n">
        <v>46253</v>
      </c>
      <c r="G893" s="17" t="n">
        <v>1</v>
      </c>
      <c r="H893" s="5" t="inlineStr">
        <is>
          <t>5651</t>
        </is>
      </c>
      <c r="I893" s="5" t="inlineStr">
        <is>
          <t>Family Clothing Stores</t>
        </is>
      </c>
      <c r="J893" s="5" t="inlineStr">
        <is>
          <t>56</t>
        </is>
      </c>
      <c r="K893" s="5" t="n">
        <v>5651</v>
      </c>
      <c r="L893" s="5" t="inlineStr">
        <is>
          <t>CA</t>
        </is>
      </c>
      <c r="M893" s="5" t="inlineStr">
        <is>
          <t>United Secured Capital 8</t>
        </is>
      </c>
      <c r="N893" s="5" t="inlineStr">
        <is>
          <t>New Deal</t>
        </is>
      </c>
      <c r="O893" s="19" t="n">
        <v>1.45</v>
      </c>
      <c r="P893" s="20" t="n">
        <v>13000</v>
      </c>
      <c r="Q893" s="20" t="n">
        <v>1560</v>
      </c>
      <c r="R893" s="20" t="n">
        <v>18850</v>
      </c>
      <c r="S893" s="20" t="n">
        <v>7534.32</v>
      </c>
      <c r="T893" s="20" t="n">
        <v>11315.68</v>
      </c>
      <c r="U893" s="21" t="n">
        <v>0.399698673740053</v>
      </c>
      <c r="V893" s="22" t="n">
        <v>18</v>
      </c>
      <c r="W893" s="17" t="n">
        <v>0</v>
      </c>
      <c r="X893" s="17" t="n">
        <v>5</v>
      </c>
      <c r="Y893" s="20" t="n">
        <v>66458.27</v>
      </c>
      <c r="Z893" s="21" t="n">
        <v>0.063</v>
      </c>
      <c r="AA893" s="16" t="n">
        <v>42740</v>
      </c>
      <c r="AB893" s="5">
        <f>IF(V893="","",IF(V893&lt;12,"Months","Weeks"))</f>
        <v/>
      </c>
      <c r="AC893" s="5">
        <f>IF(AB893="","",IF(AB893="Months","Daily","Weekly"))</f>
        <v/>
      </c>
      <c r="AD893" s="17">
        <f>IF(V893="","",IF(AC893="Daily",V893*Controls!$B$13,V893))</f>
        <v/>
      </c>
      <c r="AE893" s="17">
        <f>IF(V893="","",IF(AC893="Daily",V893*Controls!$B$13,V893*Controls!$B$12))</f>
        <v/>
      </c>
      <c r="AF893" s="17">
        <f>IF(OR(E893="",F893=""),"",F893-E893)</f>
        <v/>
      </c>
      <c r="AG893" s="17">
        <f>IF(OR(E893="",F893=""),"",NETWORKDAYS(E893,F893,Ref!$F$4:$F$47))</f>
        <v/>
      </c>
      <c r="AH893" s="39">
        <f>IF(IFERROR(VLOOKUP(D893,Controls!$A$25:$D$35,2,FALSE()),"No")="Yes",1,0)</f>
        <v/>
      </c>
      <c r="AI893" s="39">
        <f>IF(IFERROR(VLOOKUP(D893,Controls!$A$25:$D$35,3,FALSE()),"No")="Yes",1,0)</f>
        <v/>
      </c>
      <c r="AJ893" s="39">
        <f>IF(IFERROR(VLOOKUP(D893,Controls!$A$25:$D$35,4,FALSE()),"No")="Yes",1,0)</f>
        <v/>
      </c>
      <c r="AK893" s="96">
        <f>IF(AND($E893&gt;=Controls!$B$5,$E893&lt;=Controls!$B$6,OR(Controls!$E$9&lt;&gt;"Y",$BE893=1)),1,0)</f>
        <v/>
      </c>
      <c r="AL893" s="39">
        <f>1</f>
        <v/>
      </c>
      <c r="AM893" s="20">
        <f>S893-P893</f>
        <v/>
      </c>
      <c r="AN893" s="20">
        <f>IF(AH893=1,MAX(0,P893-S893),0)</f>
        <v/>
      </c>
      <c r="AO893" s="21">
        <f>IFERROR(S893/P893,"")</f>
        <v/>
      </c>
      <c r="AP893" s="22">
        <f>IF(Y893="","",P893/Y893)</f>
        <v/>
      </c>
      <c r="AQ893" s="39">
        <f>IF(Y893="",0,1)</f>
        <v/>
      </c>
      <c r="AR893" s="39">
        <f>IF(S893&lt;=0,1,0)</f>
        <v/>
      </c>
      <c r="AS893" s="17">
        <f>IF(AH893=1,AG893,"")</f>
        <v/>
      </c>
      <c r="AT893" s="17">
        <f>IF(AND(AH893=0,AJ893=1),AG893,"")</f>
        <v/>
      </c>
      <c r="AU893" s="5">
        <f>IF(P893&lt;10000,"Under $10K",IF(P893&lt;20000,"$10-20K",IF(P893&lt;30000,"$20-30K",IF(P893&lt;50000,"$30-50K",IF(P893&lt;100000,"$50-100K","$100K+")))))</f>
        <v/>
      </c>
      <c r="AV893" s="5">
        <f>IF(O893&lt;=1.35,"1.35 and under",IF(O893&lt;=1.42,"1.36-1.42",IF(O893&lt;=1.45,"1.43-1.45",IF(O893&lt;1.49,"1.46-1.48",IF(O893&lt;=1.49,"1.49","Above 1.49")))))</f>
        <v/>
      </c>
      <c r="AW893" s="5">
        <f>IF(AE893="","",IF(AE893&lt;60,"Under 60",IF(AE893&lt;90,"60-89",IF(AE893&lt;120,"90-119",IF(AE893&lt;150,"120-149","150+")))))</f>
        <v/>
      </c>
      <c r="AX893" s="5">
        <f>IF(AP893="","No revenue data",IF(AP893&lt;0.15,"Under 0.15x",IF(AP893&lt;0.3,"0.15-0.30x",IF(AP893&lt;0.5,"0.30-0.50x",IF(AP893&lt;1,"0.50-1.00x","1.00x+")))))</f>
        <v/>
      </c>
      <c r="AY893" s="5">
        <f>IF(J893="","No SIC",IFERROR(VLOOKUP(J893,Ref!$A$4:$C$67,2,FALSE()),"Unclassified"))</f>
        <v/>
      </c>
      <c r="AZ893" s="5">
        <f>IF(E893="","",TEXT(E893,"YYYY")&amp;"-Q"&amp;ROUNDUP(MONTH(E893)/3,0))</f>
        <v/>
      </c>
      <c r="BA893" s="5">
        <f>IF(E893="","",TEXT(E893,"YYYY-MM"))</f>
        <v/>
      </c>
      <c r="BB893" s="5">
        <f>IF(E893="","",TEXT(E893,"YYYY"))</f>
        <v/>
      </c>
      <c r="BC893" s="92">
        <f>IF($E893="","",NETWORKDAYS($E893,Controls!$B$9,Ref!$F$4:$F$47))</f>
        <v/>
      </c>
      <c r="BD893" s="92">
        <f>IF(OR($AH893=1,$AJ893=1),1,0)</f>
        <v/>
      </c>
      <c r="BE893" s="95">
        <f>IF(OR($BD893=1,AND($AE893&lt;&gt;"",$BC893&gt;=Controls!$B$10*$AE893)),1,0)</f>
        <v/>
      </c>
    </row>
    <row r="894" ht="15.75" customHeight="1" s="79">
      <c r="A894" s="5" t="inlineStr">
        <is>
          <t>5674184099</t>
        </is>
      </c>
      <c r="B894" s="5" t="inlineStr">
        <is>
          <t>S&amp;R JANITORIAL SERVICE LLC</t>
        </is>
      </c>
      <c r="C894" s="5" t="inlineStr">
        <is>
          <t>S&amp;R JANITORIAL SERVICE LLC</t>
        </is>
      </c>
      <c r="D894" s="5" t="inlineStr">
        <is>
          <t>Closed</t>
        </is>
      </c>
      <c r="E894" s="16" t="n">
        <v>46163</v>
      </c>
      <c r="F894" s="16" t="n">
        <v>46244</v>
      </c>
      <c r="G894" s="17" t="n">
        <v>3</v>
      </c>
      <c r="H894" s="5" t="inlineStr">
        <is>
          <t>7349</t>
        </is>
      </c>
      <c r="I894" s="5" t="inlineStr">
        <is>
          <t>Janitorial Services</t>
        </is>
      </c>
      <c r="J894" s="5" t="inlineStr">
        <is>
          <t>73</t>
        </is>
      </c>
      <c r="K894" s="5" t="n">
        <v>7349</v>
      </c>
      <c r="L894" s="5" t="inlineStr">
        <is>
          <t>CA</t>
        </is>
      </c>
      <c r="M894" s="5" t="inlineStr">
        <is>
          <t>Linked In Funding</t>
        </is>
      </c>
      <c r="N894" s="5" t="inlineStr">
        <is>
          <t>Renewal</t>
        </is>
      </c>
      <c r="O894" s="19" t="n">
        <v>1.49</v>
      </c>
      <c r="P894" s="20" t="n">
        <v>15000</v>
      </c>
      <c r="Q894" s="20" t="n">
        <v>2100</v>
      </c>
      <c r="R894" s="20" t="n">
        <v>22350</v>
      </c>
      <c r="S894" s="20" t="n">
        <v>22350</v>
      </c>
      <c r="T894" s="20" t="n">
        <v>0</v>
      </c>
      <c r="U894" s="21" t="n">
        <v>1</v>
      </c>
      <c r="V894" s="22" t="n">
        <v>3.279</v>
      </c>
      <c r="W894" s="17" t="n">
        <v>9</v>
      </c>
      <c r="X894" s="17" t="n">
        <v>2</v>
      </c>
      <c r="Y894" s="20" t="n">
        <v>94527.25999999999</v>
      </c>
      <c r="Z894" s="21" t="n">
        <v>0.0497</v>
      </c>
      <c r="AA894" s="16" t="n">
        <v>42906</v>
      </c>
      <c r="AB894" s="5">
        <f>IF(V894="","",IF(V894&lt;12,"Months","Weeks"))</f>
        <v/>
      </c>
      <c r="AC894" s="5">
        <f>IF(AB894="","",IF(AB894="Months","Daily","Weekly"))</f>
        <v/>
      </c>
      <c r="AD894" s="17">
        <f>IF(V894="","",IF(AC894="Daily",V894*Controls!$B$13,V894))</f>
        <v/>
      </c>
      <c r="AE894" s="17">
        <f>IF(V894="","",IF(AC894="Daily",V894*Controls!$B$13,V894*Controls!$B$12))</f>
        <v/>
      </c>
      <c r="AF894" s="17">
        <f>IF(OR(E894="",F894=""),"",F894-E894)</f>
        <v/>
      </c>
      <c r="AG894" s="17">
        <f>IF(OR(E894="",F894=""),"",NETWORKDAYS(E894,F894,Ref!$F$4:$F$47))</f>
        <v/>
      </c>
      <c r="AH894" s="39">
        <f>IF(IFERROR(VLOOKUP(D894,Controls!$A$25:$D$35,2,FALSE()),"No")="Yes",1,0)</f>
        <v/>
      </c>
      <c r="AI894" s="39">
        <f>IF(IFERROR(VLOOKUP(D894,Controls!$A$25:$D$35,3,FALSE()),"No")="Yes",1,0)</f>
        <v/>
      </c>
      <c r="AJ894" s="39">
        <f>IF(IFERROR(VLOOKUP(D894,Controls!$A$25:$D$35,4,FALSE()),"No")="Yes",1,0)</f>
        <v/>
      </c>
      <c r="AK894" s="96">
        <f>IF(AND($E894&gt;=Controls!$B$5,$E894&lt;=Controls!$B$6,OR(Controls!$E$9&lt;&gt;"Y",$BE894=1)),1,0)</f>
        <v/>
      </c>
      <c r="AL894" s="39">
        <f>1</f>
        <v/>
      </c>
      <c r="AM894" s="20">
        <f>S894-P894</f>
        <v/>
      </c>
      <c r="AN894" s="20">
        <f>IF(AH894=1,MAX(0,P894-S894),0)</f>
        <v/>
      </c>
      <c r="AO894" s="21">
        <f>IFERROR(S894/P894,"")</f>
        <v/>
      </c>
      <c r="AP894" s="22">
        <f>IF(Y894="","",P894/Y894)</f>
        <v/>
      </c>
      <c r="AQ894" s="39">
        <f>IF(Y894="",0,1)</f>
        <v/>
      </c>
      <c r="AR894" s="39">
        <f>IF(S894&lt;=0,1,0)</f>
        <v/>
      </c>
      <c r="AS894" s="17">
        <f>IF(AH894=1,AG894,"")</f>
        <v/>
      </c>
      <c r="AT894" s="17">
        <f>IF(AND(AH894=0,AJ894=1),AG894,"")</f>
        <v/>
      </c>
      <c r="AU894" s="5">
        <f>IF(P894&lt;10000,"Under $10K",IF(P894&lt;20000,"$10-20K",IF(P894&lt;30000,"$20-30K",IF(P894&lt;50000,"$30-50K",IF(P894&lt;100000,"$50-100K","$100K+")))))</f>
        <v/>
      </c>
      <c r="AV894" s="5">
        <f>IF(O894&lt;=1.35,"1.35 and under",IF(O894&lt;=1.42,"1.36-1.42",IF(O894&lt;=1.45,"1.43-1.45",IF(O894&lt;1.49,"1.46-1.48",IF(O894&lt;=1.49,"1.49","Above 1.49")))))</f>
        <v/>
      </c>
      <c r="AW894" s="5">
        <f>IF(AE894="","",IF(AE894&lt;60,"Under 60",IF(AE894&lt;90,"60-89",IF(AE894&lt;120,"90-119",IF(AE894&lt;150,"120-149","150+")))))</f>
        <v/>
      </c>
      <c r="AX894" s="5">
        <f>IF(AP894="","No revenue data",IF(AP894&lt;0.15,"Under 0.15x",IF(AP894&lt;0.3,"0.15-0.30x",IF(AP894&lt;0.5,"0.30-0.50x",IF(AP894&lt;1,"0.50-1.00x","1.00x+")))))</f>
        <v/>
      </c>
      <c r="AY894" s="5">
        <f>IF(J894="","No SIC",IFERROR(VLOOKUP(J894,Ref!$A$4:$C$67,2,FALSE()),"Unclassified"))</f>
        <v/>
      </c>
      <c r="AZ894" s="5">
        <f>IF(E894="","",TEXT(E894,"YYYY")&amp;"-Q"&amp;ROUNDUP(MONTH(E894)/3,0))</f>
        <v/>
      </c>
      <c r="BA894" s="5">
        <f>IF(E894="","",TEXT(E894,"YYYY-MM"))</f>
        <v/>
      </c>
      <c r="BB894" s="5">
        <f>IF(E894="","",TEXT(E894,"YYYY"))</f>
        <v/>
      </c>
      <c r="BC894" s="92">
        <f>IF($E894="","",NETWORKDAYS($E894,Controls!$B$9,Ref!$F$4:$F$47))</f>
        <v/>
      </c>
      <c r="BD894" s="92">
        <f>IF(OR($AH894=1,$AJ894=1),1,0)</f>
        <v/>
      </c>
      <c r="BE894" s="95">
        <f>IF(OR($BD894=1,AND($AE894&lt;&gt;"",$BC894&gt;=Controls!$B$10*$AE894)),1,0)</f>
        <v/>
      </c>
    </row>
    <row r="895" ht="15.75" customHeight="1" s="79">
      <c r="A895" s="5" t="inlineStr">
        <is>
          <t>5674184124</t>
        </is>
      </c>
      <c r="B895" s="5" t="inlineStr">
        <is>
          <t>FLOW KING ROOTER DBA  FLOW KING ROOTER PLUMBING DBA FLOW KING SERVICES LLC</t>
        </is>
      </c>
      <c r="C895" s="5" t="inlineStr">
        <is>
          <t>FLOW KING ROOTER LLC</t>
        </is>
      </c>
      <c r="D895" s="5" t="inlineStr">
        <is>
          <t>Open</t>
        </is>
      </c>
      <c r="E895" s="16" t="n">
        <v>46163</v>
      </c>
      <c r="F895" s="16" t="n">
        <v>46253</v>
      </c>
      <c r="G895" s="17" t="n">
        <v>2</v>
      </c>
      <c r="H895" s="5" t="inlineStr">
        <is>
          <t>1711</t>
        </is>
      </c>
      <c r="I895" s="5" t="inlineStr">
        <is>
          <t>Plumbing, Heating, and Air Conditioning Contractors</t>
        </is>
      </c>
      <c r="J895" s="5" t="inlineStr">
        <is>
          <t>17</t>
        </is>
      </c>
      <c r="K895" s="5" t="n">
        <v>1711</v>
      </c>
      <c r="L895" s="5" t="inlineStr">
        <is>
          <t>MO</t>
        </is>
      </c>
      <c r="M895" s="5" t="inlineStr">
        <is>
          <t>PMF</t>
        </is>
      </c>
      <c r="N895" s="5" t="inlineStr">
        <is>
          <t>New Deal</t>
        </is>
      </c>
      <c r="O895" s="19" t="n">
        <v>1.45</v>
      </c>
      <c r="P895" s="20" t="n">
        <v>75000</v>
      </c>
      <c r="Q895" s="20" t="n">
        <v>9000</v>
      </c>
      <c r="R895" s="20" t="n">
        <v>108750</v>
      </c>
      <c r="S895" s="20" t="n">
        <v>38518.74</v>
      </c>
      <c r="T895" s="20" t="n">
        <v>70231.25999999999</v>
      </c>
      <c r="U895" s="21" t="n">
        <v>0.354195310344828</v>
      </c>
      <c r="V895" s="22" t="n">
        <v>5.738</v>
      </c>
      <c r="W895" s="17" t="n">
        <v>0</v>
      </c>
      <c r="X895" s="17" t="n">
        <v>0</v>
      </c>
      <c r="Y895" s="20" t="n">
        <v>217444.77</v>
      </c>
      <c r="Z895" s="21" t="n">
        <v>0.06</v>
      </c>
      <c r="AA895" s="16" t="n">
        <v>42856</v>
      </c>
      <c r="AB895" s="5">
        <f>IF(V895="","",IF(V895&lt;12,"Months","Weeks"))</f>
        <v/>
      </c>
      <c r="AC895" s="5">
        <f>IF(AB895="","",IF(AB895="Months","Daily","Weekly"))</f>
        <v/>
      </c>
      <c r="AD895" s="17">
        <f>IF(V895="","",IF(AC895="Daily",V895*Controls!$B$13,V895))</f>
        <v/>
      </c>
      <c r="AE895" s="17">
        <f>IF(V895="","",IF(AC895="Daily",V895*Controls!$B$13,V895*Controls!$B$12))</f>
        <v/>
      </c>
      <c r="AF895" s="17">
        <f>IF(OR(E895="",F895=""),"",F895-E895)</f>
        <v/>
      </c>
      <c r="AG895" s="17">
        <f>IF(OR(E895="",F895=""),"",NETWORKDAYS(E895,F895,Ref!$F$4:$F$47))</f>
        <v/>
      </c>
      <c r="AH895" s="39">
        <f>IF(IFERROR(VLOOKUP(D895,Controls!$A$25:$D$35,2,FALSE()),"No")="Yes",1,0)</f>
        <v/>
      </c>
      <c r="AI895" s="39">
        <f>IF(IFERROR(VLOOKUP(D895,Controls!$A$25:$D$35,3,FALSE()),"No")="Yes",1,0)</f>
        <v/>
      </c>
      <c r="AJ895" s="39">
        <f>IF(IFERROR(VLOOKUP(D895,Controls!$A$25:$D$35,4,FALSE()),"No")="Yes",1,0)</f>
        <v/>
      </c>
      <c r="AK895" s="96">
        <f>IF(AND($E895&gt;=Controls!$B$5,$E895&lt;=Controls!$B$6,OR(Controls!$E$9&lt;&gt;"Y",$BE895=1)),1,0)</f>
        <v/>
      </c>
      <c r="AL895" s="39">
        <f>1</f>
        <v/>
      </c>
      <c r="AM895" s="20">
        <f>S895-P895</f>
        <v/>
      </c>
      <c r="AN895" s="20">
        <f>IF(AH895=1,MAX(0,P895-S895),0)</f>
        <v/>
      </c>
      <c r="AO895" s="21">
        <f>IFERROR(S895/P895,"")</f>
        <v/>
      </c>
      <c r="AP895" s="22">
        <f>IF(Y895="","",P895/Y895)</f>
        <v/>
      </c>
      <c r="AQ895" s="39">
        <f>IF(Y895="",0,1)</f>
        <v/>
      </c>
      <c r="AR895" s="39">
        <f>IF(S895&lt;=0,1,0)</f>
        <v/>
      </c>
      <c r="AS895" s="17">
        <f>IF(AH895=1,AG895,"")</f>
        <v/>
      </c>
      <c r="AT895" s="17">
        <f>IF(AND(AH895=0,AJ895=1),AG895,"")</f>
        <v/>
      </c>
      <c r="AU895" s="5">
        <f>IF(P895&lt;10000,"Under $10K",IF(P895&lt;20000,"$10-20K",IF(P895&lt;30000,"$20-30K",IF(P895&lt;50000,"$30-50K",IF(P895&lt;100000,"$50-100K","$100K+")))))</f>
        <v/>
      </c>
      <c r="AV895" s="5">
        <f>IF(O895&lt;=1.35,"1.35 and under",IF(O895&lt;=1.42,"1.36-1.42",IF(O895&lt;=1.45,"1.43-1.45",IF(O895&lt;1.49,"1.46-1.48",IF(O895&lt;=1.49,"1.49","Above 1.49")))))</f>
        <v/>
      </c>
      <c r="AW895" s="5">
        <f>IF(AE895="","",IF(AE895&lt;60,"Under 60",IF(AE895&lt;90,"60-89",IF(AE895&lt;120,"90-119",IF(AE895&lt;150,"120-149","150+")))))</f>
        <v/>
      </c>
      <c r="AX895" s="5">
        <f>IF(AP895="","No revenue data",IF(AP895&lt;0.15,"Under 0.15x",IF(AP895&lt;0.3,"0.15-0.30x",IF(AP895&lt;0.5,"0.30-0.50x",IF(AP895&lt;1,"0.50-1.00x","1.00x+")))))</f>
        <v/>
      </c>
      <c r="AY895" s="5">
        <f>IF(J895="","No SIC",IFERROR(VLOOKUP(J895,Ref!$A$4:$C$67,2,FALSE()),"Unclassified"))</f>
        <v/>
      </c>
      <c r="AZ895" s="5">
        <f>IF(E895="","",TEXT(E895,"YYYY")&amp;"-Q"&amp;ROUNDUP(MONTH(E895)/3,0))</f>
        <v/>
      </c>
      <c r="BA895" s="5">
        <f>IF(E895="","",TEXT(E895,"YYYY-MM"))</f>
        <v/>
      </c>
      <c r="BB895" s="5">
        <f>IF(E895="","",TEXT(E895,"YYYY"))</f>
        <v/>
      </c>
      <c r="BC895" s="92">
        <f>IF($E895="","",NETWORKDAYS($E895,Controls!$B$9,Ref!$F$4:$F$47))</f>
        <v/>
      </c>
      <c r="BD895" s="92">
        <f>IF(OR($AH895=1,$AJ895=1),1,0)</f>
        <v/>
      </c>
      <c r="BE895" s="95">
        <f>IF(OR($BD895=1,AND($AE895&lt;&gt;"",$BC895&gt;=Controls!$B$10*$AE895)),1,0)</f>
        <v/>
      </c>
    </row>
    <row r="896" ht="15.75" customHeight="1" s="79">
      <c r="A896" s="5" t="inlineStr">
        <is>
          <t>5674184146</t>
        </is>
      </c>
      <c r="B896" s="5" t="inlineStr">
        <is>
          <t>E-Z ELECTRIC LLC</t>
        </is>
      </c>
      <c r="C896" s="5" t="inlineStr">
        <is>
          <t>E-Z ELECTRIC LLC</t>
        </is>
      </c>
      <c r="D896" s="5" t="inlineStr">
        <is>
          <t>Open</t>
        </is>
      </c>
      <c r="E896" s="16" t="n">
        <v>46164</v>
      </c>
      <c r="F896" s="16" t="n">
        <v>46247</v>
      </c>
      <c r="G896" s="17" t="n">
        <v>3</v>
      </c>
      <c r="H896" s="5" t="inlineStr">
        <is>
          <t>1731</t>
        </is>
      </c>
      <c r="I896" s="5" t="inlineStr">
        <is>
          <t>Electrical Contractors and Other Wiring Installation Contractors</t>
        </is>
      </c>
      <c r="J896" s="5" t="inlineStr">
        <is>
          <t>17</t>
        </is>
      </c>
      <c r="K896" s="5" t="n">
        <v>1731</v>
      </c>
      <c r="L896" s="5" t="inlineStr">
        <is>
          <t>OK</t>
        </is>
      </c>
      <c r="M896" s="5" t="inlineStr">
        <is>
          <t>United Secured Capital 8</t>
        </is>
      </c>
      <c r="N896" s="5" t="inlineStr">
        <is>
          <t>Renewal</t>
        </is>
      </c>
      <c r="O896" s="19" t="n">
        <v>1.49</v>
      </c>
      <c r="P896" s="20" t="n">
        <v>42500</v>
      </c>
      <c r="Q896" s="20" t="n">
        <v>5950</v>
      </c>
      <c r="R896" s="20" t="n">
        <v>63325</v>
      </c>
      <c r="S896" s="20" t="n">
        <v>21762.85</v>
      </c>
      <c r="T896" s="20" t="n">
        <v>41562.15</v>
      </c>
      <c r="U896" s="21" t="n">
        <v>0.343669166995657</v>
      </c>
      <c r="V896" s="22" t="n">
        <v>32</v>
      </c>
      <c r="W896" s="17" t="n">
        <v>6</v>
      </c>
      <c r="X896" s="17" t="n">
        <v>4</v>
      </c>
      <c r="Y896" s="20" t="n">
        <v>57015.76</v>
      </c>
      <c r="Z896" s="21" t="n">
        <v>0.1388</v>
      </c>
      <c r="AA896" s="16" t="n">
        <v>44034</v>
      </c>
      <c r="AB896" s="5">
        <f>IF(V896="","",IF(V896&lt;12,"Months","Weeks"))</f>
        <v/>
      </c>
      <c r="AC896" s="5">
        <f>IF(AB896="","",IF(AB896="Months","Daily","Weekly"))</f>
        <v/>
      </c>
      <c r="AD896" s="17">
        <f>IF(V896="","",IF(AC896="Daily",V896*Controls!$B$13,V896))</f>
        <v/>
      </c>
      <c r="AE896" s="17">
        <f>IF(V896="","",IF(AC896="Daily",V896*Controls!$B$13,V896*Controls!$B$12))</f>
        <v/>
      </c>
      <c r="AF896" s="17">
        <f>IF(OR(E896="",F896=""),"",F896-E896)</f>
        <v/>
      </c>
      <c r="AG896" s="17">
        <f>IF(OR(E896="",F896=""),"",NETWORKDAYS(E896,F896,Ref!$F$4:$F$47))</f>
        <v/>
      </c>
      <c r="AH896" s="39">
        <f>IF(IFERROR(VLOOKUP(D896,Controls!$A$25:$D$35,2,FALSE()),"No")="Yes",1,0)</f>
        <v/>
      </c>
      <c r="AI896" s="39">
        <f>IF(IFERROR(VLOOKUP(D896,Controls!$A$25:$D$35,3,FALSE()),"No")="Yes",1,0)</f>
        <v/>
      </c>
      <c r="AJ896" s="39">
        <f>IF(IFERROR(VLOOKUP(D896,Controls!$A$25:$D$35,4,FALSE()),"No")="Yes",1,0)</f>
        <v/>
      </c>
      <c r="AK896" s="96">
        <f>IF(AND($E896&gt;=Controls!$B$5,$E896&lt;=Controls!$B$6,OR(Controls!$E$9&lt;&gt;"Y",$BE896=1)),1,0)</f>
        <v/>
      </c>
      <c r="AL896" s="39">
        <f>1</f>
        <v/>
      </c>
      <c r="AM896" s="20">
        <f>S896-P896</f>
        <v/>
      </c>
      <c r="AN896" s="20">
        <f>IF(AH896=1,MAX(0,P896-S896),0)</f>
        <v/>
      </c>
      <c r="AO896" s="21">
        <f>IFERROR(S896/P896,"")</f>
        <v/>
      </c>
      <c r="AP896" s="22">
        <f>IF(Y896="","",P896/Y896)</f>
        <v/>
      </c>
      <c r="AQ896" s="39">
        <f>IF(Y896="",0,1)</f>
        <v/>
      </c>
      <c r="AR896" s="39">
        <f>IF(S896&lt;=0,1,0)</f>
        <v/>
      </c>
      <c r="AS896" s="17">
        <f>IF(AH896=1,AG896,"")</f>
        <v/>
      </c>
      <c r="AT896" s="17">
        <f>IF(AND(AH896=0,AJ896=1),AG896,"")</f>
        <v/>
      </c>
      <c r="AU896" s="5">
        <f>IF(P896&lt;10000,"Under $10K",IF(P896&lt;20000,"$10-20K",IF(P896&lt;30000,"$20-30K",IF(P896&lt;50000,"$30-50K",IF(P896&lt;100000,"$50-100K","$100K+")))))</f>
        <v/>
      </c>
      <c r="AV896" s="5">
        <f>IF(O896&lt;=1.35,"1.35 and under",IF(O896&lt;=1.42,"1.36-1.42",IF(O896&lt;=1.45,"1.43-1.45",IF(O896&lt;1.49,"1.46-1.48",IF(O896&lt;=1.49,"1.49","Above 1.49")))))</f>
        <v/>
      </c>
      <c r="AW896" s="5">
        <f>IF(AE896="","",IF(AE896&lt;60,"Under 60",IF(AE896&lt;90,"60-89",IF(AE896&lt;120,"90-119",IF(AE896&lt;150,"120-149","150+")))))</f>
        <v/>
      </c>
      <c r="AX896" s="5">
        <f>IF(AP896="","No revenue data",IF(AP896&lt;0.15,"Under 0.15x",IF(AP896&lt;0.3,"0.15-0.30x",IF(AP896&lt;0.5,"0.30-0.50x",IF(AP896&lt;1,"0.50-1.00x","1.00x+")))))</f>
        <v/>
      </c>
      <c r="AY896" s="5">
        <f>IF(J896="","No SIC",IFERROR(VLOOKUP(J896,Ref!$A$4:$C$67,2,FALSE()),"Unclassified"))</f>
        <v/>
      </c>
      <c r="AZ896" s="5">
        <f>IF(E896="","",TEXT(E896,"YYYY")&amp;"-Q"&amp;ROUNDUP(MONTH(E896)/3,0))</f>
        <v/>
      </c>
      <c r="BA896" s="5">
        <f>IF(E896="","",TEXT(E896,"YYYY-MM"))</f>
        <v/>
      </c>
      <c r="BB896" s="5">
        <f>IF(E896="","",TEXT(E896,"YYYY"))</f>
        <v/>
      </c>
      <c r="BC896" s="92">
        <f>IF($E896="","",NETWORKDAYS($E896,Controls!$B$9,Ref!$F$4:$F$47))</f>
        <v/>
      </c>
      <c r="BD896" s="92">
        <f>IF(OR($AH896=1,$AJ896=1),1,0)</f>
        <v/>
      </c>
      <c r="BE896" s="95">
        <f>IF(OR($BD896=1,AND($AE896&lt;&gt;"",$BC896&gt;=Controls!$B$10*$AE896)),1,0)</f>
        <v/>
      </c>
    </row>
    <row r="897" ht="15.75" customHeight="1" s="79">
      <c r="A897" s="5" t="inlineStr">
        <is>
          <t>5674184158</t>
        </is>
      </c>
      <c r="B897" s="5" t="inlineStr">
        <is>
          <t>The Market by Jennifer's LLC</t>
        </is>
      </c>
      <c r="C897" s="5" t="inlineStr">
        <is>
          <t>The Market by Jennifer's LLC</t>
        </is>
      </c>
      <c r="D897" s="5" t="inlineStr">
        <is>
          <t>Open</t>
        </is>
      </c>
      <c r="E897" s="16" t="n">
        <v>46164</v>
      </c>
      <c r="F897" s="16" t="n">
        <v>46248</v>
      </c>
      <c r="G897" s="17" t="n">
        <v>3</v>
      </c>
      <c r="H897" s="5" t="inlineStr">
        <is>
          <t>5812</t>
        </is>
      </c>
      <c r="I897" s="5" t="inlineStr">
        <is>
          <t>Snack and Nonalcoholic Beverage Bars</t>
        </is>
      </c>
      <c r="J897" s="5" t="inlineStr">
        <is>
          <t>58</t>
        </is>
      </c>
      <c r="K897" s="5" t="n">
        <v>5812</v>
      </c>
      <c r="L897" s="5" t="inlineStr">
        <is>
          <t>AZ</t>
        </is>
      </c>
      <c r="M897" s="5" t="inlineStr">
        <is>
          <t>The Funding Family</t>
        </is>
      </c>
      <c r="N897" s="5" t="inlineStr">
        <is>
          <t>New Deal</t>
        </is>
      </c>
      <c r="O897" s="19" t="n">
        <v>1.47</v>
      </c>
      <c r="P897" s="20" t="n">
        <v>30000</v>
      </c>
      <c r="Q897" s="20" t="n">
        <v>3900</v>
      </c>
      <c r="R897" s="20" t="n">
        <v>44100</v>
      </c>
      <c r="S897" s="20" t="n">
        <v>16400.58</v>
      </c>
      <c r="T897" s="20" t="n">
        <v>27699.42</v>
      </c>
      <c r="U897" s="21" t="n">
        <v>0.371895238095238</v>
      </c>
      <c r="V897" s="22" t="n">
        <v>20</v>
      </c>
      <c r="W897" s="17" t="n">
        <v>5</v>
      </c>
      <c r="X897" s="17" t="n">
        <v>2</v>
      </c>
      <c r="Y897" s="20" t="n">
        <v>85000</v>
      </c>
      <c r="Z897" s="21" t="n">
        <v>0.0818</v>
      </c>
      <c r="AA897" s="16" t="n">
        <v>35753</v>
      </c>
      <c r="AB897" s="5">
        <f>IF(V897="","",IF(V897&lt;12,"Months","Weeks"))</f>
        <v/>
      </c>
      <c r="AC897" s="5">
        <f>IF(AB897="","",IF(AB897="Months","Daily","Weekly"))</f>
        <v/>
      </c>
      <c r="AD897" s="17">
        <f>IF(V897="","",IF(AC897="Daily",V897*Controls!$B$13,V897))</f>
        <v/>
      </c>
      <c r="AE897" s="17">
        <f>IF(V897="","",IF(AC897="Daily",V897*Controls!$B$13,V897*Controls!$B$12))</f>
        <v/>
      </c>
      <c r="AF897" s="17">
        <f>IF(OR(E897="",F897=""),"",F897-E897)</f>
        <v/>
      </c>
      <c r="AG897" s="17">
        <f>IF(OR(E897="",F897=""),"",NETWORKDAYS(E897,F897,Ref!$F$4:$F$47))</f>
        <v/>
      </c>
      <c r="AH897" s="39">
        <f>IF(IFERROR(VLOOKUP(D897,Controls!$A$25:$D$35,2,FALSE()),"No")="Yes",1,0)</f>
        <v/>
      </c>
      <c r="AI897" s="39">
        <f>IF(IFERROR(VLOOKUP(D897,Controls!$A$25:$D$35,3,FALSE()),"No")="Yes",1,0)</f>
        <v/>
      </c>
      <c r="AJ897" s="39">
        <f>IF(IFERROR(VLOOKUP(D897,Controls!$A$25:$D$35,4,FALSE()),"No")="Yes",1,0)</f>
        <v/>
      </c>
      <c r="AK897" s="96">
        <f>IF(AND($E897&gt;=Controls!$B$5,$E897&lt;=Controls!$B$6,OR(Controls!$E$9&lt;&gt;"Y",$BE897=1)),1,0)</f>
        <v/>
      </c>
      <c r="AL897" s="39">
        <f>1</f>
        <v/>
      </c>
      <c r="AM897" s="20">
        <f>S897-P897</f>
        <v/>
      </c>
      <c r="AN897" s="20">
        <f>IF(AH897=1,MAX(0,P897-S897),0)</f>
        <v/>
      </c>
      <c r="AO897" s="21">
        <f>IFERROR(S897/P897,"")</f>
        <v/>
      </c>
      <c r="AP897" s="22">
        <f>IF(Y897="","",P897/Y897)</f>
        <v/>
      </c>
      <c r="AQ897" s="39">
        <f>IF(Y897="",0,1)</f>
        <v/>
      </c>
      <c r="AR897" s="39">
        <f>IF(S897&lt;=0,1,0)</f>
        <v/>
      </c>
      <c r="AS897" s="17">
        <f>IF(AH897=1,AG897,"")</f>
        <v/>
      </c>
      <c r="AT897" s="17">
        <f>IF(AND(AH897=0,AJ897=1),AG897,"")</f>
        <v/>
      </c>
      <c r="AU897" s="5">
        <f>IF(P897&lt;10000,"Under $10K",IF(P897&lt;20000,"$10-20K",IF(P897&lt;30000,"$20-30K",IF(P897&lt;50000,"$30-50K",IF(P897&lt;100000,"$50-100K","$100K+")))))</f>
        <v/>
      </c>
      <c r="AV897" s="5">
        <f>IF(O897&lt;=1.35,"1.35 and under",IF(O897&lt;=1.42,"1.36-1.42",IF(O897&lt;=1.45,"1.43-1.45",IF(O897&lt;1.49,"1.46-1.48",IF(O897&lt;=1.49,"1.49","Above 1.49")))))</f>
        <v/>
      </c>
      <c r="AW897" s="5">
        <f>IF(AE897="","",IF(AE897&lt;60,"Under 60",IF(AE897&lt;90,"60-89",IF(AE897&lt;120,"90-119",IF(AE897&lt;150,"120-149","150+")))))</f>
        <v/>
      </c>
      <c r="AX897" s="5">
        <f>IF(AP897="","No revenue data",IF(AP897&lt;0.15,"Under 0.15x",IF(AP897&lt;0.3,"0.15-0.30x",IF(AP897&lt;0.5,"0.30-0.50x",IF(AP897&lt;1,"0.50-1.00x","1.00x+")))))</f>
        <v/>
      </c>
      <c r="AY897" s="5">
        <f>IF(J897="","No SIC",IFERROR(VLOOKUP(J897,Ref!$A$4:$C$67,2,FALSE()),"Unclassified"))</f>
        <v/>
      </c>
      <c r="AZ897" s="5">
        <f>IF(E897="","",TEXT(E897,"YYYY")&amp;"-Q"&amp;ROUNDUP(MONTH(E897)/3,0))</f>
        <v/>
      </c>
      <c r="BA897" s="5">
        <f>IF(E897="","",TEXT(E897,"YYYY-MM"))</f>
        <v/>
      </c>
      <c r="BB897" s="5">
        <f>IF(E897="","",TEXT(E897,"YYYY"))</f>
        <v/>
      </c>
      <c r="BC897" s="92">
        <f>IF($E897="","",NETWORKDAYS($E897,Controls!$B$9,Ref!$F$4:$F$47))</f>
        <v/>
      </c>
      <c r="BD897" s="92">
        <f>IF(OR($AH897=1,$AJ897=1),1,0)</f>
        <v/>
      </c>
      <c r="BE897" s="95">
        <f>IF(OR($BD897=1,AND($AE897&lt;&gt;"",$BC897&gt;=Controls!$B$10*$AE897)),1,0)</f>
        <v/>
      </c>
    </row>
    <row r="898" ht="15.75" customHeight="1" s="79">
      <c r="A898" s="5" t="inlineStr">
        <is>
          <t>5674184186</t>
        </is>
      </c>
      <c r="B898" s="5" t="inlineStr">
        <is>
          <t>h-h transport</t>
        </is>
      </c>
      <c r="C898" s="5" t="inlineStr">
        <is>
          <t>H-H transport</t>
        </is>
      </c>
      <c r="D898" s="5" t="inlineStr">
        <is>
          <t>Closed</t>
        </is>
      </c>
      <c r="E898" s="16" t="n">
        <v>46168</v>
      </c>
      <c r="F898" s="16" t="n">
        <v>46246</v>
      </c>
      <c r="G898" s="17" t="n">
        <v>3</v>
      </c>
      <c r="H898" s="5" t="inlineStr">
        <is>
          <t>4212</t>
        </is>
      </c>
      <c r="I898" s="5" t="inlineStr">
        <is>
          <t>Specialized Freight (Except Used Goods) Trucking, Local</t>
        </is>
      </c>
      <c r="J898" s="5" t="inlineStr">
        <is>
          <t>42</t>
        </is>
      </c>
      <c r="K898" s="5" t="n">
        <v>4214</v>
      </c>
      <c r="L898" s="5" t="inlineStr">
        <is>
          <t>AZ</t>
        </is>
      </c>
      <c r="M898" s="5" t="inlineStr">
        <is>
          <t>Westwood</t>
        </is>
      </c>
      <c r="N898" s="5" t="inlineStr">
        <is>
          <t>Renewal</t>
        </is>
      </c>
      <c r="O898" s="19" t="n">
        <v>1.49</v>
      </c>
      <c r="P898" s="20" t="n">
        <v>35000</v>
      </c>
      <c r="Q898" s="20" t="n">
        <v>4900</v>
      </c>
      <c r="R898" s="20" t="n">
        <v>52150</v>
      </c>
      <c r="S898" s="20" t="n">
        <v>52150</v>
      </c>
      <c r="T898" s="20" t="n">
        <v>0</v>
      </c>
      <c r="U898" s="21" t="n">
        <v>1</v>
      </c>
      <c r="V898" s="22" t="n">
        <v>2.459</v>
      </c>
      <c r="W898" s="17" t="n">
        <v>7</v>
      </c>
      <c r="X898" s="17" t="n">
        <v>0</v>
      </c>
      <c r="Y898" s="20" t="n">
        <v>205385.89</v>
      </c>
      <c r="Z898" s="21" t="n">
        <v>0.1659</v>
      </c>
      <c r="AA898" s="16" t="n">
        <v>44621</v>
      </c>
      <c r="AB898" s="5">
        <f>IF(V898="","",IF(V898&lt;12,"Months","Weeks"))</f>
        <v/>
      </c>
      <c r="AC898" s="5">
        <f>IF(AB898="","",IF(AB898="Months","Daily","Weekly"))</f>
        <v/>
      </c>
      <c r="AD898" s="17">
        <f>IF(V898="","",IF(AC898="Daily",V898*Controls!$B$13,V898))</f>
        <v/>
      </c>
      <c r="AE898" s="17">
        <f>IF(V898="","",IF(AC898="Daily",V898*Controls!$B$13,V898*Controls!$B$12))</f>
        <v/>
      </c>
      <c r="AF898" s="17">
        <f>IF(OR(E898="",F898=""),"",F898-E898)</f>
        <v/>
      </c>
      <c r="AG898" s="17">
        <f>IF(OR(E898="",F898=""),"",NETWORKDAYS(E898,F898,Ref!$F$4:$F$47))</f>
        <v/>
      </c>
      <c r="AH898" s="39">
        <f>IF(IFERROR(VLOOKUP(D898,Controls!$A$25:$D$35,2,FALSE()),"No")="Yes",1,0)</f>
        <v/>
      </c>
      <c r="AI898" s="39">
        <f>IF(IFERROR(VLOOKUP(D898,Controls!$A$25:$D$35,3,FALSE()),"No")="Yes",1,0)</f>
        <v/>
      </c>
      <c r="AJ898" s="39">
        <f>IF(IFERROR(VLOOKUP(D898,Controls!$A$25:$D$35,4,FALSE()),"No")="Yes",1,0)</f>
        <v/>
      </c>
      <c r="AK898" s="96">
        <f>IF(AND($E898&gt;=Controls!$B$5,$E898&lt;=Controls!$B$6,OR(Controls!$E$9&lt;&gt;"Y",$BE898=1)),1,0)</f>
        <v/>
      </c>
      <c r="AL898" s="39">
        <f>1</f>
        <v/>
      </c>
      <c r="AM898" s="20">
        <f>S898-P898</f>
        <v/>
      </c>
      <c r="AN898" s="20">
        <f>IF(AH898=1,MAX(0,P898-S898),0)</f>
        <v/>
      </c>
      <c r="AO898" s="21">
        <f>IFERROR(S898/P898,"")</f>
        <v/>
      </c>
      <c r="AP898" s="22">
        <f>IF(Y898="","",P898/Y898)</f>
        <v/>
      </c>
      <c r="AQ898" s="39">
        <f>IF(Y898="",0,1)</f>
        <v/>
      </c>
      <c r="AR898" s="39">
        <f>IF(S898&lt;=0,1,0)</f>
        <v/>
      </c>
      <c r="AS898" s="17">
        <f>IF(AH898=1,AG898,"")</f>
        <v/>
      </c>
      <c r="AT898" s="17">
        <f>IF(AND(AH898=0,AJ898=1),AG898,"")</f>
        <v/>
      </c>
      <c r="AU898" s="5">
        <f>IF(P898&lt;10000,"Under $10K",IF(P898&lt;20000,"$10-20K",IF(P898&lt;30000,"$20-30K",IF(P898&lt;50000,"$30-50K",IF(P898&lt;100000,"$50-100K","$100K+")))))</f>
        <v/>
      </c>
      <c r="AV898" s="5">
        <f>IF(O898&lt;=1.35,"1.35 and under",IF(O898&lt;=1.42,"1.36-1.42",IF(O898&lt;=1.45,"1.43-1.45",IF(O898&lt;1.49,"1.46-1.48",IF(O898&lt;=1.49,"1.49","Above 1.49")))))</f>
        <v/>
      </c>
      <c r="AW898" s="5">
        <f>IF(AE898="","",IF(AE898&lt;60,"Under 60",IF(AE898&lt;90,"60-89",IF(AE898&lt;120,"90-119",IF(AE898&lt;150,"120-149","150+")))))</f>
        <v/>
      </c>
      <c r="AX898" s="5">
        <f>IF(AP898="","No revenue data",IF(AP898&lt;0.15,"Under 0.15x",IF(AP898&lt;0.3,"0.15-0.30x",IF(AP898&lt;0.5,"0.30-0.50x",IF(AP898&lt;1,"0.50-1.00x","1.00x+")))))</f>
        <v/>
      </c>
      <c r="AY898" s="5">
        <f>IF(J898="","No SIC",IFERROR(VLOOKUP(J898,Ref!$A$4:$C$67,2,FALSE()),"Unclassified"))</f>
        <v/>
      </c>
      <c r="AZ898" s="5">
        <f>IF(E898="","",TEXT(E898,"YYYY")&amp;"-Q"&amp;ROUNDUP(MONTH(E898)/3,0))</f>
        <v/>
      </c>
      <c r="BA898" s="5">
        <f>IF(E898="","",TEXT(E898,"YYYY-MM"))</f>
        <v/>
      </c>
      <c r="BB898" s="5">
        <f>IF(E898="","",TEXT(E898,"YYYY"))</f>
        <v/>
      </c>
      <c r="BC898" s="92">
        <f>IF($E898="","",NETWORKDAYS($E898,Controls!$B$9,Ref!$F$4:$F$47))</f>
        <v/>
      </c>
      <c r="BD898" s="92">
        <f>IF(OR($AH898=1,$AJ898=1),1,0)</f>
        <v/>
      </c>
      <c r="BE898" s="95">
        <f>IF(OR($BD898=1,AND($AE898&lt;&gt;"",$BC898&gt;=Controls!$B$10*$AE898)),1,0)</f>
        <v/>
      </c>
    </row>
    <row r="899" ht="15.75" customHeight="1" s="79">
      <c r="A899" s="5" t="inlineStr">
        <is>
          <t>5674184207</t>
        </is>
      </c>
      <c r="B899" s="5" t="inlineStr">
        <is>
          <t>METAL AND MATH LLC</t>
        </is>
      </c>
      <c r="C899" s="5" t="inlineStr">
        <is>
          <t>METAL AND MATH LLC</t>
        </is>
      </c>
      <c r="D899" s="5" t="inlineStr">
        <is>
          <t>Legal</t>
        </is>
      </c>
      <c r="E899" s="16" t="n">
        <v>46168</v>
      </c>
      <c r="F899" s="16" t="n">
        <v>46220</v>
      </c>
      <c r="G899" s="17" t="n">
        <v>5</v>
      </c>
      <c r="H899" s="5" t="inlineStr">
        <is>
          <t>1761</t>
        </is>
      </c>
      <c r="I899" s="5" t="inlineStr">
        <is>
          <t>Roofing Contractors</t>
        </is>
      </c>
      <c r="J899" s="5" t="inlineStr">
        <is>
          <t>17</t>
        </is>
      </c>
      <c r="K899" s="5" t="n">
        <v>1761</v>
      </c>
      <c r="L899" s="5" t="inlineStr">
        <is>
          <t>KY</t>
        </is>
      </c>
      <c r="M899" s="5" t="inlineStr">
        <is>
          <t>United Secured Capital 8</t>
        </is>
      </c>
      <c r="N899" s="5" t="inlineStr">
        <is>
          <t>Renewal</t>
        </is>
      </c>
      <c r="O899" s="19" t="n">
        <v>1.49</v>
      </c>
      <c r="P899" s="20" t="n">
        <v>25000</v>
      </c>
      <c r="Q899" s="20" t="n">
        <v>3500</v>
      </c>
      <c r="R899" s="20" t="n">
        <v>37250</v>
      </c>
      <c r="S899" s="20" t="n">
        <v>1330.88</v>
      </c>
      <c r="T899" s="20" t="n">
        <v>35919.12</v>
      </c>
      <c r="U899" s="21" t="n">
        <v>0.035728322147651</v>
      </c>
      <c r="V899" s="22" t="n">
        <v>28</v>
      </c>
      <c r="W899" s="17" t="n">
        <v>82</v>
      </c>
      <c r="X899" s="17" t="n">
        <v>7</v>
      </c>
      <c r="Y899" s="20" t="n">
        <v>65000</v>
      </c>
      <c r="Z899" s="21" t="n">
        <v>0.1183</v>
      </c>
      <c r="AA899" s="5" t="n"/>
      <c r="AB899" s="5">
        <f>IF(V899="","",IF(V899&lt;12,"Months","Weeks"))</f>
        <v/>
      </c>
      <c r="AC899" s="5">
        <f>IF(AB899="","",IF(AB899="Months","Daily","Weekly"))</f>
        <v/>
      </c>
      <c r="AD899" s="17">
        <f>IF(V899="","",IF(AC899="Daily",V899*Controls!$B$13,V899))</f>
        <v/>
      </c>
      <c r="AE899" s="17">
        <f>IF(V899="","",IF(AC899="Daily",V899*Controls!$B$13,V899*Controls!$B$12))</f>
        <v/>
      </c>
      <c r="AF899" s="17">
        <f>IF(OR(E899="",F899=""),"",F899-E899)</f>
        <v/>
      </c>
      <c r="AG899" s="17">
        <f>IF(OR(E899="",F899=""),"",NETWORKDAYS(E899,F899,Ref!$F$4:$F$47))</f>
        <v/>
      </c>
      <c r="AH899" s="39">
        <f>IF(IFERROR(VLOOKUP(D899,Controls!$A$25:$D$35,2,FALSE()),"No")="Yes",1,0)</f>
        <v/>
      </c>
      <c r="AI899" s="39">
        <f>IF(IFERROR(VLOOKUP(D899,Controls!$A$25:$D$35,3,FALSE()),"No")="Yes",1,0)</f>
        <v/>
      </c>
      <c r="AJ899" s="39">
        <f>IF(IFERROR(VLOOKUP(D899,Controls!$A$25:$D$35,4,FALSE()),"No")="Yes",1,0)</f>
        <v/>
      </c>
      <c r="AK899" s="96">
        <f>IF(AND($E899&gt;=Controls!$B$5,$E899&lt;=Controls!$B$6,OR(Controls!$E$9&lt;&gt;"Y",$BE899=1)),1,0)</f>
        <v/>
      </c>
      <c r="AL899" s="39">
        <f>1</f>
        <v/>
      </c>
      <c r="AM899" s="20">
        <f>S899-P899</f>
        <v/>
      </c>
      <c r="AN899" s="20">
        <f>IF(AH899=1,MAX(0,P899-S899),0)</f>
        <v/>
      </c>
      <c r="AO899" s="21">
        <f>IFERROR(S899/P899,"")</f>
        <v/>
      </c>
      <c r="AP899" s="22">
        <f>IF(Y899="","",P899/Y899)</f>
        <v/>
      </c>
      <c r="AQ899" s="39">
        <f>IF(Y899="",0,1)</f>
        <v/>
      </c>
      <c r="AR899" s="39">
        <f>IF(S899&lt;=0,1,0)</f>
        <v/>
      </c>
      <c r="AS899" s="17">
        <f>IF(AH899=1,AG899,"")</f>
        <v/>
      </c>
      <c r="AT899" s="17">
        <f>IF(AND(AH899=0,AJ899=1),AG899,"")</f>
        <v/>
      </c>
      <c r="AU899" s="5">
        <f>IF(P899&lt;10000,"Under $10K",IF(P899&lt;20000,"$10-20K",IF(P899&lt;30000,"$20-30K",IF(P899&lt;50000,"$30-50K",IF(P899&lt;100000,"$50-100K","$100K+")))))</f>
        <v/>
      </c>
      <c r="AV899" s="5">
        <f>IF(O899&lt;=1.35,"1.35 and under",IF(O899&lt;=1.42,"1.36-1.42",IF(O899&lt;=1.45,"1.43-1.45",IF(O899&lt;1.49,"1.46-1.48",IF(O899&lt;=1.49,"1.49","Above 1.49")))))</f>
        <v/>
      </c>
      <c r="AW899" s="5">
        <f>IF(AE899="","",IF(AE899&lt;60,"Under 60",IF(AE899&lt;90,"60-89",IF(AE899&lt;120,"90-119",IF(AE899&lt;150,"120-149","150+")))))</f>
        <v/>
      </c>
      <c r="AX899" s="5">
        <f>IF(AP899="","No revenue data",IF(AP899&lt;0.15,"Under 0.15x",IF(AP899&lt;0.3,"0.15-0.30x",IF(AP899&lt;0.5,"0.30-0.50x",IF(AP899&lt;1,"0.50-1.00x","1.00x+")))))</f>
        <v/>
      </c>
      <c r="AY899" s="5">
        <f>IF(J899="","No SIC",IFERROR(VLOOKUP(J899,Ref!$A$4:$C$67,2,FALSE()),"Unclassified"))</f>
        <v/>
      </c>
      <c r="AZ899" s="5">
        <f>IF(E899="","",TEXT(E899,"YYYY")&amp;"-Q"&amp;ROUNDUP(MONTH(E899)/3,0))</f>
        <v/>
      </c>
      <c r="BA899" s="5">
        <f>IF(E899="","",TEXT(E899,"YYYY-MM"))</f>
        <v/>
      </c>
      <c r="BB899" s="5">
        <f>IF(E899="","",TEXT(E899,"YYYY"))</f>
        <v/>
      </c>
      <c r="BC899" s="92">
        <f>IF($E899="","",NETWORKDAYS($E899,Controls!$B$9,Ref!$F$4:$F$47))</f>
        <v/>
      </c>
      <c r="BD899" s="92">
        <f>IF(OR($AH899=1,$AJ899=1),1,0)</f>
        <v/>
      </c>
      <c r="BE899" s="95">
        <f>IF(OR($BD899=1,AND($AE899&lt;&gt;"",$BC899&gt;=Controls!$B$10*$AE899)),1,0)</f>
        <v/>
      </c>
    </row>
    <row r="900" ht="15.75" customHeight="1" s="79">
      <c r="A900" s="5" t="inlineStr">
        <is>
          <t>5674184225</t>
        </is>
      </c>
      <c r="B900" s="5" t="inlineStr">
        <is>
          <t>JJ MUTTS W&amp;S</t>
        </is>
      </c>
      <c r="C900" s="5" t="inlineStr">
        <is>
          <t>JJ MUTTS W&amp;S</t>
        </is>
      </c>
      <c r="D900" s="5" t="inlineStr">
        <is>
          <t>Open</t>
        </is>
      </c>
      <c r="E900" s="16" t="n">
        <v>46168</v>
      </c>
      <c r="F900" s="16" t="n">
        <v>46253</v>
      </c>
      <c r="G900" s="17" t="n">
        <v>3</v>
      </c>
      <c r="H900" s="5" t="inlineStr">
        <is>
          <t>5999</t>
        </is>
      </c>
      <c r="I900" s="5" t="inlineStr">
        <is>
          <t>All Other Health and Personal Care Stores</t>
        </is>
      </c>
      <c r="J900" s="5" t="inlineStr">
        <is>
          <t>59</t>
        </is>
      </c>
      <c r="K900" s="5" t="n">
        <v>5999</v>
      </c>
      <c r="L900" s="5" t="inlineStr">
        <is>
          <t>DC</t>
        </is>
      </c>
      <c r="M900" s="5" t="inlineStr">
        <is>
          <t>Mills  funding group</t>
        </is>
      </c>
      <c r="N900" s="5" t="inlineStr">
        <is>
          <t>Renewal</t>
        </is>
      </c>
      <c r="O900" s="19" t="n">
        <v>1.37</v>
      </c>
      <c r="P900" s="20" t="n">
        <v>25500</v>
      </c>
      <c r="Q900" s="20" t="n">
        <v>2040</v>
      </c>
      <c r="R900" s="20" t="n">
        <v>34935</v>
      </c>
      <c r="S900" s="20" t="n">
        <v>16605.81</v>
      </c>
      <c r="T900" s="20" t="n">
        <v>18329.19</v>
      </c>
      <c r="U900" s="21" t="n">
        <v>0.475334478316874</v>
      </c>
      <c r="V900" s="22" t="n">
        <v>3.934</v>
      </c>
      <c r="W900" s="17" t="n">
        <v>0</v>
      </c>
      <c r="X900" s="17" t="n">
        <v>1</v>
      </c>
      <c r="Y900" s="20" t="n">
        <v>152565.23</v>
      </c>
      <c r="Z900" s="21" t="n">
        <v>0.0401</v>
      </c>
      <c r="AA900" s="16" t="n">
        <v>45108</v>
      </c>
      <c r="AB900" s="5">
        <f>IF(V900="","",IF(V900&lt;12,"Months","Weeks"))</f>
        <v/>
      </c>
      <c r="AC900" s="5">
        <f>IF(AB900="","",IF(AB900="Months","Daily","Weekly"))</f>
        <v/>
      </c>
      <c r="AD900" s="17">
        <f>IF(V900="","",IF(AC900="Daily",V900*Controls!$B$13,V900))</f>
        <v/>
      </c>
      <c r="AE900" s="17">
        <f>IF(V900="","",IF(AC900="Daily",V900*Controls!$B$13,V900*Controls!$B$12))</f>
        <v/>
      </c>
      <c r="AF900" s="17">
        <f>IF(OR(E900="",F900=""),"",F900-E900)</f>
        <v/>
      </c>
      <c r="AG900" s="17">
        <f>IF(OR(E900="",F900=""),"",NETWORKDAYS(E900,F900,Ref!$F$4:$F$47))</f>
        <v/>
      </c>
      <c r="AH900" s="39">
        <f>IF(IFERROR(VLOOKUP(D900,Controls!$A$25:$D$35,2,FALSE()),"No")="Yes",1,0)</f>
        <v/>
      </c>
      <c r="AI900" s="39">
        <f>IF(IFERROR(VLOOKUP(D900,Controls!$A$25:$D$35,3,FALSE()),"No")="Yes",1,0)</f>
        <v/>
      </c>
      <c r="AJ900" s="39">
        <f>IF(IFERROR(VLOOKUP(D900,Controls!$A$25:$D$35,4,FALSE()),"No")="Yes",1,0)</f>
        <v/>
      </c>
      <c r="AK900" s="96">
        <f>IF(AND($E900&gt;=Controls!$B$5,$E900&lt;=Controls!$B$6,OR(Controls!$E$9&lt;&gt;"Y",$BE900=1)),1,0)</f>
        <v/>
      </c>
      <c r="AL900" s="39">
        <f>1</f>
        <v/>
      </c>
      <c r="AM900" s="20">
        <f>S900-P900</f>
        <v/>
      </c>
      <c r="AN900" s="20">
        <f>IF(AH900=1,MAX(0,P900-S900),0)</f>
        <v/>
      </c>
      <c r="AO900" s="21">
        <f>IFERROR(S900/P900,"")</f>
        <v/>
      </c>
      <c r="AP900" s="22">
        <f>IF(Y900="","",P900/Y900)</f>
        <v/>
      </c>
      <c r="AQ900" s="39">
        <f>IF(Y900="",0,1)</f>
        <v/>
      </c>
      <c r="AR900" s="39">
        <f>IF(S900&lt;=0,1,0)</f>
        <v/>
      </c>
      <c r="AS900" s="17">
        <f>IF(AH900=1,AG900,"")</f>
        <v/>
      </c>
      <c r="AT900" s="17">
        <f>IF(AND(AH900=0,AJ900=1),AG900,"")</f>
        <v/>
      </c>
      <c r="AU900" s="5">
        <f>IF(P900&lt;10000,"Under $10K",IF(P900&lt;20000,"$10-20K",IF(P900&lt;30000,"$20-30K",IF(P900&lt;50000,"$30-50K",IF(P900&lt;100000,"$50-100K","$100K+")))))</f>
        <v/>
      </c>
      <c r="AV900" s="5">
        <f>IF(O900&lt;=1.35,"1.35 and under",IF(O900&lt;=1.42,"1.36-1.42",IF(O900&lt;=1.45,"1.43-1.45",IF(O900&lt;1.49,"1.46-1.48",IF(O900&lt;=1.49,"1.49","Above 1.49")))))</f>
        <v/>
      </c>
      <c r="AW900" s="5">
        <f>IF(AE900="","",IF(AE900&lt;60,"Under 60",IF(AE900&lt;90,"60-89",IF(AE900&lt;120,"90-119",IF(AE900&lt;150,"120-149","150+")))))</f>
        <v/>
      </c>
      <c r="AX900" s="5">
        <f>IF(AP900="","No revenue data",IF(AP900&lt;0.15,"Under 0.15x",IF(AP900&lt;0.3,"0.15-0.30x",IF(AP900&lt;0.5,"0.30-0.50x",IF(AP900&lt;1,"0.50-1.00x","1.00x+")))))</f>
        <v/>
      </c>
      <c r="AY900" s="5">
        <f>IF(J900="","No SIC",IFERROR(VLOOKUP(J900,Ref!$A$4:$C$67,2,FALSE()),"Unclassified"))</f>
        <v/>
      </c>
      <c r="AZ900" s="5">
        <f>IF(E900="","",TEXT(E900,"YYYY")&amp;"-Q"&amp;ROUNDUP(MONTH(E900)/3,0))</f>
        <v/>
      </c>
      <c r="BA900" s="5">
        <f>IF(E900="","",TEXT(E900,"YYYY-MM"))</f>
        <v/>
      </c>
      <c r="BB900" s="5">
        <f>IF(E900="","",TEXT(E900,"YYYY"))</f>
        <v/>
      </c>
      <c r="BC900" s="92">
        <f>IF($E900="","",NETWORKDAYS($E900,Controls!$B$9,Ref!$F$4:$F$47))</f>
        <v/>
      </c>
      <c r="BD900" s="92">
        <f>IF(OR($AH900=1,$AJ900=1),1,0)</f>
        <v/>
      </c>
      <c r="BE900" s="95">
        <f>IF(OR($BD900=1,AND($AE900&lt;&gt;"",$BC900&gt;=Controls!$B$10*$AE900)),1,0)</f>
        <v/>
      </c>
    </row>
    <row r="901" ht="15.75" customHeight="1" s="79">
      <c r="A901" s="5" t="inlineStr">
        <is>
          <t>5674184228</t>
        </is>
      </c>
      <c r="B901" s="5" t="inlineStr">
        <is>
          <t>Medina And Associates PC</t>
        </is>
      </c>
      <c r="C901" s="5" t="inlineStr">
        <is>
          <t>Medina And Associates PC</t>
        </is>
      </c>
      <c r="D901" s="5" t="inlineStr">
        <is>
          <t>Open</t>
        </is>
      </c>
      <c r="E901" s="16" t="n">
        <v>46168</v>
      </c>
      <c r="F901" s="16" t="n">
        <v>46252</v>
      </c>
      <c r="G901" s="17" t="n">
        <v>3</v>
      </c>
      <c r="H901" s="5" t="inlineStr">
        <is>
          <t>8111</t>
        </is>
      </c>
      <c r="I901" s="5" t="inlineStr">
        <is>
          <t>Offices of Lawyers</t>
        </is>
      </c>
      <c r="J901" s="5" t="inlineStr">
        <is>
          <t>81</t>
        </is>
      </c>
      <c r="K901" s="5" t="n">
        <v>8111</v>
      </c>
      <c r="L901" s="5" t="inlineStr">
        <is>
          <t>MD</t>
        </is>
      </c>
      <c r="M901" s="5" t="inlineStr">
        <is>
          <t>Premium Capital (AMRK)</t>
        </is>
      </c>
      <c r="N901" s="5" t="inlineStr">
        <is>
          <t>Renewal</t>
        </is>
      </c>
      <c r="O901" s="19" t="n">
        <v>1.49</v>
      </c>
      <c r="P901" s="20" t="n">
        <v>65000</v>
      </c>
      <c r="Q901" s="20" t="n">
        <v>9100</v>
      </c>
      <c r="R901" s="20" t="n">
        <v>96850</v>
      </c>
      <c r="S901" s="20" t="n">
        <v>30258</v>
      </c>
      <c r="T901" s="20" t="n">
        <v>66592</v>
      </c>
      <c r="U901" s="21" t="n">
        <v>0.312421270005163</v>
      </c>
      <c r="V901" s="22" t="n">
        <v>32</v>
      </c>
      <c r="W901" s="17" t="n">
        <v>1</v>
      </c>
      <c r="X901" s="17" t="n">
        <v>2</v>
      </c>
      <c r="Y901" s="20" t="n">
        <v>122458.04</v>
      </c>
      <c r="Z901" s="21" t="n">
        <v>0.1041</v>
      </c>
      <c r="AA901" s="16" t="n">
        <v>43144</v>
      </c>
      <c r="AB901" s="5">
        <f>IF(V901="","",IF(V901&lt;12,"Months","Weeks"))</f>
        <v/>
      </c>
      <c r="AC901" s="5">
        <f>IF(AB901="","",IF(AB901="Months","Daily","Weekly"))</f>
        <v/>
      </c>
      <c r="AD901" s="17">
        <f>IF(V901="","",IF(AC901="Daily",V901*Controls!$B$13,V901))</f>
        <v/>
      </c>
      <c r="AE901" s="17">
        <f>IF(V901="","",IF(AC901="Daily",V901*Controls!$B$13,V901*Controls!$B$12))</f>
        <v/>
      </c>
      <c r="AF901" s="17">
        <f>IF(OR(E901="",F901=""),"",F901-E901)</f>
        <v/>
      </c>
      <c r="AG901" s="17">
        <f>IF(OR(E901="",F901=""),"",NETWORKDAYS(E901,F901,Ref!$F$4:$F$47))</f>
        <v/>
      </c>
      <c r="AH901" s="39">
        <f>IF(IFERROR(VLOOKUP(D901,Controls!$A$25:$D$35,2,FALSE()),"No")="Yes",1,0)</f>
        <v/>
      </c>
      <c r="AI901" s="39">
        <f>IF(IFERROR(VLOOKUP(D901,Controls!$A$25:$D$35,3,FALSE()),"No")="Yes",1,0)</f>
        <v/>
      </c>
      <c r="AJ901" s="39">
        <f>IF(IFERROR(VLOOKUP(D901,Controls!$A$25:$D$35,4,FALSE()),"No")="Yes",1,0)</f>
        <v/>
      </c>
      <c r="AK901" s="96">
        <f>IF(AND($E901&gt;=Controls!$B$5,$E901&lt;=Controls!$B$6,OR(Controls!$E$9&lt;&gt;"Y",$BE901=1)),1,0)</f>
        <v/>
      </c>
      <c r="AL901" s="39">
        <f>1</f>
        <v/>
      </c>
      <c r="AM901" s="20">
        <f>S901-P901</f>
        <v/>
      </c>
      <c r="AN901" s="20">
        <f>IF(AH901=1,MAX(0,P901-S901),0)</f>
        <v/>
      </c>
      <c r="AO901" s="21">
        <f>IFERROR(S901/P901,"")</f>
        <v/>
      </c>
      <c r="AP901" s="22">
        <f>IF(Y901="","",P901/Y901)</f>
        <v/>
      </c>
      <c r="AQ901" s="39">
        <f>IF(Y901="",0,1)</f>
        <v/>
      </c>
      <c r="AR901" s="39">
        <f>IF(S901&lt;=0,1,0)</f>
        <v/>
      </c>
      <c r="AS901" s="17">
        <f>IF(AH901=1,AG901,"")</f>
        <v/>
      </c>
      <c r="AT901" s="17">
        <f>IF(AND(AH901=0,AJ901=1),AG901,"")</f>
        <v/>
      </c>
      <c r="AU901" s="5">
        <f>IF(P901&lt;10000,"Under $10K",IF(P901&lt;20000,"$10-20K",IF(P901&lt;30000,"$20-30K",IF(P901&lt;50000,"$30-50K",IF(P901&lt;100000,"$50-100K","$100K+")))))</f>
        <v/>
      </c>
      <c r="AV901" s="5">
        <f>IF(O901&lt;=1.35,"1.35 and under",IF(O901&lt;=1.42,"1.36-1.42",IF(O901&lt;=1.45,"1.43-1.45",IF(O901&lt;1.49,"1.46-1.48",IF(O901&lt;=1.49,"1.49","Above 1.49")))))</f>
        <v/>
      </c>
      <c r="AW901" s="5">
        <f>IF(AE901="","",IF(AE901&lt;60,"Under 60",IF(AE901&lt;90,"60-89",IF(AE901&lt;120,"90-119",IF(AE901&lt;150,"120-149","150+")))))</f>
        <v/>
      </c>
      <c r="AX901" s="5">
        <f>IF(AP901="","No revenue data",IF(AP901&lt;0.15,"Under 0.15x",IF(AP901&lt;0.3,"0.15-0.30x",IF(AP901&lt;0.5,"0.30-0.50x",IF(AP901&lt;1,"0.50-1.00x","1.00x+")))))</f>
        <v/>
      </c>
      <c r="AY901" s="5">
        <f>IF(J901="","No SIC",IFERROR(VLOOKUP(J901,Ref!$A$4:$C$67,2,FALSE()),"Unclassified"))</f>
        <v/>
      </c>
      <c r="AZ901" s="5">
        <f>IF(E901="","",TEXT(E901,"YYYY")&amp;"-Q"&amp;ROUNDUP(MONTH(E901)/3,0))</f>
        <v/>
      </c>
      <c r="BA901" s="5">
        <f>IF(E901="","",TEXT(E901,"YYYY-MM"))</f>
        <v/>
      </c>
      <c r="BB901" s="5">
        <f>IF(E901="","",TEXT(E901,"YYYY"))</f>
        <v/>
      </c>
      <c r="BC901" s="92">
        <f>IF($E901="","",NETWORKDAYS($E901,Controls!$B$9,Ref!$F$4:$F$47))</f>
        <v/>
      </c>
      <c r="BD901" s="92">
        <f>IF(OR($AH901=1,$AJ901=1),1,0)</f>
        <v/>
      </c>
      <c r="BE901" s="95">
        <f>IF(OR($BD901=1,AND($AE901&lt;&gt;"",$BC901&gt;=Controls!$B$10*$AE901)),1,0)</f>
        <v/>
      </c>
    </row>
    <row r="902" ht="15.75" customHeight="1" s="79">
      <c r="A902" s="5" t="inlineStr">
        <is>
          <t>5674184235</t>
        </is>
      </c>
      <c r="B902" s="5" t="inlineStr">
        <is>
          <t>Mully's Pub &amp; Patio</t>
        </is>
      </c>
      <c r="C902" s="5" t="inlineStr">
        <is>
          <t>Mulherin Hospitality LLC</t>
        </is>
      </c>
      <c r="D902" s="5" t="inlineStr">
        <is>
          <t>Open</t>
        </is>
      </c>
      <c r="E902" s="16" t="n">
        <v>46168</v>
      </c>
      <c r="F902" s="16" t="n">
        <v>46253</v>
      </c>
      <c r="G902" s="17" t="n">
        <v>4</v>
      </c>
      <c r="H902" s="5" t="inlineStr">
        <is>
          <t>5812</t>
        </is>
      </c>
      <c r="I902" s="5" t="inlineStr">
        <is>
          <t>Snack and Nonalcoholic Beverage Bars</t>
        </is>
      </c>
      <c r="J902" s="5" t="inlineStr">
        <is>
          <t>58</t>
        </is>
      </c>
      <c r="K902" s="5" t="n">
        <v>5812</v>
      </c>
      <c r="L902" s="5" t="inlineStr">
        <is>
          <t>MO</t>
        </is>
      </c>
      <c r="M902" s="5" t="inlineStr">
        <is>
          <t>United Secured Capital 8</t>
        </is>
      </c>
      <c r="N902" s="5" t="inlineStr">
        <is>
          <t>Renewal</t>
        </is>
      </c>
      <c r="O902" s="19" t="n">
        <v>1.49</v>
      </c>
      <c r="P902" s="20" t="n">
        <v>25000</v>
      </c>
      <c r="Q902" s="20" t="n">
        <v>3500</v>
      </c>
      <c r="R902" s="20" t="n">
        <v>37250</v>
      </c>
      <c r="S902" s="20" t="n">
        <v>9466.559999999999</v>
      </c>
      <c r="T902" s="20" t="n">
        <v>27783.44</v>
      </c>
      <c r="U902" s="21" t="n">
        <v>0.254135838926175</v>
      </c>
      <c r="V902" s="22" t="n">
        <v>3.934</v>
      </c>
      <c r="W902" s="17" t="n">
        <v>0</v>
      </c>
      <c r="X902" s="17" t="n">
        <v>19</v>
      </c>
      <c r="Y902" s="20" t="n">
        <v>51525</v>
      </c>
      <c r="Z902" s="21" t="n">
        <v>0.1265</v>
      </c>
      <c r="AA902" s="16" t="n">
        <v>45597</v>
      </c>
      <c r="AB902" s="5">
        <f>IF(V902="","",IF(V902&lt;12,"Months","Weeks"))</f>
        <v/>
      </c>
      <c r="AC902" s="5">
        <f>IF(AB902="","",IF(AB902="Months","Daily","Weekly"))</f>
        <v/>
      </c>
      <c r="AD902" s="17">
        <f>IF(V902="","",IF(AC902="Daily",V902*Controls!$B$13,V902))</f>
        <v/>
      </c>
      <c r="AE902" s="17">
        <f>IF(V902="","",IF(AC902="Daily",V902*Controls!$B$13,V902*Controls!$B$12))</f>
        <v/>
      </c>
      <c r="AF902" s="17">
        <f>IF(OR(E902="",F902=""),"",F902-E902)</f>
        <v/>
      </c>
      <c r="AG902" s="17">
        <f>IF(OR(E902="",F902=""),"",NETWORKDAYS(E902,F902,Ref!$F$4:$F$47))</f>
        <v/>
      </c>
      <c r="AH902" s="39">
        <f>IF(IFERROR(VLOOKUP(D902,Controls!$A$25:$D$35,2,FALSE()),"No")="Yes",1,0)</f>
        <v/>
      </c>
      <c r="AI902" s="39">
        <f>IF(IFERROR(VLOOKUP(D902,Controls!$A$25:$D$35,3,FALSE()),"No")="Yes",1,0)</f>
        <v/>
      </c>
      <c r="AJ902" s="39">
        <f>IF(IFERROR(VLOOKUP(D902,Controls!$A$25:$D$35,4,FALSE()),"No")="Yes",1,0)</f>
        <v/>
      </c>
      <c r="AK902" s="96">
        <f>IF(AND($E902&gt;=Controls!$B$5,$E902&lt;=Controls!$B$6,OR(Controls!$E$9&lt;&gt;"Y",$BE902=1)),1,0)</f>
        <v/>
      </c>
      <c r="AL902" s="39">
        <f>1</f>
        <v/>
      </c>
      <c r="AM902" s="20">
        <f>S902-P902</f>
        <v/>
      </c>
      <c r="AN902" s="20">
        <f>IF(AH902=1,MAX(0,P902-S902),0)</f>
        <v/>
      </c>
      <c r="AO902" s="21">
        <f>IFERROR(S902/P902,"")</f>
        <v/>
      </c>
      <c r="AP902" s="22">
        <f>IF(Y902="","",P902/Y902)</f>
        <v/>
      </c>
      <c r="AQ902" s="39">
        <f>IF(Y902="",0,1)</f>
        <v/>
      </c>
      <c r="AR902" s="39">
        <f>IF(S902&lt;=0,1,0)</f>
        <v/>
      </c>
      <c r="AS902" s="17">
        <f>IF(AH902=1,AG902,"")</f>
        <v/>
      </c>
      <c r="AT902" s="17">
        <f>IF(AND(AH902=0,AJ902=1),AG902,"")</f>
        <v/>
      </c>
      <c r="AU902" s="5">
        <f>IF(P902&lt;10000,"Under $10K",IF(P902&lt;20000,"$10-20K",IF(P902&lt;30000,"$20-30K",IF(P902&lt;50000,"$30-50K",IF(P902&lt;100000,"$50-100K","$100K+")))))</f>
        <v/>
      </c>
      <c r="AV902" s="5">
        <f>IF(O902&lt;=1.35,"1.35 and under",IF(O902&lt;=1.42,"1.36-1.42",IF(O902&lt;=1.45,"1.43-1.45",IF(O902&lt;1.49,"1.46-1.48",IF(O902&lt;=1.49,"1.49","Above 1.49")))))</f>
        <v/>
      </c>
      <c r="AW902" s="5">
        <f>IF(AE902="","",IF(AE902&lt;60,"Under 60",IF(AE902&lt;90,"60-89",IF(AE902&lt;120,"90-119",IF(AE902&lt;150,"120-149","150+")))))</f>
        <v/>
      </c>
      <c r="AX902" s="5">
        <f>IF(AP902="","No revenue data",IF(AP902&lt;0.15,"Under 0.15x",IF(AP902&lt;0.3,"0.15-0.30x",IF(AP902&lt;0.5,"0.30-0.50x",IF(AP902&lt;1,"0.50-1.00x","1.00x+")))))</f>
        <v/>
      </c>
      <c r="AY902" s="5">
        <f>IF(J902="","No SIC",IFERROR(VLOOKUP(J902,Ref!$A$4:$C$67,2,FALSE()),"Unclassified"))</f>
        <v/>
      </c>
      <c r="AZ902" s="5">
        <f>IF(E902="","",TEXT(E902,"YYYY")&amp;"-Q"&amp;ROUNDUP(MONTH(E902)/3,0))</f>
        <v/>
      </c>
      <c r="BA902" s="5">
        <f>IF(E902="","",TEXT(E902,"YYYY-MM"))</f>
        <v/>
      </c>
      <c r="BB902" s="5">
        <f>IF(E902="","",TEXT(E902,"YYYY"))</f>
        <v/>
      </c>
      <c r="BC902" s="92">
        <f>IF($E902="","",NETWORKDAYS($E902,Controls!$B$9,Ref!$F$4:$F$47))</f>
        <v/>
      </c>
      <c r="BD902" s="92">
        <f>IF(OR($AH902=1,$AJ902=1),1,0)</f>
        <v/>
      </c>
      <c r="BE902" s="95">
        <f>IF(OR($BD902=1,AND($AE902&lt;&gt;"",$BC902&gt;=Controls!$B$10*$AE902)),1,0)</f>
        <v/>
      </c>
    </row>
    <row r="903" ht="15.75" customHeight="1" s="79">
      <c r="A903" s="5" t="inlineStr">
        <is>
          <t>5674184236</t>
        </is>
      </c>
      <c r="B903" s="5" t="inlineStr">
        <is>
          <t>Hatmaker Holdings LLC</t>
        </is>
      </c>
      <c r="C903" s="5" t="inlineStr">
        <is>
          <t>Hatmaker Holdings LLC</t>
        </is>
      </c>
      <c r="D903" s="5" t="inlineStr">
        <is>
          <t>Open</t>
        </is>
      </c>
      <c r="E903" s="16" t="n">
        <v>46168</v>
      </c>
      <c r="F903" s="16" t="n">
        <v>46253</v>
      </c>
      <c r="G903" s="17" t="n">
        <v>3</v>
      </c>
      <c r="H903" s="5" t="inlineStr">
        <is>
          <t>7261</t>
        </is>
      </c>
      <c r="I903" s="5" t="inlineStr">
        <is>
          <t>Funeral Homes and Funeral Services</t>
        </is>
      </c>
      <c r="J903" s="5" t="inlineStr">
        <is>
          <t>72</t>
        </is>
      </c>
      <c r="K903" s="5" t="n">
        <v>7261</v>
      </c>
      <c r="L903" s="5" t="inlineStr">
        <is>
          <t>TN</t>
        </is>
      </c>
      <c r="M903" s="5" t="inlineStr">
        <is>
          <t>Ballicci</t>
        </is>
      </c>
      <c r="N903" s="5" t="inlineStr">
        <is>
          <t>Renewal</t>
        </is>
      </c>
      <c r="O903" s="19" t="n">
        <v>1.49</v>
      </c>
      <c r="P903" s="20" t="n">
        <v>45000</v>
      </c>
      <c r="Q903" s="20" t="n">
        <v>6300</v>
      </c>
      <c r="R903" s="20" t="n">
        <v>67050</v>
      </c>
      <c r="S903" s="20" t="n">
        <v>19641.44</v>
      </c>
      <c r="T903" s="20" t="n">
        <v>47408.56</v>
      </c>
      <c r="U903" s="21" t="n">
        <v>0.29293721103654</v>
      </c>
      <c r="V903" s="22" t="n">
        <v>3.967</v>
      </c>
      <c r="W903" s="17" t="n">
        <v>0</v>
      </c>
      <c r="X903" s="17" t="n">
        <v>21</v>
      </c>
      <c r="Y903" s="20" t="n">
        <v>68415.85000000001</v>
      </c>
      <c r="Z903" s="21" t="n">
        <v>0.1455</v>
      </c>
      <c r="AA903" s="16" t="n">
        <v>37215</v>
      </c>
      <c r="AB903" s="5">
        <f>IF(V903="","",IF(V903&lt;12,"Months","Weeks"))</f>
        <v/>
      </c>
      <c r="AC903" s="5">
        <f>IF(AB903="","",IF(AB903="Months","Daily","Weekly"))</f>
        <v/>
      </c>
      <c r="AD903" s="17">
        <f>IF(V903="","",IF(AC903="Daily",V903*Controls!$B$13,V903))</f>
        <v/>
      </c>
      <c r="AE903" s="17">
        <f>IF(V903="","",IF(AC903="Daily",V903*Controls!$B$13,V903*Controls!$B$12))</f>
        <v/>
      </c>
      <c r="AF903" s="17">
        <f>IF(OR(E903="",F903=""),"",F903-E903)</f>
        <v/>
      </c>
      <c r="AG903" s="17">
        <f>IF(OR(E903="",F903=""),"",NETWORKDAYS(E903,F903,Ref!$F$4:$F$47))</f>
        <v/>
      </c>
      <c r="AH903" s="39">
        <f>IF(IFERROR(VLOOKUP(D903,Controls!$A$25:$D$35,2,FALSE()),"No")="Yes",1,0)</f>
        <v/>
      </c>
      <c r="AI903" s="39">
        <f>IF(IFERROR(VLOOKUP(D903,Controls!$A$25:$D$35,3,FALSE()),"No")="Yes",1,0)</f>
        <v/>
      </c>
      <c r="AJ903" s="39">
        <f>IF(IFERROR(VLOOKUP(D903,Controls!$A$25:$D$35,4,FALSE()),"No")="Yes",1,0)</f>
        <v/>
      </c>
      <c r="AK903" s="96">
        <f>IF(AND($E903&gt;=Controls!$B$5,$E903&lt;=Controls!$B$6,OR(Controls!$E$9&lt;&gt;"Y",$BE903=1)),1,0)</f>
        <v/>
      </c>
      <c r="AL903" s="39">
        <f>1</f>
        <v/>
      </c>
      <c r="AM903" s="20">
        <f>S903-P903</f>
        <v/>
      </c>
      <c r="AN903" s="20">
        <f>IF(AH903=1,MAX(0,P903-S903),0)</f>
        <v/>
      </c>
      <c r="AO903" s="21">
        <f>IFERROR(S903/P903,"")</f>
        <v/>
      </c>
      <c r="AP903" s="22">
        <f>IF(Y903="","",P903/Y903)</f>
        <v/>
      </c>
      <c r="AQ903" s="39">
        <f>IF(Y903="",0,1)</f>
        <v/>
      </c>
      <c r="AR903" s="39">
        <f>IF(S903&lt;=0,1,0)</f>
        <v/>
      </c>
      <c r="AS903" s="17">
        <f>IF(AH903=1,AG903,"")</f>
        <v/>
      </c>
      <c r="AT903" s="17">
        <f>IF(AND(AH903=0,AJ903=1),AG903,"")</f>
        <v/>
      </c>
      <c r="AU903" s="5">
        <f>IF(P903&lt;10000,"Under $10K",IF(P903&lt;20000,"$10-20K",IF(P903&lt;30000,"$20-30K",IF(P903&lt;50000,"$30-50K",IF(P903&lt;100000,"$50-100K","$100K+")))))</f>
        <v/>
      </c>
      <c r="AV903" s="5">
        <f>IF(O903&lt;=1.35,"1.35 and under",IF(O903&lt;=1.42,"1.36-1.42",IF(O903&lt;=1.45,"1.43-1.45",IF(O903&lt;1.49,"1.46-1.48",IF(O903&lt;=1.49,"1.49","Above 1.49")))))</f>
        <v/>
      </c>
      <c r="AW903" s="5">
        <f>IF(AE903="","",IF(AE903&lt;60,"Under 60",IF(AE903&lt;90,"60-89",IF(AE903&lt;120,"90-119",IF(AE903&lt;150,"120-149","150+")))))</f>
        <v/>
      </c>
      <c r="AX903" s="5">
        <f>IF(AP903="","No revenue data",IF(AP903&lt;0.15,"Under 0.15x",IF(AP903&lt;0.3,"0.15-0.30x",IF(AP903&lt;0.5,"0.30-0.50x",IF(AP903&lt;1,"0.50-1.00x","1.00x+")))))</f>
        <v/>
      </c>
      <c r="AY903" s="5">
        <f>IF(J903="","No SIC",IFERROR(VLOOKUP(J903,Ref!$A$4:$C$67,2,FALSE()),"Unclassified"))</f>
        <v/>
      </c>
      <c r="AZ903" s="5">
        <f>IF(E903="","",TEXT(E903,"YYYY")&amp;"-Q"&amp;ROUNDUP(MONTH(E903)/3,0))</f>
        <v/>
      </c>
      <c r="BA903" s="5">
        <f>IF(E903="","",TEXT(E903,"YYYY-MM"))</f>
        <v/>
      </c>
      <c r="BB903" s="5">
        <f>IF(E903="","",TEXT(E903,"YYYY"))</f>
        <v/>
      </c>
      <c r="BC903" s="92">
        <f>IF($E903="","",NETWORKDAYS($E903,Controls!$B$9,Ref!$F$4:$F$47))</f>
        <v/>
      </c>
      <c r="BD903" s="92">
        <f>IF(OR($AH903=1,$AJ903=1),1,0)</f>
        <v/>
      </c>
      <c r="BE903" s="95">
        <f>IF(OR($BD903=1,AND($AE903&lt;&gt;"",$BC903&gt;=Controls!$B$10*$AE903)),1,0)</f>
        <v/>
      </c>
    </row>
    <row r="904" ht="15.75" customHeight="1" s="79">
      <c r="A904" s="5" t="inlineStr">
        <is>
          <t>5674184273</t>
        </is>
      </c>
      <c r="B904" s="5" t="inlineStr">
        <is>
          <t>American services inc</t>
        </is>
      </c>
      <c r="C904" s="5" t="inlineStr">
        <is>
          <t>American services inc</t>
        </is>
      </c>
      <c r="D904" s="5" t="inlineStr">
        <is>
          <t>Legal</t>
        </is>
      </c>
      <c r="E904" s="16" t="n">
        <v>46169</v>
      </c>
      <c r="F904" s="16" t="n">
        <v>46192</v>
      </c>
      <c r="G904" s="17" t="n">
        <v>3</v>
      </c>
      <c r="H904" s="5" t="inlineStr">
        <is>
          <t>7699</t>
        </is>
      </c>
      <c r="I904" s="5" t="inlineStr">
        <is>
          <t>Support Activities for Animal Production</t>
        </is>
      </c>
      <c r="J904" s="5" t="inlineStr">
        <is>
          <t>76</t>
        </is>
      </c>
      <c r="K904" s="5" t="n">
        <v>7699</v>
      </c>
      <c r="L904" s="5" t="inlineStr">
        <is>
          <t>FL</t>
        </is>
      </c>
      <c r="M904" s="5" t="inlineStr">
        <is>
          <t>Fundible</t>
        </is>
      </c>
      <c r="N904" s="5" t="inlineStr">
        <is>
          <t>New Deal</t>
        </is>
      </c>
      <c r="O904" s="19" t="n">
        <v>1.49</v>
      </c>
      <c r="P904" s="20" t="n">
        <v>7000</v>
      </c>
      <c r="Q904" s="20" t="n">
        <v>0</v>
      </c>
      <c r="R904" s="20" t="n">
        <v>10430</v>
      </c>
      <c r="S904" s="20" t="n">
        <v>1158.94</v>
      </c>
      <c r="T904" s="20" t="n">
        <v>9271.059999999999</v>
      </c>
      <c r="U904" s="21" t="n">
        <v>0.111116011505273</v>
      </c>
      <c r="V904" s="22" t="n">
        <v>18</v>
      </c>
      <c r="W904" s="17" t="n">
        <v>68</v>
      </c>
      <c r="X904" s="17" t="n">
        <v>1</v>
      </c>
      <c r="Y904" s="20" t="n">
        <v>56671.85</v>
      </c>
      <c r="Z904" s="21" t="n">
        <v>0.0409</v>
      </c>
      <c r="AA904" s="16" t="n">
        <v>45734</v>
      </c>
      <c r="AB904" s="5">
        <f>IF(V904="","",IF(V904&lt;12,"Months","Weeks"))</f>
        <v/>
      </c>
      <c r="AC904" s="5">
        <f>IF(AB904="","",IF(AB904="Months","Daily","Weekly"))</f>
        <v/>
      </c>
      <c r="AD904" s="17">
        <f>IF(V904="","",IF(AC904="Daily",V904*Controls!$B$13,V904))</f>
        <v/>
      </c>
      <c r="AE904" s="17">
        <f>IF(V904="","",IF(AC904="Daily",V904*Controls!$B$13,V904*Controls!$B$12))</f>
        <v/>
      </c>
      <c r="AF904" s="17">
        <f>IF(OR(E904="",F904=""),"",F904-E904)</f>
        <v/>
      </c>
      <c r="AG904" s="17">
        <f>IF(OR(E904="",F904=""),"",NETWORKDAYS(E904,F904,Ref!$F$4:$F$47))</f>
        <v/>
      </c>
      <c r="AH904" s="39">
        <f>IF(IFERROR(VLOOKUP(D904,Controls!$A$25:$D$35,2,FALSE()),"No")="Yes",1,0)</f>
        <v/>
      </c>
      <c r="AI904" s="39">
        <f>IF(IFERROR(VLOOKUP(D904,Controls!$A$25:$D$35,3,FALSE()),"No")="Yes",1,0)</f>
        <v/>
      </c>
      <c r="AJ904" s="39">
        <f>IF(IFERROR(VLOOKUP(D904,Controls!$A$25:$D$35,4,FALSE()),"No")="Yes",1,0)</f>
        <v/>
      </c>
      <c r="AK904" s="96">
        <f>IF(AND($E904&gt;=Controls!$B$5,$E904&lt;=Controls!$B$6,OR(Controls!$E$9&lt;&gt;"Y",$BE904=1)),1,0)</f>
        <v/>
      </c>
      <c r="AL904" s="39">
        <f>1</f>
        <v/>
      </c>
      <c r="AM904" s="20">
        <f>S904-P904</f>
        <v/>
      </c>
      <c r="AN904" s="20">
        <f>IF(AH904=1,MAX(0,P904-S904),0)</f>
        <v/>
      </c>
      <c r="AO904" s="21">
        <f>IFERROR(S904/P904,"")</f>
        <v/>
      </c>
      <c r="AP904" s="22">
        <f>IF(Y904="","",P904/Y904)</f>
        <v/>
      </c>
      <c r="AQ904" s="39">
        <f>IF(Y904="",0,1)</f>
        <v/>
      </c>
      <c r="AR904" s="39">
        <f>IF(S904&lt;=0,1,0)</f>
        <v/>
      </c>
      <c r="AS904" s="17">
        <f>IF(AH904=1,AG904,"")</f>
        <v/>
      </c>
      <c r="AT904" s="17">
        <f>IF(AND(AH904=0,AJ904=1),AG904,"")</f>
        <v/>
      </c>
      <c r="AU904" s="5">
        <f>IF(P904&lt;10000,"Under $10K",IF(P904&lt;20000,"$10-20K",IF(P904&lt;30000,"$20-30K",IF(P904&lt;50000,"$30-50K",IF(P904&lt;100000,"$50-100K","$100K+")))))</f>
        <v/>
      </c>
      <c r="AV904" s="5">
        <f>IF(O904&lt;=1.35,"1.35 and under",IF(O904&lt;=1.42,"1.36-1.42",IF(O904&lt;=1.45,"1.43-1.45",IF(O904&lt;1.49,"1.46-1.48",IF(O904&lt;=1.49,"1.49","Above 1.49")))))</f>
        <v/>
      </c>
      <c r="AW904" s="5">
        <f>IF(AE904="","",IF(AE904&lt;60,"Under 60",IF(AE904&lt;90,"60-89",IF(AE904&lt;120,"90-119",IF(AE904&lt;150,"120-149","150+")))))</f>
        <v/>
      </c>
      <c r="AX904" s="5">
        <f>IF(AP904="","No revenue data",IF(AP904&lt;0.15,"Under 0.15x",IF(AP904&lt;0.3,"0.15-0.30x",IF(AP904&lt;0.5,"0.30-0.50x",IF(AP904&lt;1,"0.50-1.00x","1.00x+")))))</f>
        <v/>
      </c>
      <c r="AY904" s="5">
        <f>IF(J904="","No SIC",IFERROR(VLOOKUP(J904,Ref!$A$4:$C$67,2,FALSE()),"Unclassified"))</f>
        <v/>
      </c>
      <c r="AZ904" s="5">
        <f>IF(E904="","",TEXT(E904,"YYYY")&amp;"-Q"&amp;ROUNDUP(MONTH(E904)/3,0))</f>
        <v/>
      </c>
      <c r="BA904" s="5">
        <f>IF(E904="","",TEXT(E904,"YYYY-MM"))</f>
        <v/>
      </c>
      <c r="BB904" s="5">
        <f>IF(E904="","",TEXT(E904,"YYYY"))</f>
        <v/>
      </c>
      <c r="BC904" s="92">
        <f>IF($E904="","",NETWORKDAYS($E904,Controls!$B$9,Ref!$F$4:$F$47))</f>
        <v/>
      </c>
      <c r="BD904" s="92">
        <f>IF(OR($AH904=1,$AJ904=1),1,0)</f>
        <v/>
      </c>
      <c r="BE904" s="95">
        <f>IF(OR($BD904=1,AND($AE904&lt;&gt;"",$BC904&gt;=Controls!$B$10*$AE904)),1,0)</f>
        <v/>
      </c>
    </row>
    <row r="905" ht="15.75" customHeight="1" s="79">
      <c r="A905" s="5" t="inlineStr">
        <is>
          <t>5674184284</t>
        </is>
      </c>
      <c r="B905" s="5" t="inlineStr">
        <is>
          <t>H30 TRUCKING LLC</t>
        </is>
      </c>
      <c r="C905" s="5" t="inlineStr">
        <is>
          <t>H30 TRUCKING LLC</t>
        </is>
      </c>
      <c r="D905" s="5" t="inlineStr">
        <is>
          <t>Open</t>
        </is>
      </c>
      <c r="E905" s="16" t="n">
        <v>46169</v>
      </c>
      <c r="F905" s="16" t="n">
        <v>46253</v>
      </c>
      <c r="G905" s="17" t="n">
        <v>3</v>
      </c>
      <c r="H905" s="5" t="inlineStr">
        <is>
          <t>4212</t>
        </is>
      </c>
      <c r="I905" s="5" t="inlineStr">
        <is>
          <t>Specialized Freight (Except Used Goods) Trucking, Local</t>
        </is>
      </c>
      <c r="J905" s="5" t="inlineStr">
        <is>
          <t>42</t>
        </is>
      </c>
      <c r="K905" s="5" t="n">
        <v>4214</v>
      </c>
      <c r="L905" s="5" t="inlineStr">
        <is>
          <t>VA</t>
        </is>
      </c>
      <c r="M905" s="5" t="inlineStr">
        <is>
          <t>Ballicci</t>
        </is>
      </c>
      <c r="N905" s="5" t="inlineStr">
        <is>
          <t>Renewal</t>
        </is>
      </c>
      <c r="O905" s="19" t="n">
        <v>1.49</v>
      </c>
      <c r="P905" s="20" t="n">
        <v>45000</v>
      </c>
      <c r="Q905" s="20" t="n">
        <v>6300</v>
      </c>
      <c r="R905" s="20" t="n">
        <v>67050</v>
      </c>
      <c r="S905" s="20" t="n">
        <v>18866.34</v>
      </c>
      <c r="T905" s="20" t="n">
        <v>48183.66</v>
      </c>
      <c r="U905" s="21" t="n">
        <v>0.281377181208054</v>
      </c>
      <c r="V905" s="22" t="n">
        <v>32</v>
      </c>
      <c r="W905" s="17" t="n">
        <v>0</v>
      </c>
      <c r="X905" s="17" t="n">
        <v>3</v>
      </c>
      <c r="Y905" s="20" t="n">
        <v>114549.95</v>
      </c>
      <c r="Z905" s="21" t="n">
        <v>0.0732</v>
      </c>
      <c r="AA905" s="16" t="n">
        <v>43837</v>
      </c>
      <c r="AB905" s="5">
        <f>IF(V905="","",IF(V905&lt;12,"Months","Weeks"))</f>
        <v/>
      </c>
      <c r="AC905" s="5">
        <f>IF(AB905="","",IF(AB905="Months","Daily","Weekly"))</f>
        <v/>
      </c>
      <c r="AD905" s="17">
        <f>IF(V905="","",IF(AC905="Daily",V905*Controls!$B$13,V905))</f>
        <v/>
      </c>
      <c r="AE905" s="17">
        <f>IF(V905="","",IF(AC905="Daily",V905*Controls!$B$13,V905*Controls!$B$12))</f>
        <v/>
      </c>
      <c r="AF905" s="17">
        <f>IF(OR(E905="",F905=""),"",F905-E905)</f>
        <v/>
      </c>
      <c r="AG905" s="17">
        <f>IF(OR(E905="",F905=""),"",NETWORKDAYS(E905,F905,Ref!$F$4:$F$47))</f>
        <v/>
      </c>
      <c r="AH905" s="39">
        <f>IF(IFERROR(VLOOKUP(D905,Controls!$A$25:$D$35,2,FALSE()),"No")="Yes",1,0)</f>
        <v/>
      </c>
      <c r="AI905" s="39">
        <f>IF(IFERROR(VLOOKUP(D905,Controls!$A$25:$D$35,3,FALSE()),"No")="Yes",1,0)</f>
        <v/>
      </c>
      <c r="AJ905" s="39">
        <f>IF(IFERROR(VLOOKUP(D905,Controls!$A$25:$D$35,4,FALSE()),"No")="Yes",1,0)</f>
        <v/>
      </c>
      <c r="AK905" s="96">
        <f>IF(AND($E905&gt;=Controls!$B$5,$E905&lt;=Controls!$B$6,OR(Controls!$E$9&lt;&gt;"Y",$BE905=1)),1,0)</f>
        <v/>
      </c>
      <c r="AL905" s="39">
        <f>1</f>
        <v/>
      </c>
      <c r="AM905" s="20">
        <f>S905-P905</f>
        <v/>
      </c>
      <c r="AN905" s="20">
        <f>IF(AH905=1,MAX(0,P905-S905),0)</f>
        <v/>
      </c>
      <c r="AO905" s="21">
        <f>IFERROR(S905/P905,"")</f>
        <v/>
      </c>
      <c r="AP905" s="22">
        <f>IF(Y905="","",P905/Y905)</f>
        <v/>
      </c>
      <c r="AQ905" s="39">
        <f>IF(Y905="",0,1)</f>
        <v/>
      </c>
      <c r="AR905" s="39">
        <f>IF(S905&lt;=0,1,0)</f>
        <v/>
      </c>
      <c r="AS905" s="17">
        <f>IF(AH905=1,AG905,"")</f>
        <v/>
      </c>
      <c r="AT905" s="17">
        <f>IF(AND(AH905=0,AJ905=1),AG905,"")</f>
        <v/>
      </c>
      <c r="AU905" s="5">
        <f>IF(P905&lt;10000,"Under $10K",IF(P905&lt;20000,"$10-20K",IF(P905&lt;30000,"$20-30K",IF(P905&lt;50000,"$30-50K",IF(P905&lt;100000,"$50-100K","$100K+")))))</f>
        <v/>
      </c>
      <c r="AV905" s="5">
        <f>IF(O905&lt;=1.35,"1.35 and under",IF(O905&lt;=1.42,"1.36-1.42",IF(O905&lt;=1.45,"1.43-1.45",IF(O905&lt;1.49,"1.46-1.48",IF(O905&lt;=1.49,"1.49","Above 1.49")))))</f>
        <v/>
      </c>
      <c r="AW905" s="5">
        <f>IF(AE905="","",IF(AE905&lt;60,"Under 60",IF(AE905&lt;90,"60-89",IF(AE905&lt;120,"90-119",IF(AE905&lt;150,"120-149","150+")))))</f>
        <v/>
      </c>
      <c r="AX905" s="5">
        <f>IF(AP905="","No revenue data",IF(AP905&lt;0.15,"Under 0.15x",IF(AP905&lt;0.3,"0.15-0.30x",IF(AP905&lt;0.5,"0.30-0.50x",IF(AP905&lt;1,"0.50-1.00x","1.00x+")))))</f>
        <v/>
      </c>
      <c r="AY905" s="5">
        <f>IF(J905="","No SIC",IFERROR(VLOOKUP(J905,Ref!$A$4:$C$67,2,FALSE()),"Unclassified"))</f>
        <v/>
      </c>
      <c r="AZ905" s="5">
        <f>IF(E905="","",TEXT(E905,"YYYY")&amp;"-Q"&amp;ROUNDUP(MONTH(E905)/3,0))</f>
        <v/>
      </c>
      <c r="BA905" s="5">
        <f>IF(E905="","",TEXT(E905,"YYYY-MM"))</f>
        <v/>
      </c>
      <c r="BB905" s="5">
        <f>IF(E905="","",TEXT(E905,"YYYY"))</f>
        <v/>
      </c>
      <c r="BC905" s="92">
        <f>IF($E905="","",NETWORKDAYS($E905,Controls!$B$9,Ref!$F$4:$F$47))</f>
        <v/>
      </c>
      <c r="BD905" s="92">
        <f>IF(OR($AH905=1,$AJ905=1),1,0)</f>
        <v/>
      </c>
      <c r="BE905" s="95">
        <f>IF(OR($BD905=1,AND($AE905&lt;&gt;"",$BC905&gt;=Controls!$B$10*$AE905)),1,0)</f>
        <v/>
      </c>
    </row>
    <row r="906" ht="15.75" customHeight="1" s="79">
      <c r="A906" s="5" t="inlineStr">
        <is>
          <t>5674184309</t>
        </is>
      </c>
      <c r="B906" s="5" t="inlineStr">
        <is>
          <t>Our House MHSA Inc</t>
        </is>
      </c>
      <c r="C906" s="5" t="inlineStr">
        <is>
          <t>Our House MHSA Inc</t>
        </is>
      </c>
      <c r="D906" s="5" t="inlineStr">
        <is>
          <t>Settlement Agreement</t>
        </is>
      </c>
      <c r="E906" s="16" t="n">
        <v>46169</v>
      </c>
      <c r="F906" s="16" t="n">
        <v>46252</v>
      </c>
      <c r="G906" s="17" t="n">
        <v>2</v>
      </c>
      <c r="H906" s="5" t="inlineStr">
        <is>
          <t>8093</t>
        </is>
      </c>
      <c r="I906" s="5" t="inlineStr">
        <is>
          <t>Family Planning Centers</t>
        </is>
      </c>
      <c r="J906" s="5" t="inlineStr">
        <is>
          <t>80</t>
        </is>
      </c>
      <c r="K906" s="5" t="n">
        <v>8099</v>
      </c>
      <c r="L906" s="5" t="inlineStr">
        <is>
          <t>OK</t>
        </is>
      </c>
      <c r="M906" s="5" t="inlineStr">
        <is>
          <t>Splash</t>
        </is>
      </c>
      <c r="N906" s="5" t="inlineStr">
        <is>
          <t>New Deal</t>
        </is>
      </c>
      <c r="O906" s="19" t="n">
        <v>1.49</v>
      </c>
      <c r="P906" s="20" t="n">
        <v>60000</v>
      </c>
      <c r="Q906" s="20" t="n">
        <v>0</v>
      </c>
      <c r="R906" s="20" t="n">
        <v>89400</v>
      </c>
      <c r="S906" s="20" t="n">
        <v>11980.1</v>
      </c>
      <c r="T906" s="20" t="n">
        <v>77419.89999999999</v>
      </c>
      <c r="U906" s="21" t="n">
        <v>0.134005592841163</v>
      </c>
      <c r="V906" s="22" t="n">
        <v>30</v>
      </c>
      <c r="W906" s="17" t="n">
        <v>1</v>
      </c>
      <c r="X906" s="17" t="n">
        <v>1</v>
      </c>
      <c r="Y906" s="20" t="n">
        <v>75112.78</v>
      </c>
      <c r="Z906" s="21" t="n">
        <v>0.1587</v>
      </c>
      <c r="AA906" s="16" t="n">
        <v>42437</v>
      </c>
      <c r="AB906" s="5">
        <f>IF(V906="","",IF(V906&lt;12,"Months","Weeks"))</f>
        <v/>
      </c>
      <c r="AC906" s="5">
        <f>IF(AB906="","",IF(AB906="Months","Daily","Weekly"))</f>
        <v/>
      </c>
      <c r="AD906" s="17">
        <f>IF(V906="","",IF(AC906="Daily",V906*Controls!$B$13,V906))</f>
        <v/>
      </c>
      <c r="AE906" s="17">
        <f>IF(V906="","",IF(AC906="Daily",V906*Controls!$B$13,V906*Controls!$B$12))</f>
        <v/>
      </c>
      <c r="AF906" s="17">
        <f>IF(OR(E906="",F906=""),"",F906-E906)</f>
        <v/>
      </c>
      <c r="AG906" s="17">
        <f>IF(OR(E906="",F906=""),"",NETWORKDAYS(E906,F906,Ref!$F$4:$F$47))</f>
        <v/>
      </c>
      <c r="AH906" s="39">
        <f>IF(IFERROR(VLOOKUP(D906,Controls!$A$25:$D$35,2,FALSE()),"No")="Yes",1,0)</f>
        <v/>
      </c>
      <c r="AI906" s="39">
        <f>IF(IFERROR(VLOOKUP(D906,Controls!$A$25:$D$35,3,FALSE()),"No")="Yes",1,0)</f>
        <v/>
      </c>
      <c r="AJ906" s="39">
        <f>IF(IFERROR(VLOOKUP(D906,Controls!$A$25:$D$35,4,FALSE()),"No")="Yes",1,0)</f>
        <v/>
      </c>
      <c r="AK906" s="96">
        <f>IF(AND($E906&gt;=Controls!$B$5,$E906&lt;=Controls!$B$6,OR(Controls!$E$9&lt;&gt;"Y",$BE906=1)),1,0)</f>
        <v/>
      </c>
      <c r="AL906" s="39">
        <f>1</f>
        <v/>
      </c>
      <c r="AM906" s="20">
        <f>S906-P906</f>
        <v/>
      </c>
      <c r="AN906" s="20">
        <f>IF(AH906=1,MAX(0,P906-S906),0)</f>
        <v/>
      </c>
      <c r="AO906" s="21">
        <f>IFERROR(S906/P906,"")</f>
        <v/>
      </c>
      <c r="AP906" s="22">
        <f>IF(Y906="","",P906/Y906)</f>
        <v/>
      </c>
      <c r="AQ906" s="39">
        <f>IF(Y906="",0,1)</f>
        <v/>
      </c>
      <c r="AR906" s="39">
        <f>IF(S906&lt;=0,1,0)</f>
        <v/>
      </c>
      <c r="AS906" s="17">
        <f>IF(AH906=1,AG906,"")</f>
        <v/>
      </c>
      <c r="AT906" s="17">
        <f>IF(AND(AH906=0,AJ906=1),AG906,"")</f>
        <v/>
      </c>
      <c r="AU906" s="5">
        <f>IF(P906&lt;10000,"Under $10K",IF(P906&lt;20000,"$10-20K",IF(P906&lt;30000,"$20-30K",IF(P906&lt;50000,"$30-50K",IF(P906&lt;100000,"$50-100K","$100K+")))))</f>
        <v/>
      </c>
      <c r="AV906" s="5">
        <f>IF(O906&lt;=1.35,"1.35 and under",IF(O906&lt;=1.42,"1.36-1.42",IF(O906&lt;=1.45,"1.43-1.45",IF(O906&lt;1.49,"1.46-1.48",IF(O906&lt;=1.49,"1.49","Above 1.49")))))</f>
        <v/>
      </c>
      <c r="AW906" s="5">
        <f>IF(AE906="","",IF(AE906&lt;60,"Under 60",IF(AE906&lt;90,"60-89",IF(AE906&lt;120,"90-119",IF(AE906&lt;150,"120-149","150+")))))</f>
        <v/>
      </c>
      <c r="AX906" s="5">
        <f>IF(AP906="","No revenue data",IF(AP906&lt;0.15,"Under 0.15x",IF(AP906&lt;0.3,"0.15-0.30x",IF(AP906&lt;0.5,"0.30-0.50x",IF(AP906&lt;1,"0.50-1.00x","1.00x+")))))</f>
        <v/>
      </c>
      <c r="AY906" s="5">
        <f>IF(J906="","No SIC",IFERROR(VLOOKUP(J906,Ref!$A$4:$C$67,2,FALSE()),"Unclassified"))</f>
        <v/>
      </c>
      <c r="AZ906" s="5">
        <f>IF(E906="","",TEXT(E906,"YYYY")&amp;"-Q"&amp;ROUNDUP(MONTH(E906)/3,0))</f>
        <v/>
      </c>
      <c r="BA906" s="5">
        <f>IF(E906="","",TEXT(E906,"YYYY-MM"))</f>
        <v/>
      </c>
      <c r="BB906" s="5">
        <f>IF(E906="","",TEXT(E906,"YYYY"))</f>
        <v/>
      </c>
      <c r="BC906" s="92">
        <f>IF($E906="","",NETWORKDAYS($E906,Controls!$B$9,Ref!$F$4:$F$47))</f>
        <v/>
      </c>
      <c r="BD906" s="92">
        <f>IF(OR($AH906=1,$AJ906=1),1,0)</f>
        <v/>
      </c>
      <c r="BE906" s="95">
        <f>IF(OR($BD906=1,AND($AE906&lt;&gt;"",$BC906&gt;=Controls!$B$10*$AE906)),1,0)</f>
        <v/>
      </c>
    </row>
    <row r="907" ht="15.75" customHeight="1" s="79">
      <c r="A907" s="5" t="inlineStr">
        <is>
          <t>5674184350</t>
        </is>
      </c>
      <c r="B907" s="5" t="inlineStr">
        <is>
          <t>THE BREAK SPORTS GRILL SARATOGA SPRINGS DBA THE DKBK</t>
        </is>
      </c>
      <c r="C907" s="5" t="inlineStr">
        <is>
          <t>The DKBK LLC</t>
        </is>
      </c>
      <c r="D907" s="5" t="inlineStr">
        <is>
          <t>Open</t>
        </is>
      </c>
      <c r="E907" s="16" t="n">
        <v>46170</v>
      </c>
      <c r="F907" s="16" t="n">
        <v>46253</v>
      </c>
      <c r="G907" s="17" t="n">
        <v>4</v>
      </c>
      <c r="H907" s="5" t="inlineStr">
        <is>
          <t>5812</t>
        </is>
      </c>
      <c r="I907" s="5" t="inlineStr">
        <is>
          <t>Snack and Nonalcoholic Beverage Bars</t>
        </is>
      </c>
      <c r="J907" s="5" t="inlineStr">
        <is>
          <t>58</t>
        </is>
      </c>
      <c r="K907" s="5" t="n">
        <v>5812</v>
      </c>
      <c r="L907" s="5" t="inlineStr">
        <is>
          <t>UT</t>
        </is>
      </c>
      <c r="M907" s="5" t="inlineStr">
        <is>
          <t>PMF</t>
        </is>
      </c>
      <c r="N907" s="5" t="inlineStr">
        <is>
          <t>New Deal</t>
        </is>
      </c>
      <c r="O907" s="19" t="n">
        <v>1.45</v>
      </c>
      <c r="P907" s="20" t="n">
        <v>75000</v>
      </c>
      <c r="Q907" s="20" t="n">
        <v>9000</v>
      </c>
      <c r="R907" s="20" t="n">
        <v>108750</v>
      </c>
      <c r="S907" s="20" t="n">
        <v>59307.12</v>
      </c>
      <c r="T907" s="20" t="n">
        <v>49442.88</v>
      </c>
      <c r="U907" s="21" t="n">
        <v>0.545352827586207</v>
      </c>
      <c r="V907" s="22" t="n">
        <v>22</v>
      </c>
      <c r="W907" s="17" t="n">
        <v>0</v>
      </c>
      <c r="X907" s="17" t="n">
        <v>2</v>
      </c>
      <c r="Y907" s="20" t="n">
        <v>387628.11</v>
      </c>
      <c r="Z907" s="21" t="n">
        <v>0.051</v>
      </c>
      <c r="AA907" s="16" t="n">
        <v>44460</v>
      </c>
      <c r="AB907" s="5">
        <f>IF(V907="","",IF(V907&lt;12,"Months","Weeks"))</f>
        <v/>
      </c>
      <c r="AC907" s="5">
        <f>IF(AB907="","",IF(AB907="Months","Daily","Weekly"))</f>
        <v/>
      </c>
      <c r="AD907" s="17">
        <f>IF(V907="","",IF(AC907="Daily",V907*Controls!$B$13,V907))</f>
        <v/>
      </c>
      <c r="AE907" s="17">
        <f>IF(V907="","",IF(AC907="Daily",V907*Controls!$B$13,V907*Controls!$B$12))</f>
        <v/>
      </c>
      <c r="AF907" s="17">
        <f>IF(OR(E907="",F907=""),"",F907-E907)</f>
        <v/>
      </c>
      <c r="AG907" s="17">
        <f>IF(OR(E907="",F907=""),"",NETWORKDAYS(E907,F907,Ref!$F$4:$F$47))</f>
        <v/>
      </c>
      <c r="AH907" s="39">
        <f>IF(IFERROR(VLOOKUP(D907,Controls!$A$25:$D$35,2,FALSE()),"No")="Yes",1,0)</f>
        <v/>
      </c>
      <c r="AI907" s="39">
        <f>IF(IFERROR(VLOOKUP(D907,Controls!$A$25:$D$35,3,FALSE()),"No")="Yes",1,0)</f>
        <v/>
      </c>
      <c r="AJ907" s="39">
        <f>IF(IFERROR(VLOOKUP(D907,Controls!$A$25:$D$35,4,FALSE()),"No")="Yes",1,0)</f>
        <v/>
      </c>
      <c r="AK907" s="96">
        <f>IF(AND($E907&gt;=Controls!$B$5,$E907&lt;=Controls!$B$6,OR(Controls!$E$9&lt;&gt;"Y",$BE907=1)),1,0)</f>
        <v/>
      </c>
      <c r="AL907" s="39">
        <f>1</f>
        <v/>
      </c>
      <c r="AM907" s="20">
        <f>S907-P907</f>
        <v/>
      </c>
      <c r="AN907" s="20">
        <f>IF(AH907=1,MAX(0,P907-S907),0)</f>
        <v/>
      </c>
      <c r="AO907" s="21">
        <f>IFERROR(S907/P907,"")</f>
        <v/>
      </c>
      <c r="AP907" s="22">
        <f>IF(Y907="","",P907/Y907)</f>
        <v/>
      </c>
      <c r="AQ907" s="39">
        <f>IF(Y907="",0,1)</f>
        <v/>
      </c>
      <c r="AR907" s="39">
        <f>IF(S907&lt;=0,1,0)</f>
        <v/>
      </c>
      <c r="AS907" s="17">
        <f>IF(AH907=1,AG907,"")</f>
        <v/>
      </c>
      <c r="AT907" s="17">
        <f>IF(AND(AH907=0,AJ907=1),AG907,"")</f>
        <v/>
      </c>
      <c r="AU907" s="5">
        <f>IF(P907&lt;10000,"Under $10K",IF(P907&lt;20000,"$10-20K",IF(P907&lt;30000,"$20-30K",IF(P907&lt;50000,"$30-50K",IF(P907&lt;100000,"$50-100K","$100K+")))))</f>
        <v/>
      </c>
      <c r="AV907" s="5">
        <f>IF(O907&lt;=1.35,"1.35 and under",IF(O907&lt;=1.42,"1.36-1.42",IF(O907&lt;=1.45,"1.43-1.45",IF(O907&lt;1.49,"1.46-1.48",IF(O907&lt;=1.49,"1.49","Above 1.49")))))</f>
        <v/>
      </c>
      <c r="AW907" s="5">
        <f>IF(AE907="","",IF(AE907&lt;60,"Under 60",IF(AE907&lt;90,"60-89",IF(AE907&lt;120,"90-119",IF(AE907&lt;150,"120-149","150+")))))</f>
        <v/>
      </c>
      <c r="AX907" s="5">
        <f>IF(AP907="","No revenue data",IF(AP907&lt;0.15,"Under 0.15x",IF(AP907&lt;0.3,"0.15-0.30x",IF(AP907&lt;0.5,"0.30-0.50x",IF(AP907&lt;1,"0.50-1.00x","1.00x+")))))</f>
        <v/>
      </c>
      <c r="AY907" s="5">
        <f>IF(J907="","No SIC",IFERROR(VLOOKUP(J907,Ref!$A$4:$C$67,2,FALSE()),"Unclassified"))</f>
        <v/>
      </c>
      <c r="AZ907" s="5">
        <f>IF(E907="","",TEXT(E907,"YYYY")&amp;"-Q"&amp;ROUNDUP(MONTH(E907)/3,0))</f>
        <v/>
      </c>
      <c r="BA907" s="5">
        <f>IF(E907="","",TEXT(E907,"YYYY-MM"))</f>
        <v/>
      </c>
      <c r="BB907" s="5">
        <f>IF(E907="","",TEXT(E907,"YYYY"))</f>
        <v/>
      </c>
      <c r="BC907" s="92">
        <f>IF($E907="","",NETWORKDAYS($E907,Controls!$B$9,Ref!$F$4:$F$47))</f>
        <v/>
      </c>
      <c r="BD907" s="92">
        <f>IF(OR($AH907=1,$AJ907=1),1,0)</f>
        <v/>
      </c>
      <c r="BE907" s="95">
        <f>IF(OR($BD907=1,AND($AE907&lt;&gt;"",$BC907&gt;=Controls!$B$10*$AE907)),1,0)</f>
        <v/>
      </c>
    </row>
    <row r="908" ht="15.75" customHeight="1" s="79">
      <c r="A908" s="5" t="inlineStr">
        <is>
          <t>5674184362</t>
        </is>
      </c>
      <c r="B908" s="5" t="inlineStr">
        <is>
          <t>READY TO ASSEMBLE</t>
        </is>
      </c>
      <c r="C908" s="5" t="inlineStr">
        <is>
          <t>Ready to Assemble inc</t>
        </is>
      </c>
      <c r="D908" s="5" t="inlineStr">
        <is>
          <t>Closed</t>
        </is>
      </c>
      <c r="E908" s="16" t="n">
        <v>46170</v>
      </c>
      <c r="F908" s="16" t="n">
        <v>46240</v>
      </c>
      <c r="G908" s="17" t="n">
        <v>3</v>
      </c>
      <c r="H908" s="5" t="inlineStr">
        <is>
          <t>1521</t>
        </is>
      </c>
      <c r="I908" s="5" t="inlineStr">
        <is>
          <t>Residential Remodelers</t>
        </is>
      </c>
      <c r="J908" s="5" t="inlineStr">
        <is>
          <t>15</t>
        </is>
      </c>
      <c r="K908" s="5" t="n">
        <v>1520</v>
      </c>
      <c r="L908" s="5" t="inlineStr">
        <is>
          <t>IN</t>
        </is>
      </c>
      <c r="M908" s="5" t="inlineStr">
        <is>
          <t>PMF</t>
        </is>
      </c>
      <c r="N908" s="5" t="inlineStr">
        <is>
          <t>New Deal</t>
        </is>
      </c>
      <c r="O908" s="19" t="n">
        <v>1.45</v>
      </c>
      <c r="P908" s="20" t="n">
        <v>25000</v>
      </c>
      <c r="Q908" s="20" t="n">
        <v>3000</v>
      </c>
      <c r="R908" s="20" t="n">
        <v>36250</v>
      </c>
      <c r="S908" s="20" t="n">
        <v>36250</v>
      </c>
      <c r="T908" s="20" t="n">
        <v>0</v>
      </c>
      <c r="U908" s="21" t="n">
        <v>1</v>
      </c>
      <c r="V908" s="22" t="n">
        <v>19</v>
      </c>
      <c r="W908" s="17" t="n">
        <v>13</v>
      </c>
      <c r="X908" s="17" t="n">
        <v>0</v>
      </c>
      <c r="Y908" s="20" t="n">
        <v>92853.05</v>
      </c>
      <c r="Z908" s="21" t="n">
        <v>0.0822</v>
      </c>
      <c r="AA908" s="16" t="n">
        <v>34335</v>
      </c>
      <c r="AB908" s="5">
        <f>IF(V908="","",IF(V908&lt;12,"Months","Weeks"))</f>
        <v/>
      </c>
      <c r="AC908" s="5">
        <f>IF(AB908="","",IF(AB908="Months","Daily","Weekly"))</f>
        <v/>
      </c>
      <c r="AD908" s="17">
        <f>IF(V908="","",IF(AC908="Daily",V908*Controls!$B$13,V908))</f>
        <v/>
      </c>
      <c r="AE908" s="17">
        <f>IF(V908="","",IF(AC908="Daily",V908*Controls!$B$13,V908*Controls!$B$12))</f>
        <v/>
      </c>
      <c r="AF908" s="17">
        <f>IF(OR(E908="",F908=""),"",F908-E908)</f>
        <v/>
      </c>
      <c r="AG908" s="17">
        <f>IF(OR(E908="",F908=""),"",NETWORKDAYS(E908,F908,Ref!$F$4:$F$47))</f>
        <v/>
      </c>
      <c r="AH908" s="39">
        <f>IF(IFERROR(VLOOKUP(D908,Controls!$A$25:$D$35,2,FALSE()),"No")="Yes",1,0)</f>
        <v/>
      </c>
      <c r="AI908" s="39">
        <f>IF(IFERROR(VLOOKUP(D908,Controls!$A$25:$D$35,3,FALSE()),"No")="Yes",1,0)</f>
        <v/>
      </c>
      <c r="AJ908" s="39">
        <f>IF(IFERROR(VLOOKUP(D908,Controls!$A$25:$D$35,4,FALSE()),"No")="Yes",1,0)</f>
        <v/>
      </c>
      <c r="AK908" s="96">
        <f>IF(AND($E908&gt;=Controls!$B$5,$E908&lt;=Controls!$B$6,OR(Controls!$E$9&lt;&gt;"Y",$BE908=1)),1,0)</f>
        <v/>
      </c>
      <c r="AL908" s="39">
        <f>1</f>
        <v/>
      </c>
      <c r="AM908" s="20">
        <f>S908-P908</f>
        <v/>
      </c>
      <c r="AN908" s="20">
        <f>IF(AH908=1,MAX(0,P908-S908),0)</f>
        <v/>
      </c>
      <c r="AO908" s="21">
        <f>IFERROR(S908/P908,"")</f>
        <v/>
      </c>
      <c r="AP908" s="22">
        <f>IF(Y908="","",P908/Y908)</f>
        <v/>
      </c>
      <c r="AQ908" s="39">
        <f>IF(Y908="",0,1)</f>
        <v/>
      </c>
      <c r="AR908" s="39">
        <f>IF(S908&lt;=0,1,0)</f>
        <v/>
      </c>
      <c r="AS908" s="17">
        <f>IF(AH908=1,AG908,"")</f>
        <v/>
      </c>
      <c r="AT908" s="17">
        <f>IF(AND(AH908=0,AJ908=1),AG908,"")</f>
        <v/>
      </c>
      <c r="AU908" s="5">
        <f>IF(P908&lt;10000,"Under $10K",IF(P908&lt;20000,"$10-20K",IF(P908&lt;30000,"$20-30K",IF(P908&lt;50000,"$30-50K",IF(P908&lt;100000,"$50-100K","$100K+")))))</f>
        <v/>
      </c>
      <c r="AV908" s="5">
        <f>IF(O908&lt;=1.35,"1.35 and under",IF(O908&lt;=1.42,"1.36-1.42",IF(O908&lt;=1.45,"1.43-1.45",IF(O908&lt;1.49,"1.46-1.48",IF(O908&lt;=1.49,"1.49","Above 1.49")))))</f>
        <v/>
      </c>
      <c r="AW908" s="5">
        <f>IF(AE908="","",IF(AE908&lt;60,"Under 60",IF(AE908&lt;90,"60-89",IF(AE908&lt;120,"90-119",IF(AE908&lt;150,"120-149","150+")))))</f>
        <v/>
      </c>
      <c r="AX908" s="5">
        <f>IF(AP908="","No revenue data",IF(AP908&lt;0.15,"Under 0.15x",IF(AP908&lt;0.3,"0.15-0.30x",IF(AP908&lt;0.5,"0.30-0.50x",IF(AP908&lt;1,"0.50-1.00x","1.00x+")))))</f>
        <v/>
      </c>
      <c r="AY908" s="5">
        <f>IF(J908="","No SIC",IFERROR(VLOOKUP(J908,Ref!$A$4:$C$67,2,FALSE()),"Unclassified"))</f>
        <v/>
      </c>
      <c r="AZ908" s="5">
        <f>IF(E908="","",TEXT(E908,"YYYY")&amp;"-Q"&amp;ROUNDUP(MONTH(E908)/3,0))</f>
        <v/>
      </c>
      <c r="BA908" s="5">
        <f>IF(E908="","",TEXT(E908,"YYYY-MM"))</f>
        <v/>
      </c>
      <c r="BB908" s="5">
        <f>IF(E908="","",TEXT(E908,"YYYY"))</f>
        <v/>
      </c>
      <c r="BC908" s="92">
        <f>IF($E908="","",NETWORKDAYS($E908,Controls!$B$9,Ref!$F$4:$F$47))</f>
        <v/>
      </c>
      <c r="BD908" s="92">
        <f>IF(OR($AH908=1,$AJ908=1),1,0)</f>
        <v/>
      </c>
      <c r="BE908" s="95">
        <f>IF(OR($BD908=1,AND($AE908&lt;&gt;"",$BC908&gt;=Controls!$B$10*$AE908)),1,0)</f>
        <v/>
      </c>
    </row>
    <row r="909" ht="15.75" customHeight="1" s="79">
      <c r="A909" s="5" t="inlineStr">
        <is>
          <t>5674184374</t>
        </is>
      </c>
      <c r="B909" s="5" t="inlineStr">
        <is>
          <t>The Edge</t>
        </is>
      </c>
      <c r="C909" s="5" t="inlineStr">
        <is>
          <t>Open Edge, LLC</t>
        </is>
      </c>
      <c r="D909" s="5" t="inlineStr">
        <is>
          <t>Open</t>
        </is>
      </c>
      <c r="E909" s="16" t="n">
        <v>46170</v>
      </c>
      <c r="F909" s="16" t="n">
        <v>46248</v>
      </c>
      <c r="G909" s="17" t="n">
        <v>3</v>
      </c>
      <c r="H909" s="5" t="inlineStr">
        <is>
          <t>5812</t>
        </is>
      </c>
      <c r="I909" s="5" t="inlineStr">
        <is>
          <t>Snack and Nonalcoholic Beverage Bars</t>
        </is>
      </c>
      <c r="J909" s="5" t="inlineStr">
        <is>
          <t>58</t>
        </is>
      </c>
      <c r="K909" s="5" t="n">
        <v>5812</v>
      </c>
      <c r="L909" s="5" t="inlineStr">
        <is>
          <t>TX</t>
        </is>
      </c>
      <c r="M909" s="5" t="inlineStr">
        <is>
          <t>Choicecapital Solutions LLC</t>
        </is>
      </c>
      <c r="N909" s="5" t="inlineStr">
        <is>
          <t>New Deal</t>
        </is>
      </c>
      <c r="O909" s="19" t="n">
        <v>1.49</v>
      </c>
      <c r="P909" s="20" t="n">
        <v>40000</v>
      </c>
      <c r="Q909" s="20" t="n">
        <v>5600</v>
      </c>
      <c r="R909" s="20" t="n">
        <v>59600</v>
      </c>
      <c r="S909" s="20" t="n">
        <v>22927.3</v>
      </c>
      <c r="T909" s="20" t="n">
        <v>36672.7</v>
      </c>
      <c r="U909" s="21" t="n">
        <v>0.384686241610738</v>
      </c>
      <c r="V909" s="22" t="n">
        <v>26</v>
      </c>
      <c r="W909" s="17" t="n">
        <v>12</v>
      </c>
      <c r="X909" s="17" t="n">
        <v>1</v>
      </c>
      <c r="Y909" s="20" t="n">
        <v>142405.52</v>
      </c>
      <c r="Z909" s="21" t="n">
        <v>0.0644</v>
      </c>
      <c r="AA909" s="16" t="n">
        <v>44378</v>
      </c>
      <c r="AB909" s="5">
        <f>IF(V909="","",IF(V909&lt;12,"Months","Weeks"))</f>
        <v/>
      </c>
      <c r="AC909" s="5">
        <f>IF(AB909="","",IF(AB909="Months","Daily","Weekly"))</f>
        <v/>
      </c>
      <c r="AD909" s="17">
        <f>IF(V909="","",IF(AC909="Daily",V909*Controls!$B$13,V909))</f>
        <v/>
      </c>
      <c r="AE909" s="17">
        <f>IF(V909="","",IF(AC909="Daily",V909*Controls!$B$13,V909*Controls!$B$12))</f>
        <v/>
      </c>
      <c r="AF909" s="17">
        <f>IF(OR(E909="",F909=""),"",F909-E909)</f>
        <v/>
      </c>
      <c r="AG909" s="17">
        <f>IF(OR(E909="",F909=""),"",NETWORKDAYS(E909,F909,Ref!$F$4:$F$47))</f>
        <v/>
      </c>
      <c r="AH909" s="39">
        <f>IF(IFERROR(VLOOKUP(D909,Controls!$A$25:$D$35,2,FALSE()),"No")="Yes",1,0)</f>
        <v/>
      </c>
      <c r="AI909" s="39">
        <f>IF(IFERROR(VLOOKUP(D909,Controls!$A$25:$D$35,3,FALSE()),"No")="Yes",1,0)</f>
        <v/>
      </c>
      <c r="AJ909" s="39">
        <f>IF(IFERROR(VLOOKUP(D909,Controls!$A$25:$D$35,4,FALSE()),"No")="Yes",1,0)</f>
        <v/>
      </c>
      <c r="AK909" s="96">
        <f>IF(AND($E909&gt;=Controls!$B$5,$E909&lt;=Controls!$B$6,OR(Controls!$E$9&lt;&gt;"Y",$BE909=1)),1,0)</f>
        <v/>
      </c>
      <c r="AL909" s="39">
        <f>1</f>
        <v/>
      </c>
      <c r="AM909" s="20">
        <f>S909-P909</f>
        <v/>
      </c>
      <c r="AN909" s="20">
        <f>IF(AH909=1,MAX(0,P909-S909),0)</f>
        <v/>
      </c>
      <c r="AO909" s="21">
        <f>IFERROR(S909/P909,"")</f>
        <v/>
      </c>
      <c r="AP909" s="22">
        <f>IF(Y909="","",P909/Y909)</f>
        <v/>
      </c>
      <c r="AQ909" s="39">
        <f>IF(Y909="",0,1)</f>
        <v/>
      </c>
      <c r="AR909" s="39">
        <f>IF(S909&lt;=0,1,0)</f>
        <v/>
      </c>
      <c r="AS909" s="17">
        <f>IF(AH909=1,AG909,"")</f>
        <v/>
      </c>
      <c r="AT909" s="17">
        <f>IF(AND(AH909=0,AJ909=1),AG909,"")</f>
        <v/>
      </c>
      <c r="AU909" s="5">
        <f>IF(P909&lt;10000,"Under $10K",IF(P909&lt;20000,"$10-20K",IF(P909&lt;30000,"$20-30K",IF(P909&lt;50000,"$30-50K",IF(P909&lt;100000,"$50-100K","$100K+")))))</f>
        <v/>
      </c>
      <c r="AV909" s="5">
        <f>IF(O909&lt;=1.35,"1.35 and under",IF(O909&lt;=1.42,"1.36-1.42",IF(O909&lt;=1.45,"1.43-1.45",IF(O909&lt;1.49,"1.46-1.48",IF(O909&lt;=1.49,"1.49","Above 1.49")))))</f>
        <v/>
      </c>
      <c r="AW909" s="5">
        <f>IF(AE909="","",IF(AE909&lt;60,"Under 60",IF(AE909&lt;90,"60-89",IF(AE909&lt;120,"90-119",IF(AE909&lt;150,"120-149","150+")))))</f>
        <v/>
      </c>
      <c r="AX909" s="5">
        <f>IF(AP909="","No revenue data",IF(AP909&lt;0.15,"Under 0.15x",IF(AP909&lt;0.3,"0.15-0.30x",IF(AP909&lt;0.5,"0.30-0.50x",IF(AP909&lt;1,"0.50-1.00x","1.00x+")))))</f>
        <v/>
      </c>
      <c r="AY909" s="5">
        <f>IF(J909="","No SIC",IFERROR(VLOOKUP(J909,Ref!$A$4:$C$67,2,FALSE()),"Unclassified"))</f>
        <v/>
      </c>
      <c r="AZ909" s="5">
        <f>IF(E909="","",TEXT(E909,"YYYY")&amp;"-Q"&amp;ROUNDUP(MONTH(E909)/3,0))</f>
        <v/>
      </c>
      <c r="BA909" s="5">
        <f>IF(E909="","",TEXT(E909,"YYYY-MM"))</f>
        <v/>
      </c>
      <c r="BB909" s="5">
        <f>IF(E909="","",TEXT(E909,"YYYY"))</f>
        <v/>
      </c>
      <c r="BC909" s="92">
        <f>IF($E909="","",NETWORKDAYS($E909,Controls!$B$9,Ref!$F$4:$F$47))</f>
        <v/>
      </c>
      <c r="BD909" s="92">
        <f>IF(OR($AH909=1,$AJ909=1),1,0)</f>
        <v/>
      </c>
      <c r="BE909" s="95">
        <f>IF(OR($BD909=1,AND($AE909&lt;&gt;"",$BC909&gt;=Controls!$B$10*$AE909)),1,0)</f>
        <v/>
      </c>
    </row>
    <row r="910" ht="15.75" customHeight="1" s="79">
      <c r="A910" s="5" t="inlineStr">
        <is>
          <t>5674184447</t>
        </is>
      </c>
      <c r="B910" s="5" t="inlineStr">
        <is>
          <t>K &amp; R DEVELOPMENT</t>
        </is>
      </c>
      <c r="C910" s="5" t="inlineStr">
        <is>
          <t>K &amp; R DEVELOPMENT LLC</t>
        </is>
      </c>
      <c r="D910" s="5" t="inlineStr">
        <is>
          <t>Legal</t>
        </is>
      </c>
      <c r="E910" s="16" t="n">
        <v>46171</v>
      </c>
      <c r="F910" s="16" t="n">
        <v>46245</v>
      </c>
      <c r="G910" s="17" t="n">
        <v>3</v>
      </c>
      <c r="H910" s="5" t="inlineStr">
        <is>
          <t>6531</t>
        </is>
      </c>
      <c r="I910" s="5" t="inlineStr">
        <is>
          <t>Other Activities Related to Real Estate</t>
        </is>
      </c>
      <c r="J910" s="5" t="inlineStr">
        <is>
          <t>65</t>
        </is>
      </c>
      <c r="K910" s="5" t="n">
        <v>6513</v>
      </c>
      <c r="L910" s="5" t="inlineStr">
        <is>
          <t>SC</t>
        </is>
      </c>
      <c r="M910" s="5" t="inlineStr">
        <is>
          <t>bridge consolidation</t>
        </is>
      </c>
      <c r="N910" s="5" t="inlineStr">
        <is>
          <t>Renewal</t>
        </is>
      </c>
      <c r="O910" s="19" t="n">
        <v>1.50612903</v>
      </c>
      <c r="P910" s="20" t="n">
        <v>155000</v>
      </c>
      <c r="Q910" s="20" t="n">
        <v>0</v>
      </c>
      <c r="R910" s="20" t="n">
        <v>233449.99965</v>
      </c>
      <c r="S910" s="20" t="n">
        <v>35051.8</v>
      </c>
      <c r="T910" s="20" t="n">
        <v>198398.19965</v>
      </c>
      <c r="U910" s="21" t="n">
        <v>0.15014692676184</v>
      </c>
      <c r="V910" s="22" t="n">
        <v>29</v>
      </c>
      <c r="W910" s="17" t="n">
        <v>21</v>
      </c>
      <c r="X910" s="17" t="n">
        <v>9</v>
      </c>
      <c r="Y910" s="20" t="n">
        <v>1026941.41</v>
      </c>
      <c r="Z910" s="21" t="n">
        <v>0.0844</v>
      </c>
      <c r="AA910" s="16" t="n">
        <v>43520</v>
      </c>
      <c r="AB910" s="5">
        <f>IF(V910="","",IF(V910&lt;12,"Months","Weeks"))</f>
        <v/>
      </c>
      <c r="AC910" s="5">
        <f>IF(AB910="","",IF(AB910="Months","Daily","Weekly"))</f>
        <v/>
      </c>
      <c r="AD910" s="17">
        <f>IF(V910="","",IF(AC910="Daily",V910*Controls!$B$13,V910))</f>
        <v/>
      </c>
      <c r="AE910" s="17">
        <f>IF(V910="","",IF(AC910="Daily",V910*Controls!$B$13,V910*Controls!$B$12))</f>
        <v/>
      </c>
      <c r="AF910" s="17">
        <f>IF(OR(E910="",F910=""),"",F910-E910)</f>
        <v/>
      </c>
      <c r="AG910" s="17">
        <f>IF(OR(E910="",F910=""),"",NETWORKDAYS(E910,F910,Ref!$F$4:$F$47))</f>
        <v/>
      </c>
      <c r="AH910" s="39">
        <f>IF(IFERROR(VLOOKUP(D910,Controls!$A$25:$D$35,2,FALSE()),"No")="Yes",1,0)</f>
        <v/>
      </c>
      <c r="AI910" s="39">
        <f>IF(IFERROR(VLOOKUP(D910,Controls!$A$25:$D$35,3,FALSE()),"No")="Yes",1,0)</f>
        <v/>
      </c>
      <c r="AJ910" s="39">
        <f>IF(IFERROR(VLOOKUP(D910,Controls!$A$25:$D$35,4,FALSE()),"No")="Yes",1,0)</f>
        <v/>
      </c>
      <c r="AK910" s="96">
        <f>IF(AND($E910&gt;=Controls!$B$5,$E910&lt;=Controls!$B$6,OR(Controls!$E$9&lt;&gt;"Y",$BE910=1)),1,0)</f>
        <v/>
      </c>
      <c r="AL910" s="39">
        <f>1</f>
        <v/>
      </c>
      <c r="AM910" s="20">
        <f>S910-P910</f>
        <v/>
      </c>
      <c r="AN910" s="20">
        <f>IF(AH910=1,MAX(0,P910-S910),0)</f>
        <v/>
      </c>
      <c r="AO910" s="21">
        <f>IFERROR(S910/P910,"")</f>
        <v/>
      </c>
      <c r="AP910" s="22">
        <f>IF(Y910="","",P910/Y910)</f>
        <v/>
      </c>
      <c r="AQ910" s="39">
        <f>IF(Y910="",0,1)</f>
        <v/>
      </c>
      <c r="AR910" s="39">
        <f>IF(S910&lt;=0,1,0)</f>
        <v/>
      </c>
      <c r="AS910" s="17">
        <f>IF(AH910=1,AG910,"")</f>
        <v/>
      </c>
      <c r="AT910" s="17">
        <f>IF(AND(AH910=0,AJ910=1),AG910,"")</f>
        <v/>
      </c>
      <c r="AU910" s="5">
        <f>IF(P910&lt;10000,"Under $10K",IF(P910&lt;20000,"$10-20K",IF(P910&lt;30000,"$20-30K",IF(P910&lt;50000,"$30-50K",IF(P910&lt;100000,"$50-100K","$100K+")))))</f>
        <v/>
      </c>
      <c r="AV910" s="5">
        <f>IF(O910&lt;=1.35,"1.35 and under",IF(O910&lt;=1.42,"1.36-1.42",IF(O910&lt;=1.45,"1.43-1.45",IF(O910&lt;1.49,"1.46-1.48",IF(O910&lt;=1.49,"1.49","Above 1.49")))))</f>
        <v/>
      </c>
      <c r="AW910" s="5">
        <f>IF(AE910="","",IF(AE910&lt;60,"Under 60",IF(AE910&lt;90,"60-89",IF(AE910&lt;120,"90-119",IF(AE910&lt;150,"120-149","150+")))))</f>
        <v/>
      </c>
      <c r="AX910" s="5">
        <f>IF(AP910="","No revenue data",IF(AP910&lt;0.15,"Under 0.15x",IF(AP910&lt;0.3,"0.15-0.30x",IF(AP910&lt;0.5,"0.30-0.50x",IF(AP910&lt;1,"0.50-1.00x","1.00x+")))))</f>
        <v/>
      </c>
      <c r="AY910" s="5">
        <f>IF(J910="","No SIC",IFERROR(VLOOKUP(J910,Ref!$A$4:$C$67,2,FALSE()),"Unclassified"))</f>
        <v/>
      </c>
      <c r="AZ910" s="5">
        <f>IF(E910="","",TEXT(E910,"YYYY")&amp;"-Q"&amp;ROUNDUP(MONTH(E910)/3,0))</f>
        <v/>
      </c>
      <c r="BA910" s="5">
        <f>IF(E910="","",TEXT(E910,"YYYY-MM"))</f>
        <v/>
      </c>
      <c r="BB910" s="5">
        <f>IF(E910="","",TEXT(E910,"YYYY"))</f>
        <v/>
      </c>
      <c r="BC910" s="92">
        <f>IF($E910="","",NETWORKDAYS($E910,Controls!$B$9,Ref!$F$4:$F$47))</f>
        <v/>
      </c>
      <c r="BD910" s="92">
        <f>IF(OR($AH910=1,$AJ910=1),1,0)</f>
        <v/>
      </c>
      <c r="BE910" s="95">
        <f>IF(OR($BD910=1,AND($AE910&lt;&gt;"",$BC910&gt;=Controls!$B$10*$AE910)),1,0)</f>
        <v/>
      </c>
    </row>
    <row r="911" ht="15.75" customHeight="1" s="79">
      <c r="A911" s="5" t="inlineStr">
        <is>
          <t>5674184485</t>
        </is>
      </c>
      <c r="B911" s="5" t="inlineStr">
        <is>
          <t>ELSE NUTRITION</t>
        </is>
      </c>
      <c r="C911" s="5" t="inlineStr">
        <is>
          <t>ELSE NUTRITION USA INC</t>
        </is>
      </c>
      <c r="D911" s="5" t="inlineStr">
        <is>
          <t>Open</t>
        </is>
      </c>
      <c r="E911" s="16" t="n">
        <v>46171</v>
      </c>
      <c r="F911" s="16" t="n">
        <v>46247</v>
      </c>
      <c r="G911" s="17" t="n">
        <v>3</v>
      </c>
      <c r="H911" s="5" t="inlineStr">
        <is>
          <t>5131</t>
        </is>
      </c>
      <c r="I911" s="5" t="inlineStr">
        <is>
          <t>Piece Goods, Notions, and Other Dry Goods Merchant Wholesalers</t>
        </is>
      </c>
      <c r="J911" s="5" t="inlineStr">
        <is>
          <t>51</t>
        </is>
      </c>
      <c r="K911" s="5" t="n">
        <v>5131</v>
      </c>
      <c r="L911" s="5" t="inlineStr">
        <is>
          <t>OH</t>
        </is>
      </c>
      <c r="M911" s="5" t="inlineStr">
        <is>
          <t>PMF</t>
        </is>
      </c>
      <c r="N911" s="5" t="inlineStr">
        <is>
          <t>New Deal</t>
        </is>
      </c>
      <c r="O911" s="19" t="n">
        <v>1.35</v>
      </c>
      <c r="P911" s="20" t="n">
        <v>110000</v>
      </c>
      <c r="Q911" s="20" t="n">
        <v>7700</v>
      </c>
      <c r="R911" s="20" t="n">
        <v>148500</v>
      </c>
      <c r="S911" s="20" t="n">
        <v>49531.46</v>
      </c>
      <c r="T911" s="20" t="n">
        <v>98968.53999999999</v>
      </c>
      <c r="U911" s="21" t="n">
        <v>0.333545185185185</v>
      </c>
      <c r="V911" s="22" t="n">
        <v>33</v>
      </c>
      <c r="W911" s="17" t="n">
        <v>6</v>
      </c>
      <c r="X911" s="17" t="n">
        <v>0</v>
      </c>
      <c r="Y911" s="20" t="n">
        <v>182609.78</v>
      </c>
      <c r="Z911" s="21" t="n">
        <v>0.0633</v>
      </c>
      <c r="AA911" s="16" t="n">
        <v>43831</v>
      </c>
      <c r="AB911" s="5">
        <f>IF(V911="","",IF(V911&lt;12,"Months","Weeks"))</f>
        <v/>
      </c>
      <c r="AC911" s="5">
        <f>IF(AB911="","",IF(AB911="Months","Daily","Weekly"))</f>
        <v/>
      </c>
      <c r="AD911" s="17">
        <f>IF(V911="","",IF(AC911="Daily",V911*Controls!$B$13,V911))</f>
        <v/>
      </c>
      <c r="AE911" s="17">
        <f>IF(V911="","",IF(AC911="Daily",V911*Controls!$B$13,V911*Controls!$B$12))</f>
        <v/>
      </c>
      <c r="AF911" s="17">
        <f>IF(OR(E911="",F911=""),"",F911-E911)</f>
        <v/>
      </c>
      <c r="AG911" s="17">
        <f>IF(OR(E911="",F911=""),"",NETWORKDAYS(E911,F911,Ref!$F$4:$F$47))</f>
        <v/>
      </c>
      <c r="AH911" s="39">
        <f>IF(IFERROR(VLOOKUP(D911,Controls!$A$25:$D$35,2,FALSE()),"No")="Yes",1,0)</f>
        <v/>
      </c>
      <c r="AI911" s="39">
        <f>IF(IFERROR(VLOOKUP(D911,Controls!$A$25:$D$35,3,FALSE()),"No")="Yes",1,0)</f>
        <v/>
      </c>
      <c r="AJ911" s="39">
        <f>IF(IFERROR(VLOOKUP(D911,Controls!$A$25:$D$35,4,FALSE()),"No")="Yes",1,0)</f>
        <v/>
      </c>
      <c r="AK911" s="96">
        <f>IF(AND($E911&gt;=Controls!$B$5,$E911&lt;=Controls!$B$6,OR(Controls!$E$9&lt;&gt;"Y",$BE911=1)),1,0)</f>
        <v/>
      </c>
      <c r="AL911" s="39">
        <f>1</f>
        <v/>
      </c>
      <c r="AM911" s="20">
        <f>S911-P911</f>
        <v/>
      </c>
      <c r="AN911" s="20">
        <f>IF(AH911=1,MAX(0,P911-S911),0)</f>
        <v/>
      </c>
      <c r="AO911" s="21">
        <f>IFERROR(S911/P911,"")</f>
        <v/>
      </c>
      <c r="AP911" s="22">
        <f>IF(Y911="","",P911/Y911)</f>
        <v/>
      </c>
      <c r="AQ911" s="39">
        <f>IF(Y911="",0,1)</f>
        <v/>
      </c>
      <c r="AR911" s="39">
        <f>IF(S911&lt;=0,1,0)</f>
        <v/>
      </c>
      <c r="AS911" s="17">
        <f>IF(AH911=1,AG911,"")</f>
        <v/>
      </c>
      <c r="AT911" s="17">
        <f>IF(AND(AH911=0,AJ911=1),AG911,"")</f>
        <v/>
      </c>
      <c r="AU911" s="5">
        <f>IF(P911&lt;10000,"Under $10K",IF(P911&lt;20000,"$10-20K",IF(P911&lt;30000,"$20-30K",IF(P911&lt;50000,"$30-50K",IF(P911&lt;100000,"$50-100K","$100K+")))))</f>
        <v/>
      </c>
      <c r="AV911" s="5">
        <f>IF(O911&lt;=1.35,"1.35 and under",IF(O911&lt;=1.42,"1.36-1.42",IF(O911&lt;=1.45,"1.43-1.45",IF(O911&lt;1.49,"1.46-1.48",IF(O911&lt;=1.49,"1.49","Above 1.49")))))</f>
        <v/>
      </c>
      <c r="AW911" s="5">
        <f>IF(AE911="","",IF(AE911&lt;60,"Under 60",IF(AE911&lt;90,"60-89",IF(AE911&lt;120,"90-119",IF(AE911&lt;150,"120-149","150+")))))</f>
        <v/>
      </c>
      <c r="AX911" s="5">
        <f>IF(AP911="","No revenue data",IF(AP911&lt;0.15,"Under 0.15x",IF(AP911&lt;0.3,"0.15-0.30x",IF(AP911&lt;0.5,"0.30-0.50x",IF(AP911&lt;1,"0.50-1.00x","1.00x+")))))</f>
        <v/>
      </c>
      <c r="AY911" s="5">
        <f>IF(J911="","No SIC",IFERROR(VLOOKUP(J911,Ref!$A$4:$C$67,2,FALSE()),"Unclassified"))</f>
        <v/>
      </c>
      <c r="AZ911" s="5">
        <f>IF(E911="","",TEXT(E911,"YYYY")&amp;"-Q"&amp;ROUNDUP(MONTH(E911)/3,0))</f>
        <v/>
      </c>
      <c r="BA911" s="5">
        <f>IF(E911="","",TEXT(E911,"YYYY-MM"))</f>
        <v/>
      </c>
      <c r="BB911" s="5">
        <f>IF(E911="","",TEXT(E911,"YYYY"))</f>
        <v/>
      </c>
      <c r="BC911" s="92">
        <f>IF($E911="","",NETWORKDAYS($E911,Controls!$B$9,Ref!$F$4:$F$47))</f>
        <v/>
      </c>
      <c r="BD911" s="92">
        <f>IF(OR($AH911=1,$AJ911=1),1,0)</f>
        <v/>
      </c>
      <c r="BE911" s="95">
        <f>IF(OR($BD911=1,AND($AE911&lt;&gt;"",$BC911&gt;=Controls!$B$10*$AE911)),1,0)</f>
        <v/>
      </c>
    </row>
    <row r="912" ht="15.75" customHeight="1" s="79">
      <c r="A912" s="5" t="inlineStr">
        <is>
          <t>5674184501</t>
        </is>
      </c>
      <c r="B912" s="5" t="inlineStr">
        <is>
          <t>TITAN MECHANICAL LLC</t>
        </is>
      </c>
      <c r="C912" s="5" t="inlineStr">
        <is>
          <t>TITAN MECHANICAL LLC</t>
        </is>
      </c>
      <c r="D912" s="5" t="inlineStr">
        <is>
          <t>Open</t>
        </is>
      </c>
      <c r="E912" s="16" t="n">
        <v>46171</v>
      </c>
      <c r="F912" s="16" t="n">
        <v>46248</v>
      </c>
      <c r="G912" s="17" t="n">
        <v>3</v>
      </c>
      <c r="H912" s="5" t="inlineStr">
        <is>
          <t>1799</t>
        </is>
      </c>
      <c r="I912" s="5" t="inlineStr">
        <is>
          <t>Other Building Finishing Contractors</t>
        </is>
      </c>
      <c r="J912" s="5" t="inlineStr">
        <is>
          <t>17</t>
        </is>
      </c>
      <c r="K912" s="5" t="n">
        <v>1799</v>
      </c>
      <c r="L912" s="5" t="inlineStr">
        <is>
          <t>TX</t>
        </is>
      </c>
      <c r="M912" s="5" t="inlineStr">
        <is>
          <t>PMF</t>
        </is>
      </c>
      <c r="N912" s="5" t="inlineStr">
        <is>
          <t>New Deal</t>
        </is>
      </c>
      <c r="O912" s="19" t="n">
        <v>1.41</v>
      </c>
      <c r="P912" s="20" t="n">
        <v>60000</v>
      </c>
      <c r="Q912" s="20" t="n">
        <v>6000</v>
      </c>
      <c r="R912" s="20" t="n">
        <v>84600</v>
      </c>
      <c r="S912" s="20" t="n">
        <v>25832.62</v>
      </c>
      <c r="T912" s="20" t="n">
        <v>58767.38</v>
      </c>
      <c r="U912" s="21" t="n">
        <v>0.30535011820331</v>
      </c>
      <c r="V912" s="22" t="n">
        <v>36</v>
      </c>
      <c r="W912" s="17" t="n">
        <v>5</v>
      </c>
      <c r="X912" s="17" t="n">
        <v>0</v>
      </c>
      <c r="Y912" s="20" t="n">
        <v>138345.67</v>
      </c>
      <c r="Z912" s="21" t="n">
        <v>0.0679</v>
      </c>
      <c r="AA912" s="16" t="n">
        <v>39083</v>
      </c>
      <c r="AB912" s="5">
        <f>IF(V912="","",IF(V912&lt;12,"Months","Weeks"))</f>
        <v/>
      </c>
      <c r="AC912" s="5">
        <f>IF(AB912="","",IF(AB912="Months","Daily","Weekly"))</f>
        <v/>
      </c>
      <c r="AD912" s="17">
        <f>IF(V912="","",IF(AC912="Daily",V912*Controls!$B$13,V912))</f>
        <v/>
      </c>
      <c r="AE912" s="17">
        <f>IF(V912="","",IF(AC912="Daily",V912*Controls!$B$13,V912*Controls!$B$12))</f>
        <v/>
      </c>
      <c r="AF912" s="17">
        <f>IF(OR(E912="",F912=""),"",F912-E912)</f>
        <v/>
      </c>
      <c r="AG912" s="17">
        <f>IF(OR(E912="",F912=""),"",NETWORKDAYS(E912,F912,Ref!$F$4:$F$47))</f>
        <v/>
      </c>
      <c r="AH912" s="39">
        <f>IF(IFERROR(VLOOKUP(D912,Controls!$A$25:$D$35,2,FALSE()),"No")="Yes",1,0)</f>
        <v/>
      </c>
      <c r="AI912" s="39">
        <f>IF(IFERROR(VLOOKUP(D912,Controls!$A$25:$D$35,3,FALSE()),"No")="Yes",1,0)</f>
        <v/>
      </c>
      <c r="AJ912" s="39">
        <f>IF(IFERROR(VLOOKUP(D912,Controls!$A$25:$D$35,4,FALSE()),"No")="Yes",1,0)</f>
        <v/>
      </c>
      <c r="AK912" s="96">
        <f>IF(AND($E912&gt;=Controls!$B$5,$E912&lt;=Controls!$B$6,OR(Controls!$E$9&lt;&gt;"Y",$BE912=1)),1,0)</f>
        <v/>
      </c>
      <c r="AL912" s="39">
        <f>1</f>
        <v/>
      </c>
      <c r="AM912" s="20">
        <f>S912-P912</f>
        <v/>
      </c>
      <c r="AN912" s="20">
        <f>IF(AH912=1,MAX(0,P912-S912),0)</f>
        <v/>
      </c>
      <c r="AO912" s="21">
        <f>IFERROR(S912/P912,"")</f>
        <v/>
      </c>
      <c r="AP912" s="22">
        <f>IF(Y912="","",P912/Y912)</f>
        <v/>
      </c>
      <c r="AQ912" s="39">
        <f>IF(Y912="",0,1)</f>
        <v/>
      </c>
      <c r="AR912" s="39">
        <f>IF(S912&lt;=0,1,0)</f>
        <v/>
      </c>
      <c r="AS912" s="17">
        <f>IF(AH912=1,AG912,"")</f>
        <v/>
      </c>
      <c r="AT912" s="17">
        <f>IF(AND(AH912=0,AJ912=1),AG912,"")</f>
        <v/>
      </c>
      <c r="AU912" s="5">
        <f>IF(P912&lt;10000,"Under $10K",IF(P912&lt;20000,"$10-20K",IF(P912&lt;30000,"$20-30K",IF(P912&lt;50000,"$30-50K",IF(P912&lt;100000,"$50-100K","$100K+")))))</f>
        <v/>
      </c>
      <c r="AV912" s="5">
        <f>IF(O912&lt;=1.35,"1.35 and under",IF(O912&lt;=1.42,"1.36-1.42",IF(O912&lt;=1.45,"1.43-1.45",IF(O912&lt;1.49,"1.46-1.48",IF(O912&lt;=1.49,"1.49","Above 1.49")))))</f>
        <v/>
      </c>
      <c r="AW912" s="5">
        <f>IF(AE912="","",IF(AE912&lt;60,"Under 60",IF(AE912&lt;90,"60-89",IF(AE912&lt;120,"90-119",IF(AE912&lt;150,"120-149","150+")))))</f>
        <v/>
      </c>
      <c r="AX912" s="5">
        <f>IF(AP912="","No revenue data",IF(AP912&lt;0.15,"Under 0.15x",IF(AP912&lt;0.3,"0.15-0.30x",IF(AP912&lt;0.5,"0.30-0.50x",IF(AP912&lt;1,"0.50-1.00x","1.00x+")))))</f>
        <v/>
      </c>
      <c r="AY912" s="5">
        <f>IF(J912="","No SIC",IFERROR(VLOOKUP(J912,Ref!$A$4:$C$67,2,FALSE()),"Unclassified"))</f>
        <v/>
      </c>
      <c r="AZ912" s="5">
        <f>IF(E912="","",TEXT(E912,"YYYY")&amp;"-Q"&amp;ROUNDUP(MONTH(E912)/3,0))</f>
        <v/>
      </c>
      <c r="BA912" s="5">
        <f>IF(E912="","",TEXT(E912,"YYYY-MM"))</f>
        <v/>
      </c>
      <c r="BB912" s="5">
        <f>IF(E912="","",TEXT(E912,"YYYY"))</f>
        <v/>
      </c>
      <c r="BC912" s="92">
        <f>IF($E912="","",NETWORKDAYS($E912,Controls!$B$9,Ref!$F$4:$F$47))</f>
        <v/>
      </c>
      <c r="BD912" s="92">
        <f>IF(OR($AH912=1,$AJ912=1),1,0)</f>
        <v/>
      </c>
      <c r="BE912" s="95">
        <f>IF(OR($BD912=1,AND($AE912&lt;&gt;"",$BC912&gt;=Controls!$B$10*$AE912)),1,0)</f>
        <v/>
      </c>
    </row>
    <row r="913" ht="15.75" customHeight="1" s="79">
      <c r="A913" s="5" t="inlineStr">
        <is>
          <t>5674184525</t>
        </is>
      </c>
      <c r="B913" s="5" t="inlineStr">
        <is>
          <t>TG SPORTSMANS CLUB</t>
        </is>
      </c>
      <c r="C913" s="5" t="inlineStr">
        <is>
          <t>TG SPORTSMANS CLUB</t>
        </is>
      </c>
      <c r="D913" s="5" t="inlineStr">
        <is>
          <t>Open</t>
        </is>
      </c>
      <c r="E913" s="16" t="n">
        <v>46171</v>
      </c>
      <c r="F913" s="16" t="n">
        <v>46253</v>
      </c>
      <c r="G913" s="17" t="n">
        <v>2</v>
      </c>
      <c r="H913" s="5" t="inlineStr">
        <is>
          <t>5999</t>
        </is>
      </c>
      <c r="I913" s="5" t="inlineStr">
        <is>
          <t>All Other Health and Personal Care Stores</t>
        </is>
      </c>
      <c r="J913" s="5" t="inlineStr">
        <is>
          <t>59</t>
        </is>
      </c>
      <c r="K913" s="5" t="n">
        <v>5999</v>
      </c>
      <c r="L913" s="5" t="inlineStr">
        <is>
          <t>MO</t>
        </is>
      </c>
      <c r="M913" s="5" t="inlineStr">
        <is>
          <t>National Business Capital</t>
        </is>
      </c>
      <c r="N913" s="5" t="inlineStr">
        <is>
          <t>New Deal</t>
        </is>
      </c>
      <c r="O913" s="19" t="n">
        <v>1.49</v>
      </c>
      <c r="P913" s="20" t="n">
        <v>20000</v>
      </c>
      <c r="Q913" s="20" t="n">
        <v>2800</v>
      </c>
      <c r="R913" s="20" t="n">
        <v>29800</v>
      </c>
      <c r="S913" s="20" t="n">
        <v>9622.879999999999</v>
      </c>
      <c r="T913" s="20" t="n">
        <v>20177.12</v>
      </c>
      <c r="U913" s="21" t="n">
        <v>0.322915436241611</v>
      </c>
      <c r="V913" s="22" t="n">
        <v>26</v>
      </c>
      <c r="W913" s="17" t="n">
        <v>0</v>
      </c>
      <c r="X913" s="17" t="n">
        <v>8</v>
      </c>
      <c r="Y913" s="20" t="n">
        <v>26094.92</v>
      </c>
      <c r="Z913" s="21" t="n">
        <v>0.1757</v>
      </c>
      <c r="AA913" s="16" t="n">
        <v>41430</v>
      </c>
      <c r="AB913" s="5">
        <f>IF(V913="","",IF(V913&lt;12,"Months","Weeks"))</f>
        <v/>
      </c>
      <c r="AC913" s="5">
        <f>IF(AB913="","",IF(AB913="Months","Daily","Weekly"))</f>
        <v/>
      </c>
      <c r="AD913" s="17">
        <f>IF(V913="","",IF(AC913="Daily",V913*Controls!$B$13,V913))</f>
        <v/>
      </c>
      <c r="AE913" s="17">
        <f>IF(V913="","",IF(AC913="Daily",V913*Controls!$B$13,V913*Controls!$B$12))</f>
        <v/>
      </c>
      <c r="AF913" s="17">
        <f>IF(OR(E913="",F913=""),"",F913-E913)</f>
        <v/>
      </c>
      <c r="AG913" s="17">
        <f>IF(OR(E913="",F913=""),"",NETWORKDAYS(E913,F913,Ref!$F$4:$F$47))</f>
        <v/>
      </c>
      <c r="AH913" s="39">
        <f>IF(IFERROR(VLOOKUP(D913,Controls!$A$25:$D$35,2,FALSE()),"No")="Yes",1,0)</f>
        <v/>
      </c>
      <c r="AI913" s="39">
        <f>IF(IFERROR(VLOOKUP(D913,Controls!$A$25:$D$35,3,FALSE()),"No")="Yes",1,0)</f>
        <v/>
      </c>
      <c r="AJ913" s="39">
        <f>IF(IFERROR(VLOOKUP(D913,Controls!$A$25:$D$35,4,FALSE()),"No")="Yes",1,0)</f>
        <v/>
      </c>
      <c r="AK913" s="96">
        <f>IF(AND($E913&gt;=Controls!$B$5,$E913&lt;=Controls!$B$6,OR(Controls!$E$9&lt;&gt;"Y",$BE913=1)),1,0)</f>
        <v/>
      </c>
      <c r="AL913" s="39">
        <f>1</f>
        <v/>
      </c>
      <c r="AM913" s="20">
        <f>S913-P913</f>
        <v/>
      </c>
      <c r="AN913" s="20">
        <f>IF(AH913=1,MAX(0,P913-S913),0)</f>
        <v/>
      </c>
      <c r="AO913" s="21">
        <f>IFERROR(S913/P913,"")</f>
        <v/>
      </c>
      <c r="AP913" s="22">
        <f>IF(Y913="","",P913/Y913)</f>
        <v/>
      </c>
      <c r="AQ913" s="39">
        <f>IF(Y913="",0,1)</f>
        <v/>
      </c>
      <c r="AR913" s="39">
        <f>IF(S913&lt;=0,1,0)</f>
        <v/>
      </c>
      <c r="AS913" s="17">
        <f>IF(AH913=1,AG913,"")</f>
        <v/>
      </c>
      <c r="AT913" s="17">
        <f>IF(AND(AH913=0,AJ913=1),AG913,"")</f>
        <v/>
      </c>
      <c r="AU913" s="5">
        <f>IF(P913&lt;10000,"Under $10K",IF(P913&lt;20000,"$10-20K",IF(P913&lt;30000,"$20-30K",IF(P913&lt;50000,"$30-50K",IF(P913&lt;100000,"$50-100K","$100K+")))))</f>
        <v/>
      </c>
      <c r="AV913" s="5">
        <f>IF(O913&lt;=1.35,"1.35 and under",IF(O913&lt;=1.42,"1.36-1.42",IF(O913&lt;=1.45,"1.43-1.45",IF(O913&lt;1.49,"1.46-1.48",IF(O913&lt;=1.49,"1.49","Above 1.49")))))</f>
        <v/>
      </c>
      <c r="AW913" s="5">
        <f>IF(AE913="","",IF(AE913&lt;60,"Under 60",IF(AE913&lt;90,"60-89",IF(AE913&lt;120,"90-119",IF(AE913&lt;150,"120-149","150+")))))</f>
        <v/>
      </c>
      <c r="AX913" s="5">
        <f>IF(AP913="","No revenue data",IF(AP913&lt;0.15,"Under 0.15x",IF(AP913&lt;0.3,"0.15-0.30x",IF(AP913&lt;0.5,"0.30-0.50x",IF(AP913&lt;1,"0.50-1.00x","1.00x+")))))</f>
        <v/>
      </c>
      <c r="AY913" s="5">
        <f>IF(J913="","No SIC",IFERROR(VLOOKUP(J913,Ref!$A$4:$C$67,2,FALSE()),"Unclassified"))</f>
        <v/>
      </c>
      <c r="AZ913" s="5">
        <f>IF(E913="","",TEXT(E913,"YYYY")&amp;"-Q"&amp;ROUNDUP(MONTH(E913)/3,0))</f>
        <v/>
      </c>
      <c r="BA913" s="5">
        <f>IF(E913="","",TEXT(E913,"YYYY-MM"))</f>
        <v/>
      </c>
      <c r="BB913" s="5">
        <f>IF(E913="","",TEXT(E913,"YYYY"))</f>
        <v/>
      </c>
      <c r="BC913" s="92">
        <f>IF($E913="","",NETWORKDAYS($E913,Controls!$B$9,Ref!$F$4:$F$47))</f>
        <v/>
      </c>
      <c r="BD913" s="92">
        <f>IF(OR($AH913=1,$AJ913=1),1,0)</f>
        <v/>
      </c>
      <c r="BE913" s="95">
        <f>IF(OR($BD913=1,AND($AE913&lt;&gt;"",$BC913&gt;=Controls!$B$10*$AE913)),1,0)</f>
        <v/>
      </c>
    </row>
    <row r="914" ht="15.75" customHeight="1" s="79">
      <c r="A914" s="5" t="inlineStr">
        <is>
          <t>5674184534</t>
        </is>
      </c>
      <c r="B914" s="5" t="inlineStr">
        <is>
          <t>A&amp;W Restaurant</t>
        </is>
      </c>
      <c r="C914" s="5" t="inlineStr">
        <is>
          <t>All American fast food inc</t>
        </is>
      </c>
      <c r="D914" s="5" t="inlineStr">
        <is>
          <t>In House Collection</t>
        </is>
      </c>
      <c r="E914" s="16" t="n">
        <v>46171</v>
      </c>
      <c r="F914" s="16" t="n">
        <v>46227</v>
      </c>
      <c r="G914" s="17" t="n">
        <v>3</v>
      </c>
      <c r="H914" s="5" t="inlineStr">
        <is>
          <t>5812</t>
        </is>
      </c>
      <c r="I914" s="5" t="inlineStr">
        <is>
          <t>Snack and Nonalcoholic Beverage Bars</t>
        </is>
      </c>
      <c r="J914" s="5" t="inlineStr">
        <is>
          <t>58</t>
        </is>
      </c>
      <c r="K914" s="5" t="n">
        <v>5812</v>
      </c>
      <c r="L914" s="5" t="inlineStr">
        <is>
          <t>MI</t>
        </is>
      </c>
      <c r="M914" s="5" t="inlineStr">
        <is>
          <t>Fidelity Funding</t>
        </is>
      </c>
      <c r="N914" s="5" t="inlineStr">
        <is>
          <t>New Deal</t>
        </is>
      </c>
      <c r="O914" s="19" t="n">
        <v>1.49</v>
      </c>
      <c r="P914" s="20" t="n">
        <v>20000</v>
      </c>
      <c r="Q914" s="20" t="n">
        <v>2800</v>
      </c>
      <c r="R914" s="20" t="n">
        <v>29800</v>
      </c>
      <c r="S914" s="20" t="n">
        <v>4770</v>
      </c>
      <c r="T914" s="20" t="n">
        <v>25030</v>
      </c>
      <c r="U914" s="21" t="n">
        <v>0.16006711409396</v>
      </c>
      <c r="V914" s="22" t="n">
        <v>25</v>
      </c>
      <c r="W914" s="17" t="n">
        <v>54</v>
      </c>
      <c r="X914" s="17" t="n">
        <v>4</v>
      </c>
      <c r="Y914" s="20" t="n">
        <v>68000</v>
      </c>
      <c r="Z914" s="21" t="n">
        <v>0.053</v>
      </c>
      <c r="AA914" s="16" t="n">
        <v>44275</v>
      </c>
      <c r="AB914" s="5">
        <f>IF(V914="","",IF(V914&lt;12,"Months","Weeks"))</f>
        <v/>
      </c>
      <c r="AC914" s="5">
        <f>IF(AB914="","",IF(AB914="Months","Daily","Weekly"))</f>
        <v/>
      </c>
      <c r="AD914" s="17">
        <f>IF(V914="","",IF(AC914="Daily",V914*Controls!$B$13,V914))</f>
        <v/>
      </c>
      <c r="AE914" s="17">
        <f>IF(V914="","",IF(AC914="Daily",V914*Controls!$B$13,V914*Controls!$B$12))</f>
        <v/>
      </c>
      <c r="AF914" s="17">
        <f>IF(OR(E914="",F914=""),"",F914-E914)</f>
        <v/>
      </c>
      <c r="AG914" s="17">
        <f>IF(OR(E914="",F914=""),"",NETWORKDAYS(E914,F914,Ref!$F$4:$F$47))</f>
        <v/>
      </c>
      <c r="AH914" s="39">
        <f>IF(IFERROR(VLOOKUP(D914,Controls!$A$25:$D$35,2,FALSE()),"No")="Yes",1,0)</f>
        <v/>
      </c>
      <c r="AI914" s="39">
        <f>IF(IFERROR(VLOOKUP(D914,Controls!$A$25:$D$35,3,FALSE()),"No")="Yes",1,0)</f>
        <v/>
      </c>
      <c r="AJ914" s="39">
        <f>IF(IFERROR(VLOOKUP(D914,Controls!$A$25:$D$35,4,FALSE()),"No")="Yes",1,0)</f>
        <v/>
      </c>
      <c r="AK914" s="96">
        <f>IF(AND($E914&gt;=Controls!$B$5,$E914&lt;=Controls!$B$6,OR(Controls!$E$9&lt;&gt;"Y",$BE914=1)),1,0)</f>
        <v/>
      </c>
      <c r="AL914" s="39">
        <f>1</f>
        <v/>
      </c>
      <c r="AM914" s="20">
        <f>S914-P914</f>
        <v/>
      </c>
      <c r="AN914" s="20">
        <f>IF(AH914=1,MAX(0,P914-S914),0)</f>
        <v/>
      </c>
      <c r="AO914" s="21">
        <f>IFERROR(S914/P914,"")</f>
        <v/>
      </c>
      <c r="AP914" s="22">
        <f>IF(Y914="","",P914/Y914)</f>
        <v/>
      </c>
      <c r="AQ914" s="39">
        <f>IF(Y914="",0,1)</f>
        <v/>
      </c>
      <c r="AR914" s="39">
        <f>IF(S914&lt;=0,1,0)</f>
        <v/>
      </c>
      <c r="AS914" s="17">
        <f>IF(AH914=1,AG914,"")</f>
        <v/>
      </c>
      <c r="AT914" s="17">
        <f>IF(AND(AH914=0,AJ914=1),AG914,"")</f>
        <v/>
      </c>
      <c r="AU914" s="5">
        <f>IF(P914&lt;10000,"Under $10K",IF(P914&lt;20000,"$10-20K",IF(P914&lt;30000,"$20-30K",IF(P914&lt;50000,"$30-50K",IF(P914&lt;100000,"$50-100K","$100K+")))))</f>
        <v/>
      </c>
      <c r="AV914" s="5">
        <f>IF(O914&lt;=1.35,"1.35 and under",IF(O914&lt;=1.42,"1.36-1.42",IF(O914&lt;=1.45,"1.43-1.45",IF(O914&lt;1.49,"1.46-1.48",IF(O914&lt;=1.49,"1.49","Above 1.49")))))</f>
        <v/>
      </c>
      <c r="AW914" s="5">
        <f>IF(AE914="","",IF(AE914&lt;60,"Under 60",IF(AE914&lt;90,"60-89",IF(AE914&lt;120,"90-119",IF(AE914&lt;150,"120-149","150+")))))</f>
        <v/>
      </c>
      <c r="AX914" s="5">
        <f>IF(AP914="","No revenue data",IF(AP914&lt;0.15,"Under 0.15x",IF(AP914&lt;0.3,"0.15-0.30x",IF(AP914&lt;0.5,"0.30-0.50x",IF(AP914&lt;1,"0.50-1.00x","1.00x+")))))</f>
        <v/>
      </c>
      <c r="AY914" s="5">
        <f>IF(J914="","No SIC",IFERROR(VLOOKUP(J914,Ref!$A$4:$C$67,2,FALSE()),"Unclassified"))</f>
        <v/>
      </c>
      <c r="AZ914" s="5">
        <f>IF(E914="","",TEXT(E914,"YYYY")&amp;"-Q"&amp;ROUNDUP(MONTH(E914)/3,0))</f>
        <v/>
      </c>
      <c r="BA914" s="5">
        <f>IF(E914="","",TEXT(E914,"YYYY-MM"))</f>
        <v/>
      </c>
      <c r="BB914" s="5">
        <f>IF(E914="","",TEXT(E914,"YYYY"))</f>
        <v/>
      </c>
      <c r="BC914" s="92">
        <f>IF($E914="","",NETWORKDAYS($E914,Controls!$B$9,Ref!$F$4:$F$47))</f>
        <v/>
      </c>
      <c r="BD914" s="92">
        <f>IF(OR($AH914=1,$AJ914=1),1,0)</f>
        <v/>
      </c>
      <c r="BE914" s="95">
        <f>IF(OR($BD914=1,AND($AE914&lt;&gt;"",$BC914&gt;=Controls!$B$10*$AE914)),1,0)</f>
        <v/>
      </c>
    </row>
    <row r="915" ht="15.75" customHeight="1" s="79">
      <c r="A915" s="5" t="inlineStr">
        <is>
          <t>5674184536</t>
        </is>
      </c>
      <c r="B915" s="5" t="inlineStr">
        <is>
          <t>Army Shop</t>
        </is>
      </c>
      <c r="C915" s="5" t="inlineStr">
        <is>
          <t>Army Shop</t>
        </is>
      </c>
      <c r="D915" s="5" t="inlineStr">
        <is>
          <t>Open</t>
        </is>
      </c>
      <c r="E915" s="16" t="n">
        <v>46171</v>
      </c>
      <c r="F915" s="16" t="n">
        <v>46251</v>
      </c>
      <c r="G915" s="17" t="n">
        <v>2</v>
      </c>
      <c r="H915" s="5" t="inlineStr">
        <is>
          <t>5999</t>
        </is>
      </c>
      <c r="I915" s="5" t="inlineStr">
        <is>
          <t>All Other Health and Personal Care Stores</t>
        </is>
      </c>
      <c r="J915" s="5" t="inlineStr">
        <is>
          <t>59</t>
        </is>
      </c>
      <c r="K915" s="5" t="n">
        <v>5999</v>
      </c>
      <c r="L915" s="5" t="inlineStr">
        <is>
          <t>NV</t>
        </is>
      </c>
      <c r="M915" s="5" t="inlineStr">
        <is>
          <t>PMF</t>
        </is>
      </c>
      <c r="N915" s="5" t="inlineStr">
        <is>
          <t>New Deal</t>
        </is>
      </c>
      <c r="O915" s="19" t="n">
        <v>1.49</v>
      </c>
      <c r="P915" s="20" t="n">
        <v>20000</v>
      </c>
      <c r="Q915" s="20" t="n">
        <v>2800</v>
      </c>
      <c r="R915" s="20" t="n">
        <v>29800</v>
      </c>
      <c r="S915" s="20" t="n">
        <v>14891.28</v>
      </c>
      <c r="T915" s="20" t="n">
        <v>14908.72</v>
      </c>
      <c r="U915" s="21" t="n">
        <v>0.499707382550336</v>
      </c>
      <c r="V915" s="22" t="n">
        <v>24</v>
      </c>
      <c r="W915" s="17" t="n">
        <v>2</v>
      </c>
      <c r="X915" s="17" t="n">
        <v>0</v>
      </c>
      <c r="Y915" s="20" t="n">
        <v>72042.77</v>
      </c>
      <c r="Z915" s="21" t="n">
        <v>0.0689</v>
      </c>
      <c r="AA915" s="16" t="n">
        <v>45320</v>
      </c>
      <c r="AB915" s="5">
        <f>IF(V915="","",IF(V915&lt;12,"Months","Weeks"))</f>
        <v/>
      </c>
      <c r="AC915" s="5">
        <f>IF(AB915="","",IF(AB915="Months","Daily","Weekly"))</f>
        <v/>
      </c>
      <c r="AD915" s="17">
        <f>IF(V915="","",IF(AC915="Daily",V915*Controls!$B$13,V915))</f>
        <v/>
      </c>
      <c r="AE915" s="17">
        <f>IF(V915="","",IF(AC915="Daily",V915*Controls!$B$13,V915*Controls!$B$12))</f>
        <v/>
      </c>
      <c r="AF915" s="17">
        <f>IF(OR(E915="",F915=""),"",F915-E915)</f>
        <v/>
      </c>
      <c r="AG915" s="17">
        <f>IF(OR(E915="",F915=""),"",NETWORKDAYS(E915,F915,Ref!$F$4:$F$47))</f>
        <v/>
      </c>
      <c r="AH915" s="39">
        <f>IF(IFERROR(VLOOKUP(D915,Controls!$A$25:$D$35,2,FALSE()),"No")="Yes",1,0)</f>
        <v/>
      </c>
      <c r="AI915" s="39">
        <f>IF(IFERROR(VLOOKUP(D915,Controls!$A$25:$D$35,3,FALSE()),"No")="Yes",1,0)</f>
        <v/>
      </c>
      <c r="AJ915" s="39">
        <f>IF(IFERROR(VLOOKUP(D915,Controls!$A$25:$D$35,4,FALSE()),"No")="Yes",1,0)</f>
        <v/>
      </c>
      <c r="AK915" s="96">
        <f>IF(AND($E915&gt;=Controls!$B$5,$E915&lt;=Controls!$B$6,OR(Controls!$E$9&lt;&gt;"Y",$BE915=1)),1,0)</f>
        <v/>
      </c>
      <c r="AL915" s="39">
        <f>1</f>
        <v/>
      </c>
      <c r="AM915" s="20">
        <f>S915-P915</f>
        <v/>
      </c>
      <c r="AN915" s="20">
        <f>IF(AH915=1,MAX(0,P915-S915),0)</f>
        <v/>
      </c>
      <c r="AO915" s="21">
        <f>IFERROR(S915/P915,"")</f>
        <v/>
      </c>
      <c r="AP915" s="22">
        <f>IF(Y915="","",P915/Y915)</f>
        <v/>
      </c>
      <c r="AQ915" s="39">
        <f>IF(Y915="",0,1)</f>
        <v/>
      </c>
      <c r="AR915" s="39">
        <f>IF(S915&lt;=0,1,0)</f>
        <v/>
      </c>
      <c r="AS915" s="17">
        <f>IF(AH915=1,AG915,"")</f>
        <v/>
      </c>
      <c r="AT915" s="17">
        <f>IF(AND(AH915=0,AJ915=1),AG915,"")</f>
        <v/>
      </c>
      <c r="AU915" s="5">
        <f>IF(P915&lt;10000,"Under $10K",IF(P915&lt;20000,"$10-20K",IF(P915&lt;30000,"$20-30K",IF(P915&lt;50000,"$30-50K",IF(P915&lt;100000,"$50-100K","$100K+")))))</f>
        <v/>
      </c>
      <c r="AV915" s="5">
        <f>IF(O915&lt;=1.35,"1.35 and under",IF(O915&lt;=1.42,"1.36-1.42",IF(O915&lt;=1.45,"1.43-1.45",IF(O915&lt;1.49,"1.46-1.48",IF(O915&lt;=1.49,"1.49","Above 1.49")))))</f>
        <v/>
      </c>
      <c r="AW915" s="5">
        <f>IF(AE915="","",IF(AE915&lt;60,"Under 60",IF(AE915&lt;90,"60-89",IF(AE915&lt;120,"90-119",IF(AE915&lt;150,"120-149","150+")))))</f>
        <v/>
      </c>
      <c r="AX915" s="5">
        <f>IF(AP915="","No revenue data",IF(AP915&lt;0.15,"Under 0.15x",IF(AP915&lt;0.3,"0.15-0.30x",IF(AP915&lt;0.5,"0.30-0.50x",IF(AP915&lt;1,"0.50-1.00x","1.00x+")))))</f>
        <v/>
      </c>
      <c r="AY915" s="5">
        <f>IF(J915="","No SIC",IFERROR(VLOOKUP(J915,Ref!$A$4:$C$67,2,FALSE()),"Unclassified"))</f>
        <v/>
      </c>
      <c r="AZ915" s="5">
        <f>IF(E915="","",TEXT(E915,"YYYY")&amp;"-Q"&amp;ROUNDUP(MONTH(E915)/3,0))</f>
        <v/>
      </c>
      <c r="BA915" s="5">
        <f>IF(E915="","",TEXT(E915,"YYYY-MM"))</f>
        <v/>
      </c>
      <c r="BB915" s="5">
        <f>IF(E915="","",TEXT(E915,"YYYY"))</f>
        <v/>
      </c>
      <c r="BC915" s="92">
        <f>IF($E915="","",NETWORKDAYS($E915,Controls!$B$9,Ref!$F$4:$F$47))</f>
        <v/>
      </c>
      <c r="BD915" s="92">
        <f>IF(OR($AH915=1,$AJ915=1),1,0)</f>
        <v/>
      </c>
      <c r="BE915" s="95">
        <f>IF(OR($BD915=1,AND($AE915&lt;&gt;"",$BC915&gt;=Controls!$B$10*$AE915)),1,0)</f>
        <v/>
      </c>
    </row>
    <row r="916" ht="15.75" customHeight="1" s="79">
      <c r="A916" s="5" t="inlineStr">
        <is>
          <t>5674184579</t>
        </is>
      </c>
      <c r="B916" s="5" t="inlineStr">
        <is>
          <t>GARY EYE ASSOCIATES, BETTINA LOUISE GARY,</t>
        </is>
      </c>
      <c r="C916" s="5" t="inlineStr">
        <is>
          <t>JAX&amp;RAE OPTOMETRIC LLC</t>
        </is>
      </c>
      <c r="D916" s="5" t="inlineStr">
        <is>
          <t>Legal</t>
        </is>
      </c>
      <c r="E916" s="16" t="n">
        <v>46174</v>
      </c>
      <c r="F916" s="16" t="n">
        <v>46205</v>
      </c>
      <c r="G916" s="17" t="n">
        <v>3</v>
      </c>
      <c r="H916" s="5" t="inlineStr">
        <is>
          <t>8042</t>
        </is>
      </c>
      <c r="I916" s="5" t="inlineStr">
        <is>
          <t>Offices of Optometrists</t>
        </is>
      </c>
      <c r="J916" s="5" t="inlineStr">
        <is>
          <t>80</t>
        </is>
      </c>
      <c r="K916" s="5" t="n">
        <v>8042</v>
      </c>
      <c r="L916" s="5" t="inlineStr">
        <is>
          <t>SC</t>
        </is>
      </c>
      <c r="M916" s="5" t="inlineStr">
        <is>
          <t>Credibly</t>
        </is>
      </c>
      <c r="N916" s="5" t="inlineStr">
        <is>
          <t>New Deal</t>
        </is>
      </c>
      <c r="O916" s="19" t="n">
        <v>1.45</v>
      </c>
      <c r="P916" s="20" t="n">
        <v>35000</v>
      </c>
      <c r="Q916" s="20" t="n">
        <v>0</v>
      </c>
      <c r="R916" s="20" t="n">
        <v>50750</v>
      </c>
      <c r="S916" s="20" t="n">
        <v>6344.13</v>
      </c>
      <c r="T916" s="20" t="n">
        <v>44405.87</v>
      </c>
      <c r="U916" s="21" t="n">
        <v>0.125007487684729</v>
      </c>
      <c r="V916" s="22" t="n">
        <v>24</v>
      </c>
      <c r="W916" s="17" t="n">
        <v>55</v>
      </c>
      <c r="X916" s="17" t="n">
        <v>1</v>
      </c>
      <c r="Y916" s="20" t="n">
        <v>64033.54</v>
      </c>
      <c r="Z916" s="21" t="n">
        <v>0.1321</v>
      </c>
      <c r="AA916" s="16" t="n">
        <v>43023</v>
      </c>
      <c r="AB916" s="5">
        <f>IF(V916="","",IF(V916&lt;12,"Months","Weeks"))</f>
        <v/>
      </c>
      <c r="AC916" s="5">
        <f>IF(AB916="","",IF(AB916="Months","Daily","Weekly"))</f>
        <v/>
      </c>
      <c r="AD916" s="17">
        <f>IF(V916="","",IF(AC916="Daily",V916*Controls!$B$13,V916))</f>
        <v/>
      </c>
      <c r="AE916" s="17">
        <f>IF(V916="","",IF(AC916="Daily",V916*Controls!$B$13,V916*Controls!$B$12))</f>
        <v/>
      </c>
      <c r="AF916" s="17">
        <f>IF(OR(E916="",F916=""),"",F916-E916)</f>
        <v/>
      </c>
      <c r="AG916" s="17">
        <f>IF(OR(E916="",F916=""),"",NETWORKDAYS(E916,F916,Ref!$F$4:$F$47))</f>
        <v/>
      </c>
      <c r="AH916" s="39">
        <f>IF(IFERROR(VLOOKUP(D916,Controls!$A$25:$D$35,2,FALSE()),"No")="Yes",1,0)</f>
        <v/>
      </c>
      <c r="AI916" s="39">
        <f>IF(IFERROR(VLOOKUP(D916,Controls!$A$25:$D$35,3,FALSE()),"No")="Yes",1,0)</f>
        <v/>
      </c>
      <c r="AJ916" s="39">
        <f>IF(IFERROR(VLOOKUP(D916,Controls!$A$25:$D$35,4,FALSE()),"No")="Yes",1,0)</f>
        <v/>
      </c>
      <c r="AK916" s="96">
        <f>IF(AND($E916&gt;=Controls!$B$5,$E916&lt;=Controls!$B$6,OR(Controls!$E$9&lt;&gt;"Y",$BE916=1)),1,0)</f>
        <v/>
      </c>
      <c r="AL916" s="39">
        <f>1</f>
        <v/>
      </c>
      <c r="AM916" s="20">
        <f>S916-P916</f>
        <v/>
      </c>
      <c r="AN916" s="20">
        <f>IF(AH916=1,MAX(0,P916-S916),0)</f>
        <v/>
      </c>
      <c r="AO916" s="21">
        <f>IFERROR(S916/P916,"")</f>
        <v/>
      </c>
      <c r="AP916" s="22">
        <f>IF(Y916="","",P916/Y916)</f>
        <v/>
      </c>
      <c r="AQ916" s="39">
        <f>IF(Y916="",0,1)</f>
        <v/>
      </c>
      <c r="AR916" s="39">
        <f>IF(S916&lt;=0,1,0)</f>
        <v/>
      </c>
      <c r="AS916" s="17">
        <f>IF(AH916=1,AG916,"")</f>
        <v/>
      </c>
      <c r="AT916" s="17">
        <f>IF(AND(AH916=0,AJ916=1),AG916,"")</f>
        <v/>
      </c>
      <c r="AU916" s="5">
        <f>IF(P916&lt;10000,"Under $10K",IF(P916&lt;20000,"$10-20K",IF(P916&lt;30000,"$20-30K",IF(P916&lt;50000,"$30-50K",IF(P916&lt;100000,"$50-100K","$100K+")))))</f>
        <v/>
      </c>
      <c r="AV916" s="5">
        <f>IF(O916&lt;=1.35,"1.35 and under",IF(O916&lt;=1.42,"1.36-1.42",IF(O916&lt;=1.45,"1.43-1.45",IF(O916&lt;1.49,"1.46-1.48",IF(O916&lt;=1.49,"1.49","Above 1.49")))))</f>
        <v/>
      </c>
      <c r="AW916" s="5">
        <f>IF(AE916="","",IF(AE916&lt;60,"Under 60",IF(AE916&lt;90,"60-89",IF(AE916&lt;120,"90-119",IF(AE916&lt;150,"120-149","150+")))))</f>
        <v/>
      </c>
      <c r="AX916" s="5">
        <f>IF(AP916="","No revenue data",IF(AP916&lt;0.15,"Under 0.15x",IF(AP916&lt;0.3,"0.15-0.30x",IF(AP916&lt;0.5,"0.30-0.50x",IF(AP916&lt;1,"0.50-1.00x","1.00x+")))))</f>
        <v/>
      </c>
      <c r="AY916" s="5">
        <f>IF(J916="","No SIC",IFERROR(VLOOKUP(J916,Ref!$A$4:$C$67,2,FALSE()),"Unclassified"))</f>
        <v/>
      </c>
      <c r="AZ916" s="5">
        <f>IF(E916="","",TEXT(E916,"YYYY")&amp;"-Q"&amp;ROUNDUP(MONTH(E916)/3,0))</f>
        <v/>
      </c>
      <c r="BA916" s="5">
        <f>IF(E916="","",TEXT(E916,"YYYY-MM"))</f>
        <v/>
      </c>
      <c r="BB916" s="5">
        <f>IF(E916="","",TEXT(E916,"YYYY"))</f>
        <v/>
      </c>
      <c r="BC916" s="92">
        <f>IF($E916="","",NETWORKDAYS($E916,Controls!$B$9,Ref!$F$4:$F$47))</f>
        <v/>
      </c>
      <c r="BD916" s="92">
        <f>IF(OR($AH916=1,$AJ916=1),1,0)</f>
        <v/>
      </c>
      <c r="BE916" s="95">
        <f>IF(OR($BD916=1,AND($AE916&lt;&gt;"",$BC916&gt;=Controls!$B$10*$AE916)),1,0)</f>
        <v/>
      </c>
    </row>
    <row r="917" ht="15.75" customHeight="1" s="79">
      <c r="A917" s="5" t="inlineStr">
        <is>
          <t>5674184583</t>
        </is>
      </c>
      <c r="B917" s="5" t="inlineStr">
        <is>
          <t>Good vibes only entertainment LLC</t>
        </is>
      </c>
      <c r="C917" s="5" t="inlineStr">
        <is>
          <t>Good vibes only entertainment LLC</t>
        </is>
      </c>
      <c r="D917" s="5" t="inlineStr">
        <is>
          <t>Open</t>
        </is>
      </c>
      <c r="E917" s="16" t="n">
        <v>46174</v>
      </c>
      <c r="F917" s="16" t="n">
        <v>46248</v>
      </c>
      <c r="G917" s="17" t="n">
        <v>3</v>
      </c>
      <c r="H917" s="5" t="inlineStr">
        <is>
          <t>5999</t>
        </is>
      </c>
      <c r="I917" s="5" t="inlineStr">
        <is>
          <t>All Other Health and Personal Care Stores</t>
        </is>
      </c>
      <c r="J917" s="5" t="inlineStr">
        <is>
          <t>59</t>
        </is>
      </c>
      <c r="K917" s="5" t="n">
        <v>5999</v>
      </c>
      <c r="L917" s="5" t="inlineStr">
        <is>
          <t>TX</t>
        </is>
      </c>
      <c r="M917" s="5" t="inlineStr">
        <is>
          <t>Triumph Cap Fund</t>
        </is>
      </c>
      <c r="N917" s="5" t="inlineStr">
        <is>
          <t>New Deal</t>
        </is>
      </c>
      <c r="O917" s="19" t="n">
        <v>1.49</v>
      </c>
      <c r="P917" s="20" t="n">
        <v>15000</v>
      </c>
      <c r="Q917" s="20" t="n">
        <v>2100</v>
      </c>
      <c r="R917" s="20" t="n">
        <v>22350</v>
      </c>
      <c r="S917" s="20" t="n">
        <v>8606.5</v>
      </c>
      <c r="T917" s="20" t="n">
        <v>13743.5</v>
      </c>
      <c r="U917" s="21" t="n">
        <v>0.385078299776286</v>
      </c>
      <c r="V917" s="22" t="n">
        <v>26</v>
      </c>
      <c r="W917" s="17" t="n">
        <v>5</v>
      </c>
      <c r="X917" s="17" t="n">
        <v>0</v>
      </c>
      <c r="Y917" s="20" t="n">
        <v>231047.83</v>
      </c>
      <c r="Z917" s="21" t="n">
        <v>0.0149</v>
      </c>
      <c r="AA917" s="16" t="n">
        <v>43758</v>
      </c>
      <c r="AB917" s="5">
        <f>IF(V917="","",IF(V917&lt;12,"Months","Weeks"))</f>
        <v/>
      </c>
      <c r="AC917" s="5">
        <f>IF(AB917="","",IF(AB917="Months","Daily","Weekly"))</f>
        <v/>
      </c>
      <c r="AD917" s="17">
        <f>IF(V917="","",IF(AC917="Daily",V917*Controls!$B$13,V917))</f>
        <v/>
      </c>
      <c r="AE917" s="17">
        <f>IF(V917="","",IF(AC917="Daily",V917*Controls!$B$13,V917*Controls!$B$12))</f>
        <v/>
      </c>
      <c r="AF917" s="17">
        <f>IF(OR(E917="",F917=""),"",F917-E917)</f>
        <v/>
      </c>
      <c r="AG917" s="17">
        <f>IF(OR(E917="",F917=""),"",NETWORKDAYS(E917,F917,Ref!$F$4:$F$47))</f>
        <v/>
      </c>
      <c r="AH917" s="39">
        <f>IF(IFERROR(VLOOKUP(D917,Controls!$A$25:$D$35,2,FALSE()),"No")="Yes",1,0)</f>
        <v/>
      </c>
      <c r="AI917" s="39">
        <f>IF(IFERROR(VLOOKUP(D917,Controls!$A$25:$D$35,3,FALSE()),"No")="Yes",1,0)</f>
        <v/>
      </c>
      <c r="AJ917" s="39">
        <f>IF(IFERROR(VLOOKUP(D917,Controls!$A$25:$D$35,4,FALSE()),"No")="Yes",1,0)</f>
        <v/>
      </c>
      <c r="AK917" s="96">
        <f>IF(AND($E917&gt;=Controls!$B$5,$E917&lt;=Controls!$B$6,OR(Controls!$E$9&lt;&gt;"Y",$BE917=1)),1,0)</f>
        <v/>
      </c>
      <c r="AL917" s="39">
        <f>1</f>
        <v/>
      </c>
      <c r="AM917" s="20">
        <f>S917-P917</f>
        <v/>
      </c>
      <c r="AN917" s="20">
        <f>IF(AH917=1,MAX(0,P917-S917),0)</f>
        <v/>
      </c>
      <c r="AO917" s="21">
        <f>IFERROR(S917/P917,"")</f>
        <v/>
      </c>
      <c r="AP917" s="22">
        <f>IF(Y917="","",P917/Y917)</f>
        <v/>
      </c>
      <c r="AQ917" s="39">
        <f>IF(Y917="",0,1)</f>
        <v/>
      </c>
      <c r="AR917" s="39">
        <f>IF(S917&lt;=0,1,0)</f>
        <v/>
      </c>
      <c r="AS917" s="17">
        <f>IF(AH917=1,AG917,"")</f>
        <v/>
      </c>
      <c r="AT917" s="17">
        <f>IF(AND(AH917=0,AJ917=1),AG917,"")</f>
        <v/>
      </c>
      <c r="AU917" s="5">
        <f>IF(P917&lt;10000,"Under $10K",IF(P917&lt;20000,"$10-20K",IF(P917&lt;30000,"$20-30K",IF(P917&lt;50000,"$30-50K",IF(P917&lt;100000,"$50-100K","$100K+")))))</f>
        <v/>
      </c>
      <c r="AV917" s="5">
        <f>IF(O917&lt;=1.35,"1.35 and under",IF(O917&lt;=1.42,"1.36-1.42",IF(O917&lt;=1.45,"1.43-1.45",IF(O917&lt;1.49,"1.46-1.48",IF(O917&lt;=1.49,"1.49","Above 1.49")))))</f>
        <v/>
      </c>
      <c r="AW917" s="5">
        <f>IF(AE917="","",IF(AE917&lt;60,"Under 60",IF(AE917&lt;90,"60-89",IF(AE917&lt;120,"90-119",IF(AE917&lt;150,"120-149","150+")))))</f>
        <v/>
      </c>
      <c r="AX917" s="5">
        <f>IF(AP917="","No revenue data",IF(AP917&lt;0.15,"Under 0.15x",IF(AP917&lt;0.3,"0.15-0.30x",IF(AP917&lt;0.5,"0.30-0.50x",IF(AP917&lt;1,"0.50-1.00x","1.00x+")))))</f>
        <v/>
      </c>
      <c r="AY917" s="5">
        <f>IF(J917="","No SIC",IFERROR(VLOOKUP(J917,Ref!$A$4:$C$67,2,FALSE()),"Unclassified"))</f>
        <v/>
      </c>
      <c r="AZ917" s="5">
        <f>IF(E917="","",TEXT(E917,"YYYY")&amp;"-Q"&amp;ROUNDUP(MONTH(E917)/3,0))</f>
        <v/>
      </c>
      <c r="BA917" s="5">
        <f>IF(E917="","",TEXT(E917,"YYYY-MM"))</f>
        <v/>
      </c>
      <c r="BB917" s="5">
        <f>IF(E917="","",TEXT(E917,"YYYY"))</f>
        <v/>
      </c>
      <c r="BC917" s="92">
        <f>IF($E917="","",NETWORKDAYS($E917,Controls!$B$9,Ref!$F$4:$F$47))</f>
        <v/>
      </c>
      <c r="BD917" s="92">
        <f>IF(OR($AH917=1,$AJ917=1),1,0)</f>
        <v/>
      </c>
      <c r="BE917" s="95">
        <f>IF(OR($BD917=1,AND($AE917&lt;&gt;"",$BC917&gt;=Controls!$B$10*$AE917)),1,0)</f>
        <v/>
      </c>
    </row>
    <row r="918" ht="15.75" customHeight="1" s="79">
      <c r="A918" s="5" t="inlineStr">
        <is>
          <t>5674184598</t>
        </is>
      </c>
      <c r="B918" s="5" t="inlineStr">
        <is>
          <t>BLUE LABEL CONSTRUCTION CO</t>
        </is>
      </c>
      <c r="C918" s="5" t="inlineStr">
        <is>
          <t>BLUE LABEL CONSTRUCTION CO</t>
        </is>
      </c>
      <c r="D918" s="5" t="inlineStr">
        <is>
          <t>Open</t>
        </is>
      </c>
      <c r="E918" s="16" t="n">
        <v>46174</v>
      </c>
      <c r="F918" s="16" t="n">
        <v>46253</v>
      </c>
      <c r="G918" s="17" t="n">
        <v>3</v>
      </c>
      <c r="H918" s="5" t="inlineStr">
        <is>
          <t>1521</t>
        </is>
      </c>
      <c r="I918" s="5" t="inlineStr">
        <is>
          <t>Residential Remodelers</t>
        </is>
      </c>
      <c r="J918" s="5" t="inlineStr">
        <is>
          <t>15</t>
        </is>
      </c>
      <c r="K918" s="5" t="n">
        <v>1520</v>
      </c>
      <c r="L918" s="5" t="inlineStr">
        <is>
          <t>CO</t>
        </is>
      </c>
      <c r="M918" s="5" t="inlineStr">
        <is>
          <t>Siriux internacional corp</t>
        </is>
      </c>
      <c r="N918" s="5" t="inlineStr">
        <is>
          <t>New Deal</t>
        </is>
      </c>
      <c r="O918" s="19" t="n">
        <v>1.49</v>
      </c>
      <c r="P918" s="20" t="n">
        <v>25000</v>
      </c>
      <c r="Q918" s="20" t="n">
        <v>3500</v>
      </c>
      <c r="R918" s="20" t="n">
        <v>37250</v>
      </c>
      <c r="S918" s="20" t="n">
        <v>12893.17</v>
      </c>
      <c r="T918" s="20" t="n">
        <v>24356.83</v>
      </c>
      <c r="U918" s="21" t="n">
        <v>0.346125369127517</v>
      </c>
      <c r="V918" s="22" t="n">
        <v>26</v>
      </c>
      <c r="W918" s="17" t="n">
        <v>0</v>
      </c>
      <c r="X918" s="17" t="n">
        <v>3</v>
      </c>
      <c r="Y918" s="20" t="n">
        <v>140784.34</v>
      </c>
      <c r="Z918" s="21" t="n">
        <v>0.0407</v>
      </c>
      <c r="AA918" s="16" t="n">
        <v>45342</v>
      </c>
      <c r="AB918" s="5">
        <f>IF(V918="","",IF(V918&lt;12,"Months","Weeks"))</f>
        <v/>
      </c>
      <c r="AC918" s="5">
        <f>IF(AB918="","",IF(AB918="Months","Daily","Weekly"))</f>
        <v/>
      </c>
      <c r="AD918" s="17">
        <f>IF(V918="","",IF(AC918="Daily",V918*Controls!$B$13,V918))</f>
        <v/>
      </c>
      <c r="AE918" s="17">
        <f>IF(V918="","",IF(AC918="Daily",V918*Controls!$B$13,V918*Controls!$B$12))</f>
        <v/>
      </c>
      <c r="AF918" s="17">
        <f>IF(OR(E918="",F918=""),"",F918-E918)</f>
        <v/>
      </c>
      <c r="AG918" s="17">
        <f>IF(OR(E918="",F918=""),"",NETWORKDAYS(E918,F918,Ref!$F$4:$F$47))</f>
        <v/>
      </c>
      <c r="AH918" s="39">
        <f>IF(IFERROR(VLOOKUP(D918,Controls!$A$25:$D$35,2,FALSE()),"No")="Yes",1,0)</f>
        <v/>
      </c>
      <c r="AI918" s="39">
        <f>IF(IFERROR(VLOOKUP(D918,Controls!$A$25:$D$35,3,FALSE()),"No")="Yes",1,0)</f>
        <v/>
      </c>
      <c r="AJ918" s="39">
        <f>IF(IFERROR(VLOOKUP(D918,Controls!$A$25:$D$35,4,FALSE()),"No")="Yes",1,0)</f>
        <v/>
      </c>
      <c r="AK918" s="96">
        <f>IF(AND($E918&gt;=Controls!$B$5,$E918&lt;=Controls!$B$6,OR(Controls!$E$9&lt;&gt;"Y",$BE918=1)),1,0)</f>
        <v/>
      </c>
      <c r="AL918" s="39">
        <f>1</f>
        <v/>
      </c>
      <c r="AM918" s="20">
        <f>S918-P918</f>
        <v/>
      </c>
      <c r="AN918" s="20">
        <f>IF(AH918=1,MAX(0,P918-S918),0)</f>
        <v/>
      </c>
      <c r="AO918" s="21">
        <f>IFERROR(S918/P918,"")</f>
        <v/>
      </c>
      <c r="AP918" s="22">
        <f>IF(Y918="","",P918/Y918)</f>
        <v/>
      </c>
      <c r="AQ918" s="39">
        <f>IF(Y918="",0,1)</f>
        <v/>
      </c>
      <c r="AR918" s="39">
        <f>IF(S918&lt;=0,1,0)</f>
        <v/>
      </c>
      <c r="AS918" s="17">
        <f>IF(AH918=1,AG918,"")</f>
        <v/>
      </c>
      <c r="AT918" s="17">
        <f>IF(AND(AH918=0,AJ918=1),AG918,"")</f>
        <v/>
      </c>
      <c r="AU918" s="5">
        <f>IF(P918&lt;10000,"Under $10K",IF(P918&lt;20000,"$10-20K",IF(P918&lt;30000,"$20-30K",IF(P918&lt;50000,"$30-50K",IF(P918&lt;100000,"$50-100K","$100K+")))))</f>
        <v/>
      </c>
      <c r="AV918" s="5">
        <f>IF(O918&lt;=1.35,"1.35 and under",IF(O918&lt;=1.42,"1.36-1.42",IF(O918&lt;=1.45,"1.43-1.45",IF(O918&lt;1.49,"1.46-1.48",IF(O918&lt;=1.49,"1.49","Above 1.49")))))</f>
        <v/>
      </c>
      <c r="AW918" s="5">
        <f>IF(AE918="","",IF(AE918&lt;60,"Under 60",IF(AE918&lt;90,"60-89",IF(AE918&lt;120,"90-119",IF(AE918&lt;150,"120-149","150+")))))</f>
        <v/>
      </c>
      <c r="AX918" s="5">
        <f>IF(AP918="","No revenue data",IF(AP918&lt;0.15,"Under 0.15x",IF(AP918&lt;0.3,"0.15-0.30x",IF(AP918&lt;0.5,"0.30-0.50x",IF(AP918&lt;1,"0.50-1.00x","1.00x+")))))</f>
        <v/>
      </c>
      <c r="AY918" s="5">
        <f>IF(J918="","No SIC",IFERROR(VLOOKUP(J918,Ref!$A$4:$C$67,2,FALSE()),"Unclassified"))</f>
        <v/>
      </c>
      <c r="AZ918" s="5">
        <f>IF(E918="","",TEXT(E918,"YYYY")&amp;"-Q"&amp;ROUNDUP(MONTH(E918)/3,0))</f>
        <v/>
      </c>
      <c r="BA918" s="5">
        <f>IF(E918="","",TEXT(E918,"YYYY-MM"))</f>
        <v/>
      </c>
      <c r="BB918" s="5">
        <f>IF(E918="","",TEXT(E918,"YYYY"))</f>
        <v/>
      </c>
      <c r="BC918" s="92">
        <f>IF($E918="","",NETWORKDAYS($E918,Controls!$B$9,Ref!$F$4:$F$47))</f>
        <v/>
      </c>
      <c r="BD918" s="92">
        <f>IF(OR($AH918=1,$AJ918=1),1,0)</f>
        <v/>
      </c>
      <c r="BE918" s="95">
        <f>IF(OR($BD918=1,AND($AE918&lt;&gt;"",$BC918&gt;=Controls!$B$10*$AE918)),1,0)</f>
        <v/>
      </c>
    </row>
    <row r="919" ht="15.75" customHeight="1" s="79">
      <c r="A919" s="5" t="inlineStr">
        <is>
          <t>5674184619</t>
        </is>
      </c>
      <c r="B919" s="5" t="inlineStr">
        <is>
          <t>ASCG Consulting LLC</t>
        </is>
      </c>
      <c r="C919" s="5" t="inlineStr">
        <is>
          <t>ASCG Consulting LLC</t>
        </is>
      </c>
      <c r="D919" s="5" t="inlineStr">
        <is>
          <t>Open</t>
        </is>
      </c>
      <c r="E919" s="16" t="n">
        <v>46174</v>
      </c>
      <c r="F919" s="16" t="n">
        <v>46248</v>
      </c>
      <c r="G919" s="17" t="n">
        <v>3</v>
      </c>
      <c r="H919" s="5" t="inlineStr">
        <is>
          <t>8742</t>
        </is>
      </c>
      <c r="I919" s="5" t="inlineStr">
        <is>
          <t>Administrative Management and General Management Consulting Services</t>
        </is>
      </c>
      <c r="J919" s="5" t="inlineStr">
        <is>
          <t>87</t>
        </is>
      </c>
      <c r="K919" s="5" t="n">
        <v>7392</v>
      </c>
      <c r="L919" s="5" t="inlineStr">
        <is>
          <t>FL</t>
        </is>
      </c>
      <c r="M919" s="5" t="inlineStr">
        <is>
          <t>Deal Struck</t>
        </is>
      </c>
      <c r="N919" s="5" t="inlineStr">
        <is>
          <t>New Deal</t>
        </is>
      </c>
      <c r="O919" s="19" t="n">
        <v>1.45</v>
      </c>
      <c r="P919" s="20" t="n">
        <v>10000</v>
      </c>
      <c r="Q919" s="20" t="n">
        <v>1200</v>
      </c>
      <c r="R919" s="20" t="n">
        <v>14500</v>
      </c>
      <c r="S919" s="20" t="n">
        <v>3021.45</v>
      </c>
      <c r="T919" s="20" t="n">
        <v>11478.55</v>
      </c>
      <c r="U919" s="21" t="n">
        <v>0.208375862068966</v>
      </c>
      <c r="V919" s="22" t="n">
        <v>24</v>
      </c>
      <c r="W919" s="17" t="n">
        <v>12</v>
      </c>
      <c r="X919" s="17" t="n">
        <v>5</v>
      </c>
      <c r="Y919" s="20" t="n">
        <v>15705.95</v>
      </c>
      <c r="Z919" s="21" t="n">
        <v>0.1539</v>
      </c>
      <c r="AA919" s="16" t="n">
        <v>44470</v>
      </c>
      <c r="AB919" s="5">
        <f>IF(V919="","",IF(V919&lt;12,"Months","Weeks"))</f>
        <v/>
      </c>
      <c r="AC919" s="5">
        <f>IF(AB919="","",IF(AB919="Months","Daily","Weekly"))</f>
        <v/>
      </c>
      <c r="AD919" s="17">
        <f>IF(V919="","",IF(AC919="Daily",V919*Controls!$B$13,V919))</f>
        <v/>
      </c>
      <c r="AE919" s="17">
        <f>IF(V919="","",IF(AC919="Daily",V919*Controls!$B$13,V919*Controls!$B$12))</f>
        <v/>
      </c>
      <c r="AF919" s="17">
        <f>IF(OR(E919="",F919=""),"",F919-E919)</f>
        <v/>
      </c>
      <c r="AG919" s="17">
        <f>IF(OR(E919="",F919=""),"",NETWORKDAYS(E919,F919,Ref!$F$4:$F$47))</f>
        <v/>
      </c>
      <c r="AH919" s="39">
        <f>IF(IFERROR(VLOOKUP(D919,Controls!$A$25:$D$35,2,FALSE()),"No")="Yes",1,0)</f>
        <v/>
      </c>
      <c r="AI919" s="39">
        <f>IF(IFERROR(VLOOKUP(D919,Controls!$A$25:$D$35,3,FALSE()),"No")="Yes",1,0)</f>
        <v/>
      </c>
      <c r="AJ919" s="39">
        <f>IF(IFERROR(VLOOKUP(D919,Controls!$A$25:$D$35,4,FALSE()),"No")="Yes",1,0)</f>
        <v/>
      </c>
      <c r="AK919" s="96">
        <f>IF(AND($E919&gt;=Controls!$B$5,$E919&lt;=Controls!$B$6,OR(Controls!$E$9&lt;&gt;"Y",$BE919=1)),1,0)</f>
        <v/>
      </c>
      <c r="AL919" s="39">
        <f>1</f>
        <v/>
      </c>
      <c r="AM919" s="20">
        <f>S919-P919</f>
        <v/>
      </c>
      <c r="AN919" s="20">
        <f>IF(AH919=1,MAX(0,P919-S919),0)</f>
        <v/>
      </c>
      <c r="AO919" s="21">
        <f>IFERROR(S919/P919,"")</f>
        <v/>
      </c>
      <c r="AP919" s="22">
        <f>IF(Y919="","",P919/Y919)</f>
        <v/>
      </c>
      <c r="AQ919" s="39">
        <f>IF(Y919="",0,1)</f>
        <v/>
      </c>
      <c r="AR919" s="39">
        <f>IF(S919&lt;=0,1,0)</f>
        <v/>
      </c>
      <c r="AS919" s="17">
        <f>IF(AH919=1,AG919,"")</f>
        <v/>
      </c>
      <c r="AT919" s="17">
        <f>IF(AND(AH919=0,AJ919=1),AG919,"")</f>
        <v/>
      </c>
      <c r="AU919" s="5">
        <f>IF(P919&lt;10000,"Under $10K",IF(P919&lt;20000,"$10-20K",IF(P919&lt;30000,"$20-30K",IF(P919&lt;50000,"$30-50K",IF(P919&lt;100000,"$50-100K","$100K+")))))</f>
        <v/>
      </c>
      <c r="AV919" s="5">
        <f>IF(O919&lt;=1.35,"1.35 and under",IF(O919&lt;=1.42,"1.36-1.42",IF(O919&lt;=1.45,"1.43-1.45",IF(O919&lt;1.49,"1.46-1.48",IF(O919&lt;=1.49,"1.49","Above 1.49")))))</f>
        <v/>
      </c>
      <c r="AW919" s="5">
        <f>IF(AE919="","",IF(AE919&lt;60,"Under 60",IF(AE919&lt;90,"60-89",IF(AE919&lt;120,"90-119",IF(AE919&lt;150,"120-149","150+")))))</f>
        <v/>
      </c>
      <c r="AX919" s="5">
        <f>IF(AP919="","No revenue data",IF(AP919&lt;0.15,"Under 0.15x",IF(AP919&lt;0.3,"0.15-0.30x",IF(AP919&lt;0.5,"0.30-0.50x",IF(AP919&lt;1,"0.50-1.00x","1.00x+")))))</f>
        <v/>
      </c>
      <c r="AY919" s="5">
        <f>IF(J919="","No SIC",IFERROR(VLOOKUP(J919,Ref!$A$4:$C$67,2,FALSE()),"Unclassified"))</f>
        <v/>
      </c>
      <c r="AZ919" s="5">
        <f>IF(E919="","",TEXT(E919,"YYYY")&amp;"-Q"&amp;ROUNDUP(MONTH(E919)/3,0))</f>
        <v/>
      </c>
      <c r="BA919" s="5">
        <f>IF(E919="","",TEXT(E919,"YYYY-MM"))</f>
        <v/>
      </c>
      <c r="BB919" s="5">
        <f>IF(E919="","",TEXT(E919,"YYYY"))</f>
        <v/>
      </c>
      <c r="BC919" s="92">
        <f>IF($E919="","",NETWORKDAYS($E919,Controls!$B$9,Ref!$F$4:$F$47))</f>
        <v/>
      </c>
      <c r="BD919" s="92">
        <f>IF(OR($AH919=1,$AJ919=1),1,0)</f>
        <v/>
      </c>
      <c r="BE919" s="95">
        <f>IF(OR($BD919=1,AND($AE919&lt;&gt;"",$BC919&gt;=Controls!$B$10*$AE919)),1,0)</f>
        <v/>
      </c>
    </row>
    <row r="920" ht="15.75" customHeight="1" s="79">
      <c r="A920" s="5" t="inlineStr">
        <is>
          <t>5674184661</t>
        </is>
      </c>
      <c r="B920" s="5" t="inlineStr">
        <is>
          <t>Victory Freight Transport, Inc.</t>
        </is>
      </c>
      <c r="C920" s="5" t="inlineStr">
        <is>
          <t>Victory Freight Transport, Inc.</t>
        </is>
      </c>
      <c r="D920" s="5" t="inlineStr">
        <is>
          <t>In House Collection</t>
        </is>
      </c>
      <c r="E920" s="16" t="n">
        <v>46175</v>
      </c>
      <c r="F920" s="16" t="n">
        <v>46192</v>
      </c>
      <c r="G920" s="17" t="n">
        <v>3</v>
      </c>
      <c r="H920" s="5" t="inlineStr">
        <is>
          <t>4212</t>
        </is>
      </c>
      <c r="I920" s="5" t="inlineStr">
        <is>
          <t>Specialized Freight (Except Used Goods) Trucking, Local</t>
        </is>
      </c>
      <c r="J920" s="5" t="inlineStr">
        <is>
          <t>42</t>
        </is>
      </c>
      <c r="K920" s="5" t="n">
        <v>4214</v>
      </c>
      <c r="L920" s="5" t="inlineStr">
        <is>
          <t>VA</t>
        </is>
      </c>
      <c r="M920" s="5" t="inlineStr">
        <is>
          <t>Capfront Funding</t>
        </is>
      </c>
      <c r="N920" s="5" t="inlineStr">
        <is>
          <t>New Deal</t>
        </is>
      </c>
      <c r="O920" s="19" t="n">
        <v>1.49</v>
      </c>
      <c r="P920" s="20" t="n">
        <v>30000</v>
      </c>
      <c r="Q920" s="20" t="n">
        <v>4200</v>
      </c>
      <c r="R920" s="20" t="n">
        <v>44700</v>
      </c>
      <c r="S920" s="20" t="n">
        <v>2793.78</v>
      </c>
      <c r="T920" s="20" t="n">
        <v>41906.22</v>
      </c>
      <c r="U920" s="21" t="n">
        <v>0.0625006711409396</v>
      </c>
      <c r="V920" s="22" t="n">
        <v>32</v>
      </c>
      <c r="W920" s="17" t="n">
        <v>68</v>
      </c>
      <c r="X920" s="17" t="n">
        <v>1</v>
      </c>
      <c r="Y920" s="20" t="n">
        <v>53726.42</v>
      </c>
      <c r="Z920" s="21" t="n">
        <v>0.104</v>
      </c>
      <c r="AA920" s="16" t="n">
        <v>45717</v>
      </c>
      <c r="AB920" s="5">
        <f>IF(V920="","",IF(V920&lt;12,"Months","Weeks"))</f>
        <v/>
      </c>
      <c r="AC920" s="5">
        <f>IF(AB920="","",IF(AB920="Months","Daily","Weekly"))</f>
        <v/>
      </c>
      <c r="AD920" s="17">
        <f>IF(V920="","",IF(AC920="Daily",V920*Controls!$B$13,V920))</f>
        <v/>
      </c>
      <c r="AE920" s="17">
        <f>IF(V920="","",IF(AC920="Daily",V920*Controls!$B$13,V920*Controls!$B$12))</f>
        <v/>
      </c>
      <c r="AF920" s="17">
        <f>IF(OR(E920="",F920=""),"",F920-E920)</f>
        <v/>
      </c>
      <c r="AG920" s="17">
        <f>IF(OR(E920="",F920=""),"",NETWORKDAYS(E920,F920,Ref!$F$4:$F$47))</f>
        <v/>
      </c>
      <c r="AH920" s="39">
        <f>IF(IFERROR(VLOOKUP(D920,Controls!$A$25:$D$35,2,FALSE()),"No")="Yes",1,0)</f>
        <v/>
      </c>
      <c r="AI920" s="39">
        <f>IF(IFERROR(VLOOKUP(D920,Controls!$A$25:$D$35,3,FALSE()),"No")="Yes",1,0)</f>
        <v/>
      </c>
      <c r="AJ920" s="39">
        <f>IF(IFERROR(VLOOKUP(D920,Controls!$A$25:$D$35,4,FALSE()),"No")="Yes",1,0)</f>
        <v/>
      </c>
      <c r="AK920" s="96">
        <f>IF(AND($E920&gt;=Controls!$B$5,$E920&lt;=Controls!$B$6,OR(Controls!$E$9&lt;&gt;"Y",$BE920=1)),1,0)</f>
        <v/>
      </c>
      <c r="AL920" s="39">
        <f>1</f>
        <v/>
      </c>
      <c r="AM920" s="20">
        <f>S920-P920</f>
        <v/>
      </c>
      <c r="AN920" s="20">
        <f>IF(AH920=1,MAX(0,P920-S920),0)</f>
        <v/>
      </c>
      <c r="AO920" s="21">
        <f>IFERROR(S920/P920,"")</f>
        <v/>
      </c>
      <c r="AP920" s="22">
        <f>IF(Y920="","",P920/Y920)</f>
        <v/>
      </c>
      <c r="AQ920" s="39">
        <f>IF(Y920="",0,1)</f>
        <v/>
      </c>
      <c r="AR920" s="39">
        <f>IF(S920&lt;=0,1,0)</f>
        <v/>
      </c>
      <c r="AS920" s="17">
        <f>IF(AH920=1,AG920,"")</f>
        <v/>
      </c>
      <c r="AT920" s="17">
        <f>IF(AND(AH920=0,AJ920=1),AG920,"")</f>
        <v/>
      </c>
      <c r="AU920" s="5">
        <f>IF(P920&lt;10000,"Under $10K",IF(P920&lt;20000,"$10-20K",IF(P920&lt;30000,"$20-30K",IF(P920&lt;50000,"$30-50K",IF(P920&lt;100000,"$50-100K","$100K+")))))</f>
        <v/>
      </c>
      <c r="AV920" s="5">
        <f>IF(O920&lt;=1.35,"1.35 and under",IF(O920&lt;=1.42,"1.36-1.42",IF(O920&lt;=1.45,"1.43-1.45",IF(O920&lt;1.49,"1.46-1.48",IF(O920&lt;=1.49,"1.49","Above 1.49")))))</f>
        <v/>
      </c>
      <c r="AW920" s="5">
        <f>IF(AE920="","",IF(AE920&lt;60,"Under 60",IF(AE920&lt;90,"60-89",IF(AE920&lt;120,"90-119",IF(AE920&lt;150,"120-149","150+")))))</f>
        <v/>
      </c>
      <c r="AX920" s="5">
        <f>IF(AP920="","No revenue data",IF(AP920&lt;0.15,"Under 0.15x",IF(AP920&lt;0.3,"0.15-0.30x",IF(AP920&lt;0.5,"0.30-0.50x",IF(AP920&lt;1,"0.50-1.00x","1.00x+")))))</f>
        <v/>
      </c>
      <c r="AY920" s="5">
        <f>IF(J920="","No SIC",IFERROR(VLOOKUP(J920,Ref!$A$4:$C$67,2,FALSE()),"Unclassified"))</f>
        <v/>
      </c>
      <c r="AZ920" s="5">
        <f>IF(E920="","",TEXT(E920,"YYYY")&amp;"-Q"&amp;ROUNDUP(MONTH(E920)/3,0))</f>
        <v/>
      </c>
      <c r="BA920" s="5">
        <f>IF(E920="","",TEXT(E920,"YYYY-MM"))</f>
        <v/>
      </c>
      <c r="BB920" s="5">
        <f>IF(E920="","",TEXT(E920,"YYYY"))</f>
        <v/>
      </c>
      <c r="BC920" s="92">
        <f>IF($E920="","",NETWORKDAYS($E920,Controls!$B$9,Ref!$F$4:$F$47))</f>
        <v/>
      </c>
      <c r="BD920" s="92">
        <f>IF(OR($AH920=1,$AJ920=1),1,0)</f>
        <v/>
      </c>
      <c r="BE920" s="95">
        <f>IF(OR($BD920=1,AND($AE920&lt;&gt;"",$BC920&gt;=Controls!$B$10*$AE920)),1,0)</f>
        <v/>
      </c>
    </row>
    <row r="921" ht="15.75" customHeight="1" s="79">
      <c r="A921" s="5" t="inlineStr">
        <is>
          <t>5674184671</t>
        </is>
      </c>
      <c r="B921" s="5" t="inlineStr">
        <is>
          <t>ARROW TRANSPORT LLC</t>
        </is>
      </c>
      <c r="C921" s="5" t="inlineStr">
        <is>
          <t>ARROW TRANSPORT LLC</t>
        </is>
      </c>
      <c r="D921" s="5" t="inlineStr">
        <is>
          <t>Open</t>
        </is>
      </c>
      <c r="E921" s="16" t="n">
        <v>46175</v>
      </c>
      <c r="F921" s="16" t="n">
        <v>46248</v>
      </c>
      <c r="G921" s="17" t="n">
        <v>3</v>
      </c>
      <c r="H921" s="5" t="inlineStr">
        <is>
          <t>4212</t>
        </is>
      </c>
      <c r="I921" s="5" t="inlineStr">
        <is>
          <t>Specialized Freight (Except Used Goods) Trucking, Local</t>
        </is>
      </c>
      <c r="J921" s="5" t="inlineStr">
        <is>
          <t>42</t>
        </is>
      </c>
      <c r="K921" s="5" t="n">
        <v>4214</v>
      </c>
      <c r="L921" s="5" t="inlineStr">
        <is>
          <t>KY</t>
        </is>
      </c>
      <c r="M921" s="5" t="inlineStr">
        <is>
          <t>PMF</t>
        </is>
      </c>
      <c r="N921" s="5" t="inlineStr">
        <is>
          <t>New Deal</t>
        </is>
      </c>
      <c r="O921" s="19" t="n">
        <v>1.49</v>
      </c>
      <c r="P921" s="20" t="n">
        <v>30000</v>
      </c>
      <c r="Q921" s="20" t="n">
        <v>4200</v>
      </c>
      <c r="R921" s="20" t="n">
        <v>44700</v>
      </c>
      <c r="S921" s="20" t="n">
        <v>13967.9</v>
      </c>
      <c r="T921" s="20" t="n">
        <v>30732.1</v>
      </c>
      <c r="U921" s="21" t="n">
        <v>0.312480984340045</v>
      </c>
      <c r="V921" s="22" t="n">
        <v>32</v>
      </c>
      <c r="W921" s="17" t="n">
        <v>5</v>
      </c>
      <c r="X921" s="17" t="n">
        <v>0</v>
      </c>
      <c r="Y921" s="20" t="n">
        <v>302710.88</v>
      </c>
      <c r="Z921" s="21" t="n">
        <v>0.0969</v>
      </c>
      <c r="AA921" s="16" t="n">
        <v>44320</v>
      </c>
      <c r="AB921" s="5">
        <f>IF(V921="","",IF(V921&lt;12,"Months","Weeks"))</f>
        <v/>
      </c>
      <c r="AC921" s="5">
        <f>IF(AB921="","",IF(AB921="Months","Daily","Weekly"))</f>
        <v/>
      </c>
      <c r="AD921" s="17">
        <f>IF(V921="","",IF(AC921="Daily",V921*Controls!$B$13,V921))</f>
        <v/>
      </c>
      <c r="AE921" s="17">
        <f>IF(V921="","",IF(AC921="Daily",V921*Controls!$B$13,V921*Controls!$B$12))</f>
        <v/>
      </c>
      <c r="AF921" s="17">
        <f>IF(OR(E921="",F921=""),"",F921-E921)</f>
        <v/>
      </c>
      <c r="AG921" s="17">
        <f>IF(OR(E921="",F921=""),"",NETWORKDAYS(E921,F921,Ref!$F$4:$F$47))</f>
        <v/>
      </c>
      <c r="AH921" s="39">
        <f>IF(IFERROR(VLOOKUP(D921,Controls!$A$25:$D$35,2,FALSE()),"No")="Yes",1,0)</f>
        <v/>
      </c>
      <c r="AI921" s="39">
        <f>IF(IFERROR(VLOOKUP(D921,Controls!$A$25:$D$35,3,FALSE()),"No")="Yes",1,0)</f>
        <v/>
      </c>
      <c r="AJ921" s="39">
        <f>IF(IFERROR(VLOOKUP(D921,Controls!$A$25:$D$35,4,FALSE()),"No")="Yes",1,0)</f>
        <v/>
      </c>
      <c r="AK921" s="96">
        <f>IF(AND($E921&gt;=Controls!$B$5,$E921&lt;=Controls!$B$6,OR(Controls!$E$9&lt;&gt;"Y",$BE921=1)),1,0)</f>
        <v/>
      </c>
      <c r="AL921" s="39">
        <f>1</f>
        <v/>
      </c>
      <c r="AM921" s="20">
        <f>S921-P921</f>
        <v/>
      </c>
      <c r="AN921" s="20">
        <f>IF(AH921=1,MAX(0,P921-S921),0)</f>
        <v/>
      </c>
      <c r="AO921" s="21">
        <f>IFERROR(S921/P921,"")</f>
        <v/>
      </c>
      <c r="AP921" s="22">
        <f>IF(Y921="","",P921/Y921)</f>
        <v/>
      </c>
      <c r="AQ921" s="39">
        <f>IF(Y921="",0,1)</f>
        <v/>
      </c>
      <c r="AR921" s="39">
        <f>IF(S921&lt;=0,1,0)</f>
        <v/>
      </c>
      <c r="AS921" s="17">
        <f>IF(AH921=1,AG921,"")</f>
        <v/>
      </c>
      <c r="AT921" s="17">
        <f>IF(AND(AH921=0,AJ921=1),AG921,"")</f>
        <v/>
      </c>
      <c r="AU921" s="5">
        <f>IF(P921&lt;10000,"Under $10K",IF(P921&lt;20000,"$10-20K",IF(P921&lt;30000,"$20-30K",IF(P921&lt;50000,"$30-50K",IF(P921&lt;100000,"$50-100K","$100K+")))))</f>
        <v/>
      </c>
      <c r="AV921" s="5">
        <f>IF(O921&lt;=1.35,"1.35 and under",IF(O921&lt;=1.42,"1.36-1.42",IF(O921&lt;=1.45,"1.43-1.45",IF(O921&lt;1.49,"1.46-1.48",IF(O921&lt;=1.49,"1.49","Above 1.49")))))</f>
        <v/>
      </c>
      <c r="AW921" s="5">
        <f>IF(AE921="","",IF(AE921&lt;60,"Under 60",IF(AE921&lt;90,"60-89",IF(AE921&lt;120,"90-119",IF(AE921&lt;150,"120-149","150+")))))</f>
        <v/>
      </c>
      <c r="AX921" s="5">
        <f>IF(AP921="","No revenue data",IF(AP921&lt;0.15,"Under 0.15x",IF(AP921&lt;0.3,"0.15-0.30x",IF(AP921&lt;0.5,"0.30-0.50x",IF(AP921&lt;1,"0.50-1.00x","1.00x+")))))</f>
        <v/>
      </c>
      <c r="AY921" s="5">
        <f>IF(J921="","No SIC",IFERROR(VLOOKUP(J921,Ref!$A$4:$C$67,2,FALSE()),"Unclassified"))</f>
        <v/>
      </c>
      <c r="AZ921" s="5">
        <f>IF(E921="","",TEXT(E921,"YYYY")&amp;"-Q"&amp;ROUNDUP(MONTH(E921)/3,0))</f>
        <v/>
      </c>
      <c r="BA921" s="5">
        <f>IF(E921="","",TEXT(E921,"YYYY-MM"))</f>
        <v/>
      </c>
      <c r="BB921" s="5">
        <f>IF(E921="","",TEXT(E921,"YYYY"))</f>
        <v/>
      </c>
      <c r="BC921" s="92">
        <f>IF($E921="","",NETWORKDAYS($E921,Controls!$B$9,Ref!$F$4:$F$47))</f>
        <v/>
      </c>
      <c r="BD921" s="92">
        <f>IF(OR($AH921=1,$AJ921=1),1,0)</f>
        <v/>
      </c>
      <c r="BE921" s="95">
        <f>IF(OR($BD921=1,AND($AE921&lt;&gt;"",$BC921&gt;=Controls!$B$10*$AE921)),1,0)</f>
        <v/>
      </c>
    </row>
    <row r="922" ht="15.75" customHeight="1" s="79">
      <c r="A922" s="5" t="inlineStr">
        <is>
          <t>5674184685</t>
        </is>
      </c>
      <c r="B922" s="5" t="inlineStr">
        <is>
          <t>Wood's Landscape Services Inc</t>
        </is>
      </c>
      <c r="C922" s="5" t="inlineStr">
        <is>
          <t>Barlwood Enterprises, LLC</t>
        </is>
      </c>
      <c r="D922" s="5" t="inlineStr">
        <is>
          <t>In House Collection</t>
        </is>
      </c>
      <c r="E922" s="16" t="n">
        <v>46175</v>
      </c>
      <c r="F922" s="16" t="n">
        <v>46253</v>
      </c>
      <c r="G922" s="17" t="n">
        <v>3</v>
      </c>
      <c r="H922" s="5" t="inlineStr">
        <is>
          <t>0781</t>
        </is>
      </c>
      <c r="I922" s="5" t="inlineStr">
        <is>
          <t>Landscape Architectural Services</t>
        </is>
      </c>
      <c r="J922" s="5" t="inlineStr">
        <is>
          <t>07</t>
        </is>
      </c>
      <c r="K922" s="5" t="n">
        <v>780</v>
      </c>
      <c r="L922" s="5" t="inlineStr">
        <is>
          <t>TX</t>
        </is>
      </c>
      <c r="M922" s="5" t="inlineStr">
        <is>
          <t>True Eagle Capital</t>
        </is>
      </c>
      <c r="N922" s="5" t="inlineStr">
        <is>
          <t>Renewal</t>
        </is>
      </c>
      <c r="O922" s="19" t="n">
        <v>1.49</v>
      </c>
      <c r="P922" s="20" t="n">
        <v>40000</v>
      </c>
      <c r="Q922" s="20" t="n">
        <v>5600</v>
      </c>
      <c r="R922" s="20" t="n">
        <v>59600</v>
      </c>
      <c r="S922" s="20" t="n">
        <v>13099.02</v>
      </c>
      <c r="T922" s="20" t="n">
        <v>46500.98</v>
      </c>
      <c r="U922" s="21" t="n">
        <v>0.219782214765101</v>
      </c>
      <c r="V922" s="22" t="n">
        <v>3.934</v>
      </c>
      <c r="W922" s="17" t="n">
        <v>0</v>
      </c>
      <c r="X922" s="17" t="n">
        <v>15</v>
      </c>
      <c r="Y922" s="20" t="n">
        <v>57633.25</v>
      </c>
      <c r="Z922" s="21" t="n">
        <v>0.181</v>
      </c>
      <c r="AA922" s="16" t="n">
        <v>30376</v>
      </c>
      <c r="AB922" s="5">
        <f>IF(V922="","",IF(V922&lt;12,"Months","Weeks"))</f>
        <v/>
      </c>
      <c r="AC922" s="5">
        <f>IF(AB922="","",IF(AB922="Months","Daily","Weekly"))</f>
        <v/>
      </c>
      <c r="AD922" s="17">
        <f>IF(V922="","",IF(AC922="Daily",V922*Controls!$B$13,V922))</f>
        <v/>
      </c>
      <c r="AE922" s="17">
        <f>IF(V922="","",IF(AC922="Daily",V922*Controls!$B$13,V922*Controls!$B$12))</f>
        <v/>
      </c>
      <c r="AF922" s="17">
        <f>IF(OR(E922="",F922=""),"",F922-E922)</f>
        <v/>
      </c>
      <c r="AG922" s="17">
        <f>IF(OR(E922="",F922=""),"",NETWORKDAYS(E922,F922,Ref!$F$4:$F$47))</f>
        <v/>
      </c>
      <c r="AH922" s="39">
        <f>IF(IFERROR(VLOOKUP(D922,Controls!$A$25:$D$35,2,FALSE()),"No")="Yes",1,0)</f>
        <v/>
      </c>
      <c r="AI922" s="39">
        <f>IF(IFERROR(VLOOKUP(D922,Controls!$A$25:$D$35,3,FALSE()),"No")="Yes",1,0)</f>
        <v/>
      </c>
      <c r="AJ922" s="39">
        <f>IF(IFERROR(VLOOKUP(D922,Controls!$A$25:$D$35,4,FALSE()),"No")="Yes",1,0)</f>
        <v/>
      </c>
      <c r="AK922" s="96">
        <f>IF(AND($E922&gt;=Controls!$B$5,$E922&lt;=Controls!$B$6,OR(Controls!$E$9&lt;&gt;"Y",$BE922=1)),1,0)</f>
        <v/>
      </c>
      <c r="AL922" s="39">
        <f>1</f>
        <v/>
      </c>
      <c r="AM922" s="20">
        <f>S922-P922</f>
        <v/>
      </c>
      <c r="AN922" s="20">
        <f>IF(AH922=1,MAX(0,P922-S922),0)</f>
        <v/>
      </c>
      <c r="AO922" s="21">
        <f>IFERROR(S922/P922,"")</f>
        <v/>
      </c>
      <c r="AP922" s="22">
        <f>IF(Y922="","",P922/Y922)</f>
        <v/>
      </c>
      <c r="AQ922" s="39">
        <f>IF(Y922="",0,1)</f>
        <v/>
      </c>
      <c r="AR922" s="39">
        <f>IF(S922&lt;=0,1,0)</f>
        <v/>
      </c>
      <c r="AS922" s="17">
        <f>IF(AH922=1,AG922,"")</f>
        <v/>
      </c>
      <c r="AT922" s="17">
        <f>IF(AND(AH922=0,AJ922=1),AG922,"")</f>
        <v/>
      </c>
      <c r="AU922" s="5">
        <f>IF(P922&lt;10000,"Under $10K",IF(P922&lt;20000,"$10-20K",IF(P922&lt;30000,"$20-30K",IF(P922&lt;50000,"$30-50K",IF(P922&lt;100000,"$50-100K","$100K+")))))</f>
        <v/>
      </c>
      <c r="AV922" s="5">
        <f>IF(O922&lt;=1.35,"1.35 and under",IF(O922&lt;=1.42,"1.36-1.42",IF(O922&lt;=1.45,"1.43-1.45",IF(O922&lt;1.49,"1.46-1.48",IF(O922&lt;=1.49,"1.49","Above 1.49")))))</f>
        <v/>
      </c>
      <c r="AW922" s="5">
        <f>IF(AE922="","",IF(AE922&lt;60,"Under 60",IF(AE922&lt;90,"60-89",IF(AE922&lt;120,"90-119",IF(AE922&lt;150,"120-149","150+")))))</f>
        <v/>
      </c>
      <c r="AX922" s="5">
        <f>IF(AP922="","No revenue data",IF(AP922&lt;0.15,"Under 0.15x",IF(AP922&lt;0.3,"0.15-0.30x",IF(AP922&lt;0.5,"0.30-0.50x",IF(AP922&lt;1,"0.50-1.00x","1.00x+")))))</f>
        <v/>
      </c>
      <c r="AY922" s="5">
        <f>IF(J922="","No SIC",IFERROR(VLOOKUP(J922,Ref!$A$4:$C$67,2,FALSE()),"Unclassified"))</f>
        <v/>
      </c>
      <c r="AZ922" s="5">
        <f>IF(E922="","",TEXT(E922,"YYYY")&amp;"-Q"&amp;ROUNDUP(MONTH(E922)/3,0))</f>
        <v/>
      </c>
      <c r="BA922" s="5">
        <f>IF(E922="","",TEXT(E922,"YYYY-MM"))</f>
        <v/>
      </c>
      <c r="BB922" s="5">
        <f>IF(E922="","",TEXT(E922,"YYYY"))</f>
        <v/>
      </c>
      <c r="BC922" s="92">
        <f>IF($E922="","",NETWORKDAYS($E922,Controls!$B$9,Ref!$F$4:$F$47))</f>
        <v/>
      </c>
      <c r="BD922" s="92">
        <f>IF(OR($AH922=1,$AJ922=1),1,0)</f>
        <v/>
      </c>
      <c r="BE922" s="95">
        <f>IF(OR($BD922=1,AND($AE922&lt;&gt;"",$BC922&gt;=Controls!$B$10*$AE922)),1,0)</f>
        <v/>
      </c>
    </row>
    <row r="923" ht="15.75" customHeight="1" s="79">
      <c r="A923" s="5" t="inlineStr">
        <is>
          <t>5674184723</t>
        </is>
      </c>
      <c r="B923" s="5" t="inlineStr">
        <is>
          <t>CIMEX SERVICES LLC</t>
        </is>
      </c>
      <c r="C923" s="5" t="inlineStr">
        <is>
          <t>CIMEX SERVICES LLC</t>
        </is>
      </c>
      <c r="D923" s="5" t="inlineStr">
        <is>
          <t>Open</t>
        </is>
      </c>
      <c r="E923" s="16" t="n">
        <v>46176</v>
      </c>
      <c r="F923" s="16" t="n">
        <v>46253</v>
      </c>
      <c r="G923" s="17" t="n">
        <v>3</v>
      </c>
      <c r="H923" s="5" t="inlineStr">
        <is>
          <t>7342</t>
        </is>
      </c>
      <c r="I923" s="5" t="inlineStr">
        <is>
          <t>Exterminating and Pest Control Services</t>
        </is>
      </c>
      <c r="J923" s="5" t="inlineStr">
        <is>
          <t>73</t>
        </is>
      </c>
      <c r="K923" s="5" t="n">
        <v>7342</v>
      </c>
      <c r="L923" s="5" t="inlineStr">
        <is>
          <t>FL</t>
        </is>
      </c>
      <c r="M923" s="5" t="inlineStr">
        <is>
          <t>Fundwell</t>
        </is>
      </c>
      <c r="N923" s="5" t="inlineStr">
        <is>
          <t>New Deal</t>
        </is>
      </c>
      <c r="O923" s="19" t="n">
        <v>1.37</v>
      </c>
      <c r="P923" s="20" t="n">
        <v>5000</v>
      </c>
      <c r="Q923" s="20" t="n">
        <v>400</v>
      </c>
      <c r="R923" s="20" t="n">
        <v>6850</v>
      </c>
      <c r="S923" s="20" t="n">
        <v>2464.2</v>
      </c>
      <c r="T923" s="20" t="n">
        <v>4385.8</v>
      </c>
      <c r="U923" s="21" t="n">
        <v>0.359737226277372</v>
      </c>
      <c r="V923" s="22" t="n">
        <v>3.279</v>
      </c>
      <c r="W923" s="17" t="n">
        <v>0</v>
      </c>
      <c r="X923" s="17" t="n">
        <v>18</v>
      </c>
      <c r="Y923" s="20" t="n">
        <v>25854.77</v>
      </c>
      <c r="Z923" s="5" t="n"/>
      <c r="AA923" s="16" t="n">
        <v>42979</v>
      </c>
      <c r="AB923" s="5">
        <f>IF(V923="","",IF(V923&lt;12,"Months","Weeks"))</f>
        <v/>
      </c>
      <c r="AC923" s="5">
        <f>IF(AB923="","",IF(AB923="Months","Daily","Weekly"))</f>
        <v/>
      </c>
      <c r="AD923" s="17">
        <f>IF(V923="","",IF(AC923="Daily",V923*Controls!$B$13,V923))</f>
        <v/>
      </c>
      <c r="AE923" s="17">
        <f>IF(V923="","",IF(AC923="Daily",V923*Controls!$B$13,V923*Controls!$B$12))</f>
        <v/>
      </c>
      <c r="AF923" s="17">
        <f>IF(OR(E923="",F923=""),"",F923-E923)</f>
        <v/>
      </c>
      <c r="AG923" s="17">
        <f>IF(OR(E923="",F923=""),"",NETWORKDAYS(E923,F923,Ref!$F$4:$F$47))</f>
        <v/>
      </c>
      <c r="AH923" s="39">
        <f>IF(IFERROR(VLOOKUP(D923,Controls!$A$25:$D$35,2,FALSE()),"No")="Yes",1,0)</f>
        <v/>
      </c>
      <c r="AI923" s="39">
        <f>IF(IFERROR(VLOOKUP(D923,Controls!$A$25:$D$35,3,FALSE()),"No")="Yes",1,0)</f>
        <v/>
      </c>
      <c r="AJ923" s="39">
        <f>IF(IFERROR(VLOOKUP(D923,Controls!$A$25:$D$35,4,FALSE()),"No")="Yes",1,0)</f>
        <v/>
      </c>
      <c r="AK923" s="96">
        <f>IF(AND($E923&gt;=Controls!$B$5,$E923&lt;=Controls!$B$6,OR(Controls!$E$9&lt;&gt;"Y",$BE923=1)),1,0)</f>
        <v/>
      </c>
      <c r="AL923" s="39">
        <f>1</f>
        <v/>
      </c>
      <c r="AM923" s="20">
        <f>S923-P923</f>
        <v/>
      </c>
      <c r="AN923" s="20">
        <f>IF(AH923=1,MAX(0,P923-S923),0)</f>
        <v/>
      </c>
      <c r="AO923" s="21">
        <f>IFERROR(S923/P923,"")</f>
        <v/>
      </c>
      <c r="AP923" s="22">
        <f>IF(Y923="","",P923/Y923)</f>
        <v/>
      </c>
      <c r="AQ923" s="39">
        <f>IF(Y923="",0,1)</f>
        <v/>
      </c>
      <c r="AR923" s="39">
        <f>IF(S923&lt;=0,1,0)</f>
        <v/>
      </c>
      <c r="AS923" s="17">
        <f>IF(AH923=1,AG923,"")</f>
        <v/>
      </c>
      <c r="AT923" s="17">
        <f>IF(AND(AH923=0,AJ923=1),AG923,"")</f>
        <v/>
      </c>
      <c r="AU923" s="5">
        <f>IF(P923&lt;10000,"Under $10K",IF(P923&lt;20000,"$10-20K",IF(P923&lt;30000,"$20-30K",IF(P923&lt;50000,"$30-50K",IF(P923&lt;100000,"$50-100K","$100K+")))))</f>
        <v/>
      </c>
      <c r="AV923" s="5">
        <f>IF(O923&lt;=1.35,"1.35 and under",IF(O923&lt;=1.42,"1.36-1.42",IF(O923&lt;=1.45,"1.43-1.45",IF(O923&lt;1.49,"1.46-1.48",IF(O923&lt;=1.49,"1.49","Above 1.49")))))</f>
        <v/>
      </c>
      <c r="AW923" s="5">
        <f>IF(AE923="","",IF(AE923&lt;60,"Under 60",IF(AE923&lt;90,"60-89",IF(AE923&lt;120,"90-119",IF(AE923&lt;150,"120-149","150+")))))</f>
        <v/>
      </c>
      <c r="AX923" s="5">
        <f>IF(AP923="","No revenue data",IF(AP923&lt;0.15,"Under 0.15x",IF(AP923&lt;0.3,"0.15-0.30x",IF(AP923&lt;0.5,"0.30-0.50x",IF(AP923&lt;1,"0.50-1.00x","1.00x+")))))</f>
        <v/>
      </c>
      <c r="AY923" s="5">
        <f>IF(J923="","No SIC",IFERROR(VLOOKUP(J923,Ref!$A$4:$C$67,2,FALSE()),"Unclassified"))</f>
        <v/>
      </c>
      <c r="AZ923" s="5">
        <f>IF(E923="","",TEXT(E923,"YYYY")&amp;"-Q"&amp;ROUNDUP(MONTH(E923)/3,0))</f>
        <v/>
      </c>
      <c r="BA923" s="5">
        <f>IF(E923="","",TEXT(E923,"YYYY-MM"))</f>
        <v/>
      </c>
      <c r="BB923" s="5">
        <f>IF(E923="","",TEXT(E923,"YYYY"))</f>
        <v/>
      </c>
      <c r="BC923" s="92">
        <f>IF($E923="","",NETWORKDAYS($E923,Controls!$B$9,Ref!$F$4:$F$47))</f>
        <v/>
      </c>
      <c r="BD923" s="92">
        <f>IF(OR($AH923=1,$AJ923=1),1,0)</f>
        <v/>
      </c>
      <c r="BE923" s="95">
        <f>IF(OR($BD923=1,AND($AE923&lt;&gt;"",$BC923&gt;=Controls!$B$10*$AE923)),1,0)</f>
        <v/>
      </c>
    </row>
    <row r="924" ht="15.75" customHeight="1" s="79">
      <c r="A924" s="5" t="inlineStr">
        <is>
          <t>5674184724</t>
        </is>
      </c>
      <c r="B924" s="5" t="inlineStr">
        <is>
          <t>OLIVARES GARAGE</t>
        </is>
      </c>
      <c r="C924" s="5" t="inlineStr">
        <is>
          <t>OLIVARES GARAGE LLC</t>
        </is>
      </c>
      <c r="D924" s="5" t="inlineStr">
        <is>
          <t>Open</t>
        </is>
      </c>
      <c r="E924" s="16" t="n">
        <v>46176</v>
      </c>
      <c r="F924" s="16" t="n">
        <v>46248</v>
      </c>
      <c r="G924" s="17" t="n">
        <v>3</v>
      </c>
      <c r="H924" s="5" t="inlineStr">
        <is>
          <t>7538</t>
        </is>
      </c>
      <c r="I924" s="5" t="inlineStr">
        <is>
          <t>General Automotive Repair</t>
        </is>
      </c>
      <c r="J924" s="5" t="inlineStr">
        <is>
          <t>75</t>
        </is>
      </c>
      <c r="K924" s="5" t="n">
        <v>7538</v>
      </c>
      <c r="L924" s="5" t="inlineStr">
        <is>
          <t>TX</t>
        </is>
      </c>
      <c r="M924" s="5" t="inlineStr">
        <is>
          <t>Fundwell</t>
        </is>
      </c>
      <c r="N924" s="5" t="inlineStr">
        <is>
          <t>Renewal</t>
        </is>
      </c>
      <c r="O924" s="19" t="n">
        <v>1.35</v>
      </c>
      <c r="P924" s="20" t="n">
        <v>10000</v>
      </c>
      <c r="Q924" s="20" t="n">
        <v>700</v>
      </c>
      <c r="R924" s="20" t="n">
        <v>13500</v>
      </c>
      <c r="S924" s="20" t="n">
        <v>4094.8</v>
      </c>
      <c r="T924" s="20" t="n">
        <v>9405.200000000001</v>
      </c>
      <c r="U924" s="21" t="n">
        <v>0.303318518518519</v>
      </c>
      <c r="V924" s="22" t="n">
        <v>33</v>
      </c>
      <c r="W924" s="17" t="n">
        <v>5</v>
      </c>
      <c r="X924" s="17" t="n">
        <v>0</v>
      </c>
      <c r="Y924" s="20" t="n">
        <v>47981.44</v>
      </c>
      <c r="Z924" s="21" t="n">
        <v>0.037</v>
      </c>
      <c r="AA924" s="16" t="n">
        <v>43245</v>
      </c>
      <c r="AB924" s="5">
        <f>IF(V924="","",IF(V924&lt;12,"Months","Weeks"))</f>
        <v/>
      </c>
      <c r="AC924" s="5">
        <f>IF(AB924="","",IF(AB924="Months","Daily","Weekly"))</f>
        <v/>
      </c>
      <c r="AD924" s="17">
        <f>IF(V924="","",IF(AC924="Daily",V924*Controls!$B$13,V924))</f>
        <v/>
      </c>
      <c r="AE924" s="17">
        <f>IF(V924="","",IF(AC924="Daily",V924*Controls!$B$13,V924*Controls!$B$12))</f>
        <v/>
      </c>
      <c r="AF924" s="17">
        <f>IF(OR(E924="",F924=""),"",F924-E924)</f>
        <v/>
      </c>
      <c r="AG924" s="17">
        <f>IF(OR(E924="",F924=""),"",NETWORKDAYS(E924,F924,Ref!$F$4:$F$47))</f>
        <v/>
      </c>
      <c r="AH924" s="39">
        <f>IF(IFERROR(VLOOKUP(D924,Controls!$A$25:$D$35,2,FALSE()),"No")="Yes",1,0)</f>
        <v/>
      </c>
      <c r="AI924" s="39">
        <f>IF(IFERROR(VLOOKUP(D924,Controls!$A$25:$D$35,3,FALSE()),"No")="Yes",1,0)</f>
        <v/>
      </c>
      <c r="AJ924" s="39">
        <f>IF(IFERROR(VLOOKUP(D924,Controls!$A$25:$D$35,4,FALSE()),"No")="Yes",1,0)</f>
        <v/>
      </c>
      <c r="AK924" s="96">
        <f>IF(AND($E924&gt;=Controls!$B$5,$E924&lt;=Controls!$B$6,OR(Controls!$E$9&lt;&gt;"Y",$BE924=1)),1,0)</f>
        <v/>
      </c>
      <c r="AL924" s="39">
        <f>1</f>
        <v/>
      </c>
      <c r="AM924" s="20">
        <f>S924-P924</f>
        <v/>
      </c>
      <c r="AN924" s="20">
        <f>IF(AH924=1,MAX(0,P924-S924),0)</f>
        <v/>
      </c>
      <c r="AO924" s="21">
        <f>IFERROR(S924/P924,"")</f>
        <v/>
      </c>
      <c r="AP924" s="22">
        <f>IF(Y924="","",P924/Y924)</f>
        <v/>
      </c>
      <c r="AQ924" s="39">
        <f>IF(Y924="",0,1)</f>
        <v/>
      </c>
      <c r="AR924" s="39">
        <f>IF(S924&lt;=0,1,0)</f>
        <v/>
      </c>
      <c r="AS924" s="17">
        <f>IF(AH924=1,AG924,"")</f>
        <v/>
      </c>
      <c r="AT924" s="17">
        <f>IF(AND(AH924=0,AJ924=1),AG924,"")</f>
        <v/>
      </c>
      <c r="AU924" s="5">
        <f>IF(P924&lt;10000,"Under $10K",IF(P924&lt;20000,"$10-20K",IF(P924&lt;30000,"$20-30K",IF(P924&lt;50000,"$30-50K",IF(P924&lt;100000,"$50-100K","$100K+")))))</f>
        <v/>
      </c>
      <c r="AV924" s="5">
        <f>IF(O924&lt;=1.35,"1.35 and under",IF(O924&lt;=1.42,"1.36-1.42",IF(O924&lt;=1.45,"1.43-1.45",IF(O924&lt;1.49,"1.46-1.48",IF(O924&lt;=1.49,"1.49","Above 1.49")))))</f>
        <v/>
      </c>
      <c r="AW924" s="5">
        <f>IF(AE924="","",IF(AE924&lt;60,"Under 60",IF(AE924&lt;90,"60-89",IF(AE924&lt;120,"90-119",IF(AE924&lt;150,"120-149","150+")))))</f>
        <v/>
      </c>
      <c r="AX924" s="5">
        <f>IF(AP924="","No revenue data",IF(AP924&lt;0.15,"Under 0.15x",IF(AP924&lt;0.3,"0.15-0.30x",IF(AP924&lt;0.5,"0.30-0.50x",IF(AP924&lt;1,"0.50-1.00x","1.00x+")))))</f>
        <v/>
      </c>
      <c r="AY924" s="5">
        <f>IF(J924="","No SIC",IFERROR(VLOOKUP(J924,Ref!$A$4:$C$67,2,FALSE()),"Unclassified"))</f>
        <v/>
      </c>
      <c r="AZ924" s="5">
        <f>IF(E924="","",TEXT(E924,"YYYY")&amp;"-Q"&amp;ROUNDUP(MONTH(E924)/3,0))</f>
        <v/>
      </c>
      <c r="BA924" s="5">
        <f>IF(E924="","",TEXT(E924,"YYYY-MM"))</f>
        <v/>
      </c>
      <c r="BB924" s="5">
        <f>IF(E924="","",TEXT(E924,"YYYY"))</f>
        <v/>
      </c>
      <c r="BC924" s="92">
        <f>IF($E924="","",NETWORKDAYS($E924,Controls!$B$9,Ref!$F$4:$F$47))</f>
        <v/>
      </c>
      <c r="BD924" s="92">
        <f>IF(OR($AH924=1,$AJ924=1),1,0)</f>
        <v/>
      </c>
      <c r="BE924" s="95">
        <f>IF(OR($BD924=1,AND($AE924&lt;&gt;"",$BC924&gt;=Controls!$B$10*$AE924)),1,0)</f>
        <v/>
      </c>
    </row>
    <row r="925" ht="15.75" customHeight="1" s="79">
      <c r="A925" s="5" t="inlineStr">
        <is>
          <t>5674184755</t>
        </is>
      </c>
      <c r="B925" s="5" t="inlineStr">
        <is>
          <t>WILLIE'S REPAIR SERVICE</t>
        </is>
      </c>
      <c r="C925" s="5" t="inlineStr">
        <is>
          <t>Willie's Repair Service LLC</t>
        </is>
      </c>
      <c r="D925" s="5" t="inlineStr">
        <is>
          <t>In House Collection</t>
        </is>
      </c>
      <c r="E925" s="16" t="n">
        <v>46176</v>
      </c>
      <c r="F925" s="16" t="n">
        <v>46185</v>
      </c>
      <c r="G925" s="17" t="n">
        <v>3</v>
      </c>
      <c r="H925" s="5" t="inlineStr">
        <is>
          <t>7538</t>
        </is>
      </c>
      <c r="I925" s="5" t="inlineStr">
        <is>
          <t>General Automotive Repair</t>
        </is>
      </c>
      <c r="J925" s="5" t="inlineStr">
        <is>
          <t>75</t>
        </is>
      </c>
      <c r="K925" s="5" t="n">
        <v>7538</v>
      </c>
      <c r="L925" s="5" t="inlineStr">
        <is>
          <t>VA</t>
        </is>
      </c>
      <c r="M925" s="5" t="inlineStr">
        <is>
          <t>ROYAL FUNDING GROUP</t>
        </is>
      </c>
      <c r="N925" s="5" t="inlineStr">
        <is>
          <t>Renewal</t>
        </is>
      </c>
      <c r="O925" s="19" t="n">
        <v>1.49</v>
      </c>
      <c r="P925" s="20" t="n">
        <v>25000</v>
      </c>
      <c r="Q925" s="20" t="n">
        <v>3500</v>
      </c>
      <c r="R925" s="20" t="n">
        <v>37250</v>
      </c>
      <c r="S925" s="20" t="n">
        <v>931.23</v>
      </c>
      <c r="T925" s="20" t="n">
        <v>36318.77</v>
      </c>
      <c r="U925" s="21" t="n">
        <v>0.0249994630872483</v>
      </c>
      <c r="V925" s="22" t="n">
        <v>3.934</v>
      </c>
      <c r="W925" s="17" t="n">
        <v>72</v>
      </c>
      <c r="X925" s="17" t="n">
        <v>3</v>
      </c>
      <c r="Y925" s="20" t="n">
        <v>47264.79</v>
      </c>
      <c r="Z925" s="21" t="n">
        <v>0.1784</v>
      </c>
      <c r="AA925" s="16" t="n">
        <v>30767</v>
      </c>
      <c r="AB925" s="5">
        <f>IF(V925="","",IF(V925&lt;12,"Months","Weeks"))</f>
        <v/>
      </c>
      <c r="AC925" s="5">
        <f>IF(AB925="","",IF(AB925="Months","Daily","Weekly"))</f>
        <v/>
      </c>
      <c r="AD925" s="17">
        <f>IF(V925="","",IF(AC925="Daily",V925*Controls!$B$13,V925))</f>
        <v/>
      </c>
      <c r="AE925" s="17">
        <f>IF(V925="","",IF(AC925="Daily",V925*Controls!$B$13,V925*Controls!$B$12))</f>
        <v/>
      </c>
      <c r="AF925" s="17">
        <f>IF(OR(E925="",F925=""),"",F925-E925)</f>
        <v/>
      </c>
      <c r="AG925" s="17">
        <f>IF(OR(E925="",F925=""),"",NETWORKDAYS(E925,F925,Ref!$F$4:$F$47))</f>
        <v/>
      </c>
      <c r="AH925" s="39">
        <f>IF(IFERROR(VLOOKUP(D925,Controls!$A$25:$D$35,2,FALSE()),"No")="Yes",1,0)</f>
        <v/>
      </c>
      <c r="AI925" s="39">
        <f>IF(IFERROR(VLOOKUP(D925,Controls!$A$25:$D$35,3,FALSE()),"No")="Yes",1,0)</f>
        <v/>
      </c>
      <c r="AJ925" s="39">
        <f>IF(IFERROR(VLOOKUP(D925,Controls!$A$25:$D$35,4,FALSE()),"No")="Yes",1,0)</f>
        <v/>
      </c>
      <c r="AK925" s="96">
        <f>IF(AND($E925&gt;=Controls!$B$5,$E925&lt;=Controls!$B$6,OR(Controls!$E$9&lt;&gt;"Y",$BE925=1)),1,0)</f>
        <v/>
      </c>
      <c r="AL925" s="39">
        <f>1</f>
        <v/>
      </c>
      <c r="AM925" s="20">
        <f>S925-P925</f>
        <v/>
      </c>
      <c r="AN925" s="20">
        <f>IF(AH925=1,MAX(0,P925-S925),0)</f>
        <v/>
      </c>
      <c r="AO925" s="21">
        <f>IFERROR(S925/P925,"")</f>
        <v/>
      </c>
      <c r="AP925" s="22">
        <f>IF(Y925="","",P925/Y925)</f>
        <v/>
      </c>
      <c r="AQ925" s="39">
        <f>IF(Y925="",0,1)</f>
        <v/>
      </c>
      <c r="AR925" s="39">
        <f>IF(S925&lt;=0,1,0)</f>
        <v/>
      </c>
      <c r="AS925" s="17">
        <f>IF(AH925=1,AG925,"")</f>
        <v/>
      </c>
      <c r="AT925" s="17">
        <f>IF(AND(AH925=0,AJ925=1),AG925,"")</f>
        <v/>
      </c>
      <c r="AU925" s="5">
        <f>IF(P925&lt;10000,"Under $10K",IF(P925&lt;20000,"$10-20K",IF(P925&lt;30000,"$20-30K",IF(P925&lt;50000,"$30-50K",IF(P925&lt;100000,"$50-100K","$100K+")))))</f>
        <v/>
      </c>
      <c r="AV925" s="5">
        <f>IF(O925&lt;=1.35,"1.35 and under",IF(O925&lt;=1.42,"1.36-1.42",IF(O925&lt;=1.45,"1.43-1.45",IF(O925&lt;1.49,"1.46-1.48",IF(O925&lt;=1.49,"1.49","Above 1.49")))))</f>
        <v/>
      </c>
      <c r="AW925" s="5">
        <f>IF(AE925="","",IF(AE925&lt;60,"Under 60",IF(AE925&lt;90,"60-89",IF(AE925&lt;120,"90-119",IF(AE925&lt;150,"120-149","150+")))))</f>
        <v/>
      </c>
      <c r="AX925" s="5">
        <f>IF(AP925="","No revenue data",IF(AP925&lt;0.15,"Under 0.15x",IF(AP925&lt;0.3,"0.15-0.30x",IF(AP925&lt;0.5,"0.30-0.50x",IF(AP925&lt;1,"0.50-1.00x","1.00x+")))))</f>
        <v/>
      </c>
      <c r="AY925" s="5">
        <f>IF(J925="","No SIC",IFERROR(VLOOKUP(J925,Ref!$A$4:$C$67,2,FALSE()),"Unclassified"))</f>
        <v/>
      </c>
      <c r="AZ925" s="5">
        <f>IF(E925="","",TEXT(E925,"YYYY")&amp;"-Q"&amp;ROUNDUP(MONTH(E925)/3,0))</f>
        <v/>
      </c>
      <c r="BA925" s="5">
        <f>IF(E925="","",TEXT(E925,"YYYY-MM"))</f>
        <v/>
      </c>
      <c r="BB925" s="5">
        <f>IF(E925="","",TEXT(E925,"YYYY"))</f>
        <v/>
      </c>
      <c r="BC925" s="92">
        <f>IF($E925="","",NETWORKDAYS($E925,Controls!$B$9,Ref!$F$4:$F$47))</f>
        <v/>
      </c>
      <c r="BD925" s="92">
        <f>IF(OR($AH925=1,$AJ925=1),1,0)</f>
        <v/>
      </c>
      <c r="BE925" s="95">
        <f>IF(OR($BD925=1,AND($AE925&lt;&gt;"",$BC925&gt;=Controls!$B$10*$AE925)),1,0)</f>
        <v/>
      </c>
    </row>
    <row r="926" ht="15.75" customHeight="1" s="79">
      <c r="A926" s="5" t="inlineStr">
        <is>
          <t>5674184770</t>
        </is>
      </c>
      <c r="B926" s="5" t="inlineStr">
        <is>
          <t>CHALO FAST FOOD</t>
        </is>
      </c>
      <c r="C926" s="5" t="inlineStr">
        <is>
          <t>JUDCRIS LLC</t>
        </is>
      </c>
      <c r="D926" s="5" t="inlineStr">
        <is>
          <t>Open</t>
        </is>
      </c>
      <c r="E926" s="16" t="n">
        <v>46176</v>
      </c>
      <c r="F926" s="16" t="n">
        <v>46253</v>
      </c>
      <c r="G926" s="17" t="n">
        <v>3</v>
      </c>
      <c r="H926" s="5" t="inlineStr">
        <is>
          <t>5812</t>
        </is>
      </c>
      <c r="I926" s="5" t="inlineStr">
        <is>
          <t>Snack and Nonalcoholic Beverage Bars</t>
        </is>
      </c>
      <c r="J926" s="5" t="inlineStr">
        <is>
          <t>58</t>
        </is>
      </c>
      <c r="K926" s="5" t="n">
        <v>5812</v>
      </c>
      <c r="L926" s="5" t="inlineStr">
        <is>
          <t>GA</t>
        </is>
      </c>
      <c r="M926" s="5" t="inlineStr">
        <is>
          <t>Ballicci</t>
        </is>
      </c>
      <c r="N926" s="5" t="inlineStr">
        <is>
          <t>New Deal</t>
        </is>
      </c>
      <c r="O926" s="19" t="n">
        <v>1.49</v>
      </c>
      <c r="P926" s="20" t="n">
        <v>15000</v>
      </c>
      <c r="Q926" s="20" t="n">
        <v>2100</v>
      </c>
      <c r="R926" s="20" t="n">
        <v>22350</v>
      </c>
      <c r="S926" s="20" t="n">
        <v>9869.129999999999</v>
      </c>
      <c r="T926" s="20" t="n">
        <v>12480.87</v>
      </c>
      <c r="U926" s="21" t="n">
        <v>0.441571812080537</v>
      </c>
      <c r="V926" s="22" t="n">
        <v>3.934</v>
      </c>
      <c r="W926" s="17" t="n">
        <v>0</v>
      </c>
      <c r="X926" s="17" t="n">
        <v>1</v>
      </c>
      <c r="Y926" s="20" t="n">
        <v>9327.219999999999</v>
      </c>
      <c r="Z926" s="21" t="n">
        <v>0.0711</v>
      </c>
      <c r="AA926" s="16" t="n">
        <v>43727</v>
      </c>
      <c r="AB926" s="5">
        <f>IF(V926="","",IF(V926&lt;12,"Months","Weeks"))</f>
        <v/>
      </c>
      <c r="AC926" s="5">
        <f>IF(AB926="","",IF(AB926="Months","Daily","Weekly"))</f>
        <v/>
      </c>
      <c r="AD926" s="17">
        <f>IF(V926="","",IF(AC926="Daily",V926*Controls!$B$13,V926))</f>
        <v/>
      </c>
      <c r="AE926" s="17">
        <f>IF(V926="","",IF(AC926="Daily",V926*Controls!$B$13,V926*Controls!$B$12))</f>
        <v/>
      </c>
      <c r="AF926" s="17">
        <f>IF(OR(E926="",F926=""),"",F926-E926)</f>
        <v/>
      </c>
      <c r="AG926" s="17">
        <f>IF(OR(E926="",F926=""),"",NETWORKDAYS(E926,F926,Ref!$F$4:$F$47))</f>
        <v/>
      </c>
      <c r="AH926" s="39">
        <f>IF(IFERROR(VLOOKUP(D926,Controls!$A$25:$D$35,2,FALSE()),"No")="Yes",1,0)</f>
        <v/>
      </c>
      <c r="AI926" s="39">
        <f>IF(IFERROR(VLOOKUP(D926,Controls!$A$25:$D$35,3,FALSE()),"No")="Yes",1,0)</f>
        <v/>
      </c>
      <c r="AJ926" s="39">
        <f>IF(IFERROR(VLOOKUP(D926,Controls!$A$25:$D$35,4,FALSE()),"No")="Yes",1,0)</f>
        <v/>
      </c>
      <c r="AK926" s="96">
        <f>IF(AND($E926&gt;=Controls!$B$5,$E926&lt;=Controls!$B$6,OR(Controls!$E$9&lt;&gt;"Y",$BE926=1)),1,0)</f>
        <v/>
      </c>
      <c r="AL926" s="39">
        <f>1</f>
        <v/>
      </c>
      <c r="AM926" s="20">
        <f>S926-P926</f>
        <v/>
      </c>
      <c r="AN926" s="20">
        <f>IF(AH926=1,MAX(0,P926-S926),0)</f>
        <v/>
      </c>
      <c r="AO926" s="21">
        <f>IFERROR(S926/P926,"")</f>
        <v/>
      </c>
      <c r="AP926" s="22">
        <f>IF(Y926="","",P926/Y926)</f>
        <v/>
      </c>
      <c r="AQ926" s="39">
        <f>IF(Y926="",0,1)</f>
        <v/>
      </c>
      <c r="AR926" s="39">
        <f>IF(S926&lt;=0,1,0)</f>
        <v/>
      </c>
      <c r="AS926" s="17">
        <f>IF(AH926=1,AG926,"")</f>
        <v/>
      </c>
      <c r="AT926" s="17">
        <f>IF(AND(AH926=0,AJ926=1),AG926,"")</f>
        <v/>
      </c>
      <c r="AU926" s="5">
        <f>IF(P926&lt;10000,"Under $10K",IF(P926&lt;20000,"$10-20K",IF(P926&lt;30000,"$20-30K",IF(P926&lt;50000,"$30-50K",IF(P926&lt;100000,"$50-100K","$100K+")))))</f>
        <v/>
      </c>
      <c r="AV926" s="5">
        <f>IF(O926&lt;=1.35,"1.35 and under",IF(O926&lt;=1.42,"1.36-1.42",IF(O926&lt;=1.45,"1.43-1.45",IF(O926&lt;1.49,"1.46-1.48",IF(O926&lt;=1.49,"1.49","Above 1.49")))))</f>
        <v/>
      </c>
      <c r="AW926" s="5">
        <f>IF(AE926="","",IF(AE926&lt;60,"Under 60",IF(AE926&lt;90,"60-89",IF(AE926&lt;120,"90-119",IF(AE926&lt;150,"120-149","150+")))))</f>
        <v/>
      </c>
      <c r="AX926" s="5">
        <f>IF(AP926="","No revenue data",IF(AP926&lt;0.15,"Under 0.15x",IF(AP926&lt;0.3,"0.15-0.30x",IF(AP926&lt;0.5,"0.30-0.50x",IF(AP926&lt;1,"0.50-1.00x","1.00x+")))))</f>
        <v/>
      </c>
      <c r="AY926" s="5">
        <f>IF(J926="","No SIC",IFERROR(VLOOKUP(J926,Ref!$A$4:$C$67,2,FALSE()),"Unclassified"))</f>
        <v/>
      </c>
      <c r="AZ926" s="5">
        <f>IF(E926="","",TEXT(E926,"YYYY")&amp;"-Q"&amp;ROUNDUP(MONTH(E926)/3,0))</f>
        <v/>
      </c>
      <c r="BA926" s="5">
        <f>IF(E926="","",TEXT(E926,"YYYY-MM"))</f>
        <v/>
      </c>
      <c r="BB926" s="5">
        <f>IF(E926="","",TEXT(E926,"YYYY"))</f>
        <v/>
      </c>
      <c r="BC926" s="92">
        <f>IF($E926="","",NETWORKDAYS($E926,Controls!$B$9,Ref!$F$4:$F$47))</f>
        <v/>
      </c>
      <c r="BD926" s="92">
        <f>IF(OR($AH926=1,$AJ926=1),1,0)</f>
        <v/>
      </c>
      <c r="BE926" s="95">
        <f>IF(OR($BD926=1,AND($AE926&lt;&gt;"",$BC926&gt;=Controls!$B$10*$AE926)),1,0)</f>
        <v/>
      </c>
    </row>
    <row r="927" ht="15.75" customHeight="1" s="79">
      <c r="A927" s="5" t="inlineStr">
        <is>
          <t>5674184772</t>
        </is>
      </c>
      <c r="B927" s="5" t="inlineStr">
        <is>
          <t>1-800-Radiators</t>
        </is>
      </c>
      <c r="C927" s="5" t="inlineStr">
        <is>
          <t>C &amp; K Sorgenfrie Corp</t>
        </is>
      </c>
      <c r="D927" s="5" t="inlineStr">
        <is>
          <t>Open</t>
        </is>
      </c>
      <c r="E927" s="16" t="n">
        <v>46176</v>
      </c>
      <c r="F927" s="16" t="n">
        <v>46253</v>
      </c>
      <c r="G927" s="17" t="n">
        <v>3</v>
      </c>
      <c r="H927" s="5" t="inlineStr">
        <is>
          <t>1711</t>
        </is>
      </c>
      <c r="I927" s="5" t="inlineStr">
        <is>
          <t>Plumbing, Heating, and Air Conditioning Contractors</t>
        </is>
      </c>
      <c r="J927" s="5" t="inlineStr">
        <is>
          <t>17</t>
        </is>
      </c>
      <c r="K927" s="5" t="n">
        <v>1711</v>
      </c>
      <c r="L927" s="5" t="inlineStr">
        <is>
          <t>OR</t>
        </is>
      </c>
      <c r="M927" s="5" t="inlineStr">
        <is>
          <t>Westwood</t>
        </is>
      </c>
      <c r="N927" s="5" t="inlineStr">
        <is>
          <t>New Deal</t>
        </is>
      </c>
      <c r="O927" s="19" t="n">
        <v>1.43</v>
      </c>
      <c r="P927" s="20" t="n">
        <v>22000</v>
      </c>
      <c r="Q927" s="20" t="n">
        <v>2420</v>
      </c>
      <c r="R927" s="20" t="n">
        <v>31460</v>
      </c>
      <c r="S927" s="20" t="n">
        <v>18874.08</v>
      </c>
      <c r="T927" s="20" t="n">
        <v>12585.92</v>
      </c>
      <c r="U927" s="21" t="n">
        <v>0.599938970120788</v>
      </c>
      <c r="V927" s="22" t="n">
        <v>2.951</v>
      </c>
      <c r="W927" s="17" t="n">
        <v>0</v>
      </c>
      <c r="X927" s="17" t="n">
        <v>0</v>
      </c>
      <c r="Y927" s="20" t="n">
        <v>48000</v>
      </c>
      <c r="Z927" s="21" t="n">
        <v>0.0367</v>
      </c>
      <c r="AA927" s="16" t="n">
        <v>42352</v>
      </c>
      <c r="AB927" s="5">
        <f>IF(V927="","",IF(V927&lt;12,"Months","Weeks"))</f>
        <v/>
      </c>
      <c r="AC927" s="5">
        <f>IF(AB927="","",IF(AB927="Months","Daily","Weekly"))</f>
        <v/>
      </c>
      <c r="AD927" s="17">
        <f>IF(V927="","",IF(AC927="Daily",V927*Controls!$B$13,V927))</f>
        <v/>
      </c>
      <c r="AE927" s="17">
        <f>IF(V927="","",IF(AC927="Daily",V927*Controls!$B$13,V927*Controls!$B$12))</f>
        <v/>
      </c>
      <c r="AF927" s="17">
        <f>IF(OR(E927="",F927=""),"",F927-E927)</f>
        <v/>
      </c>
      <c r="AG927" s="17">
        <f>IF(OR(E927="",F927=""),"",NETWORKDAYS(E927,F927,Ref!$F$4:$F$47))</f>
        <v/>
      </c>
      <c r="AH927" s="39">
        <f>IF(IFERROR(VLOOKUP(D927,Controls!$A$25:$D$35,2,FALSE()),"No")="Yes",1,0)</f>
        <v/>
      </c>
      <c r="AI927" s="39">
        <f>IF(IFERROR(VLOOKUP(D927,Controls!$A$25:$D$35,3,FALSE()),"No")="Yes",1,0)</f>
        <v/>
      </c>
      <c r="AJ927" s="39">
        <f>IF(IFERROR(VLOOKUP(D927,Controls!$A$25:$D$35,4,FALSE()),"No")="Yes",1,0)</f>
        <v/>
      </c>
      <c r="AK927" s="96">
        <f>IF(AND($E927&gt;=Controls!$B$5,$E927&lt;=Controls!$B$6,OR(Controls!$E$9&lt;&gt;"Y",$BE927=1)),1,0)</f>
        <v/>
      </c>
      <c r="AL927" s="39">
        <f>1</f>
        <v/>
      </c>
      <c r="AM927" s="20">
        <f>S927-P927</f>
        <v/>
      </c>
      <c r="AN927" s="20">
        <f>IF(AH927=1,MAX(0,P927-S927),0)</f>
        <v/>
      </c>
      <c r="AO927" s="21">
        <f>IFERROR(S927/P927,"")</f>
        <v/>
      </c>
      <c r="AP927" s="22">
        <f>IF(Y927="","",P927/Y927)</f>
        <v/>
      </c>
      <c r="AQ927" s="39">
        <f>IF(Y927="",0,1)</f>
        <v/>
      </c>
      <c r="AR927" s="39">
        <f>IF(S927&lt;=0,1,0)</f>
        <v/>
      </c>
      <c r="AS927" s="17">
        <f>IF(AH927=1,AG927,"")</f>
        <v/>
      </c>
      <c r="AT927" s="17">
        <f>IF(AND(AH927=0,AJ927=1),AG927,"")</f>
        <v/>
      </c>
      <c r="AU927" s="5">
        <f>IF(P927&lt;10000,"Under $10K",IF(P927&lt;20000,"$10-20K",IF(P927&lt;30000,"$20-30K",IF(P927&lt;50000,"$30-50K",IF(P927&lt;100000,"$50-100K","$100K+")))))</f>
        <v/>
      </c>
      <c r="AV927" s="5">
        <f>IF(O927&lt;=1.35,"1.35 and under",IF(O927&lt;=1.42,"1.36-1.42",IF(O927&lt;=1.45,"1.43-1.45",IF(O927&lt;1.49,"1.46-1.48",IF(O927&lt;=1.49,"1.49","Above 1.49")))))</f>
        <v/>
      </c>
      <c r="AW927" s="5">
        <f>IF(AE927="","",IF(AE927&lt;60,"Under 60",IF(AE927&lt;90,"60-89",IF(AE927&lt;120,"90-119",IF(AE927&lt;150,"120-149","150+")))))</f>
        <v/>
      </c>
      <c r="AX927" s="5">
        <f>IF(AP927="","No revenue data",IF(AP927&lt;0.15,"Under 0.15x",IF(AP927&lt;0.3,"0.15-0.30x",IF(AP927&lt;0.5,"0.30-0.50x",IF(AP927&lt;1,"0.50-1.00x","1.00x+")))))</f>
        <v/>
      </c>
      <c r="AY927" s="5">
        <f>IF(J927="","No SIC",IFERROR(VLOOKUP(J927,Ref!$A$4:$C$67,2,FALSE()),"Unclassified"))</f>
        <v/>
      </c>
      <c r="AZ927" s="5">
        <f>IF(E927="","",TEXT(E927,"YYYY")&amp;"-Q"&amp;ROUNDUP(MONTH(E927)/3,0))</f>
        <v/>
      </c>
      <c r="BA927" s="5">
        <f>IF(E927="","",TEXT(E927,"YYYY-MM"))</f>
        <v/>
      </c>
      <c r="BB927" s="5">
        <f>IF(E927="","",TEXT(E927,"YYYY"))</f>
        <v/>
      </c>
      <c r="BC927" s="92">
        <f>IF($E927="","",NETWORKDAYS($E927,Controls!$B$9,Ref!$F$4:$F$47))</f>
        <v/>
      </c>
      <c r="BD927" s="92">
        <f>IF(OR($AH927=1,$AJ927=1),1,0)</f>
        <v/>
      </c>
      <c r="BE927" s="95">
        <f>IF(OR($BD927=1,AND($AE927&lt;&gt;"",$BC927&gt;=Controls!$B$10*$AE927)),1,0)</f>
        <v/>
      </c>
    </row>
    <row r="928" ht="15.75" customHeight="1" s="79">
      <c r="A928" s="5" t="inlineStr">
        <is>
          <t>5674184816</t>
        </is>
      </c>
      <c r="B928" s="5" t="inlineStr">
        <is>
          <t>LINDEY'S PRIME STEAKHOUSE</t>
        </is>
      </c>
      <c r="C928" s="5" t="inlineStr">
        <is>
          <t>Lindey's Inc.</t>
        </is>
      </c>
      <c r="D928" s="5" t="inlineStr">
        <is>
          <t>Open</t>
        </is>
      </c>
      <c r="E928" s="16" t="n">
        <v>46177</v>
      </c>
      <c r="F928" s="16" t="n">
        <v>46248</v>
      </c>
      <c r="G928" s="17" t="n">
        <v>3</v>
      </c>
      <c r="H928" s="5" t="inlineStr">
        <is>
          <t>5812</t>
        </is>
      </c>
      <c r="I928" s="5" t="inlineStr">
        <is>
          <t>Snack and Nonalcoholic Beverage Bars</t>
        </is>
      </c>
      <c r="J928" s="5" t="inlineStr">
        <is>
          <t>58</t>
        </is>
      </c>
      <c r="K928" s="5" t="n">
        <v>5812</v>
      </c>
      <c r="L928" s="5" t="inlineStr">
        <is>
          <t>MN</t>
        </is>
      </c>
      <c r="M928" s="5" t="inlineStr">
        <is>
          <t>PMF</t>
        </is>
      </c>
      <c r="N928" s="5" t="inlineStr">
        <is>
          <t>New Deal</t>
        </is>
      </c>
      <c r="O928" s="19" t="n">
        <v>1.45</v>
      </c>
      <c r="P928" s="20" t="n">
        <v>60000</v>
      </c>
      <c r="Q928" s="20" t="n">
        <v>7200</v>
      </c>
      <c r="R928" s="20" t="n">
        <v>87000</v>
      </c>
      <c r="S928" s="20" t="n">
        <v>28965</v>
      </c>
      <c r="T928" s="20" t="n">
        <v>58035</v>
      </c>
      <c r="U928" s="21" t="n">
        <v>0.332931034482759</v>
      </c>
      <c r="V928" s="22" t="n">
        <v>30</v>
      </c>
      <c r="W928" s="17" t="n">
        <v>5</v>
      </c>
      <c r="X928" s="17" t="n">
        <v>0</v>
      </c>
      <c r="Y928" s="20" t="n">
        <v>297076.82</v>
      </c>
      <c r="Z928" s="21" t="n">
        <v>0.039</v>
      </c>
      <c r="AA928" s="5" t="n"/>
      <c r="AB928" s="5">
        <f>IF(V928="","",IF(V928&lt;12,"Months","Weeks"))</f>
        <v/>
      </c>
      <c r="AC928" s="5">
        <f>IF(AB928="","",IF(AB928="Months","Daily","Weekly"))</f>
        <v/>
      </c>
      <c r="AD928" s="17">
        <f>IF(V928="","",IF(AC928="Daily",V928*Controls!$B$13,V928))</f>
        <v/>
      </c>
      <c r="AE928" s="17">
        <f>IF(V928="","",IF(AC928="Daily",V928*Controls!$B$13,V928*Controls!$B$12))</f>
        <v/>
      </c>
      <c r="AF928" s="17">
        <f>IF(OR(E928="",F928=""),"",F928-E928)</f>
        <v/>
      </c>
      <c r="AG928" s="17">
        <f>IF(OR(E928="",F928=""),"",NETWORKDAYS(E928,F928,Ref!$F$4:$F$47))</f>
        <v/>
      </c>
      <c r="AH928" s="39">
        <f>IF(IFERROR(VLOOKUP(D928,Controls!$A$25:$D$35,2,FALSE()),"No")="Yes",1,0)</f>
        <v/>
      </c>
      <c r="AI928" s="39">
        <f>IF(IFERROR(VLOOKUP(D928,Controls!$A$25:$D$35,3,FALSE()),"No")="Yes",1,0)</f>
        <v/>
      </c>
      <c r="AJ928" s="39">
        <f>IF(IFERROR(VLOOKUP(D928,Controls!$A$25:$D$35,4,FALSE()),"No")="Yes",1,0)</f>
        <v/>
      </c>
      <c r="AK928" s="96">
        <f>IF(AND($E928&gt;=Controls!$B$5,$E928&lt;=Controls!$B$6,OR(Controls!$E$9&lt;&gt;"Y",$BE928=1)),1,0)</f>
        <v/>
      </c>
      <c r="AL928" s="39">
        <f>1</f>
        <v/>
      </c>
      <c r="AM928" s="20">
        <f>S928-P928</f>
        <v/>
      </c>
      <c r="AN928" s="20">
        <f>IF(AH928=1,MAX(0,P928-S928),0)</f>
        <v/>
      </c>
      <c r="AO928" s="21">
        <f>IFERROR(S928/P928,"")</f>
        <v/>
      </c>
      <c r="AP928" s="22">
        <f>IF(Y928="","",P928/Y928)</f>
        <v/>
      </c>
      <c r="AQ928" s="39">
        <f>IF(Y928="",0,1)</f>
        <v/>
      </c>
      <c r="AR928" s="39">
        <f>IF(S928&lt;=0,1,0)</f>
        <v/>
      </c>
      <c r="AS928" s="17">
        <f>IF(AH928=1,AG928,"")</f>
        <v/>
      </c>
      <c r="AT928" s="17">
        <f>IF(AND(AH928=0,AJ928=1),AG928,"")</f>
        <v/>
      </c>
      <c r="AU928" s="5">
        <f>IF(P928&lt;10000,"Under $10K",IF(P928&lt;20000,"$10-20K",IF(P928&lt;30000,"$20-30K",IF(P928&lt;50000,"$30-50K",IF(P928&lt;100000,"$50-100K","$100K+")))))</f>
        <v/>
      </c>
      <c r="AV928" s="5">
        <f>IF(O928&lt;=1.35,"1.35 and under",IF(O928&lt;=1.42,"1.36-1.42",IF(O928&lt;=1.45,"1.43-1.45",IF(O928&lt;1.49,"1.46-1.48",IF(O928&lt;=1.49,"1.49","Above 1.49")))))</f>
        <v/>
      </c>
      <c r="AW928" s="5">
        <f>IF(AE928="","",IF(AE928&lt;60,"Under 60",IF(AE928&lt;90,"60-89",IF(AE928&lt;120,"90-119",IF(AE928&lt;150,"120-149","150+")))))</f>
        <v/>
      </c>
      <c r="AX928" s="5">
        <f>IF(AP928="","No revenue data",IF(AP928&lt;0.15,"Under 0.15x",IF(AP928&lt;0.3,"0.15-0.30x",IF(AP928&lt;0.5,"0.30-0.50x",IF(AP928&lt;1,"0.50-1.00x","1.00x+")))))</f>
        <v/>
      </c>
      <c r="AY928" s="5">
        <f>IF(J928="","No SIC",IFERROR(VLOOKUP(J928,Ref!$A$4:$C$67,2,FALSE()),"Unclassified"))</f>
        <v/>
      </c>
      <c r="AZ928" s="5">
        <f>IF(E928="","",TEXT(E928,"YYYY")&amp;"-Q"&amp;ROUNDUP(MONTH(E928)/3,0))</f>
        <v/>
      </c>
      <c r="BA928" s="5">
        <f>IF(E928="","",TEXT(E928,"YYYY-MM"))</f>
        <v/>
      </c>
      <c r="BB928" s="5">
        <f>IF(E928="","",TEXT(E928,"YYYY"))</f>
        <v/>
      </c>
      <c r="BC928" s="92">
        <f>IF($E928="","",NETWORKDAYS($E928,Controls!$B$9,Ref!$F$4:$F$47))</f>
        <v/>
      </c>
      <c r="BD928" s="92">
        <f>IF(OR($AH928=1,$AJ928=1),1,0)</f>
        <v/>
      </c>
      <c r="BE928" s="95">
        <f>IF(OR($BD928=1,AND($AE928&lt;&gt;"",$BC928&gt;=Controls!$B$10*$AE928)),1,0)</f>
        <v/>
      </c>
    </row>
    <row r="929" ht="15.75" customHeight="1" s="79">
      <c r="A929" s="5" t="inlineStr">
        <is>
          <t>5674184818</t>
        </is>
      </c>
      <c r="B929" s="5" t="inlineStr">
        <is>
          <t>Exhibit Boss LLC</t>
        </is>
      </c>
      <c r="C929" s="5" t="inlineStr">
        <is>
          <t>Exhibit Boss LLC</t>
        </is>
      </c>
      <c r="D929" s="5" t="inlineStr">
        <is>
          <t>Closed</t>
        </is>
      </c>
      <c r="E929" s="16" t="n">
        <v>46177</v>
      </c>
      <c r="F929" s="16" t="n">
        <v>46251</v>
      </c>
      <c r="G929" s="17" t="n">
        <v>3</v>
      </c>
      <c r="H929" s="5" t="inlineStr">
        <is>
          <t>3993</t>
        </is>
      </c>
      <c r="I929" s="5" t="inlineStr">
        <is>
          <t>Sign Mfg.</t>
        </is>
      </c>
      <c r="J929" s="5" t="inlineStr">
        <is>
          <t>39</t>
        </is>
      </c>
      <c r="K929" s="5" t="n">
        <v>7311</v>
      </c>
      <c r="L929" s="5" t="inlineStr">
        <is>
          <t>TX</t>
        </is>
      </c>
      <c r="M929" s="5" t="inlineStr">
        <is>
          <t>PMF</t>
        </is>
      </c>
      <c r="N929" s="5" t="inlineStr">
        <is>
          <t>New Deal</t>
        </is>
      </c>
      <c r="O929" s="19" t="n">
        <v>1.49</v>
      </c>
      <c r="P929" s="20" t="n">
        <v>45000</v>
      </c>
      <c r="Q929" s="20" t="n">
        <v>6300</v>
      </c>
      <c r="R929" s="20" t="n">
        <v>67050</v>
      </c>
      <c r="S929" s="20" t="n">
        <v>67050</v>
      </c>
      <c r="T929" s="20" t="n">
        <v>0</v>
      </c>
      <c r="U929" s="21" t="n">
        <v>1</v>
      </c>
      <c r="V929" s="22" t="n">
        <v>22</v>
      </c>
      <c r="W929" s="17" t="n">
        <v>6</v>
      </c>
      <c r="X929" s="17" t="n">
        <v>0</v>
      </c>
      <c r="Y929" s="20" t="n">
        <v>335897.48</v>
      </c>
      <c r="Z929" s="21" t="n">
        <v>0.0363</v>
      </c>
      <c r="AA929" s="16" t="n">
        <v>42736</v>
      </c>
      <c r="AB929" s="5">
        <f>IF(V929="","",IF(V929&lt;12,"Months","Weeks"))</f>
        <v/>
      </c>
      <c r="AC929" s="5">
        <f>IF(AB929="","",IF(AB929="Months","Daily","Weekly"))</f>
        <v/>
      </c>
      <c r="AD929" s="17">
        <f>IF(V929="","",IF(AC929="Daily",V929*Controls!$B$13,V929))</f>
        <v/>
      </c>
      <c r="AE929" s="17">
        <f>IF(V929="","",IF(AC929="Daily",V929*Controls!$B$13,V929*Controls!$B$12))</f>
        <v/>
      </c>
      <c r="AF929" s="17">
        <f>IF(OR(E929="",F929=""),"",F929-E929)</f>
        <v/>
      </c>
      <c r="AG929" s="17">
        <f>IF(OR(E929="",F929=""),"",NETWORKDAYS(E929,F929,Ref!$F$4:$F$47))</f>
        <v/>
      </c>
      <c r="AH929" s="39">
        <f>IF(IFERROR(VLOOKUP(D929,Controls!$A$25:$D$35,2,FALSE()),"No")="Yes",1,0)</f>
        <v/>
      </c>
      <c r="AI929" s="39">
        <f>IF(IFERROR(VLOOKUP(D929,Controls!$A$25:$D$35,3,FALSE()),"No")="Yes",1,0)</f>
        <v/>
      </c>
      <c r="AJ929" s="39">
        <f>IF(IFERROR(VLOOKUP(D929,Controls!$A$25:$D$35,4,FALSE()),"No")="Yes",1,0)</f>
        <v/>
      </c>
      <c r="AK929" s="96">
        <f>IF(AND($E929&gt;=Controls!$B$5,$E929&lt;=Controls!$B$6,OR(Controls!$E$9&lt;&gt;"Y",$BE929=1)),1,0)</f>
        <v/>
      </c>
      <c r="AL929" s="39">
        <f>1</f>
        <v/>
      </c>
      <c r="AM929" s="20">
        <f>S929-P929</f>
        <v/>
      </c>
      <c r="AN929" s="20">
        <f>IF(AH929=1,MAX(0,P929-S929),0)</f>
        <v/>
      </c>
      <c r="AO929" s="21">
        <f>IFERROR(S929/P929,"")</f>
        <v/>
      </c>
      <c r="AP929" s="22">
        <f>IF(Y929="","",P929/Y929)</f>
        <v/>
      </c>
      <c r="AQ929" s="39">
        <f>IF(Y929="",0,1)</f>
        <v/>
      </c>
      <c r="AR929" s="39">
        <f>IF(S929&lt;=0,1,0)</f>
        <v/>
      </c>
      <c r="AS929" s="17">
        <f>IF(AH929=1,AG929,"")</f>
        <v/>
      </c>
      <c r="AT929" s="17">
        <f>IF(AND(AH929=0,AJ929=1),AG929,"")</f>
        <v/>
      </c>
      <c r="AU929" s="5">
        <f>IF(P929&lt;10000,"Under $10K",IF(P929&lt;20000,"$10-20K",IF(P929&lt;30000,"$20-30K",IF(P929&lt;50000,"$30-50K",IF(P929&lt;100000,"$50-100K","$100K+")))))</f>
        <v/>
      </c>
      <c r="AV929" s="5">
        <f>IF(O929&lt;=1.35,"1.35 and under",IF(O929&lt;=1.42,"1.36-1.42",IF(O929&lt;=1.45,"1.43-1.45",IF(O929&lt;1.49,"1.46-1.48",IF(O929&lt;=1.49,"1.49","Above 1.49")))))</f>
        <v/>
      </c>
      <c r="AW929" s="5">
        <f>IF(AE929="","",IF(AE929&lt;60,"Under 60",IF(AE929&lt;90,"60-89",IF(AE929&lt;120,"90-119",IF(AE929&lt;150,"120-149","150+")))))</f>
        <v/>
      </c>
      <c r="AX929" s="5">
        <f>IF(AP929="","No revenue data",IF(AP929&lt;0.15,"Under 0.15x",IF(AP929&lt;0.3,"0.15-0.30x",IF(AP929&lt;0.5,"0.30-0.50x",IF(AP929&lt;1,"0.50-1.00x","1.00x+")))))</f>
        <v/>
      </c>
      <c r="AY929" s="5">
        <f>IF(J929="","No SIC",IFERROR(VLOOKUP(J929,Ref!$A$4:$C$67,2,FALSE()),"Unclassified"))</f>
        <v/>
      </c>
      <c r="AZ929" s="5">
        <f>IF(E929="","",TEXT(E929,"YYYY")&amp;"-Q"&amp;ROUNDUP(MONTH(E929)/3,0))</f>
        <v/>
      </c>
      <c r="BA929" s="5">
        <f>IF(E929="","",TEXT(E929,"YYYY-MM"))</f>
        <v/>
      </c>
      <c r="BB929" s="5">
        <f>IF(E929="","",TEXT(E929,"YYYY"))</f>
        <v/>
      </c>
      <c r="BC929" s="92">
        <f>IF($E929="","",NETWORKDAYS($E929,Controls!$B$9,Ref!$F$4:$F$47))</f>
        <v/>
      </c>
      <c r="BD929" s="92">
        <f>IF(OR($AH929=1,$AJ929=1),1,0)</f>
        <v/>
      </c>
      <c r="BE929" s="95">
        <f>IF(OR($BD929=1,AND($AE929&lt;&gt;"",$BC929&gt;=Controls!$B$10*$AE929)),1,0)</f>
        <v/>
      </c>
    </row>
    <row r="930" ht="15.75" customHeight="1" s="79">
      <c r="A930" s="5" t="inlineStr">
        <is>
          <t>5674184839</t>
        </is>
      </c>
      <c r="B930" s="5" t="inlineStr">
        <is>
          <t>First Development</t>
        </is>
      </c>
      <c r="C930" s="5" t="inlineStr">
        <is>
          <t>First Development</t>
        </is>
      </c>
      <c r="D930" s="5" t="inlineStr">
        <is>
          <t>Open</t>
        </is>
      </c>
      <c r="E930" s="16" t="n">
        <v>46177</v>
      </c>
      <c r="F930" s="16" t="n">
        <v>46227</v>
      </c>
      <c r="G930" s="17" t="n">
        <v>3</v>
      </c>
      <c r="H930" s="5" t="inlineStr">
        <is>
          <t>1521</t>
        </is>
      </c>
      <c r="I930" s="5" t="inlineStr">
        <is>
          <t>Residential Remodelers</t>
        </is>
      </c>
      <c r="J930" s="5" t="inlineStr">
        <is>
          <t>15</t>
        </is>
      </c>
      <c r="K930" s="5" t="n">
        <v>1520</v>
      </c>
      <c r="L930" s="5" t="inlineStr">
        <is>
          <t>CA</t>
        </is>
      </c>
      <c r="M930" s="5" t="inlineStr">
        <is>
          <t>Redline Capital</t>
        </is>
      </c>
      <c r="N930" s="5" t="inlineStr">
        <is>
          <t>New Deal</t>
        </is>
      </c>
      <c r="O930" s="19" t="n">
        <v>1.49</v>
      </c>
      <c r="P930" s="20" t="n">
        <v>9000</v>
      </c>
      <c r="Q930" s="20" t="n">
        <v>1260</v>
      </c>
      <c r="R930" s="20" t="n">
        <v>13410</v>
      </c>
      <c r="S930" s="20" t="n">
        <v>4467.9</v>
      </c>
      <c r="T930" s="20" t="n">
        <v>8942.1</v>
      </c>
      <c r="U930" s="21" t="n">
        <v>0.333176733780761</v>
      </c>
      <c r="V930" s="22" t="n">
        <v>2.951</v>
      </c>
      <c r="W930" s="17" t="n">
        <v>30</v>
      </c>
      <c r="X930" s="17" t="n">
        <v>3</v>
      </c>
      <c r="Y930" s="20" t="n">
        <v>50039.4</v>
      </c>
      <c r="Z930" s="21" t="n">
        <v>0.0625</v>
      </c>
      <c r="AA930" s="16" t="n">
        <v>42370</v>
      </c>
      <c r="AB930" s="5">
        <f>IF(V930="","",IF(V930&lt;12,"Months","Weeks"))</f>
        <v/>
      </c>
      <c r="AC930" s="5">
        <f>IF(AB930="","",IF(AB930="Months","Daily","Weekly"))</f>
        <v/>
      </c>
      <c r="AD930" s="17">
        <f>IF(V930="","",IF(AC930="Daily",V930*Controls!$B$13,V930))</f>
        <v/>
      </c>
      <c r="AE930" s="17">
        <f>IF(V930="","",IF(AC930="Daily",V930*Controls!$B$13,V930*Controls!$B$12))</f>
        <v/>
      </c>
      <c r="AF930" s="17">
        <f>IF(OR(E930="",F930=""),"",F930-E930)</f>
        <v/>
      </c>
      <c r="AG930" s="17">
        <f>IF(OR(E930="",F930=""),"",NETWORKDAYS(E930,F930,Ref!$F$4:$F$47))</f>
        <v/>
      </c>
      <c r="AH930" s="39">
        <f>IF(IFERROR(VLOOKUP(D930,Controls!$A$25:$D$35,2,FALSE()),"No")="Yes",1,0)</f>
        <v/>
      </c>
      <c r="AI930" s="39">
        <f>IF(IFERROR(VLOOKUP(D930,Controls!$A$25:$D$35,3,FALSE()),"No")="Yes",1,0)</f>
        <v/>
      </c>
      <c r="AJ930" s="39">
        <f>IF(IFERROR(VLOOKUP(D930,Controls!$A$25:$D$35,4,FALSE()),"No")="Yes",1,0)</f>
        <v/>
      </c>
      <c r="AK930" s="96">
        <f>IF(AND($E930&gt;=Controls!$B$5,$E930&lt;=Controls!$B$6,OR(Controls!$E$9&lt;&gt;"Y",$BE930=1)),1,0)</f>
        <v/>
      </c>
      <c r="AL930" s="39">
        <f>1</f>
        <v/>
      </c>
      <c r="AM930" s="20">
        <f>S930-P930</f>
        <v/>
      </c>
      <c r="AN930" s="20">
        <f>IF(AH930=1,MAX(0,P930-S930),0)</f>
        <v/>
      </c>
      <c r="AO930" s="21">
        <f>IFERROR(S930/P930,"")</f>
        <v/>
      </c>
      <c r="AP930" s="22">
        <f>IF(Y930="","",P930/Y930)</f>
        <v/>
      </c>
      <c r="AQ930" s="39">
        <f>IF(Y930="",0,1)</f>
        <v/>
      </c>
      <c r="AR930" s="39">
        <f>IF(S930&lt;=0,1,0)</f>
        <v/>
      </c>
      <c r="AS930" s="17">
        <f>IF(AH930=1,AG930,"")</f>
        <v/>
      </c>
      <c r="AT930" s="17">
        <f>IF(AND(AH930=0,AJ930=1),AG930,"")</f>
        <v/>
      </c>
      <c r="AU930" s="5">
        <f>IF(P930&lt;10000,"Under $10K",IF(P930&lt;20000,"$10-20K",IF(P930&lt;30000,"$20-30K",IF(P930&lt;50000,"$30-50K",IF(P930&lt;100000,"$50-100K","$100K+")))))</f>
        <v/>
      </c>
      <c r="AV930" s="5">
        <f>IF(O930&lt;=1.35,"1.35 and under",IF(O930&lt;=1.42,"1.36-1.42",IF(O930&lt;=1.45,"1.43-1.45",IF(O930&lt;1.49,"1.46-1.48",IF(O930&lt;=1.49,"1.49","Above 1.49")))))</f>
        <v/>
      </c>
      <c r="AW930" s="5">
        <f>IF(AE930="","",IF(AE930&lt;60,"Under 60",IF(AE930&lt;90,"60-89",IF(AE930&lt;120,"90-119",IF(AE930&lt;150,"120-149","150+")))))</f>
        <v/>
      </c>
      <c r="AX930" s="5">
        <f>IF(AP930="","No revenue data",IF(AP930&lt;0.15,"Under 0.15x",IF(AP930&lt;0.3,"0.15-0.30x",IF(AP930&lt;0.5,"0.30-0.50x",IF(AP930&lt;1,"0.50-1.00x","1.00x+")))))</f>
        <v/>
      </c>
      <c r="AY930" s="5">
        <f>IF(J930="","No SIC",IFERROR(VLOOKUP(J930,Ref!$A$4:$C$67,2,FALSE()),"Unclassified"))</f>
        <v/>
      </c>
      <c r="AZ930" s="5">
        <f>IF(E930="","",TEXT(E930,"YYYY")&amp;"-Q"&amp;ROUNDUP(MONTH(E930)/3,0))</f>
        <v/>
      </c>
      <c r="BA930" s="5">
        <f>IF(E930="","",TEXT(E930,"YYYY-MM"))</f>
        <v/>
      </c>
      <c r="BB930" s="5">
        <f>IF(E930="","",TEXT(E930,"YYYY"))</f>
        <v/>
      </c>
      <c r="BC930" s="92">
        <f>IF($E930="","",NETWORKDAYS($E930,Controls!$B$9,Ref!$F$4:$F$47))</f>
        <v/>
      </c>
      <c r="BD930" s="92">
        <f>IF(OR($AH930=1,$AJ930=1),1,0)</f>
        <v/>
      </c>
      <c r="BE930" s="95">
        <f>IF(OR($BD930=1,AND($AE930&lt;&gt;"",$BC930&gt;=Controls!$B$10*$AE930)),1,0)</f>
        <v/>
      </c>
    </row>
    <row r="931" ht="15.75" customHeight="1" s="79">
      <c r="A931" s="5" t="inlineStr">
        <is>
          <t>5674184843</t>
        </is>
      </c>
      <c r="B931" s="5" t="inlineStr">
        <is>
          <t>REVUP ENTERPRISES LLC</t>
        </is>
      </c>
      <c r="C931" s="5" t="inlineStr">
        <is>
          <t>REVUP ENTERPRISES LLC</t>
        </is>
      </c>
      <c r="D931" s="5" t="inlineStr">
        <is>
          <t>Closed</t>
        </is>
      </c>
      <c r="E931" s="16" t="n">
        <v>46177</v>
      </c>
      <c r="F931" s="16" t="n">
        <v>46225</v>
      </c>
      <c r="G931" s="17" t="n">
        <v>3</v>
      </c>
      <c r="H931" s="5" t="inlineStr">
        <is>
          <t>7538</t>
        </is>
      </c>
      <c r="I931" s="5" t="inlineStr">
        <is>
          <t>General Automotive Repair</t>
        </is>
      </c>
      <c r="J931" s="5" t="inlineStr">
        <is>
          <t>75</t>
        </is>
      </c>
      <c r="K931" s="5" t="n">
        <v>7538</v>
      </c>
      <c r="L931" s="5" t="inlineStr">
        <is>
          <t>TX</t>
        </is>
      </c>
      <c r="M931" s="5" t="inlineStr">
        <is>
          <t>PMF</t>
        </is>
      </c>
      <c r="N931" s="5" t="inlineStr">
        <is>
          <t>Renewal</t>
        </is>
      </c>
      <c r="O931" s="19" t="n">
        <v>1.49</v>
      </c>
      <c r="P931" s="20" t="n">
        <v>15000</v>
      </c>
      <c r="Q931" s="20" t="n">
        <v>2100</v>
      </c>
      <c r="R931" s="20" t="n">
        <v>22350</v>
      </c>
      <c r="S931" s="20" t="n">
        <v>22350</v>
      </c>
      <c r="T931" s="20" t="n">
        <v>0</v>
      </c>
      <c r="U931" s="21" t="n">
        <v>1</v>
      </c>
      <c r="V931" s="22" t="n">
        <v>2.131</v>
      </c>
      <c r="W931" s="17" t="n">
        <v>28</v>
      </c>
      <c r="X931" s="17" t="n">
        <v>0</v>
      </c>
      <c r="Y931" s="20" t="n">
        <v>94553.25</v>
      </c>
      <c r="Z931" s="21" t="n">
        <v>0.0764</v>
      </c>
      <c r="AA931" s="16" t="n">
        <v>45465</v>
      </c>
      <c r="AB931" s="5">
        <f>IF(V931="","",IF(V931&lt;12,"Months","Weeks"))</f>
        <v/>
      </c>
      <c r="AC931" s="5">
        <f>IF(AB931="","",IF(AB931="Months","Daily","Weekly"))</f>
        <v/>
      </c>
      <c r="AD931" s="17">
        <f>IF(V931="","",IF(AC931="Daily",V931*Controls!$B$13,V931))</f>
        <v/>
      </c>
      <c r="AE931" s="17">
        <f>IF(V931="","",IF(AC931="Daily",V931*Controls!$B$13,V931*Controls!$B$12))</f>
        <v/>
      </c>
      <c r="AF931" s="17">
        <f>IF(OR(E931="",F931=""),"",F931-E931)</f>
        <v/>
      </c>
      <c r="AG931" s="17">
        <f>IF(OR(E931="",F931=""),"",NETWORKDAYS(E931,F931,Ref!$F$4:$F$47))</f>
        <v/>
      </c>
      <c r="AH931" s="39">
        <f>IF(IFERROR(VLOOKUP(D931,Controls!$A$25:$D$35,2,FALSE()),"No")="Yes",1,0)</f>
        <v/>
      </c>
      <c r="AI931" s="39">
        <f>IF(IFERROR(VLOOKUP(D931,Controls!$A$25:$D$35,3,FALSE()),"No")="Yes",1,0)</f>
        <v/>
      </c>
      <c r="AJ931" s="39">
        <f>IF(IFERROR(VLOOKUP(D931,Controls!$A$25:$D$35,4,FALSE()),"No")="Yes",1,0)</f>
        <v/>
      </c>
      <c r="AK931" s="96">
        <f>IF(AND($E931&gt;=Controls!$B$5,$E931&lt;=Controls!$B$6,OR(Controls!$E$9&lt;&gt;"Y",$BE931=1)),1,0)</f>
        <v/>
      </c>
      <c r="AL931" s="39">
        <f>1</f>
        <v/>
      </c>
      <c r="AM931" s="20">
        <f>S931-P931</f>
        <v/>
      </c>
      <c r="AN931" s="20">
        <f>IF(AH931=1,MAX(0,P931-S931),0)</f>
        <v/>
      </c>
      <c r="AO931" s="21">
        <f>IFERROR(S931/P931,"")</f>
        <v/>
      </c>
      <c r="AP931" s="22">
        <f>IF(Y931="","",P931/Y931)</f>
        <v/>
      </c>
      <c r="AQ931" s="39">
        <f>IF(Y931="",0,1)</f>
        <v/>
      </c>
      <c r="AR931" s="39">
        <f>IF(S931&lt;=0,1,0)</f>
        <v/>
      </c>
      <c r="AS931" s="17">
        <f>IF(AH931=1,AG931,"")</f>
        <v/>
      </c>
      <c r="AT931" s="17">
        <f>IF(AND(AH931=0,AJ931=1),AG931,"")</f>
        <v/>
      </c>
      <c r="AU931" s="5">
        <f>IF(P931&lt;10000,"Under $10K",IF(P931&lt;20000,"$10-20K",IF(P931&lt;30000,"$20-30K",IF(P931&lt;50000,"$30-50K",IF(P931&lt;100000,"$50-100K","$100K+")))))</f>
        <v/>
      </c>
      <c r="AV931" s="5">
        <f>IF(O931&lt;=1.35,"1.35 and under",IF(O931&lt;=1.42,"1.36-1.42",IF(O931&lt;=1.45,"1.43-1.45",IF(O931&lt;1.49,"1.46-1.48",IF(O931&lt;=1.49,"1.49","Above 1.49")))))</f>
        <v/>
      </c>
      <c r="AW931" s="5">
        <f>IF(AE931="","",IF(AE931&lt;60,"Under 60",IF(AE931&lt;90,"60-89",IF(AE931&lt;120,"90-119",IF(AE931&lt;150,"120-149","150+")))))</f>
        <v/>
      </c>
      <c r="AX931" s="5">
        <f>IF(AP931="","No revenue data",IF(AP931&lt;0.15,"Under 0.15x",IF(AP931&lt;0.3,"0.15-0.30x",IF(AP931&lt;0.5,"0.30-0.50x",IF(AP931&lt;1,"0.50-1.00x","1.00x+")))))</f>
        <v/>
      </c>
      <c r="AY931" s="5">
        <f>IF(J931="","No SIC",IFERROR(VLOOKUP(J931,Ref!$A$4:$C$67,2,FALSE()),"Unclassified"))</f>
        <v/>
      </c>
      <c r="AZ931" s="5">
        <f>IF(E931="","",TEXT(E931,"YYYY")&amp;"-Q"&amp;ROUNDUP(MONTH(E931)/3,0))</f>
        <v/>
      </c>
      <c r="BA931" s="5">
        <f>IF(E931="","",TEXT(E931,"YYYY-MM"))</f>
        <v/>
      </c>
      <c r="BB931" s="5">
        <f>IF(E931="","",TEXT(E931,"YYYY"))</f>
        <v/>
      </c>
      <c r="BC931" s="92">
        <f>IF($E931="","",NETWORKDAYS($E931,Controls!$B$9,Ref!$F$4:$F$47))</f>
        <v/>
      </c>
      <c r="BD931" s="92">
        <f>IF(OR($AH931=1,$AJ931=1),1,0)</f>
        <v/>
      </c>
      <c r="BE931" s="95">
        <f>IF(OR($BD931=1,AND($AE931&lt;&gt;"",$BC931&gt;=Controls!$B$10*$AE931)),1,0)</f>
        <v/>
      </c>
    </row>
    <row r="932" ht="15.75" customHeight="1" s="79">
      <c r="A932" s="5" t="inlineStr">
        <is>
          <t>5674184856</t>
        </is>
      </c>
      <c r="B932" s="5" t="inlineStr">
        <is>
          <t>Resurge Insurance Marketing, Inc.</t>
        </is>
      </c>
      <c r="C932" s="5" t="inlineStr">
        <is>
          <t>Resurge Insurance Marketing, Inc.</t>
        </is>
      </c>
      <c r="D932" s="5" t="inlineStr">
        <is>
          <t>Open</t>
        </is>
      </c>
      <c r="E932" s="16" t="n">
        <v>46177</v>
      </c>
      <c r="F932" s="16" t="n">
        <v>46248</v>
      </c>
      <c r="G932" s="17" t="n">
        <v>3</v>
      </c>
      <c r="H932" s="5" t="inlineStr">
        <is>
          <t>7311</t>
        </is>
      </c>
      <c r="I932" s="5" t="inlineStr">
        <is>
          <t>Advertising Agencies</t>
        </is>
      </c>
      <c r="J932" s="5" t="inlineStr">
        <is>
          <t>73</t>
        </is>
      </c>
      <c r="K932" s="5" t="n">
        <v>7311</v>
      </c>
      <c r="L932" s="5" t="inlineStr">
        <is>
          <t>CT</t>
        </is>
      </c>
      <c r="M932" s="5" t="inlineStr">
        <is>
          <t>Vanguard Equities</t>
        </is>
      </c>
      <c r="N932" s="5" t="inlineStr">
        <is>
          <t>Renewal</t>
        </is>
      </c>
      <c r="O932" s="19" t="n">
        <v>1.42</v>
      </c>
      <c r="P932" s="20" t="n">
        <v>50000</v>
      </c>
      <c r="Q932" s="20" t="n">
        <v>5250</v>
      </c>
      <c r="R932" s="20" t="n">
        <v>71000</v>
      </c>
      <c r="S932" s="20" t="n">
        <v>17751.84</v>
      </c>
      <c r="T932" s="20" t="n">
        <v>53248.16</v>
      </c>
      <c r="U932" s="21" t="n">
        <v>0.250025915492958</v>
      </c>
      <c r="V932" s="22" t="n">
        <v>32</v>
      </c>
      <c r="W932" s="17" t="n">
        <v>5</v>
      </c>
      <c r="X932" s="17" t="n">
        <v>2</v>
      </c>
      <c r="Y932" s="20" t="n">
        <v>48422.85</v>
      </c>
      <c r="Z932" s="21" t="n">
        <v>0.1833</v>
      </c>
      <c r="AA932" s="16" t="n">
        <v>45405</v>
      </c>
      <c r="AB932" s="5">
        <f>IF(V932="","",IF(V932&lt;12,"Months","Weeks"))</f>
        <v/>
      </c>
      <c r="AC932" s="5">
        <f>IF(AB932="","",IF(AB932="Months","Daily","Weekly"))</f>
        <v/>
      </c>
      <c r="AD932" s="17">
        <f>IF(V932="","",IF(AC932="Daily",V932*Controls!$B$13,V932))</f>
        <v/>
      </c>
      <c r="AE932" s="17">
        <f>IF(V932="","",IF(AC932="Daily",V932*Controls!$B$13,V932*Controls!$B$12))</f>
        <v/>
      </c>
      <c r="AF932" s="17">
        <f>IF(OR(E932="",F932=""),"",F932-E932)</f>
        <v/>
      </c>
      <c r="AG932" s="17">
        <f>IF(OR(E932="",F932=""),"",NETWORKDAYS(E932,F932,Ref!$F$4:$F$47))</f>
        <v/>
      </c>
      <c r="AH932" s="39">
        <f>IF(IFERROR(VLOOKUP(D932,Controls!$A$25:$D$35,2,FALSE()),"No")="Yes",1,0)</f>
        <v/>
      </c>
      <c r="AI932" s="39">
        <f>IF(IFERROR(VLOOKUP(D932,Controls!$A$25:$D$35,3,FALSE()),"No")="Yes",1,0)</f>
        <v/>
      </c>
      <c r="AJ932" s="39">
        <f>IF(IFERROR(VLOOKUP(D932,Controls!$A$25:$D$35,4,FALSE()),"No")="Yes",1,0)</f>
        <v/>
      </c>
      <c r="AK932" s="96">
        <f>IF(AND($E932&gt;=Controls!$B$5,$E932&lt;=Controls!$B$6,OR(Controls!$E$9&lt;&gt;"Y",$BE932=1)),1,0)</f>
        <v/>
      </c>
      <c r="AL932" s="39">
        <f>1</f>
        <v/>
      </c>
      <c r="AM932" s="20">
        <f>S932-P932</f>
        <v/>
      </c>
      <c r="AN932" s="20">
        <f>IF(AH932=1,MAX(0,P932-S932),0)</f>
        <v/>
      </c>
      <c r="AO932" s="21">
        <f>IFERROR(S932/P932,"")</f>
        <v/>
      </c>
      <c r="AP932" s="22">
        <f>IF(Y932="","",P932/Y932)</f>
        <v/>
      </c>
      <c r="AQ932" s="39">
        <f>IF(Y932="",0,1)</f>
        <v/>
      </c>
      <c r="AR932" s="39">
        <f>IF(S932&lt;=0,1,0)</f>
        <v/>
      </c>
      <c r="AS932" s="17">
        <f>IF(AH932=1,AG932,"")</f>
        <v/>
      </c>
      <c r="AT932" s="17">
        <f>IF(AND(AH932=0,AJ932=1),AG932,"")</f>
        <v/>
      </c>
      <c r="AU932" s="5">
        <f>IF(P932&lt;10000,"Under $10K",IF(P932&lt;20000,"$10-20K",IF(P932&lt;30000,"$20-30K",IF(P932&lt;50000,"$30-50K",IF(P932&lt;100000,"$50-100K","$100K+")))))</f>
        <v/>
      </c>
      <c r="AV932" s="5">
        <f>IF(O932&lt;=1.35,"1.35 and under",IF(O932&lt;=1.42,"1.36-1.42",IF(O932&lt;=1.45,"1.43-1.45",IF(O932&lt;1.49,"1.46-1.48",IF(O932&lt;=1.49,"1.49","Above 1.49")))))</f>
        <v/>
      </c>
      <c r="AW932" s="5">
        <f>IF(AE932="","",IF(AE932&lt;60,"Under 60",IF(AE932&lt;90,"60-89",IF(AE932&lt;120,"90-119",IF(AE932&lt;150,"120-149","150+")))))</f>
        <v/>
      </c>
      <c r="AX932" s="5">
        <f>IF(AP932="","No revenue data",IF(AP932&lt;0.15,"Under 0.15x",IF(AP932&lt;0.3,"0.15-0.30x",IF(AP932&lt;0.5,"0.30-0.50x",IF(AP932&lt;1,"0.50-1.00x","1.00x+")))))</f>
        <v/>
      </c>
      <c r="AY932" s="5">
        <f>IF(J932="","No SIC",IFERROR(VLOOKUP(J932,Ref!$A$4:$C$67,2,FALSE()),"Unclassified"))</f>
        <v/>
      </c>
      <c r="AZ932" s="5">
        <f>IF(E932="","",TEXT(E932,"YYYY")&amp;"-Q"&amp;ROUNDUP(MONTH(E932)/3,0))</f>
        <v/>
      </c>
      <c r="BA932" s="5">
        <f>IF(E932="","",TEXT(E932,"YYYY-MM"))</f>
        <v/>
      </c>
      <c r="BB932" s="5">
        <f>IF(E932="","",TEXT(E932,"YYYY"))</f>
        <v/>
      </c>
      <c r="BC932" s="92">
        <f>IF($E932="","",NETWORKDAYS($E932,Controls!$B$9,Ref!$F$4:$F$47))</f>
        <v/>
      </c>
      <c r="BD932" s="92">
        <f>IF(OR($AH932=1,$AJ932=1),1,0)</f>
        <v/>
      </c>
      <c r="BE932" s="95">
        <f>IF(OR($BD932=1,AND($AE932&lt;&gt;"",$BC932&gt;=Controls!$B$10*$AE932)),1,0)</f>
        <v/>
      </c>
    </row>
    <row r="933" ht="15.75" customHeight="1" s="79">
      <c r="A933" s="5" t="inlineStr">
        <is>
          <t>5674184857</t>
        </is>
      </c>
      <c r="B933" s="5" t="inlineStr">
        <is>
          <t>Line-x Of Santa Maria</t>
        </is>
      </c>
      <c r="C933" s="5" t="inlineStr">
        <is>
          <t>LINE-X OF SANTA MARIA</t>
        </is>
      </c>
      <c r="D933" s="5" t="inlineStr">
        <is>
          <t>Open</t>
        </is>
      </c>
      <c r="E933" s="16" t="n">
        <v>46177</v>
      </c>
      <c r="F933" s="16" t="n">
        <v>46253</v>
      </c>
      <c r="G933" s="17" t="n">
        <v>3</v>
      </c>
      <c r="H933" s="5" t="inlineStr">
        <is>
          <t>5399</t>
        </is>
      </c>
      <c r="I933" s="5" t="inlineStr">
        <is>
          <t>All Other General Merchandise Stores</t>
        </is>
      </c>
      <c r="J933" s="5" t="inlineStr">
        <is>
          <t>53</t>
        </is>
      </c>
      <c r="K933" s="5" t="n">
        <v>5399</v>
      </c>
      <c r="L933" s="5" t="inlineStr">
        <is>
          <t>CA</t>
        </is>
      </c>
      <c r="M933" s="5" t="inlineStr">
        <is>
          <t>Ballicci</t>
        </is>
      </c>
      <c r="N933" s="5" t="inlineStr">
        <is>
          <t>Renewal</t>
        </is>
      </c>
      <c r="O933" s="19" t="n">
        <v>1.49</v>
      </c>
      <c r="P933" s="20" t="n">
        <v>18000</v>
      </c>
      <c r="Q933" s="20" t="n">
        <v>2520</v>
      </c>
      <c r="R933" s="20" t="n">
        <v>26820</v>
      </c>
      <c r="S933" s="20" t="n">
        <v>10447.45</v>
      </c>
      <c r="T933" s="20" t="n">
        <v>16372.55</v>
      </c>
      <c r="U933" s="21" t="n">
        <v>0.389539522744221</v>
      </c>
      <c r="V933" s="22" t="n">
        <v>3.279</v>
      </c>
      <c r="W933" s="17" t="n">
        <v>0</v>
      </c>
      <c r="X933" s="17" t="n">
        <v>13</v>
      </c>
      <c r="Y933" s="20" t="n">
        <v>33197.73</v>
      </c>
      <c r="Z933" s="21" t="n">
        <v>0.1697</v>
      </c>
      <c r="AA933" s="16" t="n">
        <v>36911</v>
      </c>
      <c r="AB933" s="5">
        <f>IF(V933="","",IF(V933&lt;12,"Months","Weeks"))</f>
        <v/>
      </c>
      <c r="AC933" s="5">
        <f>IF(AB933="","",IF(AB933="Months","Daily","Weekly"))</f>
        <v/>
      </c>
      <c r="AD933" s="17">
        <f>IF(V933="","",IF(AC933="Daily",V933*Controls!$B$13,V933))</f>
        <v/>
      </c>
      <c r="AE933" s="17">
        <f>IF(V933="","",IF(AC933="Daily",V933*Controls!$B$13,V933*Controls!$B$12))</f>
        <v/>
      </c>
      <c r="AF933" s="17">
        <f>IF(OR(E933="",F933=""),"",F933-E933)</f>
        <v/>
      </c>
      <c r="AG933" s="17">
        <f>IF(OR(E933="",F933=""),"",NETWORKDAYS(E933,F933,Ref!$F$4:$F$47))</f>
        <v/>
      </c>
      <c r="AH933" s="39">
        <f>IF(IFERROR(VLOOKUP(D933,Controls!$A$25:$D$35,2,FALSE()),"No")="Yes",1,0)</f>
        <v/>
      </c>
      <c r="AI933" s="39">
        <f>IF(IFERROR(VLOOKUP(D933,Controls!$A$25:$D$35,3,FALSE()),"No")="Yes",1,0)</f>
        <v/>
      </c>
      <c r="AJ933" s="39">
        <f>IF(IFERROR(VLOOKUP(D933,Controls!$A$25:$D$35,4,FALSE()),"No")="Yes",1,0)</f>
        <v/>
      </c>
      <c r="AK933" s="96">
        <f>IF(AND($E933&gt;=Controls!$B$5,$E933&lt;=Controls!$B$6,OR(Controls!$E$9&lt;&gt;"Y",$BE933=1)),1,0)</f>
        <v/>
      </c>
      <c r="AL933" s="39">
        <f>1</f>
        <v/>
      </c>
      <c r="AM933" s="20">
        <f>S933-P933</f>
        <v/>
      </c>
      <c r="AN933" s="20">
        <f>IF(AH933=1,MAX(0,P933-S933),0)</f>
        <v/>
      </c>
      <c r="AO933" s="21">
        <f>IFERROR(S933/P933,"")</f>
        <v/>
      </c>
      <c r="AP933" s="22">
        <f>IF(Y933="","",P933/Y933)</f>
        <v/>
      </c>
      <c r="AQ933" s="39">
        <f>IF(Y933="",0,1)</f>
        <v/>
      </c>
      <c r="AR933" s="39">
        <f>IF(S933&lt;=0,1,0)</f>
        <v/>
      </c>
      <c r="AS933" s="17">
        <f>IF(AH933=1,AG933,"")</f>
        <v/>
      </c>
      <c r="AT933" s="17">
        <f>IF(AND(AH933=0,AJ933=1),AG933,"")</f>
        <v/>
      </c>
      <c r="AU933" s="5">
        <f>IF(P933&lt;10000,"Under $10K",IF(P933&lt;20000,"$10-20K",IF(P933&lt;30000,"$20-30K",IF(P933&lt;50000,"$30-50K",IF(P933&lt;100000,"$50-100K","$100K+")))))</f>
        <v/>
      </c>
      <c r="AV933" s="5">
        <f>IF(O933&lt;=1.35,"1.35 and under",IF(O933&lt;=1.42,"1.36-1.42",IF(O933&lt;=1.45,"1.43-1.45",IF(O933&lt;1.49,"1.46-1.48",IF(O933&lt;=1.49,"1.49","Above 1.49")))))</f>
        <v/>
      </c>
      <c r="AW933" s="5">
        <f>IF(AE933="","",IF(AE933&lt;60,"Under 60",IF(AE933&lt;90,"60-89",IF(AE933&lt;120,"90-119",IF(AE933&lt;150,"120-149","150+")))))</f>
        <v/>
      </c>
      <c r="AX933" s="5">
        <f>IF(AP933="","No revenue data",IF(AP933&lt;0.15,"Under 0.15x",IF(AP933&lt;0.3,"0.15-0.30x",IF(AP933&lt;0.5,"0.30-0.50x",IF(AP933&lt;1,"0.50-1.00x","1.00x+")))))</f>
        <v/>
      </c>
      <c r="AY933" s="5">
        <f>IF(J933="","No SIC",IFERROR(VLOOKUP(J933,Ref!$A$4:$C$67,2,FALSE()),"Unclassified"))</f>
        <v/>
      </c>
      <c r="AZ933" s="5">
        <f>IF(E933="","",TEXT(E933,"YYYY")&amp;"-Q"&amp;ROUNDUP(MONTH(E933)/3,0))</f>
        <v/>
      </c>
      <c r="BA933" s="5">
        <f>IF(E933="","",TEXT(E933,"YYYY-MM"))</f>
        <v/>
      </c>
      <c r="BB933" s="5">
        <f>IF(E933="","",TEXT(E933,"YYYY"))</f>
        <v/>
      </c>
      <c r="BC933" s="92">
        <f>IF($E933="","",NETWORKDAYS($E933,Controls!$B$9,Ref!$F$4:$F$47))</f>
        <v/>
      </c>
      <c r="BD933" s="92">
        <f>IF(OR($AH933=1,$AJ933=1),1,0)</f>
        <v/>
      </c>
      <c r="BE933" s="95">
        <f>IF(OR($BD933=1,AND($AE933&lt;&gt;"",$BC933&gt;=Controls!$B$10*$AE933)),1,0)</f>
        <v/>
      </c>
    </row>
    <row r="934" ht="15.75" customHeight="1" s="79">
      <c r="A934" s="5" t="inlineStr">
        <is>
          <t>5674184859</t>
        </is>
      </c>
      <c r="B934" s="5" t="inlineStr">
        <is>
          <t>CAFE KHALIFA INC</t>
        </is>
      </c>
      <c r="C934" s="5" t="inlineStr">
        <is>
          <t>CAFE KHALIFA INC</t>
        </is>
      </c>
      <c r="D934" s="5" t="inlineStr">
        <is>
          <t>Open</t>
        </is>
      </c>
      <c r="E934" s="16" t="n">
        <v>46177</v>
      </c>
      <c r="F934" s="16" t="n">
        <v>46251</v>
      </c>
      <c r="G934" s="17" t="n">
        <v>3</v>
      </c>
      <c r="H934" s="5" t="inlineStr">
        <is>
          <t>5812</t>
        </is>
      </c>
      <c r="I934" s="5" t="inlineStr">
        <is>
          <t>Snack and Nonalcoholic Beverage Bars</t>
        </is>
      </c>
      <c r="J934" s="5" t="inlineStr">
        <is>
          <t>58</t>
        </is>
      </c>
      <c r="K934" s="5" t="n">
        <v>5812</v>
      </c>
      <c r="L934" s="5" t="inlineStr">
        <is>
          <t>TX</t>
        </is>
      </c>
      <c r="M934" s="5" t="inlineStr">
        <is>
          <t>Linked In Funding</t>
        </is>
      </c>
      <c r="N934" s="5" t="inlineStr">
        <is>
          <t>New Deal</t>
        </is>
      </c>
      <c r="O934" s="19" t="n">
        <v>1.45</v>
      </c>
      <c r="P934" s="20" t="n">
        <v>20000</v>
      </c>
      <c r="Q934" s="20" t="n">
        <v>2400</v>
      </c>
      <c r="R934" s="20" t="n">
        <v>29000</v>
      </c>
      <c r="S934" s="20" t="n">
        <v>7278.9</v>
      </c>
      <c r="T934" s="20" t="n">
        <v>21721.1</v>
      </c>
      <c r="U934" s="21" t="n">
        <v>0.250996551724138</v>
      </c>
      <c r="V934" s="22" t="n">
        <v>28</v>
      </c>
      <c r="W934" s="17" t="n">
        <v>2</v>
      </c>
      <c r="X934" s="17" t="n">
        <v>0</v>
      </c>
      <c r="Y934" s="20" t="n">
        <v>41594.35</v>
      </c>
      <c r="Z934" s="21" t="n">
        <v>0.09959999999999999</v>
      </c>
      <c r="AA934" s="16" t="n">
        <v>44447</v>
      </c>
      <c r="AB934" s="5">
        <f>IF(V934="","",IF(V934&lt;12,"Months","Weeks"))</f>
        <v/>
      </c>
      <c r="AC934" s="5">
        <f>IF(AB934="","",IF(AB934="Months","Daily","Weekly"))</f>
        <v/>
      </c>
      <c r="AD934" s="17">
        <f>IF(V934="","",IF(AC934="Daily",V934*Controls!$B$13,V934))</f>
        <v/>
      </c>
      <c r="AE934" s="17">
        <f>IF(V934="","",IF(AC934="Daily",V934*Controls!$B$13,V934*Controls!$B$12))</f>
        <v/>
      </c>
      <c r="AF934" s="17">
        <f>IF(OR(E934="",F934=""),"",F934-E934)</f>
        <v/>
      </c>
      <c r="AG934" s="17">
        <f>IF(OR(E934="",F934=""),"",NETWORKDAYS(E934,F934,Ref!$F$4:$F$47))</f>
        <v/>
      </c>
      <c r="AH934" s="39">
        <f>IF(IFERROR(VLOOKUP(D934,Controls!$A$25:$D$35,2,FALSE()),"No")="Yes",1,0)</f>
        <v/>
      </c>
      <c r="AI934" s="39">
        <f>IF(IFERROR(VLOOKUP(D934,Controls!$A$25:$D$35,3,FALSE()),"No")="Yes",1,0)</f>
        <v/>
      </c>
      <c r="AJ934" s="39">
        <f>IF(IFERROR(VLOOKUP(D934,Controls!$A$25:$D$35,4,FALSE()),"No")="Yes",1,0)</f>
        <v/>
      </c>
      <c r="AK934" s="96">
        <f>IF(AND($E934&gt;=Controls!$B$5,$E934&lt;=Controls!$B$6,OR(Controls!$E$9&lt;&gt;"Y",$BE934=1)),1,0)</f>
        <v/>
      </c>
      <c r="AL934" s="39">
        <f>1</f>
        <v/>
      </c>
      <c r="AM934" s="20">
        <f>S934-P934</f>
        <v/>
      </c>
      <c r="AN934" s="20">
        <f>IF(AH934=1,MAX(0,P934-S934),0)</f>
        <v/>
      </c>
      <c r="AO934" s="21">
        <f>IFERROR(S934/P934,"")</f>
        <v/>
      </c>
      <c r="AP934" s="22">
        <f>IF(Y934="","",P934/Y934)</f>
        <v/>
      </c>
      <c r="AQ934" s="39">
        <f>IF(Y934="",0,1)</f>
        <v/>
      </c>
      <c r="AR934" s="39">
        <f>IF(S934&lt;=0,1,0)</f>
        <v/>
      </c>
      <c r="AS934" s="17">
        <f>IF(AH934=1,AG934,"")</f>
        <v/>
      </c>
      <c r="AT934" s="17">
        <f>IF(AND(AH934=0,AJ934=1),AG934,"")</f>
        <v/>
      </c>
      <c r="AU934" s="5">
        <f>IF(P934&lt;10000,"Under $10K",IF(P934&lt;20000,"$10-20K",IF(P934&lt;30000,"$20-30K",IF(P934&lt;50000,"$30-50K",IF(P934&lt;100000,"$50-100K","$100K+")))))</f>
        <v/>
      </c>
      <c r="AV934" s="5">
        <f>IF(O934&lt;=1.35,"1.35 and under",IF(O934&lt;=1.42,"1.36-1.42",IF(O934&lt;=1.45,"1.43-1.45",IF(O934&lt;1.49,"1.46-1.48",IF(O934&lt;=1.49,"1.49","Above 1.49")))))</f>
        <v/>
      </c>
      <c r="AW934" s="5">
        <f>IF(AE934="","",IF(AE934&lt;60,"Under 60",IF(AE934&lt;90,"60-89",IF(AE934&lt;120,"90-119",IF(AE934&lt;150,"120-149","150+")))))</f>
        <v/>
      </c>
      <c r="AX934" s="5">
        <f>IF(AP934="","No revenue data",IF(AP934&lt;0.15,"Under 0.15x",IF(AP934&lt;0.3,"0.15-0.30x",IF(AP934&lt;0.5,"0.30-0.50x",IF(AP934&lt;1,"0.50-1.00x","1.00x+")))))</f>
        <v/>
      </c>
      <c r="AY934" s="5">
        <f>IF(J934="","No SIC",IFERROR(VLOOKUP(J934,Ref!$A$4:$C$67,2,FALSE()),"Unclassified"))</f>
        <v/>
      </c>
      <c r="AZ934" s="5">
        <f>IF(E934="","",TEXT(E934,"YYYY")&amp;"-Q"&amp;ROUNDUP(MONTH(E934)/3,0))</f>
        <v/>
      </c>
      <c r="BA934" s="5">
        <f>IF(E934="","",TEXT(E934,"YYYY-MM"))</f>
        <v/>
      </c>
      <c r="BB934" s="5">
        <f>IF(E934="","",TEXT(E934,"YYYY"))</f>
        <v/>
      </c>
      <c r="BC934" s="92">
        <f>IF($E934="","",NETWORKDAYS($E934,Controls!$B$9,Ref!$F$4:$F$47))</f>
        <v/>
      </c>
      <c r="BD934" s="92">
        <f>IF(OR($AH934=1,$AJ934=1),1,0)</f>
        <v/>
      </c>
      <c r="BE934" s="95">
        <f>IF(OR($BD934=1,AND($AE934&lt;&gt;"",$BC934&gt;=Controls!$B$10*$AE934)),1,0)</f>
        <v/>
      </c>
    </row>
    <row r="935" ht="15.75" customHeight="1" s="79">
      <c r="A935" s="5" t="inlineStr">
        <is>
          <t>5674184860</t>
        </is>
      </c>
      <c r="B935" s="5" t="inlineStr">
        <is>
          <t>SOUTH CITY SHOP LLC</t>
        </is>
      </c>
      <c r="C935" s="5" t="inlineStr">
        <is>
          <t>SOUTH CITY SHOP LLC</t>
        </is>
      </c>
      <c r="D935" s="5" t="inlineStr">
        <is>
          <t>Open</t>
        </is>
      </c>
      <c r="E935" s="16" t="n">
        <v>46177</v>
      </c>
      <c r="F935" s="16" t="n">
        <v>46253</v>
      </c>
      <c r="G935" s="17" t="n">
        <v>3</v>
      </c>
      <c r="H935" s="5" t="inlineStr">
        <is>
          <t>5999</t>
        </is>
      </c>
      <c r="I935" s="5" t="inlineStr">
        <is>
          <t>All Other Health and Personal Care Stores</t>
        </is>
      </c>
      <c r="J935" s="5" t="inlineStr">
        <is>
          <t>59</t>
        </is>
      </c>
      <c r="K935" s="5" t="n">
        <v>5999</v>
      </c>
      <c r="L935" s="5" t="inlineStr">
        <is>
          <t>GA</t>
        </is>
      </c>
      <c r="M935" s="5" t="inlineStr">
        <is>
          <t>Llama Loan</t>
        </is>
      </c>
      <c r="N935" s="5" t="inlineStr">
        <is>
          <t>New Deal</t>
        </is>
      </c>
      <c r="O935" s="19" t="n">
        <v>1.35</v>
      </c>
      <c r="P935" s="20" t="n">
        <v>12000</v>
      </c>
      <c r="Q935" s="20" t="n">
        <v>840</v>
      </c>
      <c r="R935" s="20" t="n">
        <v>16200</v>
      </c>
      <c r="S935" s="20" t="n">
        <v>7157.65</v>
      </c>
      <c r="T935" s="20" t="n">
        <v>9042.35</v>
      </c>
      <c r="U935" s="21" t="n">
        <v>0.44183024691358</v>
      </c>
      <c r="V935" s="22" t="n">
        <v>3.934</v>
      </c>
      <c r="W935" s="17" t="n">
        <v>0</v>
      </c>
      <c r="X935" s="17" t="n">
        <v>0</v>
      </c>
      <c r="Y935" s="20" t="n">
        <v>23892.05</v>
      </c>
      <c r="Z935" s="21" t="n">
        <v>0.1187</v>
      </c>
      <c r="AA935" s="16" t="n">
        <v>44520</v>
      </c>
      <c r="AB935" s="5">
        <f>IF(V935="","",IF(V935&lt;12,"Months","Weeks"))</f>
        <v/>
      </c>
      <c r="AC935" s="5">
        <f>IF(AB935="","",IF(AB935="Months","Daily","Weekly"))</f>
        <v/>
      </c>
      <c r="AD935" s="17">
        <f>IF(V935="","",IF(AC935="Daily",V935*Controls!$B$13,V935))</f>
        <v/>
      </c>
      <c r="AE935" s="17">
        <f>IF(V935="","",IF(AC935="Daily",V935*Controls!$B$13,V935*Controls!$B$12))</f>
        <v/>
      </c>
      <c r="AF935" s="17">
        <f>IF(OR(E935="",F935=""),"",F935-E935)</f>
        <v/>
      </c>
      <c r="AG935" s="17">
        <f>IF(OR(E935="",F935=""),"",NETWORKDAYS(E935,F935,Ref!$F$4:$F$47))</f>
        <v/>
      </c>
      <c r="AH935" s="39">
        <f>IF(IFERROR(VLOOKUP(D935,Controls!$A$25:$D$35,2,FALSE()),"No")="Yes",1,0)</f>
        <v/>
      </c>
      <c r="AI935" s="39">
        <f>IF(IFERROR(VLOOKUP(D935,Controls!$A$25:$D$35,3,FALSE()),"No")="Yes",1,0)</f>
        <v/>
      </c>
      <c r="AJ935" s="39">
        <f>IF(IFERROR(VLOOKUP(D935,Controls!$A$25:$D$35,4,FALSE()),"No")="Yes",1,0)</f>
        <v/>
      </c>
      <c r="AK935" s="96">
        <f>IF(AND($E935&gt;=Controls!$B$5,$E935&lt;=Controls!$B$6,OR(Controls!$E$9&lt;&gt;"Y",$BE935=1)),1,0)</f>
        <v/>
      </c>
      <c r="AL935" s="39">
        <f>1</f>
        <v/>
      </c>
      <c r="AM935" s="20">
        <f>S935-P935</f>
        <v/>
      </c>
      <c r="AN935" s="20">
        <f>IF(AH935=1,MAX(0,P935-S935),0)</f>
        <v/>
      </c>
      <c r="AO935" s="21">
        <f>IFERROR(S935/P935,"")</f>
        <v/>
      </c>
      <c r="AP935" s="22">
        <f>IF(Y935="","",P935/Y935)</f>
        <v/>
      </c>
      <c r="AQ935" s="39">
        <f>IF(Y935="",0,1)</f>
        <v/>
      </c>
      <c r="AR935" s="39">
        <f>IF(S935&lt;=0,1,0)</f>
        <v/>
      </c>
      <c r="AS935" s="17">
        <f>IF(AH935=1,AG935,"")</f>
        <v/>
      </c>
      <c r="AT935" s="17">
        <f>IF(AND(AH935=0,AJ935=1),AG935,"")</f>
        <v/>
      </c>
      <c r="AU935" s="5">
        <f>IF(P935&lt;10000,"Under $10K",IF(P935&lt;20000,"$10-20K",IF(P935&lt;30000,"$20-30K",IF(P935&lt;50000,"$30-50K",IF(P935&lt;100000,"$50-100K","$100K+")))))</f>
        <v/>
      </c>
      <c r="AV935" s="5">
        <f>IF(O935&lt;=1.35,"1.35 and under",IF(O935&lt;=1.42,"1.36-1.42",IF(O935&lt;=1.45,"1.43-1.45",IF(O935&lt;1.49,"1.46-1.48",IF(O935&lt;=1.49,"1.49","Above 1.49")))))</f>
        <v/>
      </c>
      <c r="AW935" s="5">
        <f>IF(AE935="","",IF(AE935&lt;60,"Under 60",IF(AE935&lt;90,"60-89",IF(AE935&lt;120,"90-119",IF(AE935&lt;150,"120-149","150+")))))</f>
        <v/>
      </c>
      <c r="AX935" s="5">
        <f>IF(AP935="","No revenue data",IF(AP935&lt;0.15,"Under 0.15x",IF(AP935&lt;0.3,"0.15-0.30x",IF(AP935&lt;0.5,"0.30-0.50x",IF(AP935&lt;1,"0.50-1.00x","1.00x+")))))</f>
        <v/>
      </c>
      <c r="AY935" s="5">
        <f>IF(J935="","No SIC",IFERROR(VLOOKUP(J935,Ref!$A$4:$C$67,2,FALSE()),"Unclassified"))</f>
        <v/>
      </c>
      <c r="AZ935" s="5">
        <f>IF(E935="","",TEXT(E935,"YYYY")&amp;"-Q"&amp;ROUNDUP(MONTH(E935)/3,0))</f>
        <v/>
      </c>
      <c r="BA935" s="5">
        <f>IF(E935="","",TEXT(E935,"YYYY-MM"))</f>
        <v/>
      </c>
      <c r="BB935" s="5">
        <f>IF(E935="","",TEXT(E935,"YYYY"))</f>
        <v/>
      </c>
      <c r="BC935" s="92">
        <f>IF($E935="","",NETWORKDAYS($E935,Controls!$B$9,Ref!$F$4:$F$47))</f>
        <v/>
      </c>
      <c r="BD935" s="92">
        <f>IF(OR($AH935=1,$AJ935=1),1,0)</f>
        <v/>
      </c>
      <c r="BE935" s="95">
        <f>IF(OR($BD935=1,AND($AE935&lt;&gt;"",$BC935&gt;=Controls!$B$10*$AE935)),1,0)</f>
        <v/>
      </c>
    </row>
    <row r="936" ht="15.75" customHeight="1" s="79">
      <c r="A936" s="5" t="inlineStr">
        <is>
          <t>5674184866</t>
        </is>
      </c>
      <c r="B936" s="5" t="inlineStr">
        <is>
          <t>Cokd Regent LLC</t>
        </is>
      </c>
      <c r="C936" s="5" t="inlineStr">
        <is>
          <t>Cokd Regent LLC</t>
        </is>
      </c>
      <c r="D936" s="5" t="inlineStr">
        <is>
          <t>Open</t>
        </is>
      </c>
      <c r="E936" s="16" t="n">
        <v>46177</v>
      </c>
      <c r="F936" s="16" t="n">
        <v>46248</v>
      </c>
      <c r="G936" s="17" t="n">
        <v>3</v>
      </c>
      <c r="H936" s="5" t="inlineStr">
        <is>
          <t>5812</t>
        </is>
      </c>
      <c r="I936" s="5" t="inlineStr">
        <is>
          <t>Snack and Nonalcoholic Beverage Bars</t>
        </is>
      </c>
      <c r="J936" s="5" t="inlineStr">
        <is>
          <t>58</t>
        </is>
      </c>
      <c r="K936" s="5" t="n">
        <v>5812</v>
      </c>
      <c r="L936" s="5" t="inlineStr">
        <is>
          <t>TX</t>
        </is>
      </c>
      <c r="M936" s="5" t="inlineStr">
        <is>
          <t>Credibly</t>
        </is>
      </c>
      <c r="N936" s="5" t="inlineStr">
        <is>
          <t>New Deal</t>
        </is>
      </c>
      <c r="O936" s="19" t="n">
        <v>1.35</v>
      </c>
      <c r="P936" s="20" t="n">
        <v>25000</v>
      </c>
      <c r="Q936" s="20" t="n">
        <v>1750</v>
      </c>
      <c r="R936" s="20" t="n">
        <v>33750</v>
      </c>
      <c r="S936" s="20" t="n">
        <v>12982.9</v>
      </c>
      <c r="T936" s="20" t="n">
        <v>20767.1</v>
      </c>
      <c r="U936" s="21" t="n">
        <v>0.384678518518519</v>
      </c>
      <c r="V936" s="22" t="n">
        <v>26</v>
      </c>
      <c r="W936" s="17" t="n">
        <v>5</v>
      </c>
      <c r="X936" s="17" t="n">
        <v>0</v>
      </c>
      <c r="Y936" s="20" t="n">
        <v>124536.26</v>
      </c>
      <c r="Z936" s="21" t="n">
        <v>0.0417</v>
      </c>
      <c r="AA936" s="16" t="n">
        <v>45643</v>
      </c>
      <c r="AB936" s="5">
        <f>IF(V936="","",IF(V936&lt;12,"Months","Weeks"))</f>
        <v/>
      </c>
      <c r="AC936" s="5">
        <f>IF(AB936="","",IF(AB936="Months","Daily","Weekly"))</f>
        <v/>
      </c>
      <c r="AD936" s="17">
        <f>IF(V936="","",IF(AC936="Daily",V936*Controls!$B$13,V936))</f>
        <v/>
      </c>
      <c r="AE936" s="17">
        <f>IF(V936="","",IF(AC936="Daily",V936*Controls!$B$13,V936*Controls!$B$12))</f>
        <v/>
      </c>
      <c r="AF936" s="17">
        <f>IF(OR(E936="",F936=""),"",F936-E936)</f>
        <v/>
      </c>
      <c r="AG936" s="17">
        <f>IF(OR(E936="",F936=""),"",NETWORKDAYS(E936,F936,Ref!$F$4:$F$47))</f>
        <v/>
      </c>
      <c r="AH936" s="39">
        <f>IF(IFERROR(VLOOKUP(D936,Controls!$A$25:$D$35,2,FALSE()),"No")="Yes",1,0)</f>
        <v/>
      </c>
      <c r="AI936" s="39">
        <f>IF(IFERROR(VLOOKUP(D936,Controls!$A$25:$D$35,3,FALSE()),"No")="Yes",1,0)</f>
        <v/>
      </c>
      <c r="AJ936" s="39">
        <f>IF(IFERROR(VLOOKUP(D936,Controls!$A$25:$D$35,4,FALSE()),"No")="Yes",1,0)</f>
        <v/>
      </c>
      <c r="AK936" s="96">
        <f>IF(AND($E936&gt;=Controls!$B$5,$E936&lt;=Controls!$B$6,OR(Controls!$E$9&lt;&gt;"Y",$BE936=1)),1,0)</f>
        <v/>
      </c>
      <c r="AL936" s="39">
        <f>1</f>
        <v/>
      </c>
      <c r="AM936" s="20">
        <f>S936-P936</f>
        <v/>
      </c>
      <c r="AN936" s="20">
        <f>IF(AH936=1,MAX(0,P936-S936),0)</f>
        <v/>
      </c>
      <c r="AO936" s="21">
        <f>IFERROR(S936/P936,"")</f>
        <v/>
      </c>
      <c r="AP936" s="22">
        <f>IF(Y936="","",P936/Y936)</f>
        <v/>
      </c>
      <c r="AQ936" s="39">
        <f>IF(Y936="",0,1)</f>
        <v/>
      </c>
      <c r="AR936" s="39">
        <f>IF(S936&lt;=0,1,0)</f>
        <v/>
      </c>
      <c r="AS936" s="17">
        <f>IF(AH936=1,AG936,"")</f>
        <v/>
      </c>
      <c r="AT936" s="17">
        <f>IF(AND(AH936=0,AJ936=1),AG936,"")</f>
        <v/>
      </c>
      <c r="AU936" s="5">
        <f>IF(P936&lt;10000,"Under $10K",IF(P936&lt;20000,"$10-20K",IF(P936&lt;30000,"$20-30K",IF(P936&lt;50000,"$30-50K",IF(P936&lt;100000,"$50-100K","$100K+")))))</f>
        <v/>
      </c>
      <c r="AV936" s="5">
        <f>IF(O936&lt;=1.35,"1.35 and under",IF(O936&lt;=1.42,"1.36-1.42",IF(O936&lt;=1.45,"1.43-1.45",IF(O936&lt;1.49,"1.46-1.48",IF(O936&lt;=1.49,"1.49","Above 1.49")))))</f>
        <v/>
      </c>
      <c r="AW936" s="5">
        <f>IF(AE936="","",IF(AE936&lt;60,"Under 60",IF(AE936&lt;90,"60-89",IF(AE936&lt;120,"90-119",IF(AE936&lt;150,"120-149","150+")))))</f>
        <v/>
      </c>
      <c r="AX936" s="5">
        <f>IF(AP936="","No revenue data",IF(AP936&lt;0.15,"Under 0.15x",IF(AP936&lt;0.3,"0.15-0.30x",IF(AP936&lt;0.5,"0.30-0.50x",IF(AP936&lt;1,"0.50-1.00x","1.00x+")))))</f>
        <v/>
      </c>
      <c r="AY936" s="5">
        <f>IF(J936="","No SIC",IFERROR(VLOOKUP(J936,Ref!$A$4:$C$67,2,FALSE()),"Unclassified"))</f>
        <v/>
      </c>
      <c r="AZ936" s="5">
        <f>IF(E936="","",TEXT(E936,"YYYY")&amp;"-Q"&amp;ROUNDUP(MONTH(E936)/3,0))</f>
        <v/>
      </c>
      <c r="BA936" s="5">
        <f>IF(E936="","",TEXT(E936,"YYYY-MM"))</f>
        <v/>
      </c>
      <c r="BB936" s="5">
        <f>IF(E936="","",TEXT(E936,"YYYY"))</f>
        <v/>
      </c>
      <c r="BC936" s="92">
        <f>IF($E936="","",NETWORKDAYS($E936,Controls!$B$9,Ref!$F$4:$F$47))</f>
        <v/>
      </c>
      <c r="BD936" s="92">
        <f>IF(OR($AH936=1,$AJ936=1),1,0)</f>
        <v/>
      </c>
      <c r="BE936" s="95">
        <f>IF(OR($BD936=1,AND($AE936&lt;&gt;"",$BC936&gt;=Controls!$B$10*$AE936)),1,0)</f>
        <v/>
      </c>
    </row>
    <row r="937" ht="15.75" customHeight="1" s="79">
      <c r="A937" s="5" t="inlineStr">
        <is>
          <t>5674184898</t>
        </is>
      </c>
      <c r="B937" s="5" t="inlineStr">
        <is>
          <t>4Rocks Arena</t>
        </is>
      </c>
      <c r="C937" s="5" t="inlineStr">
        <is>
          <t>4Rocks Arena</t>
        </is>
      </c>
      <c r="D937" s="5" t="inlineStr">
        <is>
          <t>Open</t>
        </is>
      </c>
      <c r="E937" s="16" t="n">
        <v>46177</v>
      </c>
      <c r="F937" s="16" t="n">
        <v>46241</v>
      </c>
      <c r="G937" s="17" t="n">
        <v>3</v>
      </c>
      <c r="H937" s="5" t="inlineStr">
        <is>
          <t>5999</t>
        </is>
      </c>
      <c r="I937" s="5" t="inlineStr">
        <is>
          <t>All Other Health and Personal Care Stores</t>
        </is>
      </c>
      <c r="J937" s="5" t="inlineStr">
        <is>
          <t>59</t>
        </is>
      </c>
      <c r="K937" s="5" t="n">
        <v>5999</v>
      </c>
      <c r="L937" s="5" t="inlineStr">
        <is>
          <t>IL</t>
        </is>
      </c>
      <c r="M937" s="5" t="inlineStr">
        <is>
          <t>Fundwell</t>
        </is>
      </c>
      <c r="N937" s="5" t="inlineStr">
        <is>
          <t>New Deal</t>
        </is>
      </c>
      <c r="O937" s="19" t="n">
        <v>1.35</v>
      </c>
      <c r="P937" s="20" t="n">
        <v>3000</v>
      </c>
      <c r="Q937" s="20" t="n">
        <v>210</v>
      </c>
      <c r="R937" s="20" t="n">
        <v>4050</v>
      </c>
      <c r="S937" s="20" t="n">
        <v>1999.62</v>
      </c>
      <c r="T937" s="20" t="n">
        <v>2050.38</v>
      </c>
      <c r="U937" s="21" t="n">
        <v>0.493733333333333</v>
      </c>
      <c r="V937" s="22" t="n">
        <v>2.787</v>
      </c>
      <c r="W937" s="17" t="n">
        <v>12</v>
      </c>
      <c r="X937" s="17" t="n">
        <v>2</v>
      </c>
      <c r="Y937" s="20" t="n">
        <v>26520.15</v>
      </c>
      <c r="Z937" s="21" t="n">
        <v>0.0377</v>
      </c>
      <c r="AA937" s="16" t="n">
        <v>42917</v>
      </c>
      <c r="AB937" s="5">
        <f>IF(V937="","",IF(V937&lt;12,"Months","Weeks"))</f>
        <v/>
      </c>
      <c r="AC937" s="5">
        <f>IF(AB937="","",IF(AB937="Months","Daily","Weekly"))</f>
        <v/>
      </c>
      <c r="AD937" s="17">
        <f>IF(V937="","",IF(AC937="Daily",V937*Controls!$B$13,V937))</f>
        <v/>
      </c>
      <c r="AE937" s="17">
        <f>IF(V937="","",IF(AC937="Daily",V937*Controls!$B$13,V937*Controls!$B$12))</f>
        <v/>
      </c>
      <c r="AF937" s="17">
        <f>IF(OR(E937="",F937=""),"",F937-E937)</f>
        <v/>
      </c>
      <c r="AG937" s="17">
        <f>IF(OR(E937="",F937=""),"",NETWORKDAYS(E937,F937,Ref!$F$4:$F$47))</f>
        <v/>
      </c>
      <c r="AH937" s="39">
        <f>IF(IFERROR(VLOOKUP(D937,Controls!$A$25:$D$35,2,FALSE()),"No")="Yes",1,0)</f>
        <v/>
      </c>
      <c r="AI937" s="39">
        <f>IF(IFERROR(VLOOKUP(D937,Controls!$A$25:$D$35,3,FALSE()),"No")="Yes",1,0)</f>
        <v/>
      </c>
      <c r="AJ937" s="39">
        <f>IF(IFERROR(VLOOKUP(D937,Controls!$A$25:$D$35,4,FALSE()),"No")="Yes",1,0)</f>
        <v/>
      </c>
      <c r="AK937" s="96">
        <f>IF(AND($E937&gt;=Controls!$B$5,$E937&lt;=Controls!$B$6,OR(Controls!$E$9&lt;&gt;"Y",$BE937=1)),1,0)</f>
        <v/>
      </c>
      <c r="AL937" s="39">
        <f>1</f>
        <v/>
      </c>
      <c r="AM937" s="20">
        <f>S937-P937</f>
        <v/>
      </c>
      <c r="AN937" s="20">
        <f>IF(AH937=1,MAX(0,P937-S937),0)</f>
        <v/>
      </c>
      <c r="AO937" s="21">
        <f>IFERROR(S937/P937,"")</f>
        <v/>
      </c>
      <c r="AP937" s="22">
        <f>IF(Y937="","",P937/Y937)</f>
        <v/>
      </c>
      <c r="AQ937" s="39">
        <f>IF(Y937="",0,1)</f>
        <v/>
      </c>
      <c r="AR937" s="39">
        <f>IF(S937&lt;=0,1,0)</f>
        <v/>
      </c>
      <c r="AS937" s="17">
        <f>IF(AH937=1,AG937,"")</f>
        <v/>
      </c>
      <c r="AT937" s="17">
        <f>IF(AND(AH937=0,AJ937=1),AG937,"")</f>
        <v/>
      </c>
      <c r="AU937" s="5">
        <f>IF(P937&lt;10000,"Under $10K",IF(P937&lt;20000,"$10-20K",IF(P937&lt;30000,"$20-30K",IF(P937&lt;50000,"$30-50K",IF(P937&lt;100000,"$50-100K","$100K+")))))</f>
        <v/>
      </c>
      <c r="AV937" s="5">
        <f>IF(O937&lt;=1.35,"1.35 and under",IF(O937&lt;=1.42,"1.36-1.42",IF(O937&lt;=1.45,"1.43-1.45",IF(O937&lt;1.49,"1.46-1.48",IF(O937&lt;=1.49,"1.49","Above 1.49")))))</f>
        <v/>
      </c>
      <c r="AW937" s="5">
        <f>IF(AE937="","",IF(AE937&lt;60,"Under 60",IF(AE937&lt;90,"60-89",IF(AE937&lt;120,"90-119",IF(AE937&lt;150,"120-149","150+")))))</f>
        <v/>
      </c>
      <c r="AX937" s="5">
        <f>IF(AP937="","No revenue data",IF(AP937&lt;0.15,"Under 0.15x",IF(AP937&lt;0.3,"0.15-0.30x",IF(AP937&lt;0.5,"0.30-0.50x",IF(AP937&lt;1,"0.50-1.00x","1.00x+")))))</f>
        <v/>
      </c>
      <c r="AY937" s="5">
        <f>IF(J937="","No SIC",IFERROR(VLOOKUP(J937,Ref!$A$4:$C$67,2,FALSE()),"Unclassified"))</f>
        <v/>
      </c>
      <c r="AZ937" s="5">
        <f>IF(E937="","",TEXT(E937,"YYYY")&amp;"-Q"&amp;ROUNDUP(MONTH(E937)/3,0))</f>
        <v/>
      </c>
      <c r="BA937" s="5">
        <f>IF(E937="","",TEXT(E937,"YYYY-MM"))</f>
        <v/>
      </c>
      <c r="BB937" s="5">
        <f>IF(E937="","",TEXT(E937,"YYYY"))</f>
        <v/>
      </c>
      <c r="BC937" s="92">
        <f>IF($E937="","",NETWORKDAYS($E937,Controls!$B$9,Ref!$F$4:$F$47))</f>
        <v/>
      </c>
      <c r="BD937" s="92">
        <f>IF(OR($AH937=1,$AJ937=1),1,0)</f>
        <v/>
      </c>
      <c r="BE937" s="95">
        <f>IF(OR($BD937=1,AND($AE937&lt;&gt;"",$BC937&gt;=Controls!$B$10*$AE937)),1,0)</f>
        <v/>
      </c>
    </row>
    <row r="938" ht="15.75" customHeight="1" s="79">
      <c r="A938" s="5" t="inlineStr">
        <is>
          <t>5674184975</t>
        </is>
      </c>
      <c r="B938" s="5" t="inlineStr">
        <is>
          <t>Eod</t>
        </is>
      </c>
      <c r="C938" s="5" t="inlineStr">
        <is>
          <t>Eod</t>
        </is>
      </c>
      <c r="D938" s="5" t="inlineStr">
        <is>
          <t>In House Collection</t>
        </is>
      </c>
      <c r="E938" s="16" t="n">
        <v>46178</v>
      </c>
      <c r="F938" s="16" t="n">
        <v>46232</v>
      </c>
      <c r="G938" s="17" t="n">
        <v>3</v>
      </c>
      <c r="H938" s="5" t="inlineStr">
        <is>
          <t>5999</t>
        </is>
      </c>
      <c r="I938" s="5" t="inlineStr">
        <is>
          <t>All Other Misc. Store Retailers (Except Tobacco Stores)</t>
        </is>
      </c>
      <c r="J938" s="5" t="inlineStr">
        <is>
          <t>59</t>
        </is>
      </c>
      <c r="K938" s="5" t="n">
        <v>5999</v>
      </c>
      <c r="L938" s="5" t="inlineStr">
        <is>
          <t>FL</t>
        </is>
      </c>
      <c r="M938" s="5" t="inlineStr">
        <is>
          <t>PMF</t>
        </is>
      </c>
      <c r="N938" s="5" t="inlineStr">
        <is>
          <t>New Deal</t>
        </is>
      </c>
      <c r="O938" s="19" t="n">
        <v>1.49</v>
      </c>
      <c r="P938" s="20" t="n">
        <v>12000</v>
      </c>
      <c r="Q938" s="20" t="n">
        <v>0</v>
      </c>
      <c r="R938" s="20" t="n">
        <v>17880</v>
      </c>
      <c r="S938" s="20" t="n">
        <v>1563.52</v>
      </c>
      <c r="T938" s="20" t="n">
        <v>16316.48</v>
      </c>
      <c r="U938" s="21" t="n">
        <v>0.0874451901565995</v>
      </c>
      <c r="V938" s="22" t="n">
        <v>2.623</v>
      </c>
      <c r="W938" s="17" t="n">
        <v>58</v>
      </c>
      <c r="X938" s="17" t="n">
        <v>29</v>
      </c>
      <c r="Y938" s="20" t="n">
        <v>137960.35</v>
      </c>
      <c r="Z938" s="21" t="n">
        <v>0.034</v>
      </c>
      <c r="AA938" s="16" t="n">
        <v>45778</v>
      </c>
      <c r="AB938" s="5">
        <f>IF(V938="","",IF(V938&lt;12,"Months","Weeks"))</f>
        <v/>
      </c>
      <c r="AC938" s="5">
        <f>IF(AB938="","",IF(AB938="Months","Daily","Weekly"))</f>
        <v/>
      </c>
      <c r="AD938" s="17">
        <f>IF(V938="","",IF(AC938="Daily",V938*Controls!$B$13,V938))</f>
        <v/>
      </c>
      <c r="AE938" s="17">
        <f>IF(V938="","",IF(AC938="Daily",V938*Controls!$B$13,V938*Controls!$B$12))</f>
        <v/>
      </c>
      <c r="AF938" s="17">
        <f>IF(OR(E938="",F938=""),"",F938-E938)</f>
        <v/>
      </c>
      <c r="AG938" s="17">
        <f>IF(OR(E938="",F938=""),"",NETWORKDAYS(E938,F938,Ref!$F$4:$F$47))</f>
        <v/>
      </c>
      <c r="AH938" s="39">
        <f>IF(IFERROR(VLOOKUP(D938,Controls!$A$25:$D$35,2,FALSE()),"No")="Yes",1,0)</f>
        <v/>
      </c>
      <c r="AI938" s="39">
        <f>IF(IFERROR(VLOOKUP(D938,Controls!$A$25:$D$35,3,FALSE()),"No")="Yes",1,0)</f>
        <v/>
      </c>
      <c r="AJ938" s="39">
        <f>IF(IFERROR(VLOOKUP(D938,Controls!$A$25:$D$35,4,FALSE()),"No")="Yes",1,0)</f>
        <v/>
      </c>
      <c r="AK938" s="96">
        <f>IF(AND($E938&gt;=Controls!$B$5,$E938&lt;=Controls!$B$6,OR(Controls!$E$9&lt;&gt;"Y",$BE938=1)),1,0)</f>
        <v/>
      </c>
      <c r="AL938" s="39">
        <f>1</f>
        <v/>
      </c>
      <c r="AM938" s="20">
        <f>S938-P938</f>
        <v/>
      </c>
      <c r="AN938" s="20">
        <f>IF(AH938=1,MAX(0,P938-S938),0)</f>
        <v/>
      </c>
      <c r="AO938" s="21">
        <f>IFERROR(S938/P938,"")</f>
        <v/>
      </c>
      <c r="AP938" s="22">
        <f>IF(Y938="","",P938/Y938)</f>
        <v/>
      </c>
      <c r="AQ938" s="39">
        <f>IF(Y938="",0,1)</f>
        <v/>
      </c>
      <c r="AR938" s="39">
        <f>IF(S938&lt;=0,1,0)</f>
        <v/>
      </c>
      <c r="AS938" s="17">
        <f>IF(AH938=1,AG938,"")</f>
        <v/>
      </c>
      <c r="AT938" s="17">
        <f>IF(AND(AH938=0,AJ938=1),AG938,"")</f>
        <v/>
      </c>
      <c r="AU938" s="5">
        <f>IF(P938&lt;10000,"Under $10K",IF(P938&lt;20000,"$10-20K",IF(P938&lt;30000,"$20-30K",IF(P938&lt;50000,"$30-50K",IF(P938&lt;100000,"$50-100K","$100K+")))))</f>
        <v/>
      </c>
      <c r="AV938" s="5">
        <f>IF(O938&lt;=1.35,"1.35 and under",IF(O938&lt;=1.42,"1.36-1.42",IF(O938&lt;=1.45,"1.43-1.45",IF(O938&lt;1.49,"1.46-1.48",IF(O938&lt;=1.49,"1.49","Above 1.49")))))</f>
        <v/>
      </c>
      <c r="AW938" s="5">
        <f>IF(AE938="","",IF(AE938&lt;60,"Under 60",IF(AE938&lt;90,"60-89",IF(AE938&lt;120,"90-119",IF(AE938&lt;150,"120-149","150+")))))</f>
        <v/>
      </c>
      <c r="AX938" s="5">
        <f>IF(AP938="","No revenue data",IF(AP938&lt;0.15,"Under 0.15x",IF(AP938&lt;0.3,"0.15-0.30x",IF(AP938&lt;0.5,"0.30-0.50x",IF(AP938&lt;1,"0.50-1.00x","1.00x+")))))</f>
        <v/>
      </c>
      <c r="AY938" s="5">
        <f>IF(J938="","No SIC",IFERROR(VLOOKUP(J938,Ref!$A$4:$C$67,2,FALSE()),"Unclassified"))</f>
        <v/>
      </c>
      <c r="AZ938" s="5">
        <f>IF(E938="","",TEXT(E938,"YYYY")&amp;"-Q"&amp;ROUNDUP(MONTH(E938)/3,0))</f>
        <v/>
      </c>
      <c r="BA938" s="5">
        <f>IF(E938="","",TEXT(E938,"YYYY-MM"))</f>
        <v/>
      </c>
      <c r="BB938" s="5">
        <f>IF(E938="","",TEXT(E938,"YYYY"))</f>
        <v/>
      </c>
      <c r="BC938" s="92">
        <f>IF($E938="","",NETWORKDAYS($E938,Controls!$B$9,Ref!$F$4:$F$47))</f>
        <v/>
      </c>
      <c r="BD938" s="92">
        <f>IF(OR($AH938=1,$AJ938=1),1,0)</f>
        <v/>
      </c>
      <c r="BE938" s="95">
        <f>IF(OR($BD938=1,AND($AE938&lt;&gt;"",$BC938&gt;=Controls!$B$10*$AE938)),1,0)</f>
        <v/>
      </c>
    </row>
    <row r="939" ht="15.75" customHeight="1" s="79">
      <c r="A939" s="5" t="inlineStr">
        <is>
          <t>5674184987</t>
        </is>
      </c>
      <c r="B939" s="5" t="inlineStr">
        <is>
          <t>SPOTLESS RESTORATION DBA JEFFREY BENSON MBR</t>
        </is>
      </c>
      <c r="C939" s="5" t="inlineStr">
        <is>
          <t>SPOTLESS RESTORATION LLC</t>
        </is>
      </c>
      <c r="D939" s="5" t="inlineStr">
        <is>
          <t>Open</t>
        </is>
      </c>
      <c r="E939" s="16" t="n">
        <v>46178</v>
      </c>
      <c r="F939" s="16" t="n">
        <v>46253</v>
      </c>
      <c r="G939" s="17" t="n">
        <v>3</v>
      </c>
      <c r="H939" s="5" t="inlineStr">
        <is>
          <t>1799</t>
        </is>
      </c>
      <c r="I939" s="5" t="inlineStr">
        <is>
          <t>Commercial and Institutional Building Construction</t>
        </is>
      </c>
      <c r="J939" s="5" t="inlineStr">
        <is>
          <t>17</t>
        </is>
      </c>
      <c r="K939" s="5" t="n">
        <v>1799</v>
      </c>
      <c r="L939" s="5" t="inlineStr">
        <is>
          <t>TX</t>
        </is>
      </c>
      <c r="M939" s="5" t="inlineStr">
        <is>
          <t>Capfront Funding</t>
        </is>
      </c>
      <c r="N939" s="5" t="inlineStr">
        <is>
          <t>New Deal</t>
        </is>
      </c>
      <c r="O939" s="19" t="n">
        <v>1.45</v>
      </c>
      <c r="P939" s="20" t="n">
        <v>35000</v>
      </c>
      <c r="Q939" s="20" t="n">
        <v>4200</v>
      </c>
      <c r="R939" s="20" t="n">
        <v>50750</v>
      </c>
      <c r="S939" s="20" t="n">
        <v>25362</v>
      </c>
      <c r="T939" s="20" t="n">
        <v>25388</v>
      </c>
      <c r="U939" s="21" t="n">
        <v>0.499743842364532</v>
      </c>
      <c r="V939" s="22" t="n">
        <v>3.279</v>
      </c>
      <c r="W939" s="17" t="n">
        <v>0</v>
      </c>
      <c r="X939" s="17" t="n">
        <v>2</v>
      </c>
      <c r="Y939" s="20" t="n">
        <v>332213.84</v>
      </c>
      <c r="Z939" s="21" t="n">
        <v>0.0588</v>
      </c>
      <c r="AA939" s="16" t="n">
        <v>42901</v>
      </c>
      <c r="AB939" s="5">
        <f>IF(V939="","",IF(V939&lt;12,"Months","Weeks"))</f>
        <v/>
      </c>
      <c r="AC939" s="5">
        <f>IF(AB939="","",IF(AB939="Months","Daily","Weekly"))</f>
        <v/>
      </c>
      <c r="AD939" s="17">
        <f>IF(V939="","",IF(AC939="Daily",V939*Controls!$B$13,V939))</f>
        <v/>
      </c>
      <c r="AE939" s="17">
        <f>IF(V939="","",IF(AC939="Daily",V939*Controls!$B$13,V939*Controls!$B$12))</f>
        <v/>
      </c>
      <c r="AF939" s="17">
        <f>IF(OR(E939="",F939=""),"",F939-E939)</f>
        <v/>
      </c>
      <c r="AG939" s="17">
        <f>IF(OR(E939="",F939=""),"",NETWORKDAYS(E939,F939,Ref!$F$4:$F$47))</f>
        <v/>
      </c>
      <c r="AH939" s="39">
        <f>IF(IFERROR(VLOOKUP(D939,Controls!$A$25:$D$35,2,FALSE()),"No")="Yes",1,0)</f>
        <v/>
      </c>
      <c r="AI939" s="39">
        <f>IF(IFERROR(VLOOKUP(D939,Controls!$A$25:$D$35,3,FALSE()),"No")="Yes",1,0)</f>
        <v/>
      </c>
      <c r="AJ939" s="39">
        <f>IF(IFERROR(VLOOKUP(D939,Controls!$A$25:$D$35,4,FALSE()),"No")="Yes",1,0)</f>
        <v/>
      </c>
      <c r="AK939" s="96">
        <f>IF(AND($E939&gt;=Controls!$B$5,$E939&lt;=Controls!$B$6,OR(Controls!$E$9&lt;&gt;"Y",$BE939=1)),1,0)</f>
        <v/>
      </c>
      <c r="AL939" s="39">
        <f>1</f>
        <v/>
      </c>
      <c r="AM939" s="20">
        <f>S939-P939</f>
        <v/>
      </c>
      <c r="AN939" s="20">
        <f>IF(AH939=1,MAX(0,P939-S939),0)</f>
        <v/>
      </c>
      <c r="AO939" s="21">
        <f>IFERROR(S939/P939,"")</f>
        <v/>
      </c>
      <c r="AP939" s="22">
        <f>IF(Y939="","",P939/Y939)</f>
        <v/>
      </c>
      <c r="AQ939" s="39">
        <f>IF(Y939="",0,1)</f>
        <v/>
      </c>
      <c r="AR939" s="39">
        <f>IF(S939&lt;=0,1,0)</f>
        <v/>
      </c>
      <c r="AS939" s="17">
        <f>IF(AH939=1,AG939,"")</f>
        <v/>
      </c>
      <c r="AT939" s="17">
        <f>IF(AND(AH939=0,AJ939=1),AG939,"")</f>
        <v/>
      </c>
      <c r="AU939" s="5">
        <f>IF(P939&lt;10000,"Under $10K",IF(P939&lt;20000,"$10-20K",IF(P939&lt;30000,"$20-30K",IF(P939&lt;50000,"$30-50K",IF(P939&lt;100000,"$50-100K","$100K+")))))</f>
        <v/>
      </c>
      <c r="AV939" s="5">
        <f>IF(O939&lt;=1.35,"1.35 and under",IF(O939&lt;=1.42,"1.36-1.42",IF(O939&lt;=1.45,"1.43-1.45",IF(O939&lt;1.49,"1.46-1.48",IF(O939&lt;=1.49,"1.49","Above 1.49")))))</f>
        <v/>
      </c>
      <c r="AW939" s="5">
        <f>IF(AE939="","",IF(AE939&lt;60,"Under 60",IF(AE939&lt;90,"60-89",IF(AE939&lt;120,"90-119",IF(AE939&lt;150,"120-149","150+")))))</f>
        <v/>
      </c>
      <c r="AX939" s="5">
        <f>IF(AP939="","No revenue data",IF(AP939&lt;0.15,"Under 0.15x",IF(AP939&lt;0.3,"0.15-0.30x",IF(AP939&lt;0.5,"0.30-0.50x",IF(AP939&lt;1,"0.50-1.00x","1.00x+")))))</f>
        <v/>
      </c>
      <c r="AY939" s="5">
        <f>IF(J939="","No SIC",IFERROR(VLOOKUP(J939,Ref!$A$4:$C$67,2,FALSE()),"Unclassified"))</f>
        <v/>
      </c>
      <c r="AZ939" s="5">
        <f>IF(E939="","",TEXT(E939,"YYYY")&amp;"-Q"&amp;ROUNDUP(MONTH(E939)/3,0))</f>
        <v/>
      </c>
      <c r="BA939" s="5">
        <f>IF(E939="","",TEXT(E939,"YYYY-MM"))</f>
        <v/>
      </c>
      <c r="BB939" s="5">
        <f>IF(E939="","",TEXT(E939,"YYYY"))</f>
        <v/>
      </c>
      <c r="BC939" s="92">
        <f>IF($E939="","",NETWORKDAYS($E939,Controls!$B$9,Ref!$F$4:$F$47))</f>
        <v/>
      </c>
      <c r="BD939" s="92">
        <f>IF(OR($AH939=1,$AJ939=1),1,0)</f>
        <v/>
      </c>
      <c r="BE939" s="95">
        <f>IF(OR($BD939=1,AND($AE939&lt;&gt;"",$BC939&gt;=Controls!$B$10*$AE939)),1,0)</f>
        <v/>
      </c>
    </row>
    <row r="940" ht="15.75" customHeight="1" s="79">
      <c r="A940" s="5" t="inlineStr">
        <is>
          <t>5674185011</t>
        </is>
      </c>
      <c r="B940" s="5" t="inlineStr">
        <is>
          <t>All inclusive service station Corp</t>
        </is>
      </c>
      <c r="C940" s="5" t="inlineStr">
        <is>
          <t>All inclusive service station Corp</t>
        </is>
      </c>
      <c r="D940" s="5" t="inlineStr">
        <is>
          <t>Open</t>
        </is>
      </c>
      <c r="E940" s="16" t="n">
        <v>46181</v>
      </c>
      <c r="F940" s="16" t="n">
        <v>46247</v>
      </c>
      <c r="G940" s="17" t="n">
        <v>6</v>
      </c>
      <c r="H940" s="5" t="inlineStr">
        <is>
          <t>5541</t>
        </is>
      </c>
      <c r="I940" s="5" t="inlineStr">
        <is>
          <t>Gasoline Stations with Convenience Stores</t>
        </is>
      </c>
      <c r="J940" s="5" t="inlineStr">
        <is>
          <t>55</t>
        </is>
      </c>
      <c r="K940" s="5" t="n">
        <v>5541</v>
      </c>
      <c r="L940" s="5" t="inlineStr">
        <is>
          <t>PR</t>
        </is>
      </c>
      <c r="M940" s="5" t="inlineStr">
        <is>
          <t>ontime cap</t>
        </is>
      </c>
      <c r="N940" s="5" t="inlineStr">
        <is>
          <t>Renewal</t>
        </is>
      </c>
      <c r="O940" s="19" t="n">
        <v>1.49</v>
      </c>
      <c r="P940" s="20" t="n">
        <v>50000</v>
      </c>
      <c r="Q940" s="20" t="n">
        <v>7000</v>
      </c>
      <c r="R940" s="20" t="n">
        <v>74500</v>
      </c>
      <c r="S940" s="20" t="n">
        <v>74500</v>
      </c>
      <c r="T940" s="20" t="n">
        <v>0</v>
      </c>
      <c r="U940" s="21" t="n">
        <v>1</v>
      </c>
      <c r="V940" s="22" t="n">
        <v>2.459</v>
      </c>
      <c r="W940" s="17" t="n">
        <v>6</v>
      </c>
      <c r="X940" s="17" t="n">
        <v>0</v>
      </c>
      <c r="Y940" s="20" t="n">
        <v>541580.4</v>
      </c>
      <c r="Z940" s="21" t="n">
        <v>0.0553</v>
      </c>
      <c r="AA940" s="16" t="n">
        <v>42535</v>
      </c>
      <c r="AB940" s="5">
        <f>IF(V940="","",IF(V940&lt;12,"Months","Weeks"))</f>
        <v/>
      </c>
      <c r="AC940" s="5">
        <f>IF(AB940="","",IF(AB940="Months","Daily","Weekly"))</f>
        <v/>
      </c>
      <c r="AD940" s="17">
        <f>IF(V940="","",IF(AC940="Daily",V940*Controls!$B$13,V940))</f>
        <v/>
      </c>
      <c r="AE940" s="17">
        <f>IF(V940="","",IF(AC940="Daily",V940*Controls!$B$13,V940*Controls!$B$12))</f>
        <v/>
      </c>
      <c r="AF940" s="17">
        <f>IF(OR(E940="",F940=""),"",F940-E940)</f>
        <v/>
      </c>
      <c r="AG940" s="17">
        <f>IF(OR(E940="",F940=""),"",NETWORKDAYS(E940,F940,Ref!$F$4:$F$47))</f>
        <v/>
      </c>
      <c r="AH940" s="39">
        <f>IF(IFERROR(VLOOKUP(D940,Controls!$A$25:$D$35,2,FALSE()),"No")="Yes",1,0)</f>
        <v/>
      </c>
      <c r="AI940" s="39">
        <f>IF(IFERROR(VLOOKUP(D940,Controls!$A$25:$D$35,3,FALSE()),"No")="Yes",1,0)</f>
        <v/>
      </c>
      <c r="AJ940" s="39">
        <f>IF(IFERROR(VLOOKUP(D940,Controls!$A$25:$D$35,4,FALSE()),"No")="Yes",1,0)</f>
        <v/>
      </c>
      <c r="AK940" s="96">
        <f>IF(AND($E940&gt;=Controls!$B$5,$E940&lt;=Controls!$B$6,OR(Controls!$E$9&lt;&gt;"Y",$BE940=1)),1,0)</f>
        <v/>
      </c>
      <c r="AL940" s="39">
        <f>1</f>
        <v/>
      </c>
      <c r="AM940" s="20">
        <f>S940-P940</f>
        <v/>
      </c>
      <c r="AN940" s="20">
        <f>IF(AH940=1,MAX(0,P940-S940),0)</f>
        <v/>
      </c>
      <c r="AO940" s="21">
        <f>IFERROR(S940/P940,"")</f>
        <v/>
      </c>
      <c r="AP940" s="22">
        <f>IF(Y940="","",P940/Y940)</f>
        <v/>
      </c>
      <c r="AQ940" s="39">
        <f>IF(Y940="",0,1)</f>
        <v/>
      </c>
      <c r="AR940" s="39">
        <f>IF(S940&lt;=0,1,0)</f>
        <v/>
      </c>
      <c r="AS940" s="17">
        <f>IF(AH940=1,AG940,"")</f>
        <v/>
      </c>
      <c r="AT940" s="17">
        <f>IF(AND(AH940=0,AJ940=1),AG940,"")</f>
        <v/>
      </c>
      <c r="AU940" s="5">
        <f>IF(P940&lt;10000,"Under $10K",IF(P940&lt;20000,"$10-20K",IF(P940&lt;30000,"$20-30K",IF(P940&lt;50000,"$30-50K",IF(P940&lt;100000,"$50-100K","$100K+")))))</f>
        <v/>
      </c>
      <c r="AV940" s="5">
        <f>IF(O940&lt;=1.35,"1.35 and under",IF(O940&lt;=1.42,"1.36-1.42",IF(O940&lt;=1.45,"1.43-1.45",IF(O940&lt;1.49,"1.46-1.48",IF(O940&lt;=1.49,"1.49","Above 1.49")))))</f>
        <v/>
      </c>
      <c r="AW940" s="5">
        <f>IF(AE940="","",IF(AE940&lt;60,"Under 60",IF(AE940&lt;90,"60-89",IF(AE940&lt;120,"90-119",IF(AE940&lt;150,"120-149","150+")))))</f>
        <v/>
      </c>
      <c r="AX940" s="5">
        <f>IF(AP940="","No revenue data",IF(AP940&lt;0.15,"Under 0.15x",IF(AP940&lt;0.3,"0.15-0.30x",IF(AP940&lt;0.5,"0.30-0.50x",IF(AP940&lt;1,"0.50-1.00x","1.00x+")))))</f>
        <v/>
      </c>
      <c r="AY940" s="5">
        <f>IF(J940="","No SIC",IFERROR(VLOOKUP(J940,Ref!$A$4:$C$67,2,FALSE()),"Unclassified"))</f>
        <v/>
      </c>
      <c r="AZ940" s="5">
        <f>IF(E940="","",TEXT(E940,"YYYY")&amp;"-Q"&amp;ROUNDUP(MONTH(E940)/3,0))</f>
        <v/>
      </c>
      <c r="BA940" s="5">
        <f>IF(E940="","",TEXT(E940,"YYYY-MM"))</f>
        <v/>
      </c>
      <c r="BB940" s="5">
        <f>IF(E940="","",TEXT(E940,"YYYY"))</f>
        <v/>
      </c>
      <c r="BC940" s="92">
        <f>IF($E940="","",NETWORKDAYS($E940,Controls!$B$9,Ref!$F$4:$F$47))</f>
        <v/>
      </c>
      <c r="BD940" s="92">
        <f>IF(OR($AH940=1,$AJ940=1),1,0)</f>
        <v/>
      </c>
      <c r="BE940" s="95">
        <f>IF(OR($BD940=1,AND($AE940&lt;&gt;"",$BC940&gt;=Controls!$B$10*$AE940)),1,0)</f>
        <v/>
      </c>
    </row>
    <row r="941" ht="15.75" customHeight="1" s="79">
      <c r="A941" s="5" t="inlineStr">
        <is>
          <t>5674185112</t>
        </is>
      </c>
      <c r="B941" s="5" t="inlineStr">
        <is>
          <t>A Better Child Care 3</t>
        </is>
      </c>
      <c r="C941" s="5" t="inlineStr">
        <is>
          <t>A Better Child Care 3</t>
        </is>
      </c>
      <c r="D941" s="5" t="inlineStr">
        <is>
          <t>Open</t>
        </is>
      </c>
      <c r="E941" s="16" t="n">
        <v>46182</v>
      </c>
      <c r="F941" s="16" t="n">
        <v>46248</v>
      </c>
      <c r="G941" s="17" t="n">
        <v>3</v>
      </c>
      <c r="H941" s="5" t="inlineStr">
        <is>
          <t>8351</t>
        </is>
      </c>
      <c r="I941" s="5" t="inlineStr">
        <is>
          <t>Child Day Care Services</t>
        </is>
      </c>
      <c r="J941" s="5" t="inlineStr">
        <is>
          <t>83</t>
        </is>
      </c>
      <c r="K941" s="5" t="n">
        <v>8351</v>
      </c>
      <c r="L941" s="5" t="inlineStr">
        <is>
          <t>WA</t>
        </is>
      </c>
      <c r="M941" s="5" t="inlineStr">
        <is>
          <t>United Secured Capital 8</t>
        </is>
      </c>
      <c r="N941" s="5" t="inlineStr">
        <is>
          <t>Renewal</t>
        </is>
      </c>
      <c r="O941" s="19" t="n">
        <v>1.49</v>
      </c>
      <c r="P941" s="20" t="n">
        <v>35000</v>
      </c>
      <c r="Q941" s="20" t="n">
        <v>4900</v>
      </c>
      <c r="R941" s="20" t="n">
        <v>52150</v>
      </c>
      <c r="S941" s="20" t="n">
        <v>14665.86</v>
      </c>
      <c r="T941" s="20" t="n">
        <v>37484.14</v>
      </c>
      <c r="U941" s="21" t="n">
        <v>0.281224544582934</v>
      </c>
      <c r="V941" s="22" t="n">
        <v>32</v>
      </c>
      <c r="W941" s="17" t="n">
        <v>5</v>
      </c>
      <c r="X941" s="17" t="n">
        <v>1</v>
      </c>
      <c r="Y941" s="20" t="n">
        <v>24532.07</v>
      </c>
      <c r="Z941" s="21" t="n">
        <v>0.2657</v>
      </c>
      <c r="AA941" s="16" t="n">
        <v>43186</v>
      </c>
      <c r="AB941" s="5">
        <f>IF(V941="","",IF(V941&lt;12,"Months","Weeks"))</f>
        <v/>
      </c>
      <c r="AC941" s="5">
        <f>IF(AB941="","",IF(AB941="Months","Daily","Weekly"))</f>
        <v/>
      </c>
      <c r="AD941" s="17">
        <f>IF(V941="","",IF(AC941="Daily",V941*Controls!$B$13,V941))</f>
        <v/>
      </c>
      <c r="AE941" s="17">
        <f>IF(V941="","",IF(AC941="Daily",V941*Controls!$B$13,V941*Controls!$B$12))</f>
        <v/>
      </c>
      <c r="AF941" s="17">
        <f>IF(OR(E941="",F941=""),"",F941-E941)</f>
        <v/>
      </c>
      <c r="AG941" s="17">
        <f>IF(OR(E941="",F941=""),"",NETWORKDAYS(E941,F941,Ref!$F$4:$F$47))</f>
        <v/>
      </c>
      <c r="AH941" s="39">
        <f>IF(IFERROR(VLOOKUP(D941,Controls!$A$25:$D$35,2,FALSE()),"No")="Yes",1,0)</f>
        <v/>
      </c>
      <c r="AI941" s="39">
        <f>IF(IFERROR(VLOOKUP(D941,Controls!$A$25:$D$35,3,FALSE()),"No")="Yes",1,0)</f>
        <v/>
      </c>
      <c r="AJ941" s="39">
        <f>IF(IFERROR(VLOOKUP(D941,Controls!$A$25:$D$35,4,FALSE()),"No")="Yes",1,0)</f>
        <v/>
      </c>
      <c r="AK941" s="96">
        <f>IF(AND($E941&gt;=Controls!$B$5,$E941&lt;=Controls!$B$6,OR(Controls!$E$9&lt;&gt;"Y",$BE941=1)),1,0)</f>
        <v/>
      </c>
      <c r="AL941" s="39">
        <f>1</f>
        <v/>
      </c>
      <c r="AM941" s="20">
        <f>S941-P941</f>
        <v/>
      </c>
      <c r="AN941" s="20">
        <f>IF(AH941=1,MAX(0,P941-S941),0)</f>
        <v/>
      </c>
      <c r="AO941" s="21">
        <f>IFERROR(S941/P941,"")</f>
        <v/>
      </c>
      <c r="AP941" s="22">
        <f>IF(Y941="","",P941/Y941)</f>
        <v/>
      </c>
      <c r="AQ941" s="39">
        <f>IF(Y941="",0,1)</f>
        <v/>
      </c>
      <c r="AR941" s="39">
        <f>IF(S941&lt;=0,1,0)</f>
        <v/>
      </c>
      <c r="AS941" s="17">
        <f>IF(AH941=1,AG941,"")</f>
        <v/>
      </c>
      <c r="AT941" s="17">
        <f>IF(AND(AH941=0,AJ941=1),AG941,"")</f>
        <v/>
      </c>
      <c r="AU941" s="5">
        <f>IF(P941&lt;10000,"Under $10K",IF(P941&lt;20000,"$10-20K",IF(P941&lt;30000,"$20-30K",IF(P941&lt;50000,"$30-50K",IF(P941&lt;100000,"$50-100K","$100K+")))))</f>
        <v/>
      </c>
      <c r="AV941" s="5">
        <f>IF(O941&lt;=1.35,"1.35 and under",IF(O941&lt;=1.42,"1.36-1.42",IF(O941&lt;=1.45,"1.43-1.45",IF(O941&lt;1.49,"1.46-1.48",IF(O941&lt;=1.49,"1.49","Above 1.49")))))</f>
        <v/>
      </c>
      <c r="AW941" s="5">
        <f>IF(AE941="","",IF(AE941&lt;60,"Under 60",IF(AE941&lt;90,"60-89",IF(AE941&lt;120,"90-119",IF(AE941&lt;150,"120-149","150+")))))</f>
        <v/>
      </c>
      <c r="AX941" s="5">
        <f>IF(AP941="","No revenue data",IF(AP941&lt;0.15,"Under 0.15x",IF(AP941&lt;0.3,"0.15-0.30x",IF(AP941&lt;0.5,"0.30-0.50x",IF(AP941&lt;1,"0.50-1.00x","1.00x+")))))</f>
        <v/>
      </c>
      <c r="AY941" s="5">
        <f>IF(J941="","No SIC",IFERROR(VLOOKUP(J941,Ref!$A$4:$C$67,2,FALSE()),"Unclassified"))</f>
        <v/>
      </c>
      <c r="AZ941" s="5">
        <f>IF(E941="","",TEXT(E941,"YYYY")&amp;"-Q"&amp;ROUNDUP(MONTH(E941)/3,0))</f>
        <v/>
      </c>
      <c r="BA941" s="5">
        <f>IF(E941="","",TEXT(E941,"YYYY-MM"))</f>
        <v/>
      </c>
      <c r="BB941" s="5">
        <f>IF(E941="","",TEXT(E941,"YYYY"))</f>
        <v/>
      </c>
      <c r="BC941" s="92">
        <f>IF($E941="","",NETWORKDAYS($E941,Controls!$B$9,Ref!$F$4:$F$47))</f>
        <v/>
      </c>
      <c r="BD941" s="92">
        <f>IF(OR($AH941=1,$AJ941=1),1,0)</f>
        <v/>
      </c>
      <c r="BE941" s="95">
        <f>IF(OR($BD941=1,AND($AE941&lt;&gt;"",$BC941&gt;=Controls!$B$10*$AE941)),1,0)</f>
        <v/>
      </c>
    </row>
    <row r="942" ht="15.75" customHeight="1" s="79">
      <c r="A942" s="5" t="inlineStr">
        <is>
          <t>5674185138</t>
        </is>
      </c>
      <c r="B942" s="5" t="inlineStr">
        <is>
          <t>CREDIBLE AUTO SALES LLC</t>
        </is>
      </c>
      <c r="C942" s="5" t="inlineStr">
        <is>
          <t>CREDIBLE AUTO SALES LLC</t>
        </is>
      </c>
      <c r="D942" s="5" t="inlineStr">
        <is>
          <t>In House Collection</t>
        </is>
      </c>
      <c r="E942" s="16" t="n">
        <v>46182</v>
      </c>
      <c r="F942" s="16" t="n">
        <v>46205</v>
      </c>
      <c r="G942" s="17" t="n">
        <v>3</v>
      </c>
      <c r="H942" s="5" t="inlineStr">
        <is>
          <t>5599</t>
        </is>
      </c>
      <c r="I942" s="5" t="inlineStr">
        <is>
          <t>Motorcycle, ATV, and All Other Motor Vehicle Dealers</t>
        </is>
      </c>
      <c r="J942" s="5" t="inlineStr">
        <is>
          <t>55</t>
        </is>
      </c>
      <c r="K942" s="5" t="n">
        <v>5599</v>
      </c>
      <c r="L942" s="5" t="inlineStr">
        <is>
          <t>FL</t>
        </is>
      </c>
      <c r="M942" s="5" t="inlineStr">
        <is>
          <t>United Secured Capital 8</t>
        </is>
      </c>
      <c r="N942" s="5" t="inlineStr">
        <is>
          <t>New Deal</t>
        </is>
      </c>
      <c r="O942" s="19" t="n">
        <v>1.49</v>
      </c>
      <c r="P942" s="20" t="n">
        <v>10000</v>
      </c>
      <c r="Q942" s="20" t="n">
        <v>1400</v>
      </c>
      <c r="R942" s="20" t="n">
        <v>14900</v>
      </c>
      <c r="S942" s="20" t="n">
        <v>0</v>
      </c>
      <c r="T942" s="20" t="n">
        <v>14900</v>
      </c>
      <c r="U942" s="21" t="n">
        <v>0</v>
      </c>
      <c r="V942" s="22" t="n">
        <v>2.623</v>
      </c>
      <c r="W942" s="17" t="n">
        <v>71</v>
      </c>
      <c r="X942" s="17" t="n">
        <v>11</v>
      </c>
      <c r="Y942" s="20" t="n">
        <v>74131.67</v>
      </c>
      <c r="Z942" s="21" t="n">
        <v>0.0528</v>
      </c>
      <c r="AA942" s="16" t="n">
        <v>45033</v>
      </c>
      <c r="AB942" s="5">
        <f>IF(V942="","",IF(V942&lt;12,"Months","Weeks"))</f>
        <v/>
      </c>
      <c r="AC942" s="5">
        <f>IF(AB942="","",IF(AB942="Months","Daily","Weekly"))</f>
        <v/>
      </c>
      <c r="AD942" s="17">
        <f>IF(V942="","",IF(AC942="Daily",V942*Controls!$B$13,V942))</f>
        <v/>
      </c>
      <c r="AE942" s="17">
        <f>IF(V942="","",IF(AC942="Daily",V942*Controls!$B$13,V942*Controls!$B$12))</f>
        <v/>
      </c>
      <c r="AF942" s="17">
        <f>IF(OR(E942="",F942=""),"",F942-E942)</f>
        <v/>
      </c>
      <c r="AG942" s="17">
        <f>IF(OR(E942="",F942=""),"",NETWORKDAYS(E942,F942,Ref!$F$4:$F$47))</f>
        <v/>
      </c>
      <c r="AH942" s="39">
        <f>IF(IFERROR(VLOOKUP(D942,Controls!$A$25:$D$35,2,FALSE()),"No")="Yes",1,0)</f>
        <v/>
      </c>
      <c r="AI942" s="39">
        <f>IF(IFERROR(VLOOKUP(D942,Controls!$A$25:$D$35,3,FALSE()),"No")="Yes",1,0)</f>
        <v/>
      </c>
      <c r="AJ942" s="39">
        <f>IF(IFERROR(VLOOKUP(D942,Controls!$A$25:$D$35,4,FALSE()),"No")="Yes",1,0)</f>
        <v/>
      </c>
      <c r="AK942" s="96">
        <f>IF(AND($E942&gt;=Controls!$B$5,$E942&lt;=Controls!$B$6,OR(Controls!$E$9&lt;&gt;"Y",$BE942=1)),1,0)</f>
        <v/>
      </c>
      <c r="AL942" s="39">
        <f>1</f>
        <v/>
      </c>
      <c r="AM942" s="20">
        <f>S942-P942</f>
        <v/>
      </c>
      <c r="AN942" s="20">
        <f>IF(AH942=1,MAX(0,P942-S942),0)</f>
        <v/>
      </c>
      <c r="AO942" s="21">
        <f>IFERROR(S942/P942,"")</f>
        <v/>
      </c>
      <c r="AP942" s="22">
        <f>IF(Y942="","",P942/Y942)</f>
        <v/>
      </c>
      <c r="AQ942" s="39">
        <f>IF(Y942="",0,1)</f>
        <v/>
      </c>
      <c r="AR942" s="39">
        <f>IF(S942&lt;=0,1,0)</f>
        <v/>
      </c>
      <c r="AS942" s="17">
        <f>IF(AH942=1,AG942,"")</f>
        <v/>
      </c>
      <c r="AT942" s="17">
        <f>IF(AND(AH942=0,AJ942=1),AG942,"")</f>
        <v/>
      </c>
      <c r="AU942" s="5">
        <f>IF(P942&lt;10000,"Under $10K",IF(P942&lt;20000,"$10-20K",IF(P942&lt;30000,"$20-30K",IF(P942&lt;50000,"$30-50K",IF(P942&lt;100000,"$50-100K","$100K+")))))</f>
        <v/>
      </c>
      <c r="AV942" s="5">
        <f>IF(O942&lt;=1.35,"1.35 and under",IF(O942&lt;=1.42,"1.36-1.42",IF(O942&lt;=1.45,"1.43-1.45",IF(O942&lt;1.49,"1.46-1.48",IF(O942&lt;=1.49,"1.49","Above 1.49")))))</f>
        <v/>
      </c>
      <c r="AW942" s="5">
        <f>IF(AE942="","",IF(AE942&lt;60,"Under 60",IF(AE942&lt;90,"60-89",IF(AE942&lt;120,"90-119",IF(AE942&lt;150,"120-149","150+")))))</f>
        <v/>
      </c>
      <c r="AX942" s="5">
        <f>IF(AP942="","No revenue data",IF(AP942&lt;0.15,"Under 0.15x",IF(AP942&lt;0.3,"0.15-0.30x",IF(AP942&lt;0.5,"0.30-0.50x",IF(AP942&lt;1,"0.50-1.00x","1.00x+")))))</f>
        <v/>
      </c>
      <c r="AY942" s="5">
        <f>IF(J942="","No SIC",IFERROR(VLOOKUP(J942,Ref!$A$4:$C$67,2,FALSE()),"Unclassified"))</f>
        <v/>
      </c>
      <c r="AZ942" s="5">
        <f>IF(E942="","",TEXT(E942,"YYYY")&amp;"-Q"&amp;ROUNDUP(MONTH(E942)/3,0))</f>
        <v/>
      </c>
      <c r="BA942" s="5">
        <f>IF(E942="","",TEXT(E942,"YYYY-MM"))</f>
        <v/>
      </c>
      <c r="BB942" s="5">
        <f>IF(E942="","",TEXT(E942,"YYYY"))</f>
        <v/>
      </c>
      <c r="BC942" s="92">
        <f>IF($E942="","",NETWORKDAYS($E942,Controls!$B$9,Ref!$F$4:$F$47))</f>
        <v/>
      </c>
      <c r="BD942" s="92">
        <f>IF(OR($AH942=1,$AJ942=1),1,0)</f>
        <v/>
      </c>
      <c r="BE942" s="95">
        <f>IF(OR($BD942=1,AND($AE942&lt;&gt;"",$BC942&gt;=Controls!$B$10*$AE942)),1,0)</f>
        <v/>
      </c>
    </row>
    <row r="943" ht="15.75" customHeight="1" s="79">
      <c r="A943" s="5" t="inlineStr">
        <is>
          <t>5674185185</t>
        </is>
      </c>
      <c r="B943" s="5" t="inlineStr">
        <is>
          <t>Four brothers general merchandise inc</t>
        </is>
      </c>
      <c r="C943" s="5" t="inlineStr">
        <is>
          <t>Four brothers general merchandise inc</t>
        </is>
      </c>
      <c r="D943" s="5" t="inlineStr">
        <is>
          <t>In House Collection</t>
        </is>
      </c>
      <c r="E943" s="16" t="n">
        <v>46183</v>
      </c>
      <c r="F943" s="16" t="n">
        <v>46223</v>
      </c>
      <c r="G943" s="17" t="n">
        <v>3</v>
      </c>
      <c r="H943" s="5" t="inlineStr">
        <is>
          <t>5999</t>
        </is>
      </c>
      <c r="I943" s="5" t="inlineStr">
        <is>
          <t>All Other Health and Personal Care Stores</t>
        </is>
      </c>
      <c r="J943" s="5" t="inlineStr">
        <is>
          <t>59</t>
        </is>
      </c>
      <c r="K943" s="5" t="n">
        <v>5999</v>
      </c>
      <c r="L943" s="5" t="inlineStr">
        <is>
          <t>IL</t>
        </is>
      </c>
      <c r="M943" s="5" t="inlineStr">
        <is>
          <t>United Secured Capital 8</t>
        </is>
      </c>
      <c r="N943" s="5" t="inlineStr">
        <is>
          <t>New Deal</t>
        </is>
      </c>
      <c r="O943" s="19" t="n">
        <v>1.49</v>
      </c>
      <c r="P943" s="20" t="n">
        <v>10000</v>
      </c>
      <c r="Q943" s="20" t="n">
        <v>0</v>
      </c>
      <c r="R943" s="20" t="n">
        <v>14900</v>
      </c>
      <c r="S943" s="20" t="n">
        <v>372.42</v>
      </c>
      <c r="T943" s="20" t="n">
        <v>14527.58</v>
      </c>
      <c r="U943" s="21" t="n">
        <v>0.0249946308724832</v>
      </c>
      <c r="V943" s="22" t="n">
        <v>2.623</v>
      </c>
      <c r="W943" s="17" t="n">
        <v>64</v>
      </c>
      <c r="X943" s="17" t="n">
        <v>23</v>
      </c>
      <c r="Y943" s="20" t="n">
        <v>69830.47</v>
      </c>
      <c r="Z943" s="21" t="n">
        <v>0.056</v>
      </c>
      <c r="AA943" s="5" t="n"/>
      <c r="AB943" s="5">
        <f>IF(V943="","",IF(V943&lt;12,"Months","Weeks"))</f>
        <v/>
      </c>
      <c r="AC943" s="5">
        <f>IF(AB943="","",IF(AB943="Months","Daily","Weekly"))</f>
        <v/>
      </c>
      <c r="AD943" s="17">
        <f>IF(V943="","",IF(AC943="Daily",V943*Controls!$B$13,V943))</f>
        <v/>
      </c>
      <c r="AE943" s="17">
        <f>IF(V943="","",IF(AC943="Daily",V943*Controls!$B$13,V943*Controls!$B$12))</f>
        <v/>
      </c>
      <c r="AF943" s="17">
        <f>IF(OR(E943="",F943=""),"",F943-E943)</f>
        <v/>
      </c>
      <c r="AG943" s="17">
        <f>IF(OR(E943="",F943=""),"",NETWORKDAYS(E943,F943,Ref!$F$4:$F$47))</f>
        <v/>
      </c>
      <c r="AH943" s="39">
        <f>IF(IFERROR(VLOOKUP(D943,Controls!$A$25:$D$35,2,FALSE()),"No")="Yes",1,0)</f>
        <v/>
      </c>
      <c r="AI943" s="39">
        <f>IF(IFERROR(VLOOKUP(D943,Controls!$A$25:$D$35,3,FALSE()),"No")="Yes",1,0)</f>
        <v/>
      </c>
      <c r="AJ943" s="39">
        <f>IF(IFERROR(VLOOKUP(D943,Controls!$A$25:$D$35,4,FALSE()),"No")="Yes",1,0)</f>
        <v/>
      </c>
      <c r="AK943" s="96">
        <f>IF(AND($E943&gt;=Controls!$B$5,$E943&lt;=Controls!$B$6,OR(Controls!$E$9&lt;&gt;"Y",$BE943=1)),1,0)</f>
        <v/>
      </c>
      <c r="AL943" s="39">
        <f>1</f>
        <v/>
      </c>
      <c r="AM943" s="20">
        <f>S943-P943</f>
        <v/>
      </c>
      <c r="AN943" s="20">
        <f>IF(AH943=1,MAX(0,P943-S943),0)</f>
        <v/>
      </c>
      <c r="AO943" s="21">
        <f>IFERROR(S943/P943,"")</f>
        <v/>
      </c>
      <c r="AP943" s="22">
        <f>IF(Y943="","",P943/Y943)</f>
        <v/>
      </c>
      <c r="AQ943" s="39">
        <f>IF(Y943="",0,1)</f>
        <v/>
      </c>
      <c r="AR943" s="39">
        <f>IF(S943&lt;=0,1,0)</f>
        <v/>
      </c>
      <c r="AS943" s="17">
        <f>IF(AH943=1,AG943,"")</f>
        <v/>
      </c>
      <c r="AT943" s="17">
        <f>IF(AND(AH943=0,AJ943=1),AG943,"")</f>
        <v/>
      </c>
      <c r="AU943" s="5">
        <f>IF(P943&lt;10000,"Under $10K",IF(P943&lt;20000,"$10-20K",IF(P943&lt;30000,"$20-30K",IF(P943&lt;50000,"$30-50K",IF(P943&lt;100000,"$50-100K","$100K+")))))</f>
        <v/>
      </c>
      <c r="AV943" s="5">
        <f>IF(O943&lt;=1.35,"1.35 and under",IF(O943&lt;=1.42,"1.36-1.42",IF(O943&lt;=1.45,"1.43-1.45",IF(O943&lt;1.49,"1.46-1.48",IF(O943&lt;=1.49,"1.49","Above 1.49")))))</f>
        <v/>
      </c>
      <c r="AW943" s="5">
        <f>IF(AE943="","",IF(AE943&lt;60,"Under 60",IF(AE943&lt;90,"60-89",IF(AE943&lt;120,"90-119",IF(AE943&lt;150,"120-149","150+")))))</f>
        <v/>
      </c>
      <c r="AX943" s="5">
        <f>IF(AP943="","No revenue data",IF(AP943&lt;0.15,"Under 0.15x",IF(AP943&lt;0.3,"0.15-0.30x",IF(AP943&lt;0.5,"0.30-0.50x",IF(AP943&lt;1,"0.50-1.00x","1.00x+")))))</f>
        <v/>
      </c>
      <c r="AY943" s="5">
        <f>IF(J943="","No SIC",IFERROR(VLOOKUP(J943,Ref!$A$4:$C$67,2,FALSE()),"Unclassified"))</f>
        <v/>
      </c>
      <c r="AZ943" s="5">
        <f>IF(E943="","",TEXT(E943,"YYYY")&amp;"-Q"&amp;ROUNDUP(MONTH(E943)/3,0))</f>
        <v/>
      </c>
      <c r="BA943" s="5">
        <f>IF(E943="","",TEXT(E943,"YYYY-MM"))</f>
        <v/>
      </c>
      <c r="BB943" s="5">
        <f>IF(E943="","",TEXT(E943,"YYYY"))</f>
        <v/>
      </c>
      <c r="BC943" s="92">
        <f>IF($E943="","",NETWORKDAYS($E943,Controls!$B$9,Ref!$F$4:$F$47))</f>
        <v/>
      </c>
      <c r="BD943" s="92">
        <f>IF(OR($AH943=1,$AJ943=1),1,0)</f>
        <v/>
      </c>
      <c r="BE943" s="95">
        <f>IF(OR($BD943=1,AND($AE943&lt;&gt;"",$BC943&gt;=Controls!$B$10*$AE943)),1,0)</f>
        <v/>
      </c>
    </row>
    <row r="944" ht="15.75" customHeight="1" s="79">
      <c r="A944" s="5" t="inlineStr">
        <is>
          <t>5674185208</t>
        </is>
      </c>
      <c r="B944" s="5" t="inlineStr">
        <is>
          <t>Wise Water Solutions</t>
        </is>
      </c>
      <c r="C944" s="5" t="inlineStr">
        <is>
          <t>Wise Landscaping LLC</t>
        </is>
      </c>
      <c r="D944" s="5" t="inlineStr">
        <is>
          <t>Closed</t>
        </is>
      </c>
      <c r="E944" s="16" t="n">
        <v>46183</v>
      </c>
      <c r="F944" s="16" t="n">
        <v>46212</v>
      </c>
      <c r="G944" s="17" t="n">
        <v>3</v>
      </c>
      <c r="H944" s="5" t="inlineStr">
        <is>
          <t>0781</t>
        </is>
      </c>
      <c r="I944" s="5" t="inlineStr">
        <is>
          <t>Landscape Architectural Services</t>
        </is>
      </c>
      <c r="J944" s="5" t="inlineStr">
        <is>
          <t>07</t>
        </is>
      </c>
      <c r="K944" s="5" t="n">
        <v>5039</v>
      </c>
      <c r="L944" s="5" t="inlineStr">
        <is>
          <t>TX</t>
        </is>
      </c>
      <c r="M944" s="5" t="inlineStr">
        <is>
          <t>Llama Loan</t>
        </is>
      </c>
      <c r="N944" s="5" t="inlineStr">
        <is>
          <t>New Deal</t>
        </is>
      </c>
      <c r="O944" s="19" t="n">
        <v>1.384135</v>
      </c>
      <c r="P944" s="20" t="n">
        <v>12000</v>
      </c>
      <c r="Q944" s="20" t="n">
        <v>1440</v>
      </c>
      <c r="R944" s="20" t="n">
        <v>16609.62</v>
      </c>
      <c r="S944" s="20" t="n">
        <v>16609.62</v>
      </c>
      <c r="T944" s="20" t="n">
        <v>0</v>
      </c>
      <c r="U944" s="21" t="n">
        <v>1</v>
      </c>
      <c r="V944" s="22" t="n">
        <v>22</v>
      </c>
      <c r="W944" s="17" t="n">
        <v>41</v>
      </c>
      <c r="X944" s="17" t="n">
        <v>0</v>
      </c>
      <c r="Y944" s="20" t="n">
        <v>42149.02</v>
      </c>
      <c r="Z944" s="21" t="n">
        <v>0.0751</v>
      </c>
      <c r="AA944" s="16" t="n">
        <v>44265</v>
      </c>
      <c r="AB944" s="5">
        <f>IF(V944="","",IF(V944&lt;12,"Months","Weeks"))</f>
        <v/>
      </c>
      <c r="AC944" s="5">
        <f>IF(AB944="","",IF(AB944="Months","Daily","Weekly"))</f>
        <v/>
      </c>
      <c r="AD944" s="17">
        <f>IF(V944="","",IF(AC944="Daily",V944*Controls!$B$13,V944))</f>
        <v/>
      </c>
      <c r="AE944" s="17">
        <f>IF(V944="","",IF(AC944="Daily",V944*Controls!$B$13,V944*Controls!$B$12))</f>
        <v/>
      </c>
      <c r="AF944" s="17">
        <f>IF(OR(E944="",F944=""),"",F944-E944)</f>
        <v/>
      </c>
      <c r="AG944" s="17">
        <f>IF(OR(E944="",F944=""),"",NETWORKDAYS(E944,F944,Ref!$F$4:$F$47))</f>
        <v/>
      </c>
      <c r="AH944" s="39">
        <f>IF(IFERROR(VLOOKUP(D944,Controls!$A$25:$D$35,2,FALSE()),"No")="Yes",1,0)</f>
        <v/>
      </c>
      <c r="AI944" s="39">
        <f>IF(IFERROR(VLOOKUP(D944,Controls!$A$25:$D$35,3,FALSE()),"No")="Yes",1,0)</f>
        <v/>
      </c>
      <c r="AJ944" s="39">
        <f>IF(IFERROR(VLOOKUP(D944,Controls!$A$25:$D$35,4,FALSE()),"No")="Yes",1,0)</f>
        <v/>
      </c>
      <c r="AK944" s="96">
        <f>IF(AND($E944&gt;=Controls!$B$5,$E944&lt;=Controls!$B$6,OR(Controls!$E$9&lt;&gt;"Y",$BE944=1)),1,0)</f>
        <v/>
      </c>
      <c r="AL944" s="39">
        <f>1</f>
        <v/>
      </c>
      <c r="AM944" s="20">
        <f>S944-P944</f>
        <v/>
      </c>
      <c r="AN944" s="20">
        <f>IF(AH944=1,MAX(0,P944-S944),0)</f>
        <v/>
      </c>
      <c r="AO944" s="21">
        <f>IFERROR(S944/P944,"")</f>
        <v/>
      </c>
      <c r="AP944" s="22">
        <f>IF(Y944="","",P944/Y944)</f>
        <v/>
      </c>
      <c r="AQ944" s="39">
        <f>IF(Y944="",0,1)</f>
        <v/>
      </c>
      <c r="AR944" s="39">
        <f>IF(S944&lt;=0,1,0)</f>
        <v/>
      </c>
      <c r="AS944" s="17">
        <f>IF(AH944=1,AG944,"")</f>
        <v/>
      </c>
      <c r="AT944" s="17">
        <f>IF(AND(AH944=0,AJ944=1),AG944,"")</f>
        <v/>
      </c>
      <c r="AU944" s="5">
        <f>IF(P944&lt;10000,"Under $10K",IF(P944&lt;20000,"$10-20K",IF(P944&lt;30000,"$20-30K",IF(P944&lt;50000,"$30-50K",IF(P944&lt;100000,"$50-100K","$100K+")))))</f>
        <v/>
      </c>
      <c r="AV944" s="5">
        <f>IF(O944&lt;=1.35,"1.35 and under",IF(O944&lt;=1.42,"1.36-1.42",IF(O944&lt;=1.45,"1.43-1.45",IF(O944&lt;1.49,"1.46-1.48",IF(O944&lt;=1.49,"1.49","Above 1.49")))))</f>
        <v/>
      </c>
      <c r="AW944" s="5">
        <f>IF(AE944="","",IF(AE944&lt;60,"Under 60",IF(AE944&lt;90,"60-89",IF(AE944&lt;120,"90-119",IF(AE944&lt;150,"120-149","150+")))))</f>
        <v/>
      </c>
      <c r="AX944" s="5">
        <f>IF(AP944="","No revenue data",IF(AP944&lt;0.15,"Under 0.15x",IF(AP944&lt;0.3,"0.15-0.30x",IF(AP944&lt;0.5,"0.30-0.50x",IF(AP944&lt;1,"0.50-1.00x","1.00x+")))))</f>
        <v/>
      </c>
      <c r="AY944" s="5">
        <f>IF(J944="","No SIC",IFERROR(VLOOKUP(J944,Ref!$A$4:$C$67,2,FALSE()),"Unclassified"))</f>
        <v/>
      </c>
      <c r="AZ944" s="5">
        <f>IF(E944="","",TEXT(E944,"YYYY")&amp;"-Q"&amp;ROUNDUP(MONTH(E944)/3,0))</f>
        <v/>
      </c>
      <c r="BA944" s="5">
        <f>IF(E944="","",TEXT(E944,"YYYY-MM"))</f>
        <v/>
      </c>
      <c r="BB944" s="5">
        <f>IF(E944="","",TEXT(E944,"YYYY"))</f>
        <v/>
      </c>
      <c r="BC944" s="92">
        <f>IF($E944="","",NETWORKDAYS($E944,Controls!$B$9,Ref!$F$4:$F$47))</f>
        <v/>
      </c>
      <c r="BD944" s="92">
        <f>IF(OR($AH944=1,$AJ944=1),1,0)</f>
        <v/>
      </c>
      <c r="BE944" s="95">
        <f>IF(OR($BD944=1,AND($AE944&lt;&gt;"",$BC944&gt;=Controls!$B$10*$AE944)),1,0)</f>
        <v/>
      </c>
    </row>
    <row r="945" ht="15.75" customHeight="1" s="79">
      <c r="A945" s="5" t="inlineStr">
        <is>
          <t>5674185224</t>
        </is>
      </c>
      <c r="B945" s="5" t="inlineStr">
        <is>
          <t>GREATFLORIDA INSURANCE</t>
        </is>
      </c>
      <c r="C945" s="5" t="inlineStr">
        <is>
          <t>AJRANC Insurance Agency, Inc</t>
        </is>
      </c>
      <c r="D945" s="5" t="inlineStr">
        <is>
          <t>Open</t>
        </is>
      </c>
      <c r="E945" s="16" t="n">
        <v>46183</v>
      </c>
      <c r="F945" s="16" t="n">
        <v>46248</v>
      </c>
      <c r="G945" s="17" t="n">
        <v>2</v>
      </c>
      <c r="H945" s="5" t="inlineStr">
        <is>
          <t>6411</t>
        </is>
      </c>
      <c r="I945" s="5" t="inlineStr">
        <is>
          <t>Claims Adjusting</t>
        </is>
      </c>
      <c r="J945" s="5" t="inlineStr">
        <is>
          <t>64</t>
        </is>
      </c>
      <c r="K945" s="5" t="n">
        <v>6399</v>
      </c>
      <c r="L945" s="5" t="inlineStr">
        <is>
          <t>FL</t>
        </is>
      </c>
      <c r="M945" s="5" t="inlineStr">
        <is>
          <t>Fund Simple</t>
        </is>
      </c>
      <c r="N945" s="5" t="inlineStr">
        <is>
          <t>New Deal</t>
        </is>
      </c>
      <c r="O945" s="19" t="n">
        <v>1.49</v>
      </c>
      <c r="P945" s="20" t="n">
        <v>12000</v>
      </c>
      <c r="Q945" s="20" t="n">
        <v>1680</v>
      </c>
      <c r="R945" s="20" t="n">
        <v>17880</v>
      </c>
      <c r="S945" s="20" t="n">
        <v>6703.38</v>
      </c>
      <c r="T945" s="20" t="n">
        <v>11176.62</v>
      </c>
      <c r="U945" s="21" t="n">
        <v>0.374909395973154</v>
      </c>
      <c r="V945" s="22" t="n">
        <v>24</v>
      </c>
      <c r="W945" s="17" t="n">
        <v>5</v>
      </c>
      <c r="X945" s="17" t="n">
        <v>0</v>
      </c>
      <c r="Y945" s="20" t="n">
        <v>17599.95</v>
      </c>
      <c r="Z945" s="21" t="n">
        <v>0.2014</v>
      </c>
      <c r="AA945" s="16" t="n">
        <v>42217</v>
      </c>
      <c r="AB945" s="5">
        <f>IF(V945="","",IF(V945&lt;12,"Months","Weeks"))</f>
        <v/>
      </c>
      <c r="AC945" s="5">
        <f>IF(AB945="","",IF(AB945="Months","Daily","Weekly"))</f>
        <v/>
      </c>
      <c r="AD945" s="17">
        <f>IF(V945="","",IF(AC945="Daily",V945*Controls!$B$13,V945))</f>
        <v/>
      </c>
      <c r="AE945" s="17">
        <f>IF(V945="","",IF(AC945="Daily",V945*Controls!$B$13,V945*Controls!$B$12))</f>
        <v/>
      </c>
      <c r="AF945" s="17">
        <f>IF(OR(E945="",F945=""),"",F945-E945)</f>
        <v/>
      </c>
      <c r="AG945" s="17">
        <f>IF(OR(E945="",F945=""),"",NETWORKDAYS(E945,F945,Ref!$F$4:$F$47))</f>
        <v/>
      </c>
      <c r="AH945" s="39">
        <f>IF(IFERROR(VLOOKUP(D945,Controls!$A$25:$D$35,2,FALSE()),"No")="Yes",1,0)</f>
        <v/>
      </c>
      <c r="AI945" s="39">
        <f>IF(IFERROR(VLOOKUP(D945,Controls!$A$25:$D$35,3,FALSE()),"No")="Yes",1,0)</f>
        <v/>
      </c>
      <c r="AJ945" s="39">
        <f>IF(IFERROR(VLOOKUP(D945,Controls!$A$25:$D$35,4,FALSE()),"No")="Yes",1,0)</f>
        <v/>
      </c>
      <c r="AK945" s="96">
        <f>IF(AND($E945&gt;=Controls!$B$5,$E945&lt;=Controls!$B$6,OR(Controls!$E$9&lt;&gt;"Y",$BE945=1)),1,0)</f>
        <v/>
      </c>
      <c r="AL945" s="39">
        <f>1</f>
        <v/>
      </c>
      <c r="AM945" s="20">
        <f>S945-P945</f>
        <v/>
      </c>
      <c r="AN945" s="20">
        <f>IF(AH945=1,MAX(0,P945-S945),0)</f>
        <v/>
      </c>
      <c r="AO945" s="21">
        <f>IFERROR(S945/P945,"")</f>
        <v/>
      </c>
      <c r="AP945" s="22">
        <f>IF(Y945="","",P945/Y945)</f>
        <v/>
      </c>
      <c r="AQ945" s="39">
        <f>IF(Y945="",0,1)</f>
        <v/>
      </c>
      <c r="AR945" s="39">
        <f>IF(S945&lt;=0,1,0)</f>
        <v/>
      </c>
      <c r="AS945" s="17">
        <f>IF(AH945=1,AG945,"")</f>
        <v/>
      </c>
      <c r="AT945" s="17">
        <f>IF(AND(AH945=0,AJ945=1),AG945,"")</f>
        <v/>
      </c>
      <c r="AU945" s="5">
        <f>IF(P945&lt;10000,"Under $10K",IF(P945&lt;20000,"$10-20K",IF(P945&lt;30000,"$20-30K",IF(P945&lt;50000,"$30-50K",IF(P945&lt;100000,"$50-100K","$100K+")))))</f>
        <v/>
      </c>
      <c r="AV945" s="5">
        <f>IF(O945&lt;=1.35,"1.35 and under",IF(O945&lt;=1.42,"1.36-1.42",IF(O945&lt;=1.45,"1.43-1.45",IF(O945&lt;1.49,"1.46-1.48",IF(O945&lt;=1.49,"1.49","Above 1.49")))))</f>
        <v/>
      </c>
      <c r="AW945" s="5">
        <f>IF(AE945="","",IF(AE945&lt;60,"Under 60",IF(AE945&lt;90,"60-89",IF(AE945&lt;120,"90-119",IF(AE945&lt;150,"120-149","150+")))))</f>
        <v/>
      </c>
      <c r="AX945" s="5">
        <f>IF(AP945="","No revenue data",IF(AP945&lt;0.15,"Under 0.15x",IF(AP945&lt;0.3,"0.15-0.30x",IF(AP945&lt;0.5,"0.30-0.50x",IF(AP945&lt;1,"0.50-1.00x","1.00x+")))))</f>
        <v/>
      </c>
      <c r="AY945" s="5">
        <f>IF(J945="","No SIC",IFERROR(VLOOKUP(J945,Ref!$A$4:$C$67,2,FALSE()),"Unclassified"))</f>
        <v/>
      </c>
      <c r="AZ945" s="5">
        <f>IF(E945="","",TEXT(E945,"YYYY")&amp;"-Q"&amp;ROUNDUP(MONTH(E945)/3,0))</f>
        <v/>
      </c>
      <c r="BA945" s="5">
        <f>IF(E945="","",TEXT(E945,"YYYY-MM"))</f>
        <v/>
      </c>
      <c r="BB945" s="5">
        <f>IF(E945="","",TEXT(E945,"YYYY"))</f>
        <v/>
      </c>
      <c r="BC945" s="92">
        <f>IF($E945="","",NETWORKDAYS($E945,Controls!$B$9,Ref!$F$4:$F$47))</f>
        <v/>
      </c>
      <c r="BD945" s="92">
        <f>IF(OR($AH945=1,$AJ945=1),1,0)</f>
        <v/>
      </c>
      <c r="BE945" s="95">
        <f>IF(OR($BD945=1,AND($AE945&lt;&gt;"",$BC945&gt;=Controls!$B$10*$AE945)),1,0)</f>
        <v/>
      </c>
    </row>
    <row r="946" ht="15.75" customHeight="1" s="79">
      <c r="A946" s="5" t="inlineStr">
        <is>
          <t>5674185229</t>
        </is>
      </c>
      <c r="B946" s="5" t="inlineStr">
        <is>
          <t>Santiban Services Group LLC</t>
        </is>
      </c>
      <c r="C946" s="5" t="inlineStr">
        <is>
          <t>Santiban Services Group LLC</t>
        </is>
      </c>
      <c r="D946" s="5" t="inlineStr">
        <is>
          <t>In House Collection</t>
        </is>
      </c>
      <c r="E946" s="16" t="n">
        <v>46183</v>
      </c>
      <c r="F946" s="16" t="n">
        <v>46251</v>
      </c>
      <c r="G946" s="17" t="n">
        <v>3</v>
      </c>
      <c r="H946" s="5" t="inlineStr">
        <is>
          <t>5999</t>
        </is>
      </c>
      <c r="I946" s="5" t="inlineStr">
        <is>
          <t>All Other Health and Personal Care Stores</t>
        </is>
      </c>
      <c r="J946" s="5" t="inlineStr">
        <is>
          <t>59</t>
        </is>
      </c>
      <c r="K946" s="5" t="n">
        <v>5999</v>
      </c>
      <c r="L946" s="5" t="inlineStr">
        <is>
          <t>TX</t>
        </is>
      </c>
      <c r="M946" s="5" t="inlineStr">
        <is>
          <t>PMF</t>
        </is>
      </c>
      <c r="N946" s="5" t="inlineStr">
        <is>
          <t>New Deal</t>
        </is>
      </c>
      <c r="O946" s="19" t="n">
        <v>1.49</v>
      </c>
      <c r="P946" s="20" t="n">
        <v>11000</v>
      </c>
      <c r="Q946" s="20" t="n">
        <v>0</v>
      </c>
      <c r="R946" s="20" t="n">
        <v>16390</v>
      </c>
      <c r="S946" s="20" t="n">
        <v>2106.48</v>
      </c>
      <c r="T946" s="20" t="n">
        <v>14283.52</v>
      </c>
      <c r="U946" s="21" t="n">
        <v>0.128522269676632</v>
      </c>
      <c r="V946" s="22" t="n">
        <v>2.951</v>
      </c>
      <c r="W946" s="17" t="n">
        <v>20</v>
      </c>
      <c r="X946" s="17" t="n">
        <v>19</v>
      </c>
      <c r="Y946" s="20" t="n">
        <v>28065.56</v>
      </c>
      <c r="Z946" s="21" t="n">
        <v>0.1363</v>
      </c>
      <c r="AA946" s="16" t="n">
        <v>45158</v>
      </c>
      <c r="AB946" s="5">
        <f>IF(V946="","",IF(V946&lt;12,"Months","Weeks"))</f>
        <v/>
      </c>
      <c r="AC946" s="5">
        <f>IF(AB946="","",IF(AB946="Months","Daily","Weekly"))</f>
        <v/>
      </c>
      <c r="AD946" s="17">
        <f>IF(V946="","",IF(AC946="Daily",V946*Controls!$B$13,V946))</f>
        <v/>
      </c>
      <c r="AE946" s="17">
        <f>IF(V946="","",IF(AC946="Daily",V946*Controls!$B$13,V946*Controls!$B$12))</f>
        <v/>
      </c>
      <c r="AF946" s="17">
        <f>IF(OR(E946="",F946=""),"",F946-E946)</f>
        <v/>
      </c>
      <c r="AG946" s="17">
        <f>IF(OR(E946="",F946=""),"",NETWORKDAYS(E946,F946,Ref!$F$4:$F$47))</f>
        <v/>
      </c>
      <c r="AH946" s="39">
        <f>IF(IFERROR(VLOOKUP(D946,Controls!$A$25:$D$35,2,FALSE()),"No")="Yes",1,0)</f>
        <v/>
      </c>
      <c r="AI946" s="39">
        <f>IF(IFERROR(VLOOKUP(D946,Controls!$A$25:$D$35,3,FALSE()),"No")="Yes",1,0)</f>
        <v/>
      </c>
      <c r="AJ946" s="39">
        <f>IF(IFERROR(VLOOKUP(D946,Controls!$A$25:$D$35,4,FALSE()),"No")="Yes",1,0)</f>
        <v/>
      </c>
      <c r="AK946" s="96">
        <f>IF(AND($E946&gt;=Controls!$B$5,$E946&lt;=Controls!$B$6,OR(Controls!$E$9&lt;&gt;"Y",$BE946=1)),1,0)</f>
        <v/>
      </c>
      <c r="AL946" s="39">
        <f>1</f>
        <v/>
      </c>
      <c r="AM946" s="20">
        <f>S946-P946</f>
        <v/>
      </c>
      <c r="AN946" s="20">
        <f>IF(AH946=1,MAX(0,P946-S946),0)</f>
        <v/>
      </c>
      <c r="AO946" s="21">
        <f>IFERROR(S946/P946,"")</f>
        <v/>
      </c>
      <c r="AP946" s="22">
        <f>IF(Y946="","",P946/Y946)</f>
        <v/>
      </c>
      <c r="AQ946" s="39">
        <f>IF(Y946="",0,1)</f>
        <v/>
      </c>
      <c r="AR946" s="39">
        <f>IF(S946&lt;=0,1,0)</f>
        <v/>
      </c>
      <c r="AS946" s="17">
        <f>IF(AH946=1,AG946,"")</f>
        <v/>
      </c>
      <c r="AT946" s="17">
        <f>IF(AND(AH946=0,AJ946=1),AG946,"")</f>
        <v/>
      </c>
      <c r="AU946" s="5">
        <f>IF(P946&lt;10000,"Under $10K",IF(P946&lt;20000,"$10-20K",IF(P946&lt;30000,"$20-30K",IF(P946&lt;50000,"$30-50K",IF(P946&lt;100000,"$50-100K","$100K+")))))</f>
        <v/>
      </c>
      <c r="AV946" s="5">
        <f>IF(O946&lt;=1.35,"1.35 and under",IF(O946&lt;=1.42,"1.36-1.42",IF(O946&lt;=1.45,"1.43-1.45",IF(O946&lt;1.49,"1.46-1.48",IF(O946&lt;=1.49,"1.49","Above 1.49")))))</f>
        <v/>
      </c>
      <c r="AW946" s="5">
        <f>IF(AE946="","",IF(AE946&lt;60,"Under 60",IF(AE946&lt;90,"60-89",IF(AE946&lt;120,"90-119",IF(AE946&lt;150,"120-149","150+")))))</f>
        <v/>
      </c>
      <c r="AX946" s="5">
        <f>IF(AP946="","No revenue data",IF(AP946&lt;0.15,"Under 0.15x",IF(AP946&lt;0.3,"0.15-0.30x",IF(AP946&lt;0.5,"0.30-0.50x",IF(AP946&lt;1,"0.50-1.00x","1.00x+")))))</f>
        <v/>
      </c>
      <c r="AY946" s="5">
        <f>IF(J946="","No SIC",IFERROR(VLOOKUP(J946,Ref!$A$4:$C$67,2,FALSE()),"Unclassified"))</f>
        <v/>
      </c>
      <c r="AZ946" s="5">
        <f>IF(E946="","",TEXT(E946,"YYYY")&amp;"-Q"&amp;ROUNDUP(MONTH(E946)/3,0))</f>
        <v/>
      </c>
      <c r="BA946" s="5">
        <f>IF(E946="","",TEXT(E946,"YYYY-MM"))</f>
        <v/>
      </c>
      <c r="BB946" s="5">
        <f>IF(E946="","",TEXT(E946,"YYYY"))</f>
        <v/>
      </c>
      <c r="BC946" s="92">
        <f>IF($E946="","",NETWORKDAYS($E946,Controls!$B$9,Ref!$F$4:$F$47))</f>
        <v/>
      </c>
      <c r="BD946" s="92">
        <f>IF(OR($AH946=1,$AJ946=1),1,0)</f>
        <v/>
      </c>
      <c r="BE946" s="95">
        <f>IF(OR($BD946=1,AND($AE946&lt;&gt;"",$BC946&gt;=Controls!$B$10*$AE946)),1,0)</f>
        <v/>
      </c>
    </row>
    <row r="947" ht="15.75" customHeight="1" s="79">
      <c r="A947" s="5" t="inlineStr">
        <is>
          <t>5674185236</t>
        </is>
      </c>
      <c r="B947" s="5" t="inlineStr">
        <is>
          <t>3-B'S CONSTRUCTION, LLC</t>
        </is>
      </c>
      <c r="C947" s="5" t="inlineStr">
        <is>
          <t>3-B'S CONSTRUCTION, LLC</t>
        </is>
      </c>
      <c r="D947" s="5" t="inlineStr">
        <is>
          <t>Closed</t>
        </is>
      </c>
      <c r="E947" s="16" t="n">
        <v>46183</v>
      </c>
      <c r="F947" s="16" t="n">
        <v>46216</v>
      </c>
      <c r="G947" s="17" t="n">
        <v>3</v>
      </c>
      <c r="H947" s="5" t="inlineStr">
        <is>
          <t>1521</t>
        </is>
      </c>
      <c r="I947" s="5" t="inlineStr">
        <is>
          <t>Residential Remodelers</t>
        </is>
      </c>
      <c r="J947" s="5" t="inlineStr">
        <is>
          <t>15</t>
        </is>
      </c>
      <c r="K947" s="5" t="n">
        <v>1520</v>
      </c>
      <c r="L947" s="5" t="inlineStr">
        <is>
          <t>MI</t>
        </is>
      </c>
      <c r="M947" s="5" t="inlineStr">
        <is>
          <t>Fundwell</t>
        </is>
      </c>
      <c r="N947" s="5" t="inlineStr">
        <is>
          <t>New Deal</t>
        </is>
      </c>
      <c r="O947" s="19" t="n">
        <v>1.17008</v>
      </c>
      <c r="P947" s="20" t="n">
        <v>10000</v>
      </c>
      <c r="Q947" s="20" t="n">
        <v>1250</v>
      </c>
      <c r="R947" s="20" t="n">
        <v>11700.8</v>
      </c>
      <c r="S947" s="20" t="n">
        <v>11700.8</v>
      </c>
      <c r="T947" s="20" t="n">
        <v>0</v>
      </c>
      <c r="U947" s="21" t="n">
        <v>1</v>
      </c>
      <c r="V947" s="22" t="n">
        <v>20</v>
      </c>
      <c r="W947" s="17" t="n">
        <v>37</v>
      </c>
      <c r="X947" s="17" t="n">
        <v>0</v>
      </c>
      <c r="Y947" s="20" t="n">
        <v>78063.8</v>
      </c>
      <c r="Z947" s="21" t="n">
        <v>0.0374</v>
      </c>
      <c r="AA947" s="16" t="n">
        <v>42842</v>
      </c>
      <c r="AB947" s="5">
        <f>IF(V947="","",IF(V947&lt;12,"Months","Weeks"))</f>
        <v/>
      </c>
      <c r="AC947" s="5">
        <f>IF(AB947="","",IF(AB947="Months","Daily","Weekly"))</f>
        <v/>
      </c>
      <c r="AD947" s="17">
        <f>IF(V947="","",IF(AC947="Daily",V947*Controls!$B$13,V947))</f>
        <v/>
      </c>
      <c r="AE947" s="17">
        <f>IF(V947="","",IF(AC947="Daily",V947*Controls!$B$13,V947*Controls!$B$12))</f>
        <v/>
      </c>
      <c r="AF947" s="17">
        <f>IF(OR(E947="",F947=""),"",F947-E947)</f>
        <v/>
      </c>
      <c r="AG947" s="17">
        <f>IF(OR(E947="",F947=""),"",NETWORKDAYS(E947,F947,Ref!$F$4:$F$47))</f>
        <v/>
      </c>
      <c r="AH947" s="39">
        <f>IF(IFERROR(VLOOKUP(D947,Controls!$A$25:$D$35,2,FALSE()),"No")="Yes",1,0)</f>
        <v/>
      </c>
      <c r="AI947" s="39">
        <f>IF(IFERROR(VLOOKUP(D947,Controls!$A$25:$D$35,3,FALSE()),"No")="Yes",1,0)</f>
        <v/>
      </c>
      <c r="AJ947" s="39">
        <f>IF(IFERROR(VLOOKUP(D947,Controls!$A$25:$D$35,4,FALSE()),"No")="Yes",1,0)</f>
        <v/>
      </c>
      <c r="AK947" s="96">
        <f>IF(AND($E947&gt;=Controls!$B$5,$E947&lt;=Controls!$B$6,OR(Controls!$E$9&lt;&gt;"Y",$BE947=1)),1,0)</f>
        <v/>
      </c>
      <c r="AL947" s="39">
        <f>1</f>
        <v/>
      </c>
      <c r="AM947" s="20">
        <f>S947-P947</f>
        <v/>
      </c>
      <c r="AN947" s="20">
        <f>IF(AH947=1,MAX(0,P947-S947),0)</f>
        <v/>
      </c>
      <c r="AO947" s="21">
        <f>IFERROR(S947/P947,"")</f>
        <v/>
      </c>
      <c r="AP947" s="22">
        <f>IF(Y947="","",P947/Y947)</f>
        <v/>
      </c>
      <c r="AQ947" s="39">
        <f>IF(Y947="",0,1)</f>
        <v/>
      </c>
      <c r="AR947" s="39">
        <f>IF(S947&lt;=0,1,0)</f>
        <v/>
      </c>
      <c r="AS947" s="17">
        <f>IF(AH947=1,AG947,"")</f>
        <v/>
      </c>
      <c r="AT947" s="17">
        <f>IF(AND(AH947=0,AJ947=1),AG947,"")</f>
        <v/>
      </c>
      <c r="AU947" s="5">
        <f>IF(P947&lt;10000,"Under $10K",IF(P947&lt;20000,"$10-20K",IF(P947&lt;30000,"$20-30K",IF(P947&lt;50000,"$30-50K",IF(P947&lt;100000,"$50-100K","$100K+")))))</f>
        <v/>
      </c>
      <c r="AV947" s="5">
        <f>IF(O947&lt;=1.35,"1.35 and under",IF(O947&lt;=1.42,"1.36-1.42",IF(O947&lt;=1.45,"1.43-1.45",IF(O947&lt;1.49,"1.46-1.48",IF(O947&lt;=1.49,"1.49","Above 1.49")))))</f>
        <v/>
      </c>
      <c r="AW947" s="5">
        <f>IF(AE947="","",IF(AE947&lt;60,"Under 60",IF(AE947&lt;90,"60-89",IF(AE947&lt;120,"90-119",IF(AE947&lt;150,"120-149","150+")))))</f>
        <v/>
      </c>
      <c r="AX947" s="5">
        <f>IF(AP947="","No revenue data",IF(AP947&lt;0.15,"Under 0.15x",IF(AP947&lt;0.3,"0.15-0.30x",IF(AP947&lt;0.5,"0.30-0.50x",IF(AP947&lt;1,"0.50-1.00x","1.00x+")))))</f>
        <v/>
      </c>
      <c r="AY947" s="5">
        <f>IF(J947="","No SIC",IFERROR(VLOOKUP(J947,Ref!$A$4:$C$67,2,FALSE()),"Unclassified"))</f>
        <v/>
      </c>
      <c r="AZ947" s="5">
        <f>IF(E947="","",TEXT(E947,"YYYY")&amp;"-Q"&amp;ROUNDUP(MONTH(E947)/3,0))</f>
        <v/>
      </c>
      <c r="BA947" s="5">
        <f>IF(E947="","",TEXT(E947,"YYYY-MM"))</f>
        <v/>
      </c>
      <c r="BB947" s="5">
        <f>IF(E947="","",TEXT(E947,"YYYY"))</f>
        <v/>
      </c>
      <c r="BC947" s="92">
        <f>IF($E947="","",NETWORKDAYS($E947,Controls!$B$9,Ref!$F$4:$F$47))</f>
        <v/>
      </c>
      <c r="BD947" s="92">
        <f>IF(OR($AH947=1,$AJ947=1),1,0)</f>
        <v/>
      </c>
      <c r="BE947" s="95">
        <f>IF(OR($BD947=1,AND($AE947&lt;&gt;"",$BC947&gt;=Controls!$B$10*$AE947)),1,0)</f>
        <v/>
      </c>
    </row>
    <row r="948" ht="15.75" customHeight="1" s="79">
      <c r="A948" s="5" t="inlineStr">
        <is>
          <t>5674185313</t>
        </is>
      </c>
      <c r="B948" s="5" t="inlineStr">
        <is>
          <t>BOWL OF FUN LANES LLC</t>
        </is>
      </c>
      <c r="C948" s="5" t="inlineStr">
        <is>
          <t>BOWL OF FUN LANES LLC</t>
        </is>
      </c>
      <c r="D948" s="5" t="inlineStr">
        <is>
          <t>Open</t>
        </is>
      </c>
      <c r="E948" s="16" t="n">
        <v>46184</v>
      </c>
      <c r="F948" s="16" t="n">
        <v>46248</v>
      </c>
      <c r="G948" s="17" t="n">
        <v>3</v>
      </c>
      <c r="H948" s="5" t="inlineStr">
        <is>
          <t>7933</t>
        </is>
      </c>
      <c r="I948" s="5" t="inlineStr">
        <is>
          <t>Bowling Centers</t>
        </is>
      </c>
      <c r="J948" s="5" t="inlineStr">
        <is>
          <t>79</t>
        </is>
      </c>
      <c r="K948" s="5" t="n">
        <v>7933</v>
      </c>
      <c r="L948" s="5" t="inlineStr">
        <is>
          <t>FL</t>
        </is>
      </c>
      <c r="M948" s="5" t="inlineStr">
        <is>
          <t>United Secured Capital 8</t>
        </is>
      </c>
      <c r="N948" s="5" t="inlineStr">
        <is>
          <t>Renewal</t>
        </is>
      </c>
      <c r="O948" s="19" t="n">
        <v>1.47</v>
      </c>
      <c r="P948" s="20" t="n">
        <v>35000</v>
      </c>
      <c r="Q948" s="20" t="n">
        <v>4550</v>
      </c>
      <c r="R948" s="20" t="n">
        <v>51450</v>
      </c>
      <c r="S948" s="20" t="n">
        <v>15896.6</v>
      </c>
      <c r="T948" s="20" t="n">
        <v>35553.4</v>
      </c>
      <c r="U948" s="21" t="n">
        <v>0.308971817298348</v>
      </c>
      <c r="V948" s="22" t="n">
        <v>28</v>
      </c>
      <c r="W948" s="17" t="n">
        <v>5</v>
      </c>
      <c r="X948" s="17" t="n">
        <v>1</v>
      </c>
      <c r="Y948" s="20" t="n">
        <v>76345.67</v>
      </c>
      <c r="Z948" s="21" t="n">
        <v>0.0963</v>
      </c>
      <c r="AA948" s="16" t="n">
        <v>40880</v>
      </c>
      <c r="AB948" s="5">
        <f>IF(V948="","",IF(V948&lt;12,"Months","Weeks"))</f>
        <v/>
      </c>
      <c r="AC948" s="5">
        <f>IF(AB948="","",IF(AB948="Months","Daily","Weekly"))</f>
        <v/>
      </c>
      <c r="AD948" s="17">
        <f>IF(V948="","",IF(AC948="Daily",V948*Controls!$B$13,V948))</f>
        <v/>
      </c>
      <c r="AE948" s="17">
        <f>IF(V948="","",IF(AC948="Daily",V948*Controls!$B$13,V948*Controls!$B$12))</f>
        <v/>
      </c>
      <c r="AF948" s="17">
        <f>IF(OR(E948="",F948=""),"",F948-E948)</f>
        <v/>
      </c>
      <c r="AG948" s="17">
        <f>IF(OR(E948="",F948=""),"",NETWORKDAYS(E948,F948,Ref!$F$4:$F$47))</f>
        <v/>
      </c>
      <c r="AH948" s="39">
        <f>IF(IFERROR(VLOOKUP(D948,Controls!$A$25:$D$35,2,FALSE()),"No")="Yes",1,0)</f>
        <v/>
      </c>
      <c r="AI948" s="39">
        <f>IF(IFERROR(VLOOKUP(D948,Controls!$A$25:$D$35,3,FALSE()),"No")="Yes",1,0)</f>
        <v/>
      </c>
      <c r="AJ948" s="39">
        <f>IF(IFERROR(VLOOKUP(D948,Controls!$A$25:$D$35,4,FALSE()),"No")="Yes",1,0)</f>
        <v/>
      </c>
      <c r="AK948" s="96">
        <f>IF(AND($E948&gt;=Controls!$B$5,$E948&lt;=Controls!$B$6,OR(Controls!$E$9&lt;&gt;"Y",$BE948=1)),1,0)</f>
        <v/>
      </c>
      <c r="AL948" s="39">
        <f>1</f>
        <v/>
      </c>
      <c r="AM948" s="20">
        <f>S948-P948</f>
        <v/>
      </c>
      <c r="AN948" s="20">
        <f>IF(AH948=1,MAX(0,P948-S948),0)</f>
        <v/>
      </c>
      <c r="AO948" s="21">
        <f>IFERROR(S948/P948,"")</f>
        <v/>
      </c>
      <c r="AP948" s="22">
        <f>IF(Y948="","",P948/Y948)</f>
        <v/>
      </c>
      <c r="AQ948" s="39">
        <f>IF(Y948="",0,1)</f>
        <v/>
      </c>
      <c r="AR948" s="39">
        <f>IF(S948&lt;=0,1,0)</f>
        <v/>
      </c>
      <c r="AS948" s="17">
        <f>IF(AH948=1,AG948,"")</f>
        <v/>
      </c>
      <c r="AT948" s="17">
        <f>IF(AND(AH948=0,AJ948=1),AG948,"")</f>
        <v/>
      </c>
      <c r="AU948" s="5">
        <f>IF(P948&lt;10000,"Under $10K",IF(P948&lt;20000,"$10-20K",IF(P948&lt;30000,"$20-30K",IF(P948&lt;50000,"$30-50K",IF(P948&lt;100000,"$50-100K","$100K+")))))</f>
        <v/>
      </c>
      <c r="AV948" s="5">
        <f>IF(O948&lt;=1.35,"1.35 and under",IF(O948&lt;=1.42,"1.36-1.42",IF(O948&lt;=1.45,"1.43-1.45",IF(O948&lt;1.49,"1.46-1.48",IF(O948&lt;=1.49,"1.49","Above 1.49")))))</f>
        <v/>
      </c>
      <c r="AW948" s="5">
        <f>IF(AE948="","",IF(AE948&lt;60,"Under 60",IF(AE948&lt;90,"60-89",IF(AE948&lt;120,"90-119",IF(AE948&lt;150,"120-149","150+")))))</f>
        <v/>
      </c>
      <c r="AX948" s="5">
        <f>IF(AP948="","No revenue data",IF(AP948&lt;0.15,"Under 0.15x",IF(AP948&lt;0.3,"0.15-0.30x",IF(AP948&lt;0.5,"0.30-0.50x",IF(AP948&lt;1,"0.50-1.00x","1.00x+")))))</f>
        <v/>
      </c>
      <c r="AY948" s="5">
        <f>IF(J948="","No SIC",IFERROR(VLOOKUP(J948,Ref!$A$4:$C$67,2,FALSE()),"Unclassified"))</f>
        <v/>
      </c>
      <c r="AZ948" s="5">
        <f>IF(E948="","",TEXT(E948,"YYYY")&amp;"-Q"&amp;ROUNDUP(MONTH(E948)/3,0))</f>
        <v/>
      </c>
      <c r="BA948" s="5">
        <f>IF(E948="","",TEXT(E948,"YYYY-MM"))</f>
        <v/>
      </c>
      <c r="BB948" s="5">
        <f>IF(E948="","",TEXT(E948,"YYYY"))</f>
        <v/>
      </c>
      <c r="BC948" s="92">
        <f>IF($E948="","",NETWORKDAYS($E948,Controls!$B$9,Ref!$F$4:$F$47))</f>
        <v/>
      </c>
      <c r="BD948" s="92">
        <f>IF(OR($AH948=1,$AJ948=1),1,0)</f>
        <v/>
      </c>
      <c r="BE948" s="95">
        <f>IF(OR($BD948=1,AND($AE948&lt;&gt;"",$BC948&gt;=Controls!$B$10*$AE948)),1,0)</f>
        <v/>
      </c>
    </row>
    <row r="949" ht="15.75" customHeight="1" s="79">
      <c r="A949" s="5" t="inlineStr">
        <is>
          <t>5674185314</t>
        </is>
      </c>
      <c r="B949" s="5" t="inlineStr">
        <is>
          <t>Southern Panc Eat Good LLC DBA Southern Pancake House</t>
        </is>
      </c>
      <c r="C949" s="5" t="inlineStr">
        <is>
          <t>Let'em Eat Good LLC</t>
        </is>
      </c>
      <c r="D949" s="5" t="inlineStr">
        <is>
          <t>Open</t>
        </is>
      </c>
      <c r="E949" s="16" t="n">
        <v>46184</v>
      </c>
      <c r="F949" s="16" t="n">
        <v>46253</v>
      </c>
      <c r="G949" s="17" t="n">
        <v>3</v>
      </c>
      <c r="H949" s="5" t="inlineStr">
        <is>
          <t>5812</t>
        </is>
      </c>
      <c r="I949" s="5" t="inlineStr">
        <is>
          <t>Snack and Nonalcoholic Beverage Bars</t>
        </is>
      </c>
      <c r="J949" s="5" t="inlineStr">
        <is>
          <t>58</t>
        </is>
      </c>
      <c r="K949" s="5" t="n">
        <v>5812</v>
      </c>
      <c r="L949" s="5" t="inlineStr">
        <is>
          <t>VA</t>
        </is>
      </c>
      <c r="M949" s="5" t="inlineStr">
        <is>
          <t>Premium Capital (AMRK)</t>
        </is>
      </c>
      <c r="N949" s="5" t="inlineStr">
        <is>
          <t>Renewal</t>
        </is>
      </c>
      <c r="O949" s="19" t="n">
        <v>1.45</v>
      </c>
      <c r="P949" s="20" t="n">
        <v>65000</v>
      </c>
      <c r="Q949" s="20" t="n">
        <v>7800</v>
      </c>
      <c r="R949" s="20" t="n">
        <v>94250</v>
      </c>
      <c r="S949" s="20" t="n">
        <v>26055.39</v>
      </c>
      <c r="T949" s="20" t="n">
        <v>68194.61</v>
      </c>
      <c r="U949" s="21" t="n">
        <v>0.27644976127321</v>
      </c>
      <c r="V949" s="22" t="n">
        <v>5.574</v>
      </c>
      <c r="W949" s="17" t="n">
        <v>0</v>
      </c>
      <c r="X949" s="17" t="n">
        <v>0</v>
      </c>
      <c r="Y949" s="20" t="n">
        <v>73218.44</v>
      </c>
      <c r="Z949" s="21" t="n">
        <v>0.159</v>
      </c>
      <c r="AA949" s="5" t="n"/>
      <c r="AB949" s="5">
        <f>IF(V949="","",IF(V949&lt;12,"Months","Weeks"))</f>
        <v/>
      </c>
      <c r="AC949" s="5">
        <f>IF(AB949="","",IF(AB949="Months","Daily","Weekly"))</f>
        <v/>
      </c>
      <c r="AD949" s="17">
        <f>IF(V949="","",IF(AC949="Daily",V949*Controls!$B$13,V949))</f>
        <v/>
      </c>
      <c r="AE949" s="17">
        <f>IF(V949="","",IF(AC949="Daily",V949*Controls!$B$13,V949*Controls!$B$12))</f>
        <v/>
      </c>
      <c r="AF949" s="17">
        <f>IF(OR(E949="",F949=""),"",F949-E949)</f>
        <v/>
      </c>
      <c r="AG949" s="17">
        <f>IF(OR(E949="",F949=""),"",NETWORKDAYS(E949,F949,Ref!$F$4:$F$47))</f>
        <v/>
      </c>
      <c r="AH949" s="39">
        <f>IF(IFERROR(VLOOKUP(D949,Controls!$A$25:$D$35,2,FALSE()),"No")="Yes",1,0)</f>
        <v/>
      </c>
      <c r="AI949" s="39">
        <f>IF(IFERROR(VLOOKUP(D949,Controls!$A$25:$D$35,3,FALSE()),"No")="Yes",1,0)</f>
        <v/>
      </c>
      <c r="AJ949" s="39">
        <f>IF(IFERROR(VLOOKUP(D949,Controls!$A$25:$D$35,4,FALSE()),"No")="Yes",1,0)</f>
        <v/>
      </c>
      <c r="AK949" s="96">
        <f>IF(AND($E949&gt;=Controls!$B$5,$E949&lt;=Controls!$B$6,OR(Controls!$E$9&lt;&gt;"Y",$BE949=1)),1,0)</f>
        <v/>
      </c>
      <c r="AL949" s="39">
        <f>1</f>
        <v/>
      </c>
      <c r="AM949" s="20">
        <f>S949-P949</f>
        <v/>
      </c>
      <c r="AN949" s="20">
        <f>IF(AH949=1,MAX(0,P949-S949),0)</f>
        <v/>
      </c>
      <c r="AO949" s="21">
        <f>IFERROR(S949/P949,"")</f>
        <v/>
      </c>
      <c r="AP949" s="22">
        <f>IF(Y949="","",P949/Y949)</f>
        <v/>
      </c>
      <c r="AQ949" s="39">
        <f>IF(Y949="",0,1)</f>
        <v/>
      </c>
      <c r="AR949" s="39">
        <f>IF(S949&lt;=0,1,0)</f>
        <v/>
      </c>
      <c r="AS949" s="17">
        <f>IF(AH949=1,AG949,"")</f>
        <v/>
      </c>
      <c r="AT949" s="17">
        <f>IF(AND(AH949=0,AJ949=1),AG949,"")</f>
        <v/>
      </c>
      <c r="AU949" s="5">
        <f>IF(P949&lt;10000,"Under $10K",IF(P949&lt;20000,"$10-20K",IF(P949&lt;30000,"$20-30K",IF(P949&lt;50000,"$30-50K",IF(P949&lt;100000,"$50-100K","$100K+")))))</f>
        <v/>
      </c>
      <c r="AV949" s="5">
        <f>IF(O949&lt;=1.35,"1.35 and under",IF(O949&lt;=1.42,"1.36-1.42",IF(O949&lt;=1.45,"1.43-1.45",IF(O949&lt;1.49,"1.46-1.48",IF(O949&lt;=1.49,"1.49","Above 1.49")))))</f>
        <v/>
      </c>
      <c r="AW949" s="5">
        <f>IF(AE949="","",IF(AE949&lt;60,"Under 60",IF(AE949&lt;90,"60-89",IF(AE949&lt;120,"90-119",IF(AE949&lt;150,"120-149","150+")))))</f>
        <v/>
      </c>
      <c r="AX949" s="5">
        <f>IF(AP949="","No revenue data",IF(AP949&lt;0.15,"Under 0.15x",IF(AP949&lt;0.3,"0.15-0.30x",IF(AP949&lt;0.5,"0.30-0.50x",IF(AP949&lt;1,"0.50-1.00x","1.00x+")))))</f>
        <v/>
      </c>
      <c r="AY949" s="5">
        <f>IF(J949="","No SIC",IFERROR(VLOOKUP(J949,Ref!$A$4:$C$67,2,FALSE()),"Unclassified"))</f>
        <v/>
      </c>
      <c r="AZ949" s="5">
        <f>IF(E949="","",TEXT(E949,"YYYY")&amp;"-Q"&amp;ROUNDUP(MONTH(E949)/3,0))</f>
        <v/>
      </c>
      <c r="BA949" s="5">
        <f>IF(E949="","",TEXT(E949,"YYYY-MM"))</f>
        <v/>
      </c>
      <c r="BB949" s="5">
        <f>IF(E949="","",TEXT(E949,"YYYY"))</f>
        <v/>
      </c>
      <c r="BC949" s="92">
        <f>IF($E949="","",NETWORKDAYS($E949,Controls!$B$9,Ref!$F$4:$F$47))</f>
        <v/>
      </c>
      <c r="BD949" s="92">
        <f>IF(OR($AH949=1,$AJ949=1),1,0)</f>
        <v/>
      </c>
      <c r="BE949" s="95">
        <f>IF(OR($BD949=1,AND($AE949&lt;&gt;"",$BC949&gt;=Controls!$B$10*$AE949)),1,0)</f>
        <v/>
      </c>
    </row>
    <row r="950" ht="15.75" customHeight="1" s="79">
      <c r="A950" s="5" t="inlineStr">
        <is>
          <t>5674185320</t>
        </is>
      </c>
      <c r="B950" s="5" t="inlineStr">
        <is>
          <t>CHEF ERICS BEST INC</t>
        </is>
      </c>
      <c r="C950" s="5" t="inlineStr">
        <is>
          <t>CHEF ERICS BEST INC</t>
        </is>
      </c>
      <c r="D950" s="5" t="inlineStr">
        <is>
          <t>Open</t>
        </is>
      </c>
      <c r="E950" s="16" t="n">
        <v>46184</v>
      </c>
      <c r="F950" s="16" t="n">
        <v>46248</v>
      </c>
      <c r="G950" s="17" t="n">
        <v>3</v>
      </c>
      <c r="H950" s="5" t="inlineStr">
        <is>
          <t>5812</t>
        </is>
      </c>
      <c r="I950" s="5" t="inlineStr">
        <is>
          <t>Snack and Nonalcoholic Beverage Bars</t>
        </is>
      </c>
      <c r="J950" s="5" t="inlineStr">
        <is>
          <t>58</t>
        </is>
      </c>
      <c r="K950" s="5" t="n">
        <v>5812</v>
      </c>
      <c r="L950" s="5" t="inlineStr">
        <is>
          <t>FL</t>
        </is>
      </c>
      <c r="M950" s="5" t="inlineStr">
        <is>
          <t>United Secured Capital 8</t>
        </is>
      </c>
      <c r="N950" s="5" t="inlineStr">
        <is>
          <t>New Deal</t>
        </is>
      </c>
      <c r="O950" s="19" t="n">
        <v>1.49</v>
      </c>
      <c r="P950" s="20" t="n">
        <v>15000</v>
      </c>
      <c r="Q950" s="20" t="n">
        <v>2100</v>
      </c>
      <c r="R950" s="20" t="n">
        <v>22350</v>
      </c>
      <c r="S950" s="20" t="n">
        <v>5587.45</v>
      </c>
      <c r="T950" s="20" t="n">
        <v>16762.55</v>
      </c>
      <c r="U950" s="21" t="n">
        <v>0.249997762863535</v>
      </c>
      <c r="V950" s="22" t="n">
        <v>20</v>
      </c>
      <c r="W950" s="17" t="n">
        <v>12</v>
      </c>
      <c r="X950" s="17" t="n">
        <v>4</v>
      </c>
      <c r="Y950" s="20" t="n">
        <v>33992.18</v>
      </c>
      <c r="Z950" s="21" t="n">
        <v>0.1315</v>
      </c>
      <c r="AA950" s="16" t="n">
        <v>37841</v>
      </c>
      <c r="AB950" s="5">
        <f>IF(V950="","",IF(V950&lt;12,"Months","Weeks"))</f>
        <v/>
      </c>
      <c r="AC950" s="5">
        <f>IF(AB950="","",IF(AB950="Months","Daily","Weekly"))</f>
        <v/>
      </c>
      <c r="AD950" s="17">
        <f>IF(V950="","",IF(AC950="Daily",V950*Controls!$B$13,V950))</f>
        <v/>
      </c>
      <c r="AE950" s="17">
        <f>IF(V950="","",IF(AC950="Daily",V950*Controls!$B$13,V950*Controls!$B$12))</f>
        <v/>
      </c>
      <c r="AF950" s="17">
        <f>IF(OR(E950="",F950=""),"",F950-E950)</f>
        <v/>
      </c>
      <c r="AG950" s="17">
        <f>IF(OR(E950="",F950=""),"",NETWORKDAYS(E950,F950,Ref!$F$4:$F$47))</f>
        <v/>
      </c>
      <c r="AH950" s="39">
        <f>IF(IFERROR(VLOOKUP(D950,Controls!$A$25:$D$35,2,FALSE()),"No")="Yes",1,0)</f>
        <v/>
      </c>
      <c r="AI950" s="39">
        <f>IF(IFERROR(VLOOKUP(D950,Controls!$A$25:$D$35,3,FALSE()),"No")="Yes",1,0)</f>
        <v/>
      </c>
      <c r="AJ950" s="39">
        <f>IF(IFERROR(VLOOKUP(D950,Controls!$A$25:$D$35,4,FALSE()),"No")="Yes",1,0)</f>
        <v/>
      </c>
      <c r="AK950" s="96">
        <f>IF(AND($E950&gt;=Controls!$B$5,$E950&lt;=Controls!$B$6,OR(Controls!$E$9&lt;&gt;"Y",$BE950=1)),1,0)</f>
        <v/>
      </c>
      <c r="AL950" s="39">
        <f>1</f>
        <v/>
      </c>
      <c r="AM950" s="20">
        <f>S950-P950</f>
        <v/>
      </c>
      <c r="AN950" s="20">
        <f>IF(AH950=1,MAX(0,P950-S950),0)</f>
        <v/>
      </c>
      <c r="AO950" s="21">
        <f>IFERROR(S950/P950,"")</f>
        <v/>
      </c>
      <c r="AP950" s="22">
        <f>IF(Y950="","",P950/Y950)</f>
        <v/>
      </c>
      <c r="AQ950" s="39">
        <f>IF(Y950="",0,1)</f>
        <v/>
      </c>
      <c r="AR950" s="39">
        <f>IF(S950&lt;=0,1,0)</f>
        <v/>
      </c>
      <c r="AS950" s="17">
        <f>IF(AH950=1,AG950,"")</f>
        <v/>
      </c>
      <c r="AT950" s="17">
        <f>IF(AND(AH950=0,AJ950=1),AG950,"")</f>
        <v/>
      </c>
      <c r="AU950" s="5">
        <f>IF(P950&lt;10000,"Under $10K",IF(P950&lt;20000,"$10-20K",IF(P950&lt;30000,"$20-30K",IF(P950&lt;50000,"$30-50K",IF(P950&lt;100000,"$50-100K","$100K+")))))</f>
        <v/>
      </c>
      <c r="AV950" s="5">
        <f>IF(O950&lt;=1.35,"1.35 and under",IF(O950&lt;=1.42,"1.36-1.42",IF(O950&lt;=1.45,"1.43-1.45",IF(O950&lt;1.49,"1.46-1.48",IF(O950&lt;=1.49,"1.49","Above 1.49")))))</f>
        <v/>
      </c>
      <c r="AW950" s="5">
        <f>IF(AE950="","",IF(AE950&lt;60,"Under 60",IF(AE950&lt;90,"60-89",IF(AE950&lt;120,"90-119",IF(AE950&lt;150,"120-149","150+")))))</f>
        <v/>
      </c>
      <c r="AX950" s="5">
        <f>IF(AP950="","No revenue data",IF(AP950&lt;0.15,"Under 0.15x",IF(AP950&lt;0.3,"0.15-0.30x",IF(AP950&lt;0.5,"0.30-0.50x",IF(AP950&lt;1,"0.50-1.00x","1.00x+")))))</f>
        <v/>
      </c>
      <c r="AY950" s="5">
        <f>IF(J950="","No SIC",IFERROR(VLOOKUP(J950,Ref!$A$4:$C$67,2,FALSE()),"Unclassified"))</f>
        <v/>
      </c>
      <c r="AZ950" s="5">
        <f>IF(E950="","",TEXT(E950,"YYYY")&amp;"-Q"&amp;ROUNDUP(MONTH(E950)/3,0))</f>
        <v/>
      </c>
      <c r="BA950" s="5">
        <f>IF(E950="","",TEXT(E950,"YYYY-MM"))</f>
        <v/>
      </c>
      <c r="BB950" s="5">
        <f>IF(E950="","",TEXT(E950,"YYYY"))</f>
        <v/>
      </c>
      <c r="BC950" s="92">
        <f>IF($E950="","",NETWORKDAYS($E950,Controls!$B$9,Ref!$F$4:$F$47))</f>
        <v/>
      </c>
      <c r="BD950" s="92">
        <f>IF(OR($AH950=1,$AJ950=1),1,0)</f>
        <v/>
      </c>
      <c r="BE950" s="95">
        <f>IF(OR($BD950=1,AND($AE950&lt;&gt;"",$BC950&gt;=Controls!$B$10*$AE950)),1,0)</f>
        <v/>
      </c>
    </row>
    <row r="951" ht="15.75" customHeight="1" s="79">
      <c r="A951" s="5" t="inlineStr">
        <is>
          <t>5674185325</t>
        </is>
      </c>
      <c r="B951" s="5" t="inlineStr">
        <is>
          <t>Rudy LLC</t>
        </is>
      </c>
      <c r="C951" s="5" t="inlineStr">
        <is>
          <t>Rudy LLC</t>
        </is>
      </c>
      <c r="D951" s="5" t="inlineStr">
        <is>
          <t>Open</t>
        </is>
      </c>
      <c r="E951" s="16" t="n">
        <v>46184</v>
      </c>
      <c r="F951" s="16" t="n">
        <v>46251</v>
      </c>
      <c r="G951" s="17" t="n">
        <v>3</v>
      </c>
      <c r="H951" s="5" t="inlineStr">
        <is>
          <t>5999</t>
        </is>
      </c>
      <c r="I951" s="5" t="inlineStr">
        <is>
          <t>All Other Health and Personal Care Stores</t>
        </is>
      </c>
      <c r="J951" s="5" t="inlineStr">
        <is>
          <t>59</t>
        </is>
      </c>
      <c r="K951" s="5" t="n">
        <v>5999</v>
      </c>
      <c r="L951" s="5" t="inlineStr">
        <is>
          <t>IN</t>
        </is>
      </c>
      <c r="M951" s="5" t="inlineStr">
        <is>
          <t>Clover Capital</t>
        </is>
      </c>
      <c r="N951" s="5" t="inlineStr">
        <is>
          <t>New Deal</t>
        </is>
      </c>
      <c r="O951" s="19" t="n">
        <v>1.49</v>
      </c>
      <c r="P951" s="20" t="n">
        <v>25000</v>
      </c>
      <c r="Q951" s="20" t="n">
        <v>3500</v>
      </c>
      <c r="R951" s="20" t="n">
        <v>37250</v>
      </c>
      <c r="S951" s="20" t="n">
        <v>10864.91</v>
      </c>
      <c r="T951" s="20" t="n">
        <v>26385.09</v>
      </c>
      <c r="U951" s="21" t="n">
        <v>0.291675436241611</v>
      </c>
      <c r="V951" s="22" t="n">
        <v>24</v>
      </c>
      <c r="W951" s="17" t="n">
        <v>2</v>
      </c>
      <c r="X951" s="17" t="n">
        <v>4</v>
      </c>
      <c r="Y951" s="20" t="n">
        <v>53246.41</v>
      </c>
      <c r="Z951" s="21" t="n">
        <v>0.1166</v>
      </c>
      <c r="AA951" s="16" t="n">
        <v>41134</v>
      </c>
      <c r="AB951" s="5">
        <f>IF(V951="","",IF(V951&lt;12,"Months","Weeks"))</f>
        <v/>
      </c>
      <c r="AC951" s="5">
        <f>IF(AB951="","",IF(AB951="Months","Daily","Weekly"))</f>
        <v/>
      </c>
      <c r="AD951" s="17">
        <f>IF(V951="","",IF(AC951="Daily",V951*Controls!$B$13,V951))</f>
        <v/>
      </c>
      <c r="AE951" s="17">
        <f>IF(V951="","",IF(AC951="Daily",V951*Controls!$B$13,V951*Controls!$B$12))</f>
        <v/>
      </c>
      <c r="AF951" s="17">
        <f>IF(OR(E951="",F951=""),"",F951-E951)</f>
        <v/>
      </c>
      <c r="AG951" s="17">
        <f>IF(OR(E951="",F951=""),"",NETWORKDAYS(E951,F951,Ref!$F$4:$F$47))</f>
        <v/>
      </c>
      <c r="AH951" s="39">
        <f>IF(IFERROR(VLOOKUP(D951,Controls!$A$25:$D$35,2,FALSE()),"No")="Yes",1,0)</f>
        <v/>
      </c>
      <c r="AI951" s="39">
        <f>IF(IFERROR(VLOOKUP(D951,Controls!$A$25:$D$35,3,FALSE()),"No")="Yes",1,0)</f>
        <v/>
      </c>
      <c r="AJ951" s="39">
        <f>IF(IFERROR(VLOOKUP(D951,Controls!$A$25:$D$35,4,FALSE()),"No")="Yes",1,0)</f>
        <v/>
      </c>
      <c r="AK951" s="96">
        <f>IF(AND($E951&gt;=Controls!$B$5,$E951&lt;=Controls!$B$6,OR(Controls!$E$9&lt;&gt;"Y",$BE951=1)),1,0)</f>
        <v/>
      </c>
      <c r="AL951" s="39">
        <f>1</f>
        <v/>
      </c>
      <c r="AM951" s="20">
        <f>S951-P951</f>
        <v/>
      </c>
      <c r="AN951" s="20">
        <f>IF(AH951=1,MAX(0,P951-S951),0)</f>
        <v/>
      </c>
      <c r="AO951" s="21">
        <f>IFERROR(S951/P951,"")</f>
        <v/>
      </c>
      <c r="AP951" s="22">
        <f>IF(Y951="","",P951/Y951)</f>
        <v/>
      </c>
      <c r="AQ951" s="39">
        <f>IF(Y951="",0,1)</f>
        <v/>
      </c>
      <c r="AR951" s="39">
        <f>IF(S951&lt;=0,1,0)</f>
        <v/>
      </c>
      <c r="AS951" s="17">
        <f>IF(AH951=1,AG951,"")</f>
        <v/>
      </c>
      <c r="AT951" s="17">
        <f>IF(AND(AH951=0,AJ951=1),AG951,"")</f>
        <v/>
      </c>
      <c r="AU951" s="5">
        <f>IF(P951&lt;10000,"Under $10K",IF(P951&lt;20000,"$10-20K",IF(P951&lt;30000,"$20-30K",IF(P951&lt;50000,"$30-50K",IF(P951&lt;100000,"$50-100K","$100K+")))))</f>
        <v/>
      </c>
      <c r="AV951" s="5">
        <f>IF(O951&lt;=1.35,"1.35 and under",IF(O951&lt;=1.42,"1.36-1.42",IF(O951&lt;=1.45,"1.43-1.45",IF(O951&lt;1.49,"1.46-1.48",IF(O951&lt;=1.49,"1.49","Above 1.49")))))</f>
        <v/>
      </c>
      <c r="AW951" s="5">
        <f>IF(AE951="","",IF(AE951&lt;60,"Under 60",IF(AE951&lt;90,"60-89",IF(AE951&lt;120,"90-119",IF(AE951&lt;150,"120-149","150+")))))</f>
        <v/>
      </c>
      <c r="AX951" s="5">
        <f>IF(AP951="","No revenue data",IF(AP951&lt;0.15,"Under 0.15x",IF(AP951&lt;0.3,"0.15-0.30x",IF(AP951&lt;0.5,"0.30-0.50x",IF(AP951&lt;1,"0.50-1.00x","1.00x+")))))</f>
        <v/>
      </c>
      <c r="AY951" s="5">
        <f>IF(J951="","No SIC",IFERROR(VLOOKUP(J951,Ref!$A$4:$C$67,2,FALSE()),"Unclassified"))</f>
        <v/>
      </c>
      <c r="AZ951" s="5">
        <f>IF(E951="","",TEXT(E951,"YYYY")&amp;"-Q"&amp;ROUNDUP(MONTH(E951)/3,0))</f>
        <v/>
      </c>
      <c r="BA951" s="5">
        <f>IF(E951="","",TEXT(E951,"YYYY-MM"))</f>
        <v/>
      </c>
      <c r="BB951" s="5">
        <f>IF(E951="","",TEXT(E951,"YYYY"))</f>
        <v/>
      </c>
      <c r="BC951" s="92">
        <f>IF($E951="","",NETWORKDAYS($E951,Controls!$B$9,Ref!$F$4:$F$47))</f>
        <v/>
      </c>
      <c r="BD951" s="92">
        <f>IF(OR($AH951=1,$AJ951=1),1,0)</f>
        <v/>
      </c>
      <c r="BE951" s="95">
        <f>IF(OR($BD951=1,AND($AE951&lt;&gt;"",$BC951&gt;=Controls!$B$10*$AE951)),1,0)</f>
        <v/>
      </c>
    </row>
    <row r="952" ht="15.75" customHeight="1" s="79">
      <c r="A952" s="5" t="inlineStr">
        <is>
          <t>5674185368</t>
        </is>
      </c>
      <c r="B952" s="5" t="inlineStr">
        <is>
          <t>GATEWAY COMICS AND TOYS</t>
        </is>
      </c>
      <c r="C952" s="5" t="inlineStr">
        <is>
          <t>NOVA GATEWAY GROUP LLC , EDWARD P SANDERSON</t>
        </is>
      </c>
      <c r="D952" s="5" t="inlineStr">
        <is>
          <t>Open</t>
        </is>
      </c>
      <c r="E952" s="16" t="n">
        <v>46185</v>
      </c>
      <c r="F952" s="16" t="n">
        <v>46248</v>
      </c>
      <c r="G952" s="17" t="n">
        <v>1</v>
      </c>
      <c r="H952" s="5" t="inlineStr">
        <is>
          <t>5942</t>
        </is>
      </c>
      <c r="I952" s="5" t="inlineStr">
        <is>
          <t>Book Stores</t>
        </is>
      </c>
      <c r="J952" s="5" t="inlineStr">
        <is>
          <t>59</t>
        </is>
      </c>
      <c r="K952" s="5" t="n">
        <v>5942</v>
      </c>
      <c r="L952" s="5" t="inlineStr">
        <is>
          <t>VA</t>
        </is>
      </c>
      <c r="M952" s="5" t="inlineStr">
        <is>
          <t>Financity</t>
        </is>
      </c>
      <c r="N952" s="5" t="inlineStr">
        <is>
          <t>New Deal</t>
        </is>
      </c>
      <c r="O952" s="19" t="n">
        <v>1.49</v>
      </c>
      <c r="P952" s="20" t="n">
        <v>75000</v>
      </c>
      <c r="Q952" s="20" t="n">
        <v>10500</v>
      </c>
      <c r="R952" s="20" t="n">
        <v>111750</v>
      </c>
      <c r="S952" s="20" t="n">
        <v>35910</v>
      </c>
      <c r="T952" s="20" t="n">
        <v>75840</v>
      </c>
      <c r="U952" s="21" t="n">
        <v>0.321342281879195</v>
      </c>
      <c r="V952" s="22" t="n">
        <v>28</v>
      </c>
      <c r="W952" s="17" t="n">
        <v>5</v>
      </c>
      <c r="X952" s="17" t="n">
        <v>0</v>
      </c>
      <c r="Y952" s="20" t="n">
        <v>91829.59</v>
      </c>
      <c r="Z952" s="21" t="n">
        <v>0.1738</v>
      </c>
      <c r="AA952" s="16" t="n">
        <v>35496</v>
      </c>
      <c r="AB952" s="5">
        <f>IF(V952="","",IF(V952&lt;12,"Months","Weeks"))</f>
        <v/>
      </c>
      <c r="AC952" s="5">
        <f>IF(AB952="","",IF(AB952="Months","Daily","Weekly"))</f>
        <v/>
      </c>
      <c r="AD952" s="17">
        <f>IF(V952="","",IF(AC952="Daily",V952*Controls!$B$13,V952))</f>
        <v/>
      </c>
      <c r="AE952" s="17">
        <f>IF(V952="","",IF(AC952="Daily",V952*Controls!$B$13,V952*Controls!$B$12))</f>
        <v/>
      </c>
      <c r="AF952" s="17">
        <f>IF(OR(E952="",F952=""),"",F952-E952)</f>
        <v/>
      </c>
      <c r="AG952" s="17">
        <f>IF(OR(E952="",F952=""),"",NETWORKDAYS(E952,F952,Ref!$F$4:$F$47))</f>
        <v/>
      </c>
      <c r="AH952" s="39">
        <f>IF(IFERROR(VLOOKUP(D952,Controls!$A$25:$D$35,2,FALSE()),"No")="Yes",1,0)</f>
        <v/>
      </c>
      <c r="AI952" s="39">
        <f>IF(IFERROR(VLOOKUP(D952,Controls!$A$25:$D$35,3,FALSE()),"No")="Yes",1,0)</f>
        <v/>
      </c>
      <c r="AJ952" s="39">
        <f>IF(IFERROR(VLOOKUP(D952,Controls!$A$25:$D$35,4,FALSE()),"No")="Yes",1,0)</f>
        <v/>
      </c>
      <c r="AK952" s="96">
        <f>IF(AND($E952&gt;=Controls!$B$5,$E952&lt;=Controls!$B$6,OR(Controls!$E$9&lt;&gt;"Y",$BE952=1)),1,0)</f>
        <v/>
      </c>
      <c r="AL952" s="39">
        <f>1</f>
        <v/>
      </c>
      <c r="AM952" s="20">
        <f>S952-P952</f>
        <v/>
      </c>
      <c r="AN952" s="20">
        <f>IF(AH952=1,MAX(0,P952-S952),0)</f>
        <v/>
      </c>
      <c r="AO952" s="21">
        <f>IFERROR(S952/P952,"")</f>
        <v/>
      </c>
      <c r="AP952" s="22">
        <f>IF(Y952="","",P952/Y952)</f>
        <v/>
      </c>
      <c r="AQ952" s="39">
        <f>IF(Y952="",0,1)</f>
        <v/>
      </c>
      <c r="AR952" s="39">
        <f>IF(S952&lt;=0,1,0)</f>
        <v/>
      </c>
      <c r="AS952" s="17">
        <f>IF(AH952=1,AG952,"")</f>
        <v/>
      </c>
      <c r="AT952" s="17">
        <f>IF(AND(AH952=0,AJ952=1),AG952,"")</f>
        <v/>
      </c>
      <c r="AU952" s="5">
        <f>IF(P952&lt;10000,"Under $10K",IF(P952&lt;20000,"$10-20K",IF(P952&lt;30000,"$20-30K",IF(P952&lt;50000,"$30-50K",IF(P952&lt;100000,"$50-100K","$100K+")))))</f>
        <v/>
      </c>
      <c r="AV952" s="5">
        <f>IF(O952&lt;=1.35,"1.35 and under",IF(O952&lt;=1.42,"1.36-1.42",IF(O952&lt;=1.45,"1.43-1.45",IF(O952&lt;1.49,"1.46-1.48",IF(O952&lt;=1.49,"1.49","Above 1.49")))))</f>
        <v/>
      </c>
      <c r="AW952" s="5">
        <f>IF(AE952="","",IF(AE952&lt;60,"Under 60",IF(AE952&lt;90,"60-89",IF(AE952&lt;120,"90-119",IF(AE952&lt;150,"120-149","150+")))))</f>
        <v/>
      </c>
      <c r="AX952" s="5">
        <f>IF(AP952="","No revenue data",IF(AP952&lt;0.15,"Under 0.15x",IF(AP952&lt;0.3,"0.15-0.30x",IF(AP952&lt;0.5,"0.30-0.50x",IF(AP952&lt;1,"0.50-1.00x","1.00x+")))))</f>
        <v/>
      </c>
      <c r="AY952" s="5">
        <f>IF(J952="","No SIC",IFERROR(VLOOKUP(J952,Ref!$A$4:$C$67,2,FALSE()),"Unclassified"))</f>
        <v/>
      </c>
      <c r="AZ952" s="5">
        <f>IF(E952="","",TEXT(E952,"YYYY")&amp;"-Q"&amp;ROUNDUP(MONTH(E952)/3,0))</f>
        <v/>
      </c>
      <c r="BA952" s="5">
        <f>IF(E952="","",TEXT(E952,"YYYY-MM"))</f>
        <v/>
      </c>
      <c r="BB952" s="5">
        <f>IF(E952="","",TEXT(E952,"YYYY"))</f>
        <v/>
      </c>
      <c r="BC952" s="92">
        <f>IF($E952="","",NETWORKDAYS($E952,Controls!$B$9,Ref!$F$4:$F$47))</f>
        <v/>
      </c>
      <c r="BD952" s="92">
        <f>IF(OR($AH952=1,$AJ952=1),1,0)</f>
        <v/>
      </c>
      <c r="BE952" s="95">
        <f>IF(OR($BD952=1,AND($AE952&lt;&gt;"",$BC952&gt;=Controls!$B$10*$AE952)),1,0)</f>
        <v/>
      </c>
    </row>
    <row r="953" ht="15.75" customHeight="1" s="79">
      <c r="A953" s="5" t="inlineStr">
        <is>
          <t>5674185371</t>
        </is>
      </c>
      <c r="B953" s="5" t="inlineStr">
        <is>
          <t>Bamboo House Restaurant LLC</t>
        </is>
      </c>
      <c r="C953" s="5" t="inlineStr">
        <is>
          <t>Bamboo House Restaurant LLC</t>
        </is>
      </c>
      <c r="D953" s="5" t="inlineStr">
        <is>
          <t>Open</t>
        </is>
      </c>
      <c r="E953" s="16" t="n">
        <v>46185</v>
      </c>
      <c r="F953" s="16" t="n">
        <v>46248</v>
      </c>
      <c r="G953" s="17" t="n">
        <v>3</v>
      </c>
      <c r="H953" s="5" t="inlineStr">
        <is>
          <t>5812</t>
        </is>
      </c>
      <c r="I953" s="5" t="inlineStr">
        <is>
          <t>Snack and Nonalcoholic Beverage Bars</t>
        </is>
      </c>
      <c r="J953" s="5" t="inlineStr">
        <is>
          <t>58</t>
        </is>
      </c>
      <c r="K953" s="5" t="n">
        <v>5812</v>
      </c>
      <c r="L953" s="5" t="inlineStr">
        <is>
          <t>MA</t>
        </is>
      </c>
      <c r="M953" s="5" t="inlineStr">
        <is>
          <t>alvara capital</t>
        </is>
      </c>
      <c r="N953" s="5" t="inlineStr">
        <is>
          <t>New Deal</t>
        </is>
      </c>
      <c r="O953" s="19" t="n">
        <v>1.49</v>
      </c>
      <c r="P953" s="20" t="n">
        <v>40000</v>
      </c>
      <c r="Q953" s="20" t="n">
        <v>5600</v>
      </c>
      <c r="R953" s="20" t="n">
        <v>59600</v>
      </c>
      <c r="S953" s="20" t="n">
        <v>22342.5</v>
      </c>
      <c r="T953" s="20" t="n">
        <v>37257.5</v>
      </c>
      <c r="U953" s="21" t="n">
        <v>0.374874161073826</v>
      </c>
      <c r="V953" s="22" t="n">
        <v>24</v>
      </c>
      <c r="W953" s="17" t="n">
        <v>5</v>
      </c>
      <c r="X953" s="17" t="n">
        <v>0</v>
      </c>
      <c r="Y953" s="20" t="n">
        <v>89138.08</v>
      </c>
      <c r="Z953" s="21" t="n">
        <v>0.1114</v>
      </c>
      <c r="AA953" s="16" t="n">
        <v>45292</v>
      </c>
      <c r="AB953" s="5">
        <f>IF(V953="","",IF(V953&lt;12,"Months","Weeks"))</f>
        <v/>
      </c>
      <c r="AC953" s="5">
        <f>IF(AB953="","",IF(AB953="Months","Daily","Weekly"))</f>
        <v/>
      </c>
      <c r="AD953" s="17">
        <f>IF(V953="","",IF(AC953="Daily",V953*Controls!$B$13,V953))</f>
        <v/>
      </c>
      <c r="AE953" s="17">
        <f>IF(V953="","",IF(AC953="Daily",V953*Controls!$B$13,V953*Controls!$B$12))</f>
        <v/>
      </c>
      <c r="AF953" s="17">
        <f>IF(OR(E953="",F953=""),"",F953-E953)</f>
        <v/>
      </c>
      <c r="AG953" s="17">
        <f>IF(OR(E953="",F953=""),"",NETWORKDAYS(E953,F953,Ref!$F$4:$F$47))</f>
        <v/>
      </c>
      <c r="AH953" s="39">
        <f>IF(IFERROR(VLOOKUP(D953,Controls!$A$25:$D$35,2,FALSE()),"No")="Yes",1,0)</f>
        <v/>
      </c>
      <c r="AI953" s="39">
        <f>IF(IFERROR(VLOOKUP(D953,Controls!$A$25:$D$35,3,FALSE()),"No")="Yes",1,0)</f>
        <v/>
      </c>
      <c r="AJ953" s="39">
        <f>IF(IFERROR(VLOOKUP(D953,Controls!$A$25:$D$35,4,FALSE()),"No")="Yes",1,0)</f>
        <v/>
      </c>
      <c r="AK953" s="96">
        <f>IF(AND($E953&gt;=Controls!$B$5,$E953&lt;=Controls!$B$6,OR(Controls!$E$9&lt;&gt;"Y",$BE953=1)),1,0)</f>
        <v/>
      </c>
      <c r="AL953" s="39">
        <f>1</f>
        <v/>
      </c>
      <c r="AM953" s="20">
        <f>S953-P953</f>
        <v/>
      </c>
      <c r="AN953" s="20">
        <f>IF(AH953=1,MAX(0,P953-S953),0)</f>
        <v/>
      </c>
      <c r="AO953" s="21">
        <f>IFERROR(S953/P953,"")</f>
        <v/>
      </c>
      <c r="AP953" s="22">
        <f>IF(Y953="","",P953/Y953)</f>
        <v/>
      </c>
      <c r="AQ953" s="39">
        <f>IF(Y953="",0,1)</f>
        <v/>
      </c>
      <c r="AR953" s="39">
        <f>IF(S953&lt;=0,1,0)</f>
        <v/>
      </c>
      <c r="AS953" s="17">
        <f>IF(AH953=1,AG953,"")</f>
        <v/>
      </c>
      <c r="AT953" s="17">
        <f>IF(AND(AH953=0,AJ953=1),AG953,"")</f>
        <v/>
      </c>
      <c r="AU953" s="5">
        <f>IF(P953&lt;10000,"Under $10K",IF(P953&lt;20000,"$10-20K",IF(P953&lt;30000,"$20-30K",IF(P953&lt;50000,"$30-50K",IF(P953&lt;100000,"$50-100K","$100K+")))))</f>
        <v/>
      </c>
      <c r="AV953" s="5">
        <f>IF(O953&lt;=1.35,"1.35 and under",IF(O953&lt;=1.42,"1.36-1.42",IF(O953&lt;=1.45,"1.43-1.45",IF(O953&lt;1.49,"1.46-1.48",IF(O953&lt;=1.49,"1.49","Above 1.49")))))</f>
        <v/>
      </c>
      <c r="AW953" s="5">
        <f>IF(AE953="","",IF(AE953&lt;60,"Under 60",IF(AE953&lt;90,"60-89",IF(AE953&lt;120,"90-119",IF(AE953&lt;150,"120-149","150+")))))</f>
        <v/>
      </c>
      <c r="AX953" s="5">
        <f>IF(AP953="","No revenue data",IF(AP953&lt;0.15,"Under 0.15x",IF(AP953&lt;0.3,"0.15-0.30x",IF(AP953&lt;0.5,"0.30-0.50x",IF(AP953&lt;1,"0.50-1.00x","1.00x+")))))</f>
        <v/>
      </c>
      <c r="AY953" s="5">
        <f>IF(J953="","No SIC",IFERROR(VLOOKUP(J953,Ref!$A$4:$C$67,2,FALSE()),"Unclassified"))</f>
        <v/>
      </c>
      <c r="AZ953" s="5">
        <f>IF(E953="","",TEXT(E953,"YYYY")&amp;"-Q"&amp;ROUNDUP(MONTH(E953)/3,0))</f>
        <v/>
      </c>
      <c r="BA953" s="5">
        <f>IF(E953="","",TEXT(E953,"YYYY-MM"))</f>
        <v/>
      </c>
      <c r="BB953" s="5">
        <f>IF(E953="","",TEXT(E953,"YYYY"))</f>
        <v/>
      </c>
      <c r="BC953" s="92">
        <f>IF($E953="","",NETWORKDAYS($E953,Controls!$B$9,Ref!$F$4:$F$47))</f>
        <v/>
      </c>
      <c r="BD953" s="92">
        <f>IF(OR($AH953=1,$AJ953=1),1,0)</f>
        <v/>
      </c>
      <c r="BE953" s="95">
        <f>IF(OR($BD953=1,AND($AE953&lt;&gt;"",$BC953&gt;=Controls!$B$10*$AE953)),1,0)</f>
        <v/>
      </c>
    </row>
    <row r="954" ht="15.75" customHeight="1" s="79">
      <c r="A954" s="5" t="inlineStr">
        <is>
          <t>5674185378</t>
        </is>
      </c>
      <c r="B954" s="5" t="inlineStr">
        <is>
          <t>AMIN TRADING LLC</t>
        </is>
      </c>
      <c r="C954" s="5" t="inlineStr">
        <is>
          <t>AMIN TRADING LLC</t>
        </is>
      </c>
      <c r="D954" s="5" t="inlineStr">
        <is>
          <t>Open</t>
        </is>
      </c>
      <c r="E954" s="16" t="n">
        <v>46185</v>
      </c>
      <c r="F954" s="16" t="n">
        <v>46241</v>
      </c>
      <c r="G954" s="17" t="n">
        <v>3</v>
      </c>
      <c r="H954" s="5" t="inlineStr">
        <is>
          <t>5999</t>
        </is>
      </c>
      <c r="I954" s="5" t="inlineStr">
        <is>
          <t>All Other Misc. Store Retailers (Except Tobacco Stores)</t>
        </is>
      </c>
      <c r="J954" s="5" t="inlineStr">
        <is>
          <t>59</t>
        </is>
      </c>
      <c r="K954" s="5" t="n">
        <v>5999</v>
      </c>
      <c r="L954" s="5" t="inlineStr">
        <is>
          <t>TX</t>
        </is>
      </c>
      <c r="M954" s="5" t="inlineStr">
        <is>
          <t>Fundwell</t>
        </is>
      </c>
      <c r="N954" s="5" t="inlineStr">
        <is>
          <t>New Deal</t>
        </is>
      </c>
      <c r="O954" s="19" t="n">
        <v>1.35</v>
      </c>
      <c r="P954" s="20" t="n">
        <v>7000</v>
      </c>
      <c r="Q954" s="20" t="n">
        <v>490</v>
      </c>
      <c r="R954" s="20" t="n">
        <v>9450</v>
      </c>
      <c r="S954" s="20" t="n">
        <v>2756.25</v>
      </c>
      <c r="T954" s="20" t="n">
        <v>6693.75</v>
      </c>
      <c r="U954" s="21" t="n">
        <v>0.291666666666667</v>
      </c>
      <c r="V954" s="22" t="n">
        <v>24</v>
      </c>
      <c r="W954" s="17" t="n">
        <v>19</v>
      </c>
      <c r="X954" s="17" t="n">
        <v>1</v>
      </c>
      <c r="Y954" s="20" t="n">
        <v>420000</v>
      </c>
      <c r="Z954" s="21" t="n">
        <v>0.1125</v>
      </c>
      <c r="AA954" s="16" t="n">
        <v>44287</v>
      </c>
      <c r="AB954" s="5">
        <f>IF(V954="","",IF(V954&lt;12,"Months","Weeks"))</f>
        <v/>
      </c>
      <c r="AC954" s="5">
        <f>IF(AB954="","",IF(AB954="Months","Daily","Weekly"))</f>
        <v/>
      </c>
      <c r="AD954" s="17">
        <f>IF(V954="","",IF(AC954="Daily",V954*Controls!$B$13,V954))</f>
        <v/>
      </c>
      <c r="AE954" s="17">
        <f>IF(V954="","",IF(AC954="Daily",V954*Controls!$B$13,V954*Controls!$B$12))</f>
        <v/>
      </c>
      <c r="AF954" s="17">
        <f>IF(OR(E954="",F954=""),"",F954-E954)</f>
        <v/>
      </c>
      <c r="AG954" s="17">
        <f>IF(OR(E954="",F954=""),"",NETWORKDAYS(E954,F954,Ref!$F$4:$F$47))</f>
        <v/>
      </c>
      <c r="AH954" s="39">
        <f>IF(IFERROR(VLOOKUP(D954,Controls!$A$25:$D$35,2,FALSE()),"No")="Yes",1,0)</f>
        <v/>
      </c>
      <c r="AI954" s="39">
        <f>IF(IFERROR(VLOOKUP(D954,Controls!$A$25:$D$35,3,FALSE()),"No")="Yes",1,0)</f>
        <v/>
      </c>
      <c r="AJ954" s="39">
        <f>IF(IFERROR(VLOOKUP(D954,Controls!$A$25:$D$35,4,FALSE()),"No")="Yes",1,0)</f>
        <v/>
      </c>
      <c r="AK954" s="96">
        <f>IF(AND($E954&gt;=Controls!$B$5,$E954&lt;=Controls!$B$6,OR(Controls!$E$9&lt;&gt;"Y",$BE954=1)),1,0)</f>
        <v/>
      </c>
      <c r="AL954" s="39">
        <f>1</f>
        <v/>
      </c>
      <c r="AM954" s="20">
        <f>S954-P954</f>
        <v/>
      </c>
      <c r="AN954" s="20">
        <f>IF(AH954=1,MAX(0,P954-S954),0)</f>
        <v/>
      </c>
      <c r="AO954" s="21">
        <f>IFERROR(S954/P954,"")</f>
        <v/>
      </c>
      <c r="AP954" s="22">
        <f>IF(Y954="","",P954/Y954)</f>
        <v/>
      </c>
      <c r="AQ954" s="39">
        <f>IF(Y954="",0,1)</f>
        <v/>
      </c>
      <c r="AR954" s="39">
        <f>IF(S954&lt;=0,1,0)</f>
        <v/>
      </c>
      <c r="AS954" s="17">
        <f>IF(AH954=1,AG954,"")</f>
        <v/>
      </c>
      <c r="AT954" s="17">
        <f>IF(AND(AH954=0,AJ954=1),AG954,"")</f>
        <v/>
      </c>
      <c r="AU954" s="5">
        <f>IF(P954&lt;10000,"Under $10K",IF(P954&lt;20000,"$10-20K",IF(P954&lt;30000,"$20-30K",IF(P954&lt;50000,"$30-50K",IF(P954&lt;100000,"$50-100K","$100K+")))))</f>
        <v/>
      </c>
      <c r="AV954" s="5">
        <f>IF(O954&lt;=1.35,"1.35 and under",IF(O954&lt;=1.42,"1.36-1.42",IF(O954&lt;=1.45,"1.43-1.45",IF(O954&lt;1.49,"1.46-1.48",IF(O954&lt;=1.49,"1.49","Above 1.49")))))</f>
        <v/>
      </c>
      <c r="AW954" s="5">
        <f>IF(AE954="","",IF(AE954&lt;60,"Under 60",IF(AE954&lt;90,"60-89",IF(AE954&lt;120,"90-119",IF(AE954&lt;150,"120-149","150+")))))</f>
        <v/>
      </c>
      <c r="AX954" s="5">
        <f>IF(AP954="","No revenue data",IF(AP954&lt;0.15,"Under 0.15x",IF(AP954&lt;0.3,"0.15-0.30x",IF(AP954&lt;0.5,"0.30-0.50x",IF(AP954&lt;1,"0.50-1.00x","1.00x+")))))</f>
        <v/>
      </c>
      <c r="AY954" s="5">
        <f>IF(J954="","No SIC",IFERROR(VLOOKUP(J954,Ref!$A$4:$C$67,2,FALSE()),"Unclassified"))</f>
        <v/>
      </c>
      <c r="AZ954" s="5">
        <f>IF(E954="","",TEXT(E954,"YYYY")&amp;"-Q"&amp;ROUNDUP(MONTH(E954)/3,0))</f>
        <v/>
      </c>
      <c r="BA954" s="5">
        <f>IF(E954="","",TEXT(E954,"YYYY-MM"))</f>
        <v/>
      </c>
      <c r="BB954" s="5">
        <f>IF(E954="","",TEXT(E954,"YYYY"))</f>
        <v/>
      </c>
      <c r="BC954" s="92">
        <f>IF($E954="","",NETWORKDAYS($E954,Controls!$B$9,Ref!$F$4:$F$47))</f>
        <v/>
      </c>
      <c r="BD954" s="92">
        <f>IF(OR($AH954=1,$AJ954=1),1,0)</f>
        <v/>
      </c>
      <c r="BE954" s="95">
        <f>IF(OR($BD954=1,AND($AE954&lt;&gt;"",$BC954&gt;=Controls!$B$10*$AE954)),1,0)</f>
        <v/>
      </c>
    </row>
    <row r="955" ht="15.75" customHeight="1" s="79">
      <c r="A955" s="5" t="inlineStr">
        <is>
          <t>5674185386</t>
        </is>
      </c>
      <c r="B955" s="5" t="inlineStr">
        <is>
          <t>QUALITY COMMUNITY HEALTH CARE</t>
        </is>
      </c>
      <c r="C955" s="5" t="inlineStr">
        <is>
          <t>QUALITY COMMUNITY HEALTH CARE, INC.</t>
        </is>
      </c>
      <c r="D955" s="5" t="inlineStr">
        <is>
          <t>Legal</t>
        </is>
      </c>
      <c r="E955" s="16" t="n">
        <v>46185</v>
      </c>
      <c r="F955" s="16" t="n">
        <v>46198</v>
      </c>
      <c r="G955" s="17" t="n">
        <v>4</v>
      </c>
      <c r="H955" s="5" t="inlineStr">
        <is>
          <t>8072</t>
        </is>
      </c>
      <c r="I955" s="5" t="inlineStr">
        <is>
          <t>Dental Laboratories</t>
        </is>
      </c>
      <c r="J955" s="5" t="inlineStr">
        <is>
          <t>80</t>
        </is>
      </c>
      <c r="K955" s="5" t="n">
        <v>8071</v>
      </c>
      <c r="L955" s="5" t="inlineStr">
        <is>
          <t>PA</t>
        </is>
      </c>
      <c r="M955" s="5" t="inlineStr">
        <is>
          <t>PMF</t>
        </is>
      </c>
      <c r="N955" s="5" t="inlineStr">
        <is>
          <t>New Deal</t>
        </is>
      </c>
      <c r="O955" s="19" t="n">
        <v>1.49</v>
      </c>
      <c r="P955" s="20" t="n">
        <v>50000</v>
      </c>
      <c r="Q955" s="20" t="n">
        <v>0</v>
      </c>
      <c r="R955" s="20" t="n">
        <v>74500</v>
      </c>
      <c r="S955" s="20" t="n">
        <v>0</v>
      </c>
      <c r="T955" s="20" t="n">
        <v>74500</v>
      </c>
      <c r="U955" s="21" t="n">
        <v>0</v>
      </c>
      <c r="V955" s="22" t="n">
        <v>24</v>
      </c>
      <c r="W955" s="17" t="n">
        <v>68</v>
      </c>
      <c r="X955" s="17" t="n">
        <v>2</v>
      </c>
      <c r="Y955" s="20" t="n">
        <v>455270.02</v>
      </c>
      <c r="Z955" s="21" t="n">
        <v>0.0276</v>
      </c>
      <c r="AA955" s="16" t="n">
        <v>38513</v>
      </c>
      <c r="AB955" s="5">
        <f>IF(V955="","",IF(V955&lt;12,"Months","Weeks"))</f>
        <v/>
      </c>
      <c r="AC955" s="5">
        <f>IF(AB955="","",IF(AB955="Months","Daily","Weekly"))</f>
        <v/>
      </c>
      <c r="AD955" s="17">
        <f>IF(V955="","",IF(AC955="Daily",V955*Controls!$B$13,V955))</f>
        <v/>
      </c>
      <c r="AE955" s="17">
        <f>IF(V955="","",IF(AC955="Daily",V955*Controls!$B$13,V955*Controls!$B$12))</f>
        <v/>
      </c>
      <c r="AF955" s="17">
        <f>IF(OR(E955="",F955=""),"",F955-E955)</f>
        <v/>
      </c>
      <c r="AG955" s="17">
        <f>IF(OR(E955="",F955=""),"",NETWORKDAYS(E955,F955,Ref!$F$4:$F$47))</f>
        <v/>
      </c>
      <c r="AH955" s="39">
        <f>IF(IFERROR(VLOOKUP(D955,Controls!$A$25:$D$35,2,FALSE()),"No")="Yes",1,0)</f>
        <v/>
      </c>
      <c r="AI955" s="39">
        <f>IF(IFERROR(VLOOKUP(D955,Controls!$A$25:$D$35,3,FALSE()),"No")="Yes",1,0)</f>
        <v/>
      </c>
      <c r="AJ955" s="39">
        <f>IF(IFERROR(VLOOKUP(D955,Controls!$A$25:$D$35,4,FALSE()),"No")="Yes",1,0)</f>
        <v/>
      </c>
      <c r="AK955" s="96">
        <f>IF(AND($E955&gt;=Controls!$B$5,$E955&lt;=Controls!$B$6,OR(Controls!$E$9&lt;&gt;"Y",$BE955=1)),1,0)</f>
        <v/>
      </c>
      <c r="AL955" s="39">
        <f>1</f>
        <v/>
      </c>
      <c r="AM955" s="20">
        <f>S955-P955</f>
        <v/>
      </c>
      <c r="AN955" s="20">
        <f>IF(AH955=1,MAX(0,P955-S955),0)</f>
        <v/>
      </c>
      <c r="AO955" s="21">
        <f>IFERROR(S955/P955,"")</f>
        <v/>
      </c>
      <c r="AP955" s="22">
        <f>IF(Y955="","",P955/Y955)</f>
        <v/>
      </c>
      <c r="AQ955" s="39">
        <f>IF(Y955="",0,1)</f>
        <v/>
      </c>
      <c r="AR955" s="39">
        <f>IF(S955&lt;=0,1,0)</f>
        <v/>
      </c>
      <c r="AS955" s="17">
        <f>IF(AH955=1,AG955,"")</f>
        <v/>
      </c>
      <c r="AT955" s="17">
        <f>IF(AND(AH955=0,AJ955=1),AG955,"")</f>
        <v/>
      </c>
      <c r="AU955" s="5">
        <f>IF(P955&lt;10000,"Under $10K",IF(P955&lt;20000,"$10-20K",IF(P955&lt;30000,"$20-30K",IF(P955&lt;50000,"$30-50K",IF(P955&lt;100000,"$50-100K","$100K+")))))</f>
        <v/>
      </c>
      <c r="AV955" s="5">
        <f>IF(O955&lt;=1.35,"1.35 and under",IF(O955&lt;=1.42,"1.36-1.42",IF(O955&lt;=1.45,"1.43-1.45",IF(O955&lt;1.49,"1.46-1.48",IF(O955&lt;=1.49,"1.49","Above 1.49")))))</f>
        <v/>
      </c>
      <c r="AW955" s="5">
        <f>IF(AE955="","",IF(AE955&lt;60,"Under 60",IF(AE955&lt;90,"60-89",IF(AE955&lt;120,"90-119",IF(AE955&lt;150,"120-149","150+")))))</f>
        <v/>
      </c>
      <c r="AX955" s="5">
        <f>IF(AP955="","No revenue data",IF(AP955&lt;0.15,"Under 0.15x",IF(AP955&lt;0.3,"0.15-0.30x",IF(AP955&lt;0.5,"0.30-0.50x",IF(AP955&lt;1,"0.50-1.00x","1.00x+")))))</f>
        <v/>
      </c>
      <c r="AY955" s="5">
        <f>IF(J955="","No SIC",IFERROR(VLOOKUP(J955,Ref!$A$4:$C$67,2,FALSE()),"Unclassified"))</f>
        <v/>
      </c>
      <c r="AZ955" s="5">
        <f>IF(E955="","",TEXT(E955,"YYYY")&amp;"-Q"&amp;ROUNDUP(MONTH(E955)/3,0))</f>
        <v/>
      </c>
      <c r="BA955" s="5">
        <f>IF(E955="","",TEXT(E955,"YYYY-MM"))</f>
        <v/>
      </c>
      <c r="BB955" s="5">
        <f>IF(E955="","",TEXT(E955,"YYYY"))</f>
        <v/>
      </c>
      <c r="BC955" s="92">
        <f>IF($E955="","",NETWORKDAYS($E955,Controls!$B$9,Ref!$F$4:$F$47))</f>
        <v/>
      </c>
      <c r="BD955" s="92">
        <f>IF(OR($AH955=1,$AJ955=1),1,0)</f>
        <v/>
      </c>
      <c r="BE955" s="95">
        <f>IF(OR($BD955=1,AND($AE955&lt;&gt;"",$BC955&gt;=Controls!$B$10*$AE955)),1,0)</f>
        <v/>
      </c>
    </row>
    <row r="956" ht="15.75" customHeight="1" s="79">
      <c r="A956" s="5" t="inlineStr">
        <is>
          <t>5674185390</t>
        </is>
      </c>
      <c r="B956" s="5" t="inlineStr">
        <is>
          <t>CATAMOUNT BUILDERS</t>
        </is>
      </c>
      <c r="C956" s="5" t="inlineStr">
        <is>
          <t>Catamount Builders, Inc</t>
        </is>
      </c>
      <c r="D956" s="5" t="inlineStr">
        <is>
          <t>Legal</t>
        </is>
      </c>
      <c r="E956" s="16" t="n">
        <v>46185</v>
      </c>
      <c r="F956" s="16" t="n">
        <v>46205</v>
      </c>
      <c r="G956" s="17" t="n">
        <v>3</v>
      </c>
      <c r="H956" s="5" t="inlineStr">
        <is>
          <t>1799</t>
        </is>
      </c>
      <c r="I956" s="5" t="inlineStr">
        <is>
          <t>Other Building Finishing Contractors</t>
        </is>
      </c>
      <c r="J956" s="5" t="inlineStr">
        <is>
          <t>17</t>
        </is>
      </c>
      <c r="K956" s="5" t="n">
        <v>1799</v>
      </c>
      <c r="L956" s="5" t="inlineStr">
        <is>
          <t>MA</t>
        </is>
      </c>
      <c r="M956" s="5" t="inlineStr">
        <is>
          <t>PMF</t>
        </is>
      </c>
      <c r="N956" s="5" t="inlineStr">
        <is>
          <t>Renewal</t>
        </is>
      </c>
      <c r="O956" s="19" t="n">
        <v>1.39</v>
      </c>
      <c r="P956" s="20" t="n">
        <v>120000</v>
      </c>
      <c r="Q956" s="20" t="n">
        <v>0</v>
      </c>
      <c r="R956" s="20" t="n">
        <v>166800</v>
      </c>
      <c r="S956" s="20" t="n">
        <v>11916.66</v>
      </c>
      <c r="T956" s="20" t="n">
        <v>154883.34</v>
      </c>
      <c r="U956" s="21" t="n">
        <v>0.0714428057553957</v>
      </c>
      <c r="V956" s="22" t="n">
        <v>28</v>
      </c>
      <c r="W956" s="17" t="n">
        <v>55</v>
      </c>
      <c r="X956" s="17" t="n">
        <v>1</v>
      </c>
      <c r="Y956" s="20" t="n">
        <v>600490.8100000001</v>
      </c>
      <c r="Z956" s="21" t="n">
        <v>0.0511</v>
      </c>
      <c r="AA956" s="16" t="n">
        <v>39722</v>
      </c>
      <c r="AB956" s="5">
        <f>IF(V956="","",IF(V956&lt;12,"Months","Weeks"))</f>
        <v/>
      </c>
      <c r="AC956" s="5">
        <f>IF(AB956="","",IF(AB956="Months","Daily","Weekly"))</f>
        <v/>
      </c>
      <c r="AD956" s="17">
        <f>IF(V956="","",IF(AC956="Daily",V956*Controls!$B$13,V956))</f>
        <v/>
      </c>
      <c r="AE956" s="17">
        <f>IF(V956="","",IF(AC956="Daily",V956*Controls!$B$13,V956*Controls!$B$12))</f>
        <v/>
      </c>
      <c r="AF956" s="17">
        <f>IF(OR(E956="",F956=""),"",F956-E956)</f>
        <v/>
      </c>
      <c r="AG956" s="17">
        <f>IF(OR(E956="",F956=""),"",NETWORKDAYS(E956,F956,Ref!$F$4:$F$47))</f>
        <v/>
      </c>
      <c r="AH956" s="39">
        <f>IF(IFERROR(VLOOKUP(D956,Controls!$A$25:$D$35,2,FALSE()),"No")="Yes",1,0)</f>
        <v/>
      </c>
      <c r="AI956" s="39">
        <f>IF(IFERROR(VLOOKUP(D956,Controls!$A$25:$D$35,3,FALSE()),"No")="Yes",1,0)</f>
        <v/>
      </c>
      <c r="AJ956" s="39">
        <f>IF(IFERROR(VLOOKUP(D956,Controls!$A$25:$D$35,4,FALSE()),"No")="Yes",1,0)</f>
        <v/>
      </c>
      <c r="AK956" s="96">
        <f>IF(AND($E956&gt;=Controls!$B$5,$E956&lt;=Controls!$B$6,OR(Controls!$E$9&lt;&gt;"Y",$BE956=1)),1,0)</f>
        <v/>
      </c>
      <c r="AL956" s="39">
        <f>1</f>
        <v/>
      </c>
      <c r="AM956" s="20">
        <f>S956-P956</f>
        <v/>
      </c>
      <c r="AN956" s="20">
        <f>IF(AH956=1,MAX(0,P956-S956),0)</f>
        <v/>
      </c>
      <c r="AO956" s="21">
        <f>IFERROR(S956/P956,"")</f>
        <v/>
      </c>
      <c r="AP956" s="22">
        <f>IF(Y956="","",P956/Y956)</f>
        <v/>
      </c>
      <c r="AQ956" s="39">
        <f>IF(Y956="",0,1)</f>
        <v/>
      </c>
      <c r="AR956" s="39">
        <f>IF(S956&lt;=0,1,0)</f>
        <v/>
      </c>
      <c r="AS956" s="17">
        <f>IF(AH956=1,AG956,"")</f>
        <v/>
      </c>
      <c r="AT956" s="17">
        <f>IF(AND(AH956=0,AJ956=1),AG956,"")</f>
        <v/>
      </c>
      <c r="AU956" s="5">
        <f>IF(P956&lt;10000,"Under $10K",IF(P956&lt;20000,"$10-20K",IF(P956&lt;30000,"$20-30K",IF(P956&lt;50000,"$30-50K",IF(P956&lt;100000,"$50-100K","$100K+")))))</f>
        <v/>
      </c>
      <c r="AV956" s="5">
        <f>IF(O956&lt;=1.35,"1.35 and under",IF(O956&lt;=1.42,"1.36-1.42",IF(O956&lt;=1.45,"1.43-1.45",IF(O956&lt;1.49,"1.46-1.48",IF(O956&lt;=1.49,"1.49","Above 1.49")))))</f>
        <v/>
      </c>
      <c r="AW956" s="5">
        <f>IF(AE956="","",IF(AE956&lt;60,"Under 60",IF(AE956&lt;90,"60-89",IF(AE956&lt;120,"90-119",IF(AE956&lt;150,"120-149","150+")))))</f>
        <v/>
      </c>
      <c r="AX956" s="5">
        <f>IF(AP956="","No revenue data",IF(AP956&lt;0.15,"Under 0.15x",IF(AP956&lt;0.3,"0.15-0.30x",IF(AP956&lt;0.5,"0.30-0.50x",IF(AP956&lt;1,"0.50-1.00x","1.00x+")))))</f>
        <v/>
      </c>
      <c r="AY956" s="5">
        <f>IF(J956="","No SIC",IFERROR(VLOOKUP(J956,Ref!$A$4:$C$67,2,FALSE()),"Unclassified"))</f>
        <v/>
      </c>
      <c r="AZ956" s="5">
        <f>IF(E956="","",TEXT(E956,"YYYY")&amp;"-Q"&amp;ROUNDUP(MONTH(E956)/3,0))</f>
        <v/>
      </c>
      <c r="BA956" s="5">
        <f>IF(E956="","",TEXT(E956,"YYYY-MM"))</f>
        <v/>
      </c>
      <c r="BB956" s="5">
        <f>IF(E956="","",TEXT(E956,"YYYY"))</f>
        <v/>
      </c>
      <c r="BC956" s="92">
        <f>IF($E956="","",NETWORKDAYS($E956,Controls!$B$9,Ref!$F$4:$F$47))</f>
        <v/>
      </c>
      <c r="BD956" s="92">
        <f>IF(OR($AH956=1,$AJ956=1),1,0)</f>
        <v/>
      </c>
      <c r="BE956" s="95">
        <f>IF(OR($BD956=1,AND($AE956&lt;&gt;"",$BC956&gt;=Controls!$B$10*$AE956)),1,0)</f>
        <v/>
      </c>
    </row>
    <row r="957" ht="15.75" customHeight="1" s="79">
      <c r="A957" s="5" t="inlineStr">
        <is>
          <t>5674185416</t>
        </is>
      </c>
      <c r="B957" s="5" t="inlineStr">
        <is>
          <t>All dogs hair haven</t>
        </is>
      </c>
      <c r="C957" s="5" t="inlineStr">
        <is>
          <t>CRAWFIS CREATURES INC</t>
        </is>
      </c>
      <c r="D957" s="5" t="inlineStr">
        <is>
          <t>Open</t>
        </is>
      </c>
      <c r="E957" s="16" t="n">
        <v>46185</v>
      </c>
      <c r="F957" s="16" t="n">
        <v>46253</v>
      </c>
      <c r="G957" s="17" t="n">
        <v>3</v>
      </c>
      <c r="H957" s="5" t="inlineStr">
        <is>
          <t>0742</t>
        </is>
      </c>
      <c r="I957" s="5" t="inlineStr">
        <is>
          <t>Veterinary Services</t>
        </is>
      </c>
      <c r="J957" s="5" t="inlineStr">
        <is>
          <t>07</t>
        </is>
      </c>
      <c r="K957" s="5" t="n">
        <v>742</v>
      </c>
      <c r="L957" s="5" t="inlineStr">
        <is>
          <t>FL</t>
        </is>
      </c>
      <c r="M957" s="5" t="inlineStr">
        <is>
          <t>AVON ADVANCE</t>
        </is>
      </c>
      <c r="N957" s="5" t="inlineStr">
        <is>
          <t>New Deal</t>
        </is>
      </c>
      <c r="O957" s="19" t="n">
        <v>1.49</v>
      </c>
      <c r="P957" s="20" t="n">
        <v>12500</v>
      </c>
      <c r="Q957" s="20" t="n">
        <v>1750</v>
      </c>
      <c r="R957" s="20" t="n">
        <v>18625</v>
      </c>
      <c r="S957" s="20" t="n">
        <v>7448.32</v>
      </c>
      <c r="T957" s="20" t="n">
        <v>11176.68</v>
      </c>
      <c r="U957" s="21" t="n">
        <v>0.399909798657718</v>
      </c>
      <c r="V957" s="22" t="n">
        <v>2.623</v>
      </c>
      <c r="W957" s="17" t="n">
        <v>0</v>
      </c>
      <c r="X957" s="17" t="n">
        <v>15</v>
      </c>
      <c r="Y957" s="20" t="n">
        <v>32761.34</v>
      </c>
      <c r="Z957" s="21" t="n">
        <v>0.1492</v>
      </c>
      <c r="AA957" s="16" t="n">
        <v>34700</v>
      </c>
      <c r="AB957" s="5">
        <f>IF(V957="","",IF(V957&lt;12,"Months","Weeks"))</f>
        <v/>
      </c>
      <c r="AC957" s="5">
        <f>IF(AB957="","",IF(AB957="Months","Daily","Weekly"))</f>
        <v/>
      </c>
      <c r="AD957" s="17">
        <f>IF(V957="","",IF(AC957="Daily",V957*Controls!$B$13,V957))</f>
        <v/>
      </c>
      <c r="AE957" s="17">
        <f>IF(V957="","",IF(AC957="Daily",V957*Controls!$B$13,V957*Controls!$B$12))</f>
        <v/>
      </c>
      <c r="AF957" s="17">
        <f>IF(OR(E957="",F957=""),"",F957-E957)</f>
        <v/>
      </c>
      <c r="AG957" s="17">
        <f>IF(OR(E957="",F957=""),"",NETWORKDAYS(E957,F957,Ref!$F$4:$F$47))</f>
        <v/>
      </c>
      <c r="AH957" s="39">
        <f>IF(IFERROR(VLOOKUP(D957,Controls!$A$25:$D$35,2,FALSE()),"No")="Yes",1,0)</f>
        <v/>
      </c>
      <c r="AI957" s="39">
        <f>IF(IFERROR(VLOOKUP(D957,Controls!$A$25:$D$35,3,FALSE()),"No")="Yes",1,0)</f>
        <v/>
      </c>
      <c r="AJ957" s="39">
        <f>IF(IFERROR(VLOOKUP(D957,Controls!$A$25:$D$35,4,FALSE()),"No")="Yes",1,0)</f>
        <v/>
      </c>
      <c r="AK957" s="96">
        <f>IF(AND($E957&gt;=Controls!$B$5,$E957&lt;=Controls!$B$6,OR(Controls!$E$9&lt;&gt;"Y",$BE957=1)),1,0)</f>
        <v/>
      </c>
      <c r="AL957" s="39">
        <f>1</f>
        <v/>
      </c>
      <c r="AM957" s="20">
        <f>S957-P957</f>
        <v/>
      </c>
      <c r="AN957" s="20">
        <f>IF(AH957=1,MAX(0,P957-S957),0)</f>
        <v/>
      </c>
      <c r="AO957" s="21">
        <f>IFERROR(S957/P957,"")</f>
        <v/>
      </c>
      <c r="AP957" s="22">
        <f>IF(Y957="","",P957/Y957)</f>
        <v/>
      </c>
      <c r="AQ957" s="39">
        <f>IF(Y957="",0,1)</f>
        <v/>
      </c>
      <c r="AR957" s="39">
        <f>IF(S957&lt;=0,1,0)</f>
        <v/>
      </c>
      <c r="AS957" s="17">
        <f>IF(AH957=1,AG957,"")</f>
        <v/>
      </c>
      <c r="AT957" s="17">
        <f>IF(AND(AH957=0,AJ957=1),AG957,"")</f>
        <v/>
      </c>
      <c r="AU957" s="5">
        <f>IF(P957&lt;10000,"Under $10K",IF(P957&lt;20000,"$10-20K",IF(P957&lt;30000,"$20-30K",IF(P957&lt;50000,"$30-50K",IF(P957&lt;100000,"$50-100K","$100K+")))))</f>
        <v/>
      </c>
      <c r="AV957" s="5">
        <f>IF(O957&lt;=1.35,"1.35 and under",IF(O957&lt;=1.42,"1.36-1.42",IF(O957&lt;=1.45,"1.43-1.45",IF(O957&lt;1.49,"1.46-1.48",IF(O957&lt;=1.49,"1.49","Above 1.49")))))</f>
        <v/>
      </c>
      <c r="AW957" s="5">
        <f>IF(AE957="","",IF(AE957&lt;60,"Under 60",IF(AE957&lt;90,"60-89",IF(AE957&lt;120,"90-119",IF(AE957&lt;150,"120-149","150+")))))</f>
        <v/>
      </c>
      <c r="AX957" s="5">
        <f>IF(AP957="","No revenue data",IF(AP957&lt;0.15,"Under 0.15x",IF(AP957&lt;0.3,"0.15-0.30x",IF(AP957&lt;0.5,"0.30-0.50x",IF(AP957&lt;1,"0.50-1.00x","1.00x+")))))</f>
        <v/>
      </c>
      <c r="AY957" s="5">
        <f>IF(J957="","No SIC",IFERROR(VLOOKUP(J957,Ref!$A$4:$C$67,2,FALSE()),"Unclassified"))</f>
        <v/>
      </c>
      <c r="AZ957" s="5">
        <f>IF(E957="","",TEXT(E957,"YYYY")&amp;"-Q"&amp;ROUNDUP(MONTH(E957)/3,0))</f>
        <v/>
      </c>
      <c r="BA957" s="5">
        <f>IF(E957="","",TEXT(E957,"YYYY-MM"))</f>
        <v/>
      </c>
      <c r="BB957" s="5">
        <f>IF(E957="","",TEXT(E957,"YYYY"))</f>
        <v/>
      </c>
      <c r="BC957" s="92">
        <f>IF($E957="","",NETWORKDAYS($E957,Controls!$B$9,Ref!$F$4:$F$47))</f>
        <v/>
      </c>
      <c r="BD957" s="92">
        <f>IF(OR($AH957=1,$AJ957=1),1,0)</f>
        <v/>
      </c>
      <c r="BE957" s="95">
        <f>IF(OR($BD957=1,AND($AE957&lt;&gt;"",$BC957&gt;=Controls!$B$10*$AE957)),1,0)</f>
        <v/>
      </c>
    </row>
    <row r="958" ht="15.75" customHeight="1" s="79">
      <c r="A958" s="5" t="inlineStr">
        <is>
          <t>5674185436</t>
        </is>
      </c>
      <c r="B958" s="5" t="inlineStr">
        <is>
          <t>4Play Kitchen &amp; Cocktails</t>
        </is>
      </c>
      <c r="C958" s="5" t="inlineStr">
        <is>
          <t>4Play LLC</t>
        </is>
      </c>
      <c r="D958" s="5" t="inlineStr">
        <is>
          <t>Legal</t>
        </is>
      </c>
      <c r="E958" s="16" t="n">
        <v>46188</v>
      </c>
      <c r="F958" s="16" t="n">
        <v>46238</v>
      </c>
      <c r="G958" s="17" t="n">
        <v>2</v>
      </c>
      <c r="H958" s="5" t="inlineStr">
        <is>
          <t>5812</t>
        </is>
      </c>
      <c r="I958" s="5" t="inlineStr">
        <is>
          <t>Snack and Nonalcoholic Beverage Bars</t>
        </is>
      </c>
      <c r="J958" s="5" t="inlineStr">
        <is>
          <t>58</t>
        </is>
      </c>
      <c r="K958" s="5" t="n">
        <v>5812</v>
      </c>
      <c r="L958" s="5" t="inlineStr">
        <is>
          <t>CO</t>
        </is>
      </c>
      <c r="M958" s="5" t="inlineStr">
        <is>
          <t>Choicecapital Solutions LLC</t>
        </is>
      </c>
      <c r="N958" s="5" t="inlineStr">
        <is>
          <t>New Deal</t>
        </is>
      </c>
      <c r="O958" s="19" t="n">
        <v>1.49</v>
      </c>
      <c r="P958" s="20" t="n">
        <v>90000</v>
      </c>
      <c r="Q958" s="20" t="n">
        <v>0</v>
      </c>
      <c r="R958" s="20" t="n">
        <v>134100</v>
      </c>
      <c r="S958" s="20" t="n">
        <v>7886.1</v>
      </c>
      <c r="T958" s="20" t="n">
        <v>126213.9</v>
      </c>
      <c r="U958" s="21" t="n">
        <v>0.0588076062639821</v>
      </c>
      <c r="V958" s="22" t="n">
        <v>34</v>
      </c>
      <c r="W958" s="17" t="n">
        <v>50</v>
      </c>
      <c r="X958" s="17" t="n">
        <v>5</v>
      </c>
      <c r="Y958" s="20" t="n">
        <v>159799.24</v>
      </c>
      <c r="Z958" s="21" t="n">
        <v>0.0987</v>
      </c>
      <c r="AA958" s="16" t="n">
        <v>45166</v>
      </c>
      <c r="AB958" s="5">
        <f>IF(V958="","",IF(V958&lt;12,"Months","Weeks"))</f>
        <v/>
      </c>
      <c r="AC958" s="5">
        <f>IF(AB958="","",IF(AB958="Months","Daily","Weekly"))</f>
        <v/>
      </c>
      <c r="AD958" s="17">
        <f>IF(V958="","",IF(AC958="Daily",V958*Controls!$B$13,V958))</f>
        <v/>
      </c>
      <c r="AE958" s="17">
        <f>IF(V958="","",IF(AC958="Daily",V958*Controls!$B$13,V958*Controls!$B$12))</f>
        <v/>
      </c>
      <c r="AF958" s="17">
        <f>IF(OR(E958="",F958=""),"",F958-E958)</f>
        <v/>
      </c>
      <c r="AG958" s="17">
        <f>IF(OR(E958="",F958=""),"",NETWORKDAYS(E958,F958,Ref!$F$4:$F$47))</f>
        <v/>
      </c>
      <c r="AH958" s="39">
        <f>IF(IFERROR(VLOOKUP(D958,Controls!$A$25:$D$35,2,FALSE()),"No")="Yes",1,0)</f>
        <v/>
      </c>
      <c r="AI958" s="39">
        <f>IF(IFERROR(VLOOKUP(D958,Controls!$A$25:$D$35,3,FALSE()),"No")="Yes",1,0)</f>
        <v/>
      </c>
      <c r="AJ958" s="39">
        <f>IF(IFERROR(VLOOKUP(D958,Controls!$A$25:$D$35,4,FALSE()),"No")="Yes",1,0)</f>
        <v/>
      </c>
      <c r="AK958" s="96">
        <f>IF(AND($E958&gt;=Controls!$B$5,$E958&lt;=Controls!$B$6,OR(Controls!$E$9&lt;&gt;"Y",$BE958=1)),1,0)</f>
        <v/>
      </c>
      <c r="AL958" s="39">
        <f>1</f>
        <v/>
      </c>
      <c r="AM958" s="20">
        <f>S958-P958</f>
        <v/>
      </c>
      <c r="AN958" s="20">
        <f>IF(AH958=1,MAX(0,P958-S958),0)</f>
        <v/>
      </c>
      <c r="AO958" s="21">
        <f>IFERROR(S958/P958,"")</f>
        <v/>
      </c>
      <c r="AP958" s="22">
        <f>IF(Y958="","",P958/Y958)</f>
        <v/>
      </c>
      <c r="AQ958" s="39">
        <f>IF(Y958="",0,1)</f>
        <v/>
      </c>
      <c r="AR958" s="39">
        <f>IF(S958&lt;=0,1,0)</f>
        <v/>
      </c>
      <c r="AS958" s="17">
        <f>IF(AH958=1,AG958,"")</f>
        <v/>
      </c>
      <c r="AT958" s="17">
        <f>IF(AND(AH958=0,AJ958=1),AG958,"")</f>
        <v/>
      </c>
      <c r="AU958" s="5">
        <f>IF(P958&lt;10000,"Under $10K",IF(P958&lt;20000,"$10-20K",IF(P958&lt;30000,"$20-30K",IF(P958&lt;50000,"$30-50K",IF(P958&lt;100000,"$50-100K","$100K+")))))</f>
        <v/>
      </c>
      <c r="AV958" s="5">
        <f>IF(O958&lt;=1.35,"1.35 and under",IF(O958&lt;=1.42,"1.36-1.42",IF(O958&lt;=1.45,"1.43-1.45",IF(O958&lt;1.49,"1.46-1.48",IF(O958&lt;=1.49,"1.49","Above 1.49")))))</f>
        <v/>
      </c>
      <c r="AW958" s="5">
        <f>IF(AE958="","",IF(AE958&lt;60,"Under 60",IF(AE958&lt;90,"60-89",IF(AE958&lt;120,"90-119",IF(AE958&lt;150,"120-149","150+")))))</f>
        <v/>
      </c>
      <c r="AX958" s="5">
        <f>IF(AP958="","No revenue data",IF(AP958&lt;0.15,"Under 0.15x",IF(AP958&lt;0.3,"0.15-0.30x",IF(AP958&lt;0.5,"0.30-0.50x",IF(AP958&lt;1,"0.50-1.00x","1.00x+")))))</f>
        <v/>
      </c>
      <c r="AY958" s="5">
        <f>IF(J958="","No SIC",IFERROR(VLOOKUP(J958,Ref!$A$4:$C$67,2,FALSE()),"Unclassified"))</f>
        <v/>
      </c>
      <c r="AZ958" s="5">
        <f>IF(E958="","",TEXT(E958,"YYYY")&amp;"-Q"&amp;ROUNDUP(MONTH(E958)/3,0))</f>
        <v/>
      </c>
      <c r="BA958" s="5">
        <f>IF(E958="","",TEXT(E958,"YYYY-MM"))</f>
        <v/>
      </c>
      <c r="BB958" s="5">
        <f>IF(E958="","",TEXT(E958,"YYYY"))</f>
        <v/>
      </c>
      <c r="BC958" s="92">
        <f>IF($E958="","",NETWORKDAYS($E958,Controls!$B$9,Ref!$F$4:$F$47))</f>
        <v/>
      </c>
      <c r="BD958" s="92">
        <f>IF(OR($AH958=1,$AJ958=1),1,0)</f>
        <v/>
      </c>
      <c r="BE958" s="95">
        <f>IF(OR($BD958=1,AND($AE958&lt;&gt;"",$BC958&gt;=Controls!$B$10*$AE958)),1,0)</f>
        <v/>
      </c>
    </row>
    <row r="959" ht="15.75" customHeight="1" s="79">
      <c r="A959" s="5" t="inlineStr">
        <is>
          <t>5674185449</t>
        </is>
      </c>
      <c r="B959" s="5" t="inlineStr">
        <is>
          <t>ORGANIZACION DE EVENTOS ZEUS</t>
        </is>
      </c>
      <c r="C959" s="5" t="inlineStr">
        <is>
          <t>ORGANIZACION DE EVENTOS ZEUS LLC</t>
        </is>
      </c>
      <c r="D959" s="5" t="inlineStr">
        <is>
          <t>Open</t>
        </is>
      </c>
      <c r="E959" s="16" t="n">
        <v>46188</v>
      </c>
      <c r="F959" s="16" t="n">
        <v>46253</v>
      </c>
      <c r="G959" s="17" t="n">
        <v>3</v>
      </c>
      <c r="H959" s="5" t="inlineStr">
        <is>
          <t>7941</t>
        </is>
      </c>
      <c r="I959" s="5" t="inlineStr">
        <is>
          <t>Promoters of Performing Arts, Sports, and Similar Events with Facilities</t>
        </is>
      </c>
      <c r="J959" s="5" t="inlineStr">
        <is>
          <t>79</t>
        </is>
      </c>
      <c r="K959" s="5" t="n">
        <v>7941</v>
      </c>
      <c r="L959" s="5" t="inlineStr">
        <is>
          <t>TX</t>
        </is>
      </c>
      <c r="M959" s="5" t="inlineStr">
        <is>
          <t>Westwood</t>
        </is>
      </c>
      <c r="N959" s="5" t="inlineStr">
        <is>
          <t>New Deal</t>
        </is>
      </c>
      <c r="O959" s="19" t="n">
        <v>1.49</v>
      </c>
      <c r="P959" s="20" t="n">
        <v>25000</v>
      </c>
      <c r="Q959" s="20" t="n">
        <v>3500</v>
      </c>
      <c r="R959" s="20" t="n">
        <v>37250</v>
      </c>
      <c r="S959" s="20" t="n">
        <v>20030.26</v>
      </c>
      <c r="T959" s="20" t="n">
        <v>17219.74</v>
      </c>
      <c r="U959" s="21" t="n">
        <v>0.537725100671141</v>
      </c>
      <c r="V959" s="22" t="n">
        <v>2.623</v>
      </c>
      <c r="W959" s="17" t="n">
        <v>0</v>
      </c>
      <c r="X959" s="17" t="n">
        <v>1</v>
      </c>
      <c r="Y959" s="20" t="n">
        <v>85137.67999999999</v>
      </c>
      <c r="Z959" s="21" t="n">
        <v>0.1149</v>
      </c>
      <c r="AA959" s="16" t="n">
        <v>45805</v>
      </c>
      <c r="AB959" s="5">
        <f>IF(V959="","",IF(V959&lt;12,"Months","Weeks"))</f>
        <v/>
      </c>
      <c r="AC959" s="5">
        <f>IF(AB959="","",IF(AB959="Months","Daily","Weekly"))</f>
        <v/>
      </c>
      <c r="AD959" s="17">
        <f>IF(V959="","",IF(AC959="Daily",V959*Controls!$B$13,V959))</f>
        <v/>
      </c>
      <c r="AE959" s="17">
        <f>IF(V959="","",IF(AC959="Daily",V959*Controls!$B$13,V959*Controls!$B$12))</f>
        <v/>
      </c>
      <c r="AF959" s="17">
        <f>IF(OR(E959="",F959=""),"",F959-E959)</f>
        <v/>
      </c>
      <c r="AG959" s="17">
        <f>IF(OR(E959="",F959=""),"",NETWORKDAYS(E959,F959,Ref!$F$4:$F$47))</f>
        <v/>
      </c>
      <c r="AH959" s="39">
        <f>IF(IFERROR(VLOOKUP(D959,Controls!$A$25:$D$35,2,FALSE()),"No")="Yes",1,0)</f>
        <v/>
      </c>
      <c r="AI959" s="39">
        <f>IF(IFERROR(VLOOKUP(D959,Controls!$A$25:$D$35,3,FALSE()),"No")="Yes",1,0)</f>
        <v/>
      </c>
      <c r="AJ959" s="39">
        <f>IF(IFERROR(VLOOKUP(D959,Controls!$A$25:$D$35,4,FALSE()),"No")="Yes",1,0)</f>
        <v/>
      </c>
      <c r="AK959" s="96">
        <f>IF(AND($E959&gt;=Controls!$B$5,$E959&lt;=Controls!$B$6,OR(Controls!$E$9&lt;&gt;"Y",$BE959=1)),1,0)</f>
        <v/>
      </c>
      <c r="AL959" s="39">
        <f>1</f>
        <v/>
      </c>
      <c r="AM959" s="20">
        <f>S959-P959</f>
        <v/>
      </c>
      <c r="AN959" s="20">
        <f>IF(AH959=1,MAX(0,P959-S959),0)</f>
        <v/>
      </c>
      <c r="AO959" s="21">
        <f>IFERROR(S959/P959,"")</f>
        <v/>
      </c>
      <c r="AP959" s="22">
        <f>IF(Y959="","",P959/Y959)</f>
        <v/>
      </c>
      <c r="AQ959" s="39">
        <f>IF(Y959="",0,1)</f>
        <v/>
      </c>
      <c r="AR959" s="39">
        <f>IF(S959&lt;=0,1,0)</f>
        <v/>
      </c>
      <c r="AS959" s="17">
        <f>IF(AH959=1,AG959,"")</f>
        <v/>
      </c>
      <c r="AT959" s="17">
        <f>IF(AND(AH959=0,AJ959=1),AG959,"")</f>
        <v/>
      </c>
      <c r="AU959" s="5">
        <f>IF(P959&lt;10000,"Under $10K",IF(P959&lt;20000,"$10-20K",IF(P959&lt;30000,"$20-30K",IF(P959&lt;50000,"$30-50K",IF(P959&lt;100000,"$50-100K","$100K+")))))</f>
        <v/>
      </c>
      <c r="AV959" s="5">
        <f>IF(O959&lt;=1.35,"1.35 and under",IF(O959&lt;=1.42,"1.36-1.42",IF(O959&lt;=1.45,"1.43-1.45",IF(O959&lt;1.49,"1.46-1.48",IF(O959&lt;=1.49,"1.49","Above 1.49")))))</f>
        <v/>
      </c>
      <c r="AW959" s="5">
        <f>IF(AE959="","",IF(AE959&lt;60,"Under 60",IF(AE959&lt;90,"60-89",IF(AE959&lt;120,"90-119",IF(AE959&lt;150,"120-149","150+")))))</f>
        <v/>
      </c>
      <c r="AX959" s="5">
        <f>IF(AP959="","No revenue data",IF(AP959&lt;0.15,"Under 0.15x",IF(AP959&lt;0.3,"0.15-0.30x",IF(AP959&lt;0.5,"0.30-0.50x",IF(AP959&lt;1,"0.50-1.00x","1.00x+")))))</f>
        <v/>
      </c>
      <c r="AY959" s="5">
        <f>IF(J959="","No SIC",IFERROR(VLOOKUP(J959,Ref!$A$4:$C$67,2,FALSE()),"Unclassified"))</f>
        <v/>
      </c>
      <c r="AZ959" s="5">
        <f>IF(E959="","",TEXT(E959,"YYYY")&amp;"-Q"&amp;ROUNDUP(MONTH(E959)/3,0))</f>
        <v/>
      </c>
      <c r="BA959" s="5">
        <f>IF(E959="","",TEXT(E959,"YYYY-MM"))</f>
        <v/>
      </c>
      <c r="BB959" s="5">
        <f>IF(E959="","",TEXT(E959,"YYYY"))</f>
        <v/>
      </c>
      <c r="BC959" s="92">
        <f>IF($E959="","",NETWORKDAYS($E959,Controls!$B$9,Ref!$F$4:$F$47))</f>
        <v/>
      </c>
      <c r="BD959" s="92">
        <f>IF(OR($AH959=1,$AJ959=1),1,0)</f>
        <v/>
      </c>
      <c r="BE959" s="95">
        <f>IF(OR($BD959=1,AND($AE959&lt;&gt;"",$BC959&gt;=Controls!$B$10*$AE959)),1,0)</f>
        <v/>
      </c>
    </row>
    <row r="960" ht="15.75" customHeight="1" s="79">
      <c r="A960" s="5" t="inlineStr">
        <is>
          <t>5674185504</t>
        </is>
      </c>
      <c r="B960" s="5" t="inlineStr">
        <is>
          <t>CAPITOL INVESTMENT CONSULTANTS, LTD  DBA  WENDY BALICANTA SOLE MBR</t>
        </is>
      </c>
      <c r="C960" s="5" t="inlineStr">
        <is>
          <t>CAPITOL INVESTMENT CONSULTANTS LLC</t>
        </is>
      </c>
      <c r="D960" s="5" t="inlineStr">
        <is>
          <t>Open</t>
        </is>
      </c>
      <c r="E960" s="16" t="n">
        <v>46188</v>
      </c>
      <c r="F960" s="16" t="n">
        <v>46253</v>
      </c>
      <c r="G960" s="17" t="n">
        <v>3</v>
      </c>
      <c r="H960" s="5" t="inlineStr">
        <is>
          <t>6282</t>
        </is>
      </c>
      <c r="I960" s="5" t="inlineStr">
        <is>
          <t>Investment Advice</t>
        </is>
      </c>
      <c r="J960" s="5" t="inlineStr">
        <is>
          <t>62</t>
        </is>
      </c>
      <c r="K960" s="5" t="n">
        <v>5999</v>
      </c>
      <c r="L960" s="5" t="inlineStr">
        <is>
          <t>VA</t>
        </is>
      </c>
      <c r="M960" s="5" t="inlineStr">
        <is>
          <t>Samson Funding</t>
        </is>
      </c>
      <c r="N960" s="5" t="inlineStr">
        <is>
          <t>Renewal</t>
        </is>
      </c>
      <c r="O960" s="19" t="n">
        <v>1.49</v>
      </c>
      <c r="P960" s="20" t="n">
        <v>80000</v>
      </c>
      <c r="Q960" s="20" t="n">
        <v>11200</v>
      </c>
      <c r="R960" s="20" t="n">
        <v>119200</v>
      </c>
      <c r="S960" s="20" t="n">
        <v>41847.75</v>
      </c>
      <c r="T960" s="20" t="n">
        <v>77352.25</v>
      </c>
      <c r="U960" s="21" t="n">
        <v>0.35107172818792</v>
      </c>
      <c r="V960" s="22" t="n">
        <v>2.787</v>
      </c>
      <c r="W960" s="17" t="n">
        <v>0</v>
      </c>
      <c r="X960" s="17" t="n">
        <v>21</v>
      </c>
      <c r="Y960" s="20" t="n">
        <v>390784.09</v>
      </c>
      <c r="Z960" s="21" t="n">
        <v>0.0511</v>
      </c>
      <c r="AA960" s="16" t="n">
        <v>44762</v>
      </c>
      <c r="AB960" s="5">
        <f>IF(V960="","",IF(V960&lt;12,"Months","Weeks"))</f>
        <v/>
      </c>
      <c r="AC960" s="5">
        <f>IF(AB960="","",IF(AB960="Months","Daily","Weekly"))</f>
        <v/>
      </c>
      <c r="AD960" s="17">
        <f>IF(V960="","",IF(AC960="Daily",V960*Controls!$B$13,V960))</f>
        <v/>
      </c>
      <c r="AE960" s="17">
        <f>IF(V960="","",IF(AC960="Daily",V960*Controls!$B$13,V960*Controls!$B$12))</f>
        <v/>
      </c>
      <c r="AF960" s="17">
        <f>IF(OR(E960="",F960=""),"",F960-E960)</f>
        <v/>
      </c>
      <c r="AG960" s="17">
        <f>IF(OR(E960="",F960=""),"",NETWORKDAYS(E960,F960,Ref!$F$4:$F$47))</f>
        <v/>
      </c>
      <c r="AH960" s="39">
        <f>IF(IFERROR(VLOOKUP(D960,Controls!$A$25:$D$35,2,FALSE()),"No")="Yes",1,0)</f>
        <v/>
      </c>
      <c r="AI960" s="39">
        <f>IF(IFERROR(VLOOKUP(D960,Controls!$A$25:$D$35,3,FALSE()),"No")="Yes",1,0)</f>
        <v/>
      </c>
      <c r="AJ960" s="39">
        <f>IF(IFERROR(VLOOKUP(D960,Controls!$A$25:$D$35,4,FALSE()),"No")="Yes",1,0)</f>
        <v/>
      </c>
      <c r="AK960" s="96">
        <f>IF(AND($E960&gt;=Controls!$B$5,$E960&lt;=Controls!$B$6,OR(Controls!$E$9&lt;&gt;"Y",$BE960=1)),1,0)</f>
        <v/>
      </c>
      <c r="AL960" s="39">
        <f>1</f>
        <v/>
      </c>
      <c r="AM960" s="20">
        <f>S960-P960</f>
        <v/>
      </c>
      <c r="AN960" s="20">
        <f>IF(AH960=1,MAX(0,P960-S960),0)</f>
        <v/>
      </c>
      <c r="AO960" s="21">
        <f>IFERROR(S960/P960,"")</f>
        <v/>
      </c>
      <c r="AP960" s="22">
        <f>IF(Y960="","",P960/Y960)</f>
        <v/>
      </c>
      <c r="AQ960" s="39">
        <f>IF(Y960="",0,1)</f>
        <v/>
      </c>
      <c r="AR960" s="39">
        <f>IF(S960&lt;=0,1,0)</f>
        <v/>
      </c>
      <c r="AS960" s="17">
        <f>IF(AH960=1,AG960,"")</f>
        <v/>
      </c>
      <c r="AT960" s="17">
        <f>IF(AND(AH960=0,AJ960=1),AG960,"")</f>
        <v/>
      </c>
      <c r="AU960" s="5">
        <f>IF(P960&lt;10000,"Under $10K",IF(P960&lt;20000,"$10-20K",IF(P960&lt;30000,"$20-30K",IF(P960&lt;50000,"$30-50K",IF(P960&lt;100000,"$50-100K","$100K+")))))</f>
        <v/>
      </c>
      <c r="AV960" s="5">
        <f>IF(O960&lt;=1.35,"1.35 and under",IF(O960&lt;=1.42,"1.36-1.42",IF(O960&lt;=1.45,"1.43-1.45",IF(O960&lt;1.49,"1.46-1.48",IF(O960&lt;=1.49,"1.49","Above 1.49")))))</f>
        <v/>
      </c>
      <c r="AW960" s="5">
        <f>IF(AE960="","",IF(AE960&lt;60,"Under 60",IF(AE960&lt;90,"60-89",IF(AE960&lt;120,"90-119",IF(AE960&lt;150,"120-149","150+")))))</f>
        <v/>
      </c>
      <c r="AX960" s="5">
        <f>IF(AP960="","No revenue data",IF(AP960&lt;0.15,"Under 0.15x",IF(AP960&lt;0.3,"0.15-0.30x",IF(AP960&lt;0.5,"0.30-0.50x",IF(AP960&lt;1,"0.50-1.00x","1.00x+")))))</f>
        <v/>
      </c>
      <c r="AY960" s="5">
        <f>IF(J960="","No SIC",IFERROR(VLOOKUP(J960,Ref!$A$4:$C$67,2,FALSE()),"Unclassified"))</f>
        <v/>
      </c>
      <c r="AZ960" s="5">
        <f>IF(E960="","",TEXT(E960,"YYYY")&amp;"-Q"&amp;ROUNDUP(MONTH(E960)/3,0))</f>
        <v/>
      </c>
      <c r="BA960" s="5">
        <f>IF(E960="","",TEXT(E960,"YYYY-MM"))</f>
        <v/>
      </c>
      <c r="BB960" s="5">
        <f>IF(E960="","",TEXT(E960,"YYYY"))</f>
        <v/>
      </c>
      <c r="BC960" s="92">
        <f>IF($E960="","",NETWORKDAYS($E960,Controls!$B$9,Ref!$F$4:$F$47))</f>
        <v/>
      </c>
      <c r="BD960" s="92">
        <f>IF(OR($AH960=1,$AJ960=1),1,0)</f>
        <v/>
      </c>
      <c r="BE960" s="95">
        <f>IF(OR($BD960=1,AND($AE960&lt;&gt;"",$BC960&gt;=Controls!$B$10*$AE960)),1,0)</f>
        <v/>
      </c>
    </row>
    <row r="961" ht="15.75" customHeight="1" s="79">
      <c r="A961" s="5" t="inlineStr">
        <is>
          <t>5674185547</t>
        </is>
      </c>
      <c r="B961" s="5" t="inlineStr">
        <is>
          <t>HEALTH WELLNESS CLINICCO LLC</t>
        </is>
      </c>
      <c r="C961" s="5" t="inlineStr">
        <is>
          <t>HEALTH WELLNESS CLINICCO LLC</t>
        </is>
      </c>
      <c r="D961" s="5" t="inlineStr">
        <is>
          <t>Open</t>
        </is>
      </c>
      <c r="E961" s="16" t="n">
        <v>46189</v>
      </c>
      <c r="F961" s="16" t="n">
        <v>46253</v>
      </c>
      <c r="G961" s="17" t="n">
        <v>3</v>
      </c>
      <c r="H961" s="5" t="inlineStr">
        <is>
          <t>8011</t>
        </is>
      </c>
      <c r="I961" s="5" t="inlineStr">
        <is>
          <t>Offices of Physicians, Mental Health Specialists</t>
        </is>
      </c>
      <c r="J961" s="5" t="inlineStr">
        <is>
          <t>80</t>
        </is>
      </c>
      <c r="K961" s="5" t="n">
        <v>8011</v>
      </c>
      <c r="L961" s="5" t="inlineStr">
        <is>
          <t>KS</t>
        </is>
      </c>
      <c r="M961" s="5" t="inlineStr">
        <is>
          <t>PMF</t>
        </is>
      </c>
      <c r="N961" s="5" t="inlineStr">
        <is>
          <t>New Deal</t>
        </is>
      </c>
      <c r="O961" s="19" t="n">
        <v>1.49</v>
      </c>
      <c r="P961" s="20" t="n">
        <v>20000</v>
      </c>
      <c r="Q961" s="20" t="n">
        <v>2800</v>
      </c>
      <c r="R961" s="20" t="n">
        <v>29800</v>
      </c>
      <c r="S961" s="20" t="n">
        <v>13513.68</v>
      </c>
      <c r="T961" s="20" t="n">
        <v>16286.32</v>
      </c>
      <c r="U961" s="21" t="n">
        <v>0.453479194630873</v>
      </c>
      <c r="V961" s="22" t="n">
        <v>2.951</v>
      </c>
      <c r="W961" s="17" t="n">
        <v>0</v>
      </c>
      <c r="X961" s="17" t="n">
        <v>1</v>
      </c>
      <c r="Y961" s="20" t="n">
        <v>37546.4</v>
      </c>
      <c r="Z961" s="21" t="n">
        <v>0.1852</v>
      </c>
      <c r="AA961" s="16" t="n">
        <v>45762</v>
      </c>
      <c r="AB961" s="5">
        <f>IF(V961="","",IF(V961&lt;12,"Months","Weeks"))</f>
        <v/>
      </c>
      <c r="AC961" s="5">
        <f>IF(AB961="","",IF(AB961="Months","Daily","Weekly"))</f>
        <v/>
      </c>
      <c r="AD961" s="17">
        <f>IF(V961="","",IF(AC961="Daily",V961*Controls!$B$13,V961))</f>
        <v/>
      </c>
      <c r="AE961" s="17">
        <f>IF(V961="","",IF(AC961="Daily",V961*Controls!$B$13,V961*Controls!$B$12))</f>
        <v/>
      </c>
      <c r="AF961" s="17">
        <f>IF(OR(E961="",F961=""),"",F961-E961)</f>
        <v/>
      </c>
      <c r="AG961" s="17">
        <f>IF(OR(E961="",F961=""),"",NETWORKDAYS(E961,F961,Ref!$F$4:$F$47))</f>
        <v/>
      </c>
      <c r="AH961" s="39">
        <f>IF(IFERROR(VLOOKUP(D961,Controls!$A$25:$D$35,2,FALSE()),"No")="Yes",1,0)</f>
        <v/>
      </c>
      <c r="AI961" s="39">
        <f>IF(IFERROR(VLOOKUP(D961,Controls!$A$25:$D$35,3,FALSE()),"No")="Yes",1,0)</f>
        <v/>
      </c>
      <c r="AJ961" s="39">
        <f>IF(IFERROR(VLOOKUP(D961,Controls!$A$25:$D$35,4,FALSE()),"No")="Yes",1,0)</f>
        <v/>
      </c>
      <c r="AK961" s="96">
        <f>IF(AND($E961&gt;=Controls!$B$5,$E961&lt;=Controls!$B$6,OR(Controls!$E$9&lt;&gt;"Y",$BE961=1)),1,0)</f>
        <v/>
      </c>
      <c r="AL961" s="39">
        <f>1</f>
        <v/>
      </c>
      <c r="AM961" s="20">
        <f>S961-P961</f>
        <v/>
      </c>
      <c r="AN961" s="20">
        <f>IF(AH961=1,MAX(0,P961-S961),0)</f>
        <v/>
      </c>
      <c r="AO961" s="21">
        <f>IFERROR(S961/P961,"")</f>
        <v/>
      </c>
      <c r="AP961" s="22">
        <f>IF(Y961="","",P961/Y961)</f>
        <v/>
      </c>
      <c r="AQ961" s="39">
        <f>IF(Y961="",0,1)</f>
        <v/>
      </c>
      <c r="AR961" s="39">
        <f>IF(S961&lt;=0,1,0)</f>
        <v/>
      </c>
      <c r="AS961" s="17">
        <f>IF(AH961=1,AG961,"")</f>
        <v/>
      </c>
      <c r="AT961" s="17">
        <f>IF(AND(AH961=0,AJ961=1),AG961,"")</f>
        <v/>
      </c>
      <c r="AU961" s="5">
        <f>IF(P961&lt;10000,"Under $10K",IF(P961&lt;20000,"$10-20K",IF(P961&lt;30000,"$20-30K",IF(P961&lt;50000,"$30-50K",IF(P961&lt;100000,"$50-100K","$100K+")))))</f>
        <v/>
      </c>
      <c r="AV961" s="5">
        <f>IF(O961&lt;=1.35,"1.35 and under",IF(O961&lt;=1.42,"1.36-1.42",IF(O961&lt;=1.45,"1.43-1.45",IF(O961&lt;1.49,"1.46-1.48",IF(O961&lt;=1.49,"1.49","Above 1.49")))))</f>
        <v/>
      </c>
      <c r="AW961" s="5">
        <f>IF(AE961="","",IF(AE961&lt;60,"Under 60",IF(AE961&lt;90,"60-89",IF(AE961&lt;120,"90-119",IF(AE961&lt;150,"120-149","150+")))))</f>
        <v/>
      </c>
      <c r="AX961" s="5">
        <f>IF(AP961="","No revenue data",IF(AP961&lt;0.15,"Under 0.15x",IF(AP961&lt;0.3,"0.15-0.30x",IF(AP961&lt;0.5,"0.30-0.50x",IF(AP961&lt;1,"0.50-1.00x","1.00x+")))))</f>
        <v/>
      </c>
      <c r="AY961" s="5">
        <f>IF(J961="","No SIC",IFERROR(VLOOKUP(J961,Ref!$A$4:$C$67,2,FALSE()),"Unclassified"))</f>
        <v/>
      </c>
      <c r="AZ961" s="5">
        <f>IF(E961="","",TEXT(E961,"YYYY")&amp;"-Q"&amp;ROUNDUP(MONTH(E961)/3,0))</f>
        <v/>
      </c>
      <c r="BA961" s="5">
        <f>IF(E961="","",TEXT(E961,"YYYY-MM"))</f>
        <v/>
      </c>
      <c r="BB961" s="5">
        <f>IF(E961="","",TEXT(E961,"YYYY"))</f>
        <v/>
      </c>
      <c r="BC961" s="92">
        <f>IF($E961="","",NETWORKDAYS($E961,Controls!$B$9,Ref!$F$4:$F$47))</f>
        <v/>
      </c>
      <c r="BD961" s="92">
        <f>IF(OR($AH961=1,$AJ961=1),1,0)</f>
        <v/>
      </c>
      <c r="BE961" s="95">
        <f>IF(OR($BD961=1,AND($AE961&lt;&gt;"",$BC961&gt;=Controls!$B$10*$AE961)),1,0)</f>
        <v/>
      </c>
    </row>
    <row r="962" ht="15.75" customHeight="1" s="79">
      <c r="A962" s="5" t="inlineStr">
        <is>
          <t>5674185552</t>
        </is>
      </c>
      <c r="B962" s="5" t="inlineStr">
        <is>
          <t>y3ms wireless plus</t>
        </is>
      </c>
      <c r="C962" s="5" t="inlineStr">
        <is>
          <t>Y3MS WIRELESS PLUS LLC</t>
        </is>
      </c>
      <c r="D962" s="5" t="inlineStr">
        <is>
          <t>Open</t>
        </is>
      </c>
      <c r="E962" s="16" t="n">
        <v>46189</v>
      </c>
      <c r="F962" s="16" t="n">
        <v>46248</v>
      </c>
      <c r="G962" s="17" t="n">
        <v>4</v>
      </c>
      <c r="H962" s="5" t="inlineStr">
        <is>
          <t>5999</t>
        </is>
      </c>
      <c r="I962" s="5" t="inlineStr">
        <is>
          <t>All Other Misc. Store Retailers (Except Tobacco Stores)</t>
        </is>
      </c>
      <c r="J962" s="5" t="inlineStr">
        <is>
          <t>59</t>
        </is>
      </c>
      <c r="K962" s="5" t="n">
        <v>5999</v>
      </c>
      <c r="L962" s="5" t="inlineStr">
        <is>
          <t>MI</t>
        </is>
      </c>
      <c r="M962" s="5" t="inlineStr">
        <is>
          <t>PMF</t>
        </is>
      </c>
      <c r="N962" s="5" t="inlineStr">
        <is>
          <t>New Deal</t>
        </is>
      </c>
      <c r="O962" s="19" t="n">
        <v>1.49</v>
      </c>
      <c r="P962" s="20" t="n">
        <v>10000</v>
      </c>
      <c r="Q962" s="20" t="n">
        <v>1400</v>
      </c>
      <c r="R962" s="20" t="n">
        <v>14900</v>
      </c>
      <c r="S962" s="20" t="n">
        <v>7945.36</v>
      </c>
      <c r="T962" s="20" t="n">
        <v>6954.64</v>
      </c>
      <c r="U962" s="21" t="n">
        <v>0.533245637583893</v>
      </c>
      <c r="V962" s="22" t="n">
        <v>15</v>
      </c>
      <c r="W962" s="17" t="n">
        <v>5</v>
      </c>
      <c r="X962" s="17" t="n">
        <v>0</v>
      </c>
      <c r="Y962" s="20" t="n">
        <v>25796.55</v>
      </c>
      <c r="Z962" s="21" t="n">
        <v>0.154</v>
      </c>
      <c r="AA962" s="16" t="n">
        <v>37401</v>
      </c>
      <c r="AB962" s="5">
        <f>IF(V962="","",IF(V962&lt;12,"Months","Weeks"))</f>
        <v/>
      </c>
      <c r="AC962" s="5">
        <f>IF(AB962="","",IF(AB962="Months","Daily","Weekly"))</f>
        <v/>
      </c>
      <c r="AD962" s="17">
        <f>IF(V962="","",IF(AC962="Daily",V962*Controls!$B$13,V962))</f>
        <v/>
      </c>
      <c r="AE962" s="17">
        <f>IF(V962="","",IF(AC962="Daily",V962*Controls!$B$13,V962*Controls!$B$12))</f>
        <v/>
      </c>
      <c r="AF962" s="17">
        <f>IF(OR(E962="",F962=""),"",F962-E962)</f>
        <v/>
      </c>
      <c r="AG962" s="17">
        <f>IF(OR(E962="",F962=""),"",NETWORKDAYS(E962,F962,Ref!$F$4:$F$47))</f>
        <v/>
      </c>
      <c r="AH962" s="39">
        <f>IF(IFERROR(VLOOKUP(D962,Controls!$A$25:$D$35,2,FALSE()),"No")="Yes",1,0)</f>
        <v/>
      </c>
      <c r="AI962" s="39">
        <f>IF(IFERROR(VLOOKUP(D962,Controls!$A$25:$D$35,3,FALSE()),"No")="Yes",1,0)</f>
        <v/>
      </c>
      <c r="AJ962" s="39">
        <f>IF(IFERROR(VLOOKUP(D962,Controls!$A$25:$D$35,4,FALSE()),"No")="Yes",1,0)</f>
        <v/>
      </c>
      <c r="AK962" s="96">
        <f>IF(AND($E962&gt;=Controls!$B$5,$E962&lt;=Controls!$B$6,OR(Controls!$E$9&lt;&gt;"Y",$BE962=1)),1,0)</f>
        <v/>
      </c>
      <c r="AL962" s="39">
        <f>1</f>
        <v/>
      </c>
      <c r="AM962" s="20">
        <f>S962-P962</f>
        <v/>
      </c>
      <c r="AN962" s="20">
        <f>IF(AH962=1,MAX(0,P962-S962),0)</f>
        <v/>
      </c>
      <c r="AO962" s="21">
        <f>IFERROR(S962/P962,"")</f>
        <v/>
      </c>
      <c r="AP962" s="22">
        <f>IF(Y962="","",P962/Y962)</f>
        <v/>
      </c>
      <c r="AQ962" s="39">
        <f>IF(Y962="",0,1)</f>
        <v/>
      </c>
      <c r="AR962" s="39">
        <f>IF(S962&lt;=0,1,0)</f>
        <v/>
      </c>
      <c r="AS962" s="17">
        <f>IF(AH962=1,AG962,"")</f>
        <v/>
      </c>
      <c r="AT962" s="17">
        <f>IF(AND(AH962=0,AJ962=1),AG962,"")</f>
        <v/>
      </c>
      <c r="AU962" s="5">
        <f>IF(P962&lt;10000,"Under $10K",IF(P962&lt;20000,"$10-20K",IF(P962&lt;30000,"$20-30K",IF(P962&lt;50000,"$30-50K",IF(P962&lt;100000,"$50-100K","$100K+")))))</f>
        <v/>
      </c>
      <c r="AV962" s="5">
        <f>IF(O962&lt;=1.35,"1.35 and under",IF(O962&lt;=1.42,"1.36-1.42",IF(O962&lt;=1.45,"1.43-1.45",IF(O962&lt;1.49,"1.46-1.48",IF(O962&lt;=1.49,"1.49","Above 1.49")))))</f>
        <v/>
      </c>
      <c r="AW962" s="5">
        <f>IF(AE962="","",IF(AE962&lt;60,"Under 60",IF(AE962&lt;90,"60-89",IF(AE962&lt;120,"90-119",IF(AE962&lt;150,"120-149","150+")))))</f>
        <v/>
      </c>
      <c r="AX962" s="5">
        <f>IF(AP962="","No revenue data",IF(AP962&lt;0.15,"Under 0.15x",IF(AP962&lt;0.3,"0.15-0.30x",IF(AP962&lt;0.5,"0.30-0.50x",IF(AP962&lt;1,"0.50-1.00x","1.00x+")))))</f>
        <v/>
      </c>
      <c r="AY962" s="5">
        <f>IF(J962="","No SIC",IFERROR(VLOOKUP(J962,Ref!$A$4:$C$67,2,FALSE()),"Unclassified"))</f>
        <v/>
      </c>
      <c r="AZ962" s="5">
        <f>IF(E962="","",TEXT(E962,"YYYY")&amp;"-Q"&amp;ROUNDUP(MONTH(E962)/3,0))</f>
        <v/>
      </c>
      <c r="BA962" s="5">
        <f>IF(E962="","",TEXT(E962,"YYYY-MM"))</f>
        <v/>
      </c>
      <c r="BB962" s="5">
        <f>IF(E962="","",TEXT(E962,"YYYY"))</f>
        <v/>
      </c>
      <c r="BC962" s="92">
        <f>IF($E962="","",NETWORKDAYS($E962,Controls!$B$9,Ref!$F$4:$F$47))</f>
        <v/>
      </c>
      <c r="BD962" s="92">
        <f>IF(OR($AH962=1,$AJ962=1),1,0)</f>
        <v/>
      </c>
      <c r="BE962" s="95">
        <f>IF(OR($BD962=1,AND($AE962&lt;&gt;"",$BC962&gt;=Controls!$B$10*$AE962)),1,0)</f>
        <v/>
      </c>
    </row>
    <row r="963" ht="15.75" customHeight="1" s="79">
      <c r="A963" s="5" t="inlineStr">
        <is>
          <t>5674185556</t>
        </is>
      </c>
      <c r="B963" s="5" t="inlineStr">
        <is>
          <t>FIRST CLASS HOME HEALTHCARE SERVICES LLC</t>
        </is>
      </c>
      <c r="C963" s="5" t="inlineStr">
        <is>
          <t>MAGDALENA MARIE DOLBRUS-GREENE</t>
        </is>
      </c>
      <c r="D963" s="5" t="inlineStr">
        <is>
          <t>In House Collection</t>
        </is>
      </c>
      <c r="E963" s="16" t="n">
        <v>46189</v>
      </c>
      <c r="F963" s="16" t="n">
        <v>46253</v>
      </c>
      <c r="G963" s="17" t="n">
        <v>3</v>
      </c>
      <c r="H963" s="5" t="inlineStr">
        <is>
          <t>8011</t>
        </is>
      </c>
      <c r="I963" s="5" t="inlineStr">
        <is>
          <t>Offices of Physicians (Except Mental Health Specialists)</t>
        </is>
      </c>
      <c r="J963" s="5" t="inlineStr">
        <is>
          <t>80</t>
        </is>
      </c>
      <c r="K963" s="5" t="n">
        <v>8011</v>
      </c>
      <c r="L963" s="5" t="inlineStr">
        <is>
          <t>FL</t>
        </is>
      </c>
      <c r="M963" s="5" t="inlineStr">
        <is>
          <t>United Secured Capital 8</t>
        </is>
      </c>
      <c r="N963" s="5" t="inlineStr">
        <is>
          <t>New Deal</t>
        </is>
      </c>
      <c r="O963" s="19" t="n">
        <v>1.49</v>
      </c>
      <c r="P963" s="20" t="n">
        <v>30000</v>
      </c>
      <c r="Q963" s="20" t="n">
        <v>4200</v>
      </c>
      <c r="R963" s="20" t="n">
        <v>44700</v>
      </c>
      <c r="S963" s="20" t="n">
        <v>3576.68</v>
      </c>
      <c r="T963" s="20" t="n">
        <v>41123.32</v>
      </c>
      <c r="U963" s="21" t="n">
        <v>0.0800152125279642</v>
      </c>
      <c r="V963" s="22" t="n">
        <v>30</v>
      </c>
      <c r="W963" s="17" t="n">
        <v>0</v>
      </c>
      <c r="X963" s="17" t="n">
        <v>9</v>
      </c>
      <c r="Y963" s="20" t="n">
        <v>72081.56</v>
      </c>
      <c r="Z963" s="21" t="n">
        <v>0.0827</v>
      </c>
      <c r="AA963" s="16" t="n">
        <v>43780</v>
      </c>
      <c r="AB963" s="5">
        <f>IF(V963="","",IF(V963&lt;12,"Months","Weeks"))</f>
        <v/>
      </c>
      <c r="AC963" s="5">
        <f>IF(AB963="","",IF(AB963="Months","Daily","Weekly"))</f>
        <v/>
      </c>
      <c r="AD963" s="17">
        <f>IF(V963="","",IF(AC963="Daily",V963*Controls!$B$13,V963))</f>
        <v/>
      </c>
      <c r="AE963" s="17">
        <f>IF(V963="","",IF(AC963="Daily",V963*Controls!$B$13,V963*Controls!$B$12))</f>
        <v/>
      </c>
      <c r="AF963" s="17">
        <f>IF(OR(E963="",F963=""),"",F963-E963)</f>
        <v/>
      </c>
      <c r="AG963" s="17">
        <f>IF(OR(E963="",F963=""),"",NETWORKDAYS(E963,F963,Ref!$F$4:$F$47))</f>
        <v/>
      </c>
      <c r="AH963" s="39">
        <f>IF(IFERROR(VLOOKUP(D963,Controls!$A$25:$D$35,2,FALSE()),"No")="Yes",1,0)</f>
        <v/>
      </c>
      <c r="AI963" s="39">
        <f>IF(IFERROR(VLOOKUP(D963,Controls!$A$25:$D$35,3,FALSE()),"No")="Yes",1,0)</f>
        <v/>
      </c>
      <c r="AJ963" s="39">
        <f>IF(IFERROR(VLOOKUP(D963,Controls!$A$25:$D$35,4,FALSE()),"No")="Yes",1,0)</f>
        <v/>
      </c>
      <c r="AK963" s="96">
        <f>IF(AND($E963&gt;=Controls!$B$5,$E963&lt;=Controls!$B$6,OR(Controls!$E$9&lt;&gt;"Y",$BE963=1)),1,0)</f>
        <v/>
      </c>
      <c r="AL963" s="39">
        <f>1</f>
        <v/>
      </c>
      <c r="AM963" s="20">
        <f>S963-P963</f>
        <v/>
      </c>
      <c r="AN963" s="20">
        <f>IF(AH963=1,MAX(0,P963-S963),0)</f>
        <v/>
      </c>
      <c r="AO963" s="21">
        <f>IFERROR(S963/P963,"")</f>
        <v/>
      </c>
      <c r="AP963" s="22">
        <f>IF(Y963="","",P963/Y963)</f>
        <v/>
      </c>
      <c r="AQ963" s="39">
        <f>IF(Y963="",0,1)</f>
        <v/>
      </c>
      <c r="AR963" s="39">
        <f>IF(S963&lt;=0,1,0)</f>
        <v/>
      </c>
      <c r="AS963" s="17">
        <f>IF(AH963=1,AG963,"")</f>
        <v/>
      </c>
      <c r="AT963" s="17">
        <f>IF(AND(AH963=0,AJ963=1),AG963,"")</f>
        <v/>
      </c>
      <c r="AU963" s="5">
        <f>IF(P963&lt;10000,"Under $10K",IF(P963&lt;20000,"$10-20K",IF(P963&lt;30000,"$20-30K",IF(P963&lt;50000,"$30-50K",IF(P963&lt;100000,"$50-100K","$100K+")))))</f>
        <v/>
      </c>
      <c r="AV963" s="5">
        <f>IF(O963&lt;=1.35,"1.35 and under",IF(O963&lt;=1.42,"1.36-1.42",IF(O963&lt;=1.45,"1.43-1.45",IF(O963&lt;1.49,"1.46-1.48",IF(O963&lt;=1.49,"1.49","Above 1.49")))))</f>
        <v/>
      </c>
      <c r="AW963" s="5">
        <f>IF(AE963="","",IF(AE963&lt;60,"Under 60",IF(AE963&lt;90,"60-89",IF(AE963&lt;120,"90-119",IF(AE963&lt;150,"120-149","150+")))))</f>
        <v/>
      </c>
      <c r="AX963" s="5">
        <f>IF(AP963="","No revenue data",IF(AP963&lt;0.15,"Under 0.15x",IF(AP963&lt;0.3,"0.15-0.30x",IF(AP963&lt;0.5,"0.30-0.50x",IF(AP963&lt;1,"0.50-1.00x","1.00x+")))))</f>
        <v/>
      </c>
      <c r="AY963" s="5">
        <f>IF(J963="","No SIC",IFERROR(VLOOKUP(J963,Ref!$A$4:$C$67,2,FALSE()),"Unclassified"))</f>
        <v/>
      </c>
      <c r="AZ963" s="5">
        <f>IF(E963="","",TEXT(E963,"YYYY")&amp;"-Q"&amp;ROUNDUP(MONTH(E963)/3,0))</f>
        <v/>
      </c>
      <c r="BA963" s="5">
        <f>IF(E963="","",TEXT(E963,"YYYY-MM"))</f>
        <v/>
      </c>
      <c r="BB963" s="5">
        <f>IF(E963="","",TEXT(E963,"YYYY"))</f>
        <v/>
      </c>
      <c r="BC963" s="92">
        <f>IF($E963="","",NETWORKDAYS($E963,Controls!$B$9,Ref!$F$4:$F$47))</f>
        <v/>
      </c>
      <c r="BD963" s="92">
        <f>IF(OR($AH963=1,$AJ963=1),1,0)</f>
        <v/>
      </c>
      <c r="BE963" s="95">
        <f>IF(OR($BD963=1,AND($AE963&lt;&gt;"",$BC963&gt;=Controls!$B$10*$AE963)),1,0)</f>
        <v/>
      </c>
    </row>
    <row r="964" ht="15.75" customHeight="1" s="79">
      <c r="A964" s="5" t="inlineStr">
        <is>
          <t>5674185577</t>
        </is>
      </c>
      <c r="B964" s="5" t="inlineStr">
        <is>
          <t>Borezzo</t>
        </is>
      </c>
      <c r="C964" s="5" t="inlineStr">
        <is>
          <t>Borezzo LLC</t>
        </is>
      </c>
      <c r="D964" s="5" t="inlineStr">
        <is>
          <t>In House Collection</t>
        </is>
      </c>
      <c r="E964" s="16" t="n">
        <v>46189</v>
      </c>
      <c r="F964" s="16" t="n">
        <v>46209</v>
      </c>
      <c r="G964" s="17" t="n">
        <v>3</v>
      </c>
      <c r="H964" s="5" t="inlineStr">
        <is>
          <t>5999</t>
        </is>
      </c>
      <c r="I964" s="5" t="inlineStr">
        <is>
          <t>All Other Misc. Store Retailers (Except Tobacco Stores)</t>
        </is>
      </c>
      <c r="J964" s="5" t="inlineStr">
        <is>
          <t>59</t>
        </is>
      </c>
      <c r="K964" s="5" t="n">
        <v>5999</v>
      </c>
      <c r="L964" s="5" t="inlineStr">
        <is>
          <t>SC</t>
        </is>
      </c>
      <c r="M964" s="5" t="inlineStr">
        <is>
          <t>Shore Funding USA</t>
        </is>
      </c>
      <c r="N964" s="5" t="inlineStr">
        <is>
          <t>New Deal</t>
        </is>
      </c>
      <c r="O964" s="19" t="n">
        <v>1.49</v>
      </c>
      <c r="P964" s="20" t="n">
        <v>12000</v>
      </c>
      <c r="Q964" s="20" t="n">
        <v>1680</v>
      </c>
      <c r="R964" s="20" t="n">
        <v>17880</v>
      </c>
      <c r="S964" s="20" t="n">
        <v>1564.62</v>
      </c>
      <c r="T964" s="20" t="n">
        <v>16315.38</v>
      </c>
      <c r="U964" s="21" t="n">
        <v>0.087506711409396</v>
      </c>
      <c r="V964" s="22" t="n">
        <v>2.951</v>
      </c>
      <c r="W964" s="17" t="n">
        <v>44</v>
      </c>
      <c r="X964" s="17" t="n">
        <v>3</v>
      </c>
      <c r="Y964" s="20" t="n">
        <v>101914.65</v>
      </c>
      <c r="Z964" s="21" t="n">
        <v>0.0409</v>
      </c>
      <c r="AA964" s="16" t="n">
        <v>45324</v>
      </c>
      <c r="AB964" s="5">
        <f>IF(V964="","",IF(V964&lt;12,"Months","Weeks"))</f>
        <v/>
      </c>
      <c r="AC964" s="5">
        <f>IF(AB964="","",IF(AB964="Months","Daily","Weekly"))</f>
        <v/>
      </c>
      <c r="AD964" s="17">
        <f>IF(V964="","",IF(AC964="Daily",V964*Controls!$B$13,V964))</f>
        <v/>
      </c>
      <c r="AE964" s="17">
        <f>IF(V964="","",IF(AC964="Daily",V964*Controls!$B$13,V964*Controls!$B$12))</f>
        <v/>
      </c>
      <c r="AF964" s="17">
        <f>IF(OR(E964="",F964=""),"",F964-E964)</f>
        <v/>
      </c>
      <c r="AG964" s="17">
        <f>IF(OR(E964="",F964=""),"",NETWORKDAYS(E964,F964,Ref!$F$4:$F$47))</f>
        <v/>
      </c>
      <c r="AH964" s="39">
        <f>IF(IFERROR(VLOOKUP(D964,Controls!$A$25:$D$35,2,FALSE()),"No")="Yes",1,0)</f>
        <v/>
      </c>
      <c r="AI964" s="39">
        <f>IF(IFERROR(VLOOKUP(D964,Controls!$A$25:$D$35,3,FALSE()),"No")="Yes",1,0)</f>
        <v/>
      </c>
      <c r="AJ964" s="39">
        <f>IF(IFERROR(VLOOKUP(D964,Controls!$A$25:$D$35,4,FALSE()),"No")="Yes",1,0)</f>
        <v/>
      </c>
      <c r="AK964" s="96">
        <f>IF(AND($E964&gt;=Controls!$B$5,$E964&lt;=Controls!$B$6,OR(Controls!$E$9&lt;&gt;"Y",$BE964=1)),1,0)</f>
        <v/>
      </c>
      <c r="AL964" s="39">
        <f>1</f>
        <v/>
      </c>
      <c r="AM964" s="20">
        <f>S964-P964</f>
        <v/>
      </c>
      <c r="AN964" s="20">
        <f>IF(AH964=1,MAX(0,P964-S964),0)</f>
        <v/>
      </c>
      <c r="AO964" s="21">
        <f>IFERROR(S964/P964,"")</f>
        <v/>
      </c>
      <c r="AP964" s="22">
        <f>IF(Y964="","",P964/Y964)</f>
        <v/>
      </c>
      <c r="AQ964" s="39">
        <f>IF(Y964="",0,1)</f>
        <v/>
      </c>
      <c r="AR964" s="39">
        <f>IF(S964&lt;=0,1,0)</f>
        <v/>
      </c>
      <c r="AS964" s="17">
        <f>IF(AH964=1,AG964,"")</f>
        <v/>
      </c>
      <c r="AT964" s="17">
        <f>IF(AND(AH964=0,AJ964=1),AG964,"")</f>
        <v/>
      </c>
      <c r="AU964" s="5">
        <f>IF(P964&lt;10000,"Under $10K",IF(P964&lt;20000,"$10-20K",IF(P964&lt;30000,"$20-30K",IF(P964&lt;50000,"$30-50K",IF(P964&lt;100000,"$50-100K","$100K+")))))</f>
        <v/>
      </c>
      <c r="AV964" s="5">
        <f>IF(O964&lt;=1.35,"1.35 and under",IF(O964&lt;=1.42,"1.36-1.42",IF(O964&lt;=1.45,"1.43-1.45",IF(O964&lt;1.49,"1.46-1.48",IF(O964&lt;=1.49,"1.49","Above 1.49")))))</f>
        <v/>
      </c>
      <c r="AW964" s="5">
        <f>IF(AE964="","",IF(AE964&lt;60,"Under 60",IF(AE964&lt;90,"60-89",IF(AE964&lt;120,"90-119",IF(AE964&lt;150,"120-149","150+")))))</f>
        <v/>
      </c>
      <c r="AX964" s="5">
        <f>IF(AP964="","No revenue data",IF(AP964&lt;0.15,"Under 0.15x",IF(AP964&lt;0.3,"0.15-0.30x",IF(AP964&lt;0.5,"0.30-0.50x",IF(AP964&lt;1,"0.50-1.00x","1.00x+")))))</f>
        <v/>
      </c>
      <c r="AY964" s="5">
        <f>IF(J964="","No SIC",IFERROR(VLOOKUP(J964,Ref!$A$4:$C$67,2,FALSE()),"Unclassified"))</f>
        <v/>
      </c>
      <c r="AZ964" s="5">
        <f>IF(E964="","",TEXT(E964,"YYYY")&amp;"-Q"&amp;ROUNDUP(MONTH(E964)/3,0))</f>
        <v/>
      </c>
      <c r="BA964" s="5">
        <f>IF(E964="","",TEXT(E964,"YYYY-MM"))</f>
        <v/>
      </c>
      <c r="BB964" s="5">
        <f>IF(E964="","",TEXT(E964,"YYYY"))</f>
        <v/>
      </c>
      <c r="BC964" s="92">
        <f>IF($E964="","",NETWORKDAYS($E964,Controls!$B$9,Ref!$F$4:$F$47))</f>
        <v/>
      </c>
      <c r="BD964" s="92">
        <f>IF(OR($AH964=1,$AJ964=1),1,0)</f>
        <v/>
      </c>
      <c r="BE964" s="95">
        <f>IF(OR($BD964=1,AND($AE964&lt;&gt;"",$BC964&gt;=Controls!$B$10*$AE964)),1,0)</f>
        <v/>
      </c>
    </row>
    <row r="965" ht="15.75" customHeight="1" s="79">
      <c r="A965" s="5" t="inlineStr">
        <is>
          <t>5674185628</t>
        </is>
      </c>
      <c r="B965" s="5" t="inlineStr">
        <is>
          <t>UNITED TARPS</t>
        </is>
      </c>
      <c r="C965" s="5" t="inlineStr">
        <is>
          <t>United Tarps LLC</t>
        </is>
      </c>
      <c r="D965" s="5" t="inlineStr">
        <is>
          <t>Open</t>
        </is>
      </c>
      <c r="E965" s="16" t="n">
        <v>46190</v>
      </c>
      <c r="F965" s="16" t="n">
        <v>46253</v>
      </c>
      <c r="G965" s="17" t="n">
        <v>1</v>
      </c>
      <c r="H965" s="5" t="inlineStr">
        <is>
          <t>2394</t>
        </is>
      </c>
      <c r="I965" s="5" t="inlineStr">
        <is>
          <t>Textile Bag and Canvas Mills</t>
        </is>
      </c>
      <c r="J965" s="5" t="inlineStr">
        <is>
          <t>23</t>
        </is>
      </c>
      <c r="K965" s="5" t="n">
        <v>5999</v>
      </c>
      <c r="L965" s="5" t="inlineStr">
        <is>
          <t>No state</t>
        </is>
      </c>
      <c r="M965" s="5" t="inlineStr">
        <is>
          <t>Financity</t>
        </is>
      </c>
      <c r="N965" s="5" t="inlineStr">
        <is>
          <t>New Deal</t>
        </is>
      </c>
      <c r="O965" s="19" t="n">
        <v>1.35</v>
      </c>
      <c r="P965" s="20" t="n">
        <v>175000</v>
      </c>
      <c r="Q965" s="20" t="n">
        <v>12250</v>
      </c>
      <c r="R965" s="20" t="n">
        <v>236250</v>
      </c>
      <c r="S965" s="20" t="n">
        <v>48933.54</v>
      </c>
      <c r="T965" s="20" t="n">
        <v>187316.46</v>
      </c>
      <c r="U965" s="21" t="n">
        <v>0.207126095238095</v>
      </c>
      <c r="V965" s="22" t="n">
        <v>40</v>
      </c>
      <c r="W965" s="17" t="n">
        <v>0</v>
      </c>
      <c r="X965" s="17" t="n">
        <v>0</v>
      </c>
      <c r="Y965" s="20" t="n">
        <v>267221.26</v>
      </c>
      <c r="Z965" s="21" t="n">
        <v>0.08840000000000001</v>
      </c>
      <c r="AA965" s="16" t="n">
        <v>43466</v>
      </c>
      <c r="AB965" s="5">
        <f>IF(V965="","",IF(V965&lt;12,"Months","Weeks"))</f>
        <v/>
      </c>
      <c r="AC965" s="5">
        <f>IF(AB965="","",IF(AB965="Months","Daily","Weekly"))</f>
        <v/>
      </c>
      <c r="AD965" s="17">
        <f>IF(V965="","",IF(AC965="Daily",V965*Controls!$B$13,V965))</f>
        <v/>
      </c>
      <c r="AE965" s="17">
        <f>IF(V965="","",IF(AC965="Daily",V965*Controls!$B$13,V965*Controls!$B$12))</f>
        <v/>
      </c>
      <c r="AF965" s="17">
        <f>IF(OR(E965="",F965=""),"",F965-E965)</f>
        <v/>
      </c>
      <c r="AG965" s="17">
        <f>IF(OR(E965="",F965=""),"",NETWORKDAYS(E965,F965,Ref!$F$4:$F$47))</f>
        <v/>
      </c>
      <c r="AH965" s="39">
        <f>IF(IFERROR(VLOOKUP(D965,Controls!$A$25:$D$35,2,FALSE()),"No")="Yes",1,0)</f>
        <v/>
      </c>
      <c r="AI965" s="39">
        <f>IF(IFERROR(VLOOKUP(D965,Controls!$A$25:$D$35,3,FALSE()),"No")="Yes",1,0)</f>
        <v/>
      </c>
      <c r="AJ965" s="39">
        <f>IF(IFERROR(VLOOKUP(D965,Controls!$A$25:$D$35,4,FALSE()),"No")="Yes",1,0)</f>
        <v/>
      </c>
      <c r="AK965" s="96">
        <f>IF(AND($E965&gt;=Controls!$B$5,$E965&lt;=Controls!$B$6,OR(Controls!$E$9&lt;&gt;"Y",$BE965=1)),1,0)</f>
        <v/>
      </c>
      <c r="AL965" s="39">
        <f>1</f>
        <v/>
      </c>
      <c r="AM965" s="20">
        <f>S965-P965</f>
        <v/>
      </c>
      <c r="AN965" s="20">
        <f>IF(AH965=1,MAX(0,P965-S965),0)</f>
        <v/>
      </c>
      <c r="AO965" s="21">
        <f>IFERROR(S965/P965,"")</f>
        <v/>
      </c>
      <c r="AP965" s="22">
        <f>IF(Y965="","",P965/Y965)</f>
        <v/>
      </c>
      <c r="AQ965" s="39">
        <f>IF(Y965="",0,1)</f>
        <v/>
      </c>
      <c r="AR965" s="39">
        <f>IF(S965&lt;=0,1,0)</f>
        <v/>
      </c>
      <c r="AS965" s="17">
        <f>IF(AH965=1,AG965,"")</f>
        <v/>
      </c>
      <c r="AT965" s="17">
        <f>IF(AND(AH965=0,AJ965=1),AG965,"")</f>
        <v/>
      </c>
      <c r="AU965" s="5">
        <f>IF(P965&lt;10000,"Under $10K",IF(P965&lt;20000,"$10-20K",IF(P965&lt;30000,"$20-30K",IF(P965&lt;50000,"$30-50K",IF(P965&lt;100000,"$50-100K","$100K+")))))</f>
        <v/>
      </c>
      <c r="AV965" s="5">
        <f>IF(O965&lt;=1.35,"1.35 and under",IF(O965&lt;=1.42,"1.36-1.42",IF(O965&lt;=1.45,"1.43-1.45",IF(O965&lt;1.49,"1.46-1.48",IF(O965&lt;=1.49,"1.49","Above 1.49")))))</f>
        <v/>
      </c>
      <c r="AW965" s="5">
        <f>IF(AE965="","",IF(AE965&lt;60,"Under 60",IF(AE965&lt;90,"60-89",IF(AE965&lt;120,"90-119",IF(AE965&lt;150,"120-149","150+")))))</f>
        <v/>
      </c>
      <c r="AX965" s="5">
        <f>IF(AP965="","No revenue data",IF(AP965&lt;0.15,"Under 0.15x",IF(AP965&lt;0.3,"0.15-0.30x",IF(AP965&lt;0.5,"0.30-0.50x",IF(AP965&lt;1,"0.50-1.00x","1.00x+")))))</f>
        <v/>
      </c>
      <c r="AY965" s="5">
        <f>IF(J965="","No SIC",IFERROR(VLOOKUP(J965,Ref!$A$4:$C$67,2,FALSE()),"Unclassified"))</f>
        <v/>
      </c>
      <c r="AZ965" s="5">
        <f>IF(E965="","",TEXT(E965,"YYYY")&amp;"-Q"&amp;ROUNDUP(MONTH(E965)/3,0))</f>
        <v/>
      </c>
      <c r="BA965" s="5">
        <f>IF(E965="","",TEXT(E965,"YYYY-MM"))</f>
        <v/>
      </c>
      <c r="BB965" s="5">
        <f>IF(E965="","",TEXT(E965,"YYYY"))</f>
        <v/>
      </c>
      <c r="BC965" s="92">
        <f>IF($E965="","",NETWORKDAYS($E965,Controls!$B$9,Ref!$F$4:$F$47))</f>
        <v/>
      </c>
      <c r="BD965" s="92">
        <f>IF(OR($AH965=1,$AJ965=1),1,0)</f>
        <v/>
      </c>
      <c r="BE965" s="95">
        <f>IF(OR($BD965=1,AND($AE965&lt;&gt;"",$BC965&gt;=Controls!$B$10*$AE965)),1,0)</f>
        <v/>
      </c>
    </row>
    <row r="966" ht="15.75" customHeight="1" s="79">
      <c r="A966" s="5" t="inlineStr">
        <is>
          <t>5674185652</t>
        </is>
      </c>
      <c r="B966" s="5" t="inlineStr">
        <is>
          <t>Robinson Law Firm LLC</t>
        </is>
      </c>
      <c r="C966" s="5" t="inlineStr">
        <is>
          <t>Robinson Law Firm LLC</t>
        </is>
      </c>
      <c r="D966" s="5" t="inlineStr">
        <is>
          <t>Open</t>
        </is>
      </c>
      <c r="E966" s="16" t="n">
        <v>46190</v>
      </c>
      <c r="F966" s="16" t="n">
        <v>46253</v>
      </c>
      <c r="G966" s="17" t="n">
        <v>4</v>
      </c>
      <c r="H966" s="5" t="inlineStr">
        <is>
          <t>8111</t>
        </is>
      </c>
      <c r="I966" s="5" t="inlineStr">
        <is>
          <t>Offices of Lawyers</t>
        </is>
      </c>
      <c r="J966" s="5" t="inlineStr">
        <is>
          <t>81</t>
        </is>
      </c>
      <c r="K966" s="5" t="n">
        <v>8111</v>
      </c>
      <c r="L966" s="5" t="inlineStr">
        <is>
          <t>KY</t>
        </is>
      </c>
      <c r="M966" s="5" t="inlineStr">
        <is>
          <t>Linked In Funding</t>
        </is>
      </c>
      <c r="N966" s="5" t="inlineStr">
        <is>
          <t>New Deal</t>
        </is>
      </c>
      <c r="O966" s="19" t="n">
        <v>1.49</v>
      </c>
      <c r="P966" s="20" t="n">
        <v>5000</v>
      </c>
      <c r="Q966" s="20" t="n">
        <v>700</v>
      </c>
      <c r="R966" s="20" t="n">
        <v>7450</v>
      </c>
      <c r="S966" s="20" t="n">
        <v>2683.08</v>
      </c>
      <c r="T966" s="20" t="n">
        <v>4766.92</v>
      </c>
      <c r="U966" s="21" t="n">
        <v>0.360144966442953</v>
      </c>
      <c r="V966" s="22" t="n">
        <v>3.279</v>
      </c>
      <c r="W966" s="17" t="n">
        <v>0</v>
      </c>
      <c r="X966" s="17" t="n">
        <v>3</v>
      </c>
      <c r="Y966" s="20" t="n">
        <v>14600.1</v>
      </c>
      <c r="Z966" s="21" t="n">
        <v>0.1072</v>
      </c>
      <c r="AA966" s="16" t="n">
        <v>40349</v>
      </c>
      <c r="AB966" s="5">
        <f>IF(V966="","",IF(V966&lt;12,"Months","Weeks"))</f>
        <v/>
      </c>
      <c r="AC966" s="5">
        <f>IF(AB966="","",IF(AB966="Months","Daily","Weekly"))</f>
        <v/>
      </c>
      <c r="AD966" s="17">
        <f>IF(V966="","",IF(AC966="Daily",V966*Controls!$B$13,V966))</f>
        <v/>
      </c>
      <c r="AE966" s="17">
        <f>IF(V966="","",IF(AC966="Daily",V966*Controls!$B$13,V966*Controls!$B$12))</f>
        <v/>
      </c>
      <c r="AF966" s="17">
        <f>IF(OR(E966="",F966=""),"",F966-E966)</f>
        <v/>
      </c>
      <c r="AG966" s="17">
        <f>IF(OR(E966="",F966=""),"",NETWORKDAYS(E966,F966,Ref!$F$4:$F$47))</f>
        <v/>
      </c>
      <c r="AH966" s="39">
        <f>IF(IFERROR(VLOOKUP(D966,Controls!$A$25:$D$35,2,FALSE()),"No")="Yes",1,0)</f>
        <v/>
      </c>
      <c r="AI966" s="39">
        <f>IF(IFERROR(VLOOKUP(D966,Controls!$A$25:$D$35,3,FALSE()),"No")="Yes",1,0)</f>
        <v/>
      </c>
      <c r="AJ966" s="39">
        <f>IF(IFERROR(VLOOKUP(D966,Controls!$A$25:$D$35,4,FALSE()),"No")="Yes",1,0)</f>
        <v/>
      </c>
      <c r="AK966" s="96">
        <f>IF(AND($E966&gt;=Controls!$B$5,$E966&lt;=Controls!$B$6,OR(Controls!$E$9&lt;&gt;"Y",$BE966=1)),1,0)</f>
        <v/>
      </c>
      <c r="AL966" s="39">
        <f>1</f>
        <v/>
      </c>
      <c r="AM966" s="20">
        <f>S966-P966</f>
        <v/>
      </c>
      <c r="AN966" s="20">
        <f>IF(AH966=1,MAX(0,P966-S966),0)</f>
        <v/>
      </c>
      <c r="AO966" s="21">
        <f>IFERROR(S966/P966,"")</f>
        <v/>
      </c>
      <c r="AP966" s="22">
        <f>IF(Y966="","",P966/Y966)</f>
        <v/>
      </c>
      <c r="AQ966" s="39">
        <f>IF(Y966="",0,1)</f>
        <v/>
      </c>
      <c r="AR966" s="39">
        <f>IF(S966&lt;=0,1,0)</f>
        <v/>
      </c>
      <c r="AS966" s="17">
        <f>IF(AH966=1,AG966,"")</f>
        <v/>
      </c>
      <c r="AT966" s="17">
        <f>IF(AND(AH966=0,AJ966=1),AG966,"")</f>
        <v/>
      </c>
      <c r="AU966" s="5">
        <f>IF(P966&lt;10000,"Under $10K",IF(P966&lt;20000,"$10-20K",IF(P966&lt;30000,"$20-30K",IF(P966&lt;50000,"$30-50K",IF(P966&lt;100000,"$50-100K","$100K+")))))</f>
        <v/>
      </c>
      <c r="AV966" s="5">
        <f>IF(O966&lt;=1.35,"1.35 and under",IF(O966&lt;=1.42,"1.36-1.42",IF(O966&lt;=1.45,"1.43-1.45",IF(O966&lt;1.49,"1.46-1.48",IF(O966&lt;=1.49,"1.49","Above 1.49")))))</f>
        <v/>
      </c>
      <c r="AW966" s="5">
        <f>IF(AE966="","",IF(AE966&lt;60,"Under 60",IF(AE966&lt;90,"60-89",IF(AE966&lt;120,"90-119",IF(AE966&lt;150,"120-149","150+")))))</f>
        <v/>
      </c>
      <c r="AX966" s="5">
        <f>IF(AP966="","No revenue data",IF(AP966&lt;0.15,"Under 0.15x",IF(AP966&lt;0.3,"0.15-0.30x",IF(AP966&lt;0.5,"0.30-0.50x",IF(AP966&lt;1,"0.50-1.00x","1.00x+")))))</f>
        <v/>
      </c>
      <c r="AY966" s="5">
        <f>IF(J966="","No SIC",IFERROR(VLOOKUP(J966,Ref!$A$4:$C$67,2,FALSE()),"Unclassified"))</f>
        <v/>
      </c>
      <c r="AZ966" s="5">
        <f>IF(E966="","",TEXT(E966,"YYYY")&amp;"-Q"&amp;ROUNDUP(MONTH(E966)/3,0))</f>
        <v/>
      </c>
      <c r="BA966" s="5">
        <f>IF(E966="","",TEXT(E966,"YYYY-MM"))</f>
        <v/>
      </c>
      <c r="BB966" s="5">
        <f>IF(E966="","",TEXT(E966,"YYYY"))</f>
        <v/>
      </c>
      <c r="BC966" s="92">
        <f>IF($E966="","",NETWORKDAYS($E966,Controls!$B$9,Ref!$F$4:$F$47))</f>
        <v/>
      </c>
      <c r="BD966" s="92">
        <f>IF(OR($AH966=1,$AJ966=1),1,0)</f>
        <v/>
      </c>
      <c r="BE966" s="95">
        <f>IF(OR($BD966=1,AND($AE966&lt;&gt;"",$BC966&gt;=Controls!$B$10*$AE966)),1,0)</f>
        <v/>
      </c>
    </row>
    <row r="967" ht="15.75" customHeight="1" s="79">
      <c r="A967" s="5" t="inlineStr">
        <is>
          <t>5674185654</t>
        </is>
      </c>
      <c r="B967" s="5" t="inlineStr">
        <is>
          <t>TRANSGLOBAL CONCESSIONS</t>
        </is>
      </c>
      <c r="C967" s="5" t="inlineStr">
        <is>
          <t>Transglobal Concessions LLC</t>
        </is>
      </c>
      <c r="D967" s="5" t="inlineStr">
        <is>
          <t>Closed</t>
        </is>
      </c>
      <c r="E967" s="16" t="n">
        <v>46190</v>
      </c>
      <c r="F967" s="16" t="n">
        <v>46253</v>
      </c>
      <c r="G967" s="17" t="n">
        <v>4</v>
      </c>
      <c r="H967" s="5" t="inlineStr">
        <is>
          <t>5812</t>
        </is>
      </c>
      <c r="I967" s="5" t="inlineStr">
        <is>
          <t>Snack and Nonalcoholic Beverage Bars</t>
        </is>
      </c>
      <c r="J967" s="5" t="inlineStr">
        <is>
          <t>58</t>
        </is>
      </c>
      <c r="K967" s="5" t="n">
        <v>5812</v>
      </c>
      <c r="L967" s="5" t="inlineStr">
        <is>
          <t>FL</t>
        </is>
      </c>
      <c r="M967" s="5" t="inlineStr">
        <is>
          <t>PMF</t>
        </is>
      </c>
      <c r="N967" s="5" t="inlineStr">
        <is>
          <t>New Deal</t>
        </is>
      </c>
      <c r="O967" s="19" t="n">
        <v>1.15000254</v>
      </c>
      <c r="P967" s="20" t="n">
        <v>315000</v>
      </c>
      <c r="Q967" s="20" t="n">
        <v>35437.5</v>
      </c>
      <c r="R967" s="20" t="n">
        <v>362250.8001</v>
      </c>
      <c r="S967" s="20" t="n">
        <v>362250.8</v>
      </c>
      <c r="T967" s="20" t="n">
        <v>0.000100000004749745</v>
      </c>
      <c r="U967" s="21" t="n">
        <v>0.999999999723948</v>
      </c>
      <c r="V967" s="22" t="n">
        <v>40</v>
      </c>
      <c r="W967" s="17" t="n">
        <v>0</v>
      </c>
      <c r="X967" s="17" t="n">
        <v>0</v>
      </c>
      <c r="Y967" s="20" t="n">
        <v>949336.14</v>
      </c>
      <c r="Z967" s="21" t="n">
        <v>0.0461</v>
      </c>
      <c r="AA967" s="16" t="n">
        <v>38959</v>
      </c>
      <c r="AB967" s="5">
        <f>IF(V967="","",IF(V967&lt;12,"Months","Weeks"))</f>
        <v/>
      </c>
      <c r="AC967" s="5">
        <f>IF(AB967="","",IF(AB967="Months","Daily","Weekly"))</f>
        <v/>
      </c>
      <c r="AD967" s="17">
        <f>IF(V967="","",IF(AC967="Daily",V967*Controls!$B$13,V967))</f>
        <v/>
      </c>
      <c r="AE967" s="17">
        <f>IF(V967="","",IF(AC967="Daily",V967*Controls!$B$13,V967*Controls!$B$12))</f>
        <v/>
      </c>
      <c r="AF967" s="17">
        <f>IF(OR(E967="",F967=""),"",F967-E967)</f>
        <v/>
      </c>
      <c r="AG967" s="17">
        <f>IF(OR(E967="",F967=""),"",NETWORKDAYS(E967,F967,Ref!$F$4:$F$47))</f>
        <v/>
      </c>
      <c r="AH967" s="39">
        <f>IF(IFERROR(VLOOKUP(D967,Controls!$A$25:$D$35,2,FALSE()),"No")="Yes",1,0)</f>
        <v/>
      </c>
      <c r="AI967" s="39">
        <f>IF(IFERROR(VLOOKUP(D967,Controls!$A$25:$D$35,3,FALSE()),"No")="Yes",1,0)</f>
        <v/>
      </c>
      <c r="AJ967" s="39">
        <f>IF(IFERROR(VLOOKUP(D967,Controls!$A$25:$D$35,4,FALSE()),"No")="Yes",1,0)</f>
        <v/>
      </c>
      <c r="AK967" s="96">
        <f>IF(AND($E967&gt;=Controls!$B$5,$E967&lt;=Controls!$B$6,OR(Controls!$E$9&lt;&gt;"Y",$BE967=1)),1,0)</f>
        <v/>
      </c>
      <c r="AL967" s="39">
        <f>1</f>
        <v/>
      </c>
      <c r="AM967" s="20">
        <f>S967-P967</f>
        <v/>
      </c>
      <c r="AN967" s="20">
        <f>IF(AH967=1,MAX(0,P967-S967),0)</f>
        <v/>
      </c>
      <c r="AO967" s="21">
        <f>IFERROR(S967/P967,"")</f>
        <v/>
      </c>
      <c r="AP967" s="22">
        <f>IF(Y967="","",P967/Y967)</f>
        <v/>
      </c>
      <c r="AQ967" s="39">
        <f>IF(Y967="",0,1)</f>
        <v/>
      </c>
      <c r="AR967" s="39">
        <f>IF(S967&lt;=0,1,0)</f>
        <v/>
      </c>
      <c r="AS967" s="17">
        <f>IF(AH967=1,AG967,"")</f>
        <v/>
      </c>
      <c r="AT967" s="17">
        <f>IF(AND(AH967=0,AJ967=1),AG967,"")</f>
        <v/>
      </c>
      <c r="AU967" s="5">
        <f>IF(P967&lt;10000,"Under $10K",IF(P967&lt;20000,"$10-20K",IF(P967&lt;30000,"$20-30K",IF(P967&lt;50000,"$30-50K",IF(P967&lt;100000,"$50-100K","$100K+")))))</f>
        <v/>
      </c>
      <c r="AV967" s="5">
        <f>IF(O967&lt;=1.35,"1.35 and under",IF(O967&lt;=1.42,"1.36-1.42",IF(O967&lt;=1.45,"1.43-1.45",IF(O967&lt;1.49,"1.46-1.48",IF(O967&lt;=1.49,"1.49","Above 1.49")))))</f>
        <v/>
      </c>
      <c r="AW967" s="5">
        <f>IF(AE967="","",IF(AE967&lt;60,"Under 60",IF(AE967&lt;90,"60-89",IF(AE967&lt;120,"90-119",IF(AE967&lt;150,"120-149","150+")))))</f>
        <v/>
      </c>
      <c r="AX967" s="5">
        <f>IF(AP967="","No revenue data",IF(AP967&lt;0.15,"Under 0.15x",IF(AP967&lt;0.3,"0.15-0.30x",IF(AP967&lt;0.5,"0.30-0.50x",IF(AP967&lt;1,"0.50-1.00x","1.00x+")))))</f>
        <v/>
      </c>
      <c r="AY967" s="5">
        <f>IF(J967="","No SIC",IFERROR(VLOOKUP(J967,Ref!$A$4:$C$67,2,FALSE()),"Unclassified"))</f>
        <v/>
      </c>
      <c r="AZ967" s="5">
        <f>IF(E967="","",TEXT(E967,"YYYY")&amp;"-Q"&amp;ROUNDUP(MONTH(E967)/3,0))</f>
        <v/>
      </c>
      <c r="BA967" s="5">
        <f>IF(E967="","",TEXT(E967,"YYYY-MM"))</f>
        <v/>
      </c>
      <c r="BB967" s="5">
        <f>IF(E967="","",TEXT(E967,"YYYY"))</f>
        <v/>
      </c>
      <c r="BC967" s="92">
        <f>IF($E967="","",NETWORKDAYS($E967,Controls!$B$9,Ref!$F$4:$F$47))</f>
        <v/>
      </c>
      <c r="BD967" s="92">
        <f>IF(OR($AH967=1,$AJ967=1),1,0)</f>
        <v/>
      </c>
      <c r="BE967" s="95">
        <f>IF(OR($BD967=1,AND($AE967&lt;&gt;"",$BC967&gt;=Controls!$B$10*$AE967)),1,0)</f>
        <v/>
      </c>
    </row>
    <row r="968" ht="15.75" customHeight="1" s="79">
      <c r="A968" s="5" t="inlineStr">
        <is>
          <t>5674185729</t>
        </is>
      </c>
      <c r="B968" s="5" t="inlineStr">
        <is>
          <t>KOZLENKO&amp;CO LLC</t>
        </is>
      </c>
      <c r="C968" s="5" t="inlineStr">
        <is>
          <t>KOZLENKO&amp;CO LLC</t>
        </is>
      </c>
      <c r="D968" s="5" t="inlineStr">
        <is>
          <t>Closed</t>
        </is>
      </c>
      <c r="E968" s="16" t="n">
        <v>46191</v>
      </c>
      <c r="F968" s="16" t="n">
        <v>46238</v>
      </c>
      <c r="G968" s="17" t="n">
        <v>3</v>
      </c>
      <c r="H968" s="5" t="inlineStr">
        <is>
          <t>6531</t>
        </is>
      </c>
      <c r="I968" s="5" t="inlineStr">
        <is>
          <t>Offices of Real Estate Agents and Brokerages</t>
        </is>
      </c>
      <c r="J968" s="5" t="inlineStr">
        <is>
          <t>65</t>
        </is>
      </c>
      <c r="K968" s="5" t="n">
        <v>6513</v>
      </c>
      <c r="L968" s="5" t="inlineStr">
        <is>
          <t>FL</t>
        </is>
      </c>
      <c r="M968" s="5" t="inlineStr">
        <is>
          <t>United Secured Capital 8</t>
        </is>
      </c>
      <c r="N968" s="5" t="inlineStr">
        <is>
          <t>New Deal</t>
        </is>
      </c>
      <c r="O968" s="19" t="n">
        <v>1.49</v>
      </c>
      <c r="P968" s="20" t="n">
        <v>10000</v>
      </c>
      <c r="Q968" s="20" t="n">
        <v>1400</v>
      </c>
      <c r="R968" s="20" t="n">
        <v>14900</v>
      </c>
      <c r="S968" s="20" t="n">
        <v>14900</v>
      </c>
      <c r="T968" s="20" t="n">
        <v>0</v>
      </c>
      <c r="U968" s="21" t="n">
        <v>1</v>
      </c>
      <c r="V968" s="22" t="n">
        <v>2.623</v>
      </c>
      <c r="W968" s="17" t="n">
        <v>15</v>
      </c>
      <c r="X968" s="17" t="n">
        <v>0</v>
      </c>
      <c r="Y968" s="20" t="n">
        <v>31031.13</v>
      </c>
      <c r="Z968" s="21" t="n">
        <v>0.126</v>
      </c>
      <c r="AA968" s="16" t="n">
        <v>45620</v>
      </c>
      <c r="AB968" s="5">
        <f>IF(V968="","",IF(V968&lt;12,"Months","Weeks"))</f>
        <v/>
      </c>
      <c r="AC968" s="5">
        <f>IF(AB968="","",IF(AB968="Months","Daily","Weekly"))</f>
        <v/>
      </c>
      <c r="AD968" s="17">
        <f>IF(V968="","",IF(AC968="Daily",V968*Controls!$B$13,V968))</f>
        <v/>
      </c>
      <c r="AE968" s="17">
        <f>IF(V968="","",IF(AC968="Daily",V968*Controls!$B$13,V968*Controls!$B$12))</f>
        <v/>
      </c>
      <c r="AF968" s="17">
        <f>IF(OR(E968="",F968=""),"",F968-E968)</f>
        <v/>
      </c>
      <c r="AG968" s="17">
        <f>IF(OR(E968="",F968=""),"",NETWORKDAYS(E968,F968,Ref!$F$4:$F$47))</f>
        <v/>
      </c>
      <c r="AH968" s="39">
        <f>IF(IFERROR(VLOOKUP(D968,Controls!$A$25:$D$35,2,FALSE()),"No")="Yes",1,0)</f>
        <v/>
      </c>
      <c r="AI968" s="39">
        <f>IF(IFERROR(VLOOKUP(D968,Controls!$A$25:$D$35,3,FALSE()),"No")="Yes",1,0)</f>
        <v/>
      </c>
      <c r="AJ968" s="39">
        <f>IF(IFERROR(VLOOKUP(D968,Controls!$A$25:$D$35,4,FALSE()),"No")="Yes",1,0)</f>
        <v/>
      </c>
      <c r="AK968" s="96">
        <f>IF(AND($E968&gt;=Controls!$B$5,$E968&lt;=Controls!$B$6,OR(Controls!$E$9&lt;&gt;"Y",$BE968=1)),1,0)</f>
        <v/>
      </c>
      <c r="AL968" s="39">
        <f>1</f>
        <v/>
      </c>
      <c r="AM968" s="20">
        <f>S968-P968</f>
        <v/>
      </c>
      <c r="AN968" s="20">
        <f>IF(AH968=1,MAX(0,P968-S968),0)</f>
        <v/>
      </c>
      <c r="AO968" s="21">
        <f>IFERROR(S968/P968,"")</f>
        <v/>
      </c>
      <c r="AP968" s="22">
        <f>IF(Y968="","",P968/Y968)</f>
        <v/>
      </c>
      <c r="AQ968" s="39">
        <f>IF(Y968="",0,1)</f>
        <v/>
      </c>
      <c r="AR968" s="39">
        <f>IF(S968&lt;=0,1,0)</f>
        <v/>
      </c>
      <c r="AS968" s="17">
        <f>IF(AH968=1,AG968,"")</f>
        <v/>
      </c>
      <c r="AT968" s="17">
        <f>IF(AND(AH968=0,AJ968=1),AG968,"")</f>
        <v/>
      </c>
      <c r="AU968" s="5">
        <f>IF(P968&lt;10000,"Under $10K",IF(P968&lt;20000,"$10-20K",IF(P968&lt;30000,"$20-30K",IF(P968&lt;50000,"$30-50K",IF(P968&lt;100000,"$50-100K","$100K+")))))</f>
        <v/>
      </c>
      <c r="AV968" s="5">
        <f>IF(O968&lt;=1.35,"1.35 and under",IF(O968&lt;=1.42,"1.36-1.42",IF(O968&lt;=1.45,"1.43-1.45",IF(O968&lt;1.49,"1.46-1.48",IF(O968&lt;=1.49,"1.49","Above 1.49")))))</f>
        <v/>
      </c>
      <c r="AW968" s="5">
        <f>IF(AE968="","",IF(AE968&lt;60,"Under 60",IF(AE968&lt;90,"60-89",IF(AE968&lt;120,"90-119",IF(AE968&lt;150,"120-149","150+")))))</f>
        <v/>
      </c>
      <c r="AX968" s="5">
        <f>IF(AP968="","No revenue data",IF(AP968&lt;0.15,"Under 0.15x",IF(AP968&lt;0.3,"0.15-0.30x",IF(AP968&lt;0.5,"0.30-0.50x",IF(AP968&lt;1,"0.50-1.00x","1.00x+")))))</f>
        <v/>
      </c>
      <c r="AY968" s="5">
        <f>IF(J968="","No SIC",IFERROR(VLOOKUP(J968,Ref!$A$4:$C$67,2,FALSE()),"Unclassified"))</f>
        <v/>
      </c>
      <c r="AZ968" s="5">
        <f>IF(E968="","",TEXT(E968,"YYYY")&amp;"-Q"&amp;ROUNDUP(MONTH(E968)/3,0))</f>
        <v/>
      </c>
      <c r="BA968" s="5">
        <f>IF(E968="","",TEXT(E968,"YYYY-MM"))</f>
        <v/>
      </c>
      <c r="BB968" s="5">
        <f>IF(E968="","",TEXT(E968,"YYYY"))</f>
        <v/>
      </c>
      <c r="BC968" s="92">
        <f>IF($E968="","",NETWORKDAYS($E968,Controls!$B$9,Ref!$F$4:$F$47))</f>
        <v/>
      </c>
      <c r="BD968" s="92">
        <f>IF(OR($AH968=1,$AJ968=1),1,0)</f>
        <v/>
      </c>
      <c r="BE968" s="95">
        <f>IF(OR($BD968=1,AND($AE968&lt;&gt;"",$BC968&gt;=Controls!$B$10*$AE968)),1,0)</f>
        <v/>
      </c>
    </row>
    <row r="969" ht="15.75" customHeight="1" s="79">
      <c r="A969" s="5" t="inlineStr">
        <is>
          <t>5674185734</t>
        </is>
      </c>
      <c r="B969" s="5" t="inlineStr">
        <is>
          <t>OLD SAYBROOK GARDEN CENTER</t>
        </is>
      </c>
      <c r="C969" s="5" t="inlineStr">
        <is>
          <t>He did he did LLC</t>
        </is>
      </c>
      <c r="D969" s="5" t="inlineStr">
        <is>
          <t>Open</t>
        </is>
      </c>
      <c r="E969" s="16" t="n">
        <v>46191</v>
      </c>
      <c r="F969" s="16" t="n">
        <v>46248</v>
      </c>
      <c r="G969" s="17" t="n">
        <v>4</v>
      </c>
      <c r="H969" s="5" t="inlineStr">
        <is>
          <t>5261</t>
        </is>
      </c>
      <c r="I969" s="5" t="inlineStr">
        <is>
          <t>Farm Supplies Merchant Wholesalers</t>
        </is>
      </c>
      <c r="J969" s="5" t="inlineStr">
        <is>
          <t>52</t>
        </is>
      </c>
      <c r="K969" s="5" t="n">
        <v>5261</v>
      </c>
      <c r="L969" s="5" t="inlineStr">
        <is>
          <t>CT</t>
        </is>
      </c>
      <c r="M969" s="5" t="inlineStr">
        <is>
          <t>United Secured Capital 8</t>
        </is>
      </c>
      <c r="N969" s="5" t="inlineStr">
        <is>
          <t>New Deal</t>
        </is>
      </c>
      <c r="O969" s="19" t="n">
        <v>1.49</v>
      </c>
      <c r="P969" s="20" t="n">
        <v>15000</v>
      </c>
      <c r="Q969" s="20" t="n">
        <v>2100</v>
      </c>
      <c r="R969" s="20" t="n">
        <v>22350</v>
      </c>
      <c r="S969" s="20" t="n">
        <v>7817.46</v>
      </c>
      <c r="T969" s="20" t="n">
        <v>14532.54</v>
      </c>
      <c r="U969" s="21" t="n">
        <v>0.349774496644295</v>
      </c>
      <c r="V969" s="22" t="n">
        <v>20</v>
      </c>
      <c r="W969" s="17" t="n">
        <v>5</v>
      </c>
      <c r="X969" s="17" t="n">
        <v>0</v>
      </c>
      <c r="Y969" s="20" t="n">
        <v>123742.46</v>
      </c>
      <c r="Z969" s="21" t="n">
        <v>0.0361</v>
      </c>
      <c r="AA969" s="16" t="n">
        <v>45919</v>
      </c>
      <c r="AB969" s="5">
        <f>IF(V969="","",IF(V969&lt;12,"Months","Weeks"))</f>
        <v/>
      </c>
      <c r="AC969" s="5">
        <f>IF(AB969="","",IF(AB969="Months","Daily","Weekly"))</f>
        <v/>
      </c>
      <c r="AD969" s="17">
        <f>IF(V969="","",IF(AC969="Daily",V969*Controls!$B$13,V969))</f>
        <v/>
      </c>
      <c r="AE969" s="17">
        <f>IF(V969="","",IF(AC969="Daily",V969*Controls!$B$13,V969*Controls!$B$12))</f>
        <v/>
      </c>
      <c r="AF969" s="17">
        <f>IF(OR(E969="",F969=""),"",F969-E969)</f>
        <v/>
      </c>
      <c r="AG969" s="17">
        <f>IF(OR(E969="",F969=""),"",NETWORKDAYS(E969,F969,Ref!$F$4:$F$47))</f>
        <v/>
      </c>
      <c r="AH969" s="39">
        <f>IF(IFERROR(VLOOKUP(D969,Controls!$A$25:$D$35,2,FALSE()),"No")="Yes",1,0)</f>
        <v/>
      </c>
      <c r="AI969" s="39">
        <f>IF(IFERROR(VLOOKUP(D969,Controls!$A$25:$D$35,3,FALSE()),"No")="Yes",1,0)</f>
        <v/>
      </c>
      <c r="AJ969" s="39">
        <f>IF(IFERROR(VLOOKUP(D969,Controls!$A$25:$D$35,4,FALSE()),"No")="Yes",1,0)</f>
        <v/>
      </c>
      <c r="AK969" s="96">
        <f>IF(AND($E969&gt;=Controls!$B$5,$E969&lt;=Controls!$B$6,OR(Controls!$E$9&lt;&gt;"Y",$BE969=1)),1,0)</f>
        <v/>
      </c>
      <c r="AL969" s="39">
        <f>1</f>
        <v/>
      </c>
      <c r="AM969" s="20">
        <f>S969-P969</f>
        <v/>
      </c>
      <c r="AN969" s="20">
        <f>IF(AH969=1,MAX(0,P969-S969),0)</f>
        <v/>
      </c>
      <c r="AO969" s="21">
        <f>IFERROR(S969/P969,"")</f>
        <v/>
      </c>
      <c r="AP969" s="22">
        <f>IF(Y969="","",P969/Y969)</f>
        <v/>
      </c>
      <c r="AQ969" s="39">
        <f>IF(Y969="",0,1)</f>
        <v/>
      </c>
      <c r="AR969" s="39">
        <f>IF(S969&lt;=0,1,0)</f>
        <v/>
      </c>
      <c r="AS969" s="17">
        <f>IF(AH969=1,AG969,"")</f>
        <v/>
      </c>
      <c r="AT969" s="17">
        <f>IF(AND(AH969=0,AJ969=1),AG969,"")</f>
        <v/>
      </c>
      <c r="AU969" s="5">
        <f>IF(P969&lt;10000,"Under $10K",IF(P969&lt;20000,"$10-20K",IF(P969&lt;30000,"$20-30K",IF(P969&lt;50000,"$30-50K",IF(P969&lt;100000,"$50-100K","$100K+")))))</f>
        <v/>
      </c>
      <c r="AV969" s="5">
        <f>IF(O969&lt;=1.35,"1.35 and under",IF(O969&lt;=1.42,"1.36-1.42",IF(O969&lt;=1.45,"1.43-1.45",IF(O969&lt;1.49,"1.46-1.48",IF(O969&lt;=1.49,"1.49","Above 1.49")))))</f>
        <v/>
      </c>
      <c r="AW969" s="5">
        <f>IF(AE969="","",IF(AE969&lt;60,"Under 60",IF(AE969&lt;90,"60-89",IF(AE969&lt;120,"90-119",IF(AE969&lt;150,"120-149","150+")))))</f>
        <v/>
      </c>
      <c r="AX969" s="5">
        <f>IF(AP969="","No revenue data",IF(AP969&lt;0.15,"Under 0.15x",IF(AP969&lt;0.3,"0.15-0.30x",IF(AP969&lt;0.5,"0.30-0.50x",IF(AP969&lt;1,"0.50-1.00x","1.00x+")))))</f>
        <v/>
      </c>
      <c r="AY969" s="5">
        <f>IF(J969="","No SIC",IFERROR(VLOOKUP(J969,Ref!$A$4:$C$67,2,FALSE()),"Unclassified"))</f>
        <v/>
      </c>
      <c r="AZ969" s="5">
        <f>IF(E969="","",TEXT(E969,"YYYY")&amp;"-Q"&amp;ROUNDUP(MONTH(E969)/3,0))</f>
        <v/>
      </c>
      <c r="BA969" s="5">
        <f>IF(E969="","",TEXT(E969,"YYYY-MM"))</f>
        <v/>
      </c>
      <c r="BB969" s="5">
        <f>IF(E969="","",TEXT(E969,"YYYY"))</f>
        <v/>
      </c>
      <c r="BC969" s="92">
        <f>IF($E969="","",NETWORKDAYS($E969,Controls!$B$9,Ref!$F$4:$F$47))</f>
        <v/>
      </c>
      <c r="BD969" s="92">
        <f>IF(OR($AH969=1,$AJ969=1),1,0)</f>
        <v/>
      </c>
      <c r="BE969" s="95">
        <f>IF(OR($BD969=1,AND($AE969&lt;&gt;"",$BC969&gt;=Controls!$B$10*$AE969)),1,0)</f>
        <v/>
      </c>
    </row>
    <row r="970" ht="15.75" customHeight="1" s="79">
      <c r="A970" s="5" t="inlineStr">
        <is>
          <t>5674185746</t>
        </is>
      </c>
      <c r="B970" s="5" t="inlineStr">
        <is>
          <t>AGAVE BUILDERS</t>
        </is>
      </c>
      <c r="C970" s="5" t="inlineStr">
        <is>
          <t>AGAVE BUILDERS LLC</t>
        </is>
      </c>
      <c r="D970" s="5" t="inlineStr">
        <is>
          <t>Legal</t>
        </is>
      </c>
      <c r="E970" s="16" t="n">
        <v>46191</v>
      </c>
      <c r="F970" s="16" t="n">
        <v>46238</v>
      </c>
      <c r="G970" s="17" t="n">
        <v>2</v>
      </c>
      <c r="H970" s="5" t="inlineStr">
        <is>
          <t>1522</t>
        </is>
      </c>
      <c r="I970" s="5" t="inlineStr">
        <is>
          <t>New Multifamily Housing Construction (Except For-Sale Builders)</t>
        </is>
      </c>
      <c r="J970" s="5" t="inlineStr">
        <is>
          <t>15</t>
        </is>
      </c>
      <c r="K970" s="5" t="n">
        <v>1520</v>
      </c>
      <c r="L970" s="5" t="inlineStr">
        <is>
          <t>AZ</t>
        </is>
      </c>
      <c r="M970" s="5" t="inlineStr">
        <is>
          <t>J Capital Solutions</t>
        </is>
      </c>
      <c r="N970" s="5" t="inlineStr">
        <is>
          <t>New Deal</t>
        </is>
      </c>
      <c r="O970" s="19" t="n">
        <v>1.49</v>
      </c>
      <c r="P970" s="20" t="n">
        <v>70000</v>
      </c>
      <c r="Q970" s="20" t="n">
        <v>0</v>
      </c>
      <c r="R970" s="20" t="n">
        <v>104300</v>
      </c>
      <c r="S970" s="20" t="n">
        <v>3069.58</v>
      </c>
      <c r="T970" s="20" t="n">
        <v>101230.42</v>
      </c>
      <c r="U970" s="21" t="n">
        <v>0.029430297219559</v>
      </c>
      <c r="V970" s="22" t="n">
        <v>34</v>
      </c>
      <c r="W970" s="17" t="n">
        <v>57</v>
      </c>
      <c r="X970" s="17" t="n">
        <v>17</v>
      </c>
      <c r="Y970" s="20" t="n">
        <v>210967.52</v>
      </c>
      <c r="Z970" s="21" t="n">
        <v>0.0582</v>
      </c>
      <c r="AA970" s="16" t="n">
        <v>36526</v>
      </c>
      <c r="AB970" s="5">
        <f>IF(V970="","",IF(V970&lt;12,"Months","Weeks"))</f>
        <v/>
      </c>
      <c r="AC970" s="5">
        <f>IF(AB970="","",IF(AB970="Months","Daily","Weekly"))</f>
        <v/>
      </c>
      <c r="AD970" s="17">
        <f>IF(V970="","",IF(AC970="Daily",V970*Controls!$B$13,V970))</f>
        <v/>
      </c>
      <c r="AE970" s="17">
        <f>IF(V970="","",IF(AC970="Daily",V970*Controls!$B$13,V970*Controls!$B$12))</f>
        <v/>
      </c>
      <c r="AF970" s="17">
        <f>IF(OR(E970="",F970=""),"",F970-E970)</f>
        <v/>
      </c>
      <c r="AG970" s="17">
        <f>IF(OR(E970="",F970=""),"",NETWORKDAYS(E970,F970,Ref!$F$4:$F$47))</f>
        <v/>
      </c>
      <c r="AH970" s="39">
        <f>IF(IFERROR(VLOOKUP(D970,Controls!$A$25:$D$35,2,FALSE()),"No")="Yes",1,0)</f>
        <v/>
      </c>
      <c r="AI970" s="39">
        <f>IF(IFERROR(VLOOKUP(D970,Controls!$A$25:$D$35,3,FALSE()),"No")="Yes",1,0)</f>
        <v/>
      </c>
      <c r="AJ970" s="39">
        <f>IF(IFERROR(VLOOKUP(D970,Controls!$A$25:$D$35,4,FALSE()),"No")="Yes",1,0)</f>
        <v/>
      </c>
      <c r="AK970" s="96">
        <f>IF(AND($E970&gt;=Controls!$B$5,$E970&lt;=Controls!$B$6,OR(Controls!$E$9&lt;&gt;"Y",$BE970=1)),1,0)</f>
        <v/>
      </c>
      <c r="AL970" s="39">
        <f>1</f>
        <v/>
      </c>
      <c r="AM970" s="20">
        <f>S970-P970</f>
        <v/>
      </c>
      <c r="AN970" s="20">
        <f>IF(AH970=1,MAX(0,P970-S970),0)</f>
        <v/>
      </c>
      <c r="AO970" s="21">
        <f>IFERROR(S970/P970,"")</f>
        <v/>
      </c>
      <c r="AP970" s="22">
        <f>IF(Y970="","",P970/Y970)</f>
        <v/>
      </c>
      <c r="AQ970" s="39">
        <f>IF(Y970="",0,1)</f>
        <v/>
      </c>
      <c r="AR970" s="39">
        <f>IF(S970&lt;=0,1,0)</f>
        <v/>
      </c>
      <c r="AS970" s="17">
        <f>IF(AH970=1,AG970,"")</f>
        <v/>
      </c>
      <c r="AT970" s="17">
        <f>IF(AND(AH970=0,AJ970=1),AG970,"")</f>
        <v/>
      </c>
      <c r="AU970" s="5">
        <f>IF(P970&lt;10000,"Under $10K",IF(P970&lt;20000,"$10-20K",IF(P970&lt;30000,"$20-30K",IF(P970&lt;50000,"$30-50K",IF(P970&lt;100000,"$50-100K","$100K+")))))</f>
        <v/>
      </c>
      <c r="AV970" s="5">
        <f>IF(O970&lt;=1.35,"1.35 and under",IF(O970&lt;=1.42,"1.36-1.42",IF(O970&lt;=1.45,"1.43-1.45",IF(O970&lt;1.49,"1.46-1.48",IF(O970&lt;=1.49,"1.49","Above 1.49")))))</f>
        <v/>
      </c>
      <c r="AW970" s="5">
        <f>IF(AE970="","",IF(AE970&lt;60,"Under 60",IF(AE970&lt;90,"60-89",IF(AE970&lt;120,"90-119",IF(AE970&lt;150,"120-149","150+")))))</f>
        <v/>
      </c>
      <c r="AX970" s="5">
        <f>IF(AP970="","No revenue data",IF(AP970&lt;0.15,"Under 0.15x",IF(AP970&lt;0.3,"0.15-0.30x",IF(AP970&lt;0.5,"0.30-0.50x",IF(AP970&lt;1,"0.50-1.00x","1.00x+")))))</f>
        <v/>
      </c>
      <c r="AY970" s="5">
        <f>IF(J970="","No SIC",IFERROR(VLOOKUP(J970,Ref!$A$4:$C$67,2,FALSE()),"Unclassified"))</f>
        <v/>
      </c>
      <c r="AZ970" s="5">
        <f>IF(E970="","",TEXT(E970,"YYYY")&amp;"-Q"&amp;ROUNDUP(MONTH(E970)/3,0))</f>
        <v/>
      </c>
      <c r="BA970" s="5">
        <f>IF(E970="","",TEXT(E970,"YYYY-MM"))</f>
        <v/>
      </c>
      <c r="BB970" s="5">
        <f>IF(E970="","",TEXT(E970,"YYYY"))</f>
        <v/>
      </c>
      <c r="BC970" s="92">
        <f>IF($E970="","",NETWORKDAYS($E970,Controls!$B$9,Ref!$F$4:$F$47))</f>
        <v/>
      </c>
      <c r="BD970" s="92">
        <f>IF(OR($AH970=1,$AJ970=1),1,0)</f>
        <v/>
      </c>
      <c r="BE970" s="95">
        <f>IF(OR($BD970=1,AND($AE970&lt;&gt;"",$BC970&gt;=Controls!$B$10*$AE970)),1,0)</f>
        <v/>
      </c>
    </row>
    <row r="971" ht="15.75" customHeight="1" s="79">
      <c r="A971" s="5" t="inlineStr">
        <is>
          <t>5674185758</t>
        </is>
      </c>
      <c r="B971" s="5" t="inlineStr">
        <is>
          <t>YUMA LANDING COMPANY</t>
        </is>
      </c>
      <c r="C971" s="5" t="inlineStr">
        <is>
          <t>YUMA LANDING COMPANY</t>
        </is>
      </c>
      <c r="D971" s="5" t="inlineStr">
        <is>
          <t>Open</t>
        </is>
      </c>
      <c r="E971" s="16" t="n">
        <v>46191</v>
      </c>
      <c r="F971" s="16" t="n">
        <v>46233</v>
      </c>
      <c r="G971" s="17" t="n">
        <v>3</v>
      </c>
      <c r="H971" s="5" t="inlineStr">
        <is>
          <t>6531</t>
        </is>
      </c>
      <c r="I971" s="5" t="inlineStr">
        <is>
          <t>Offices of Real Estate Agents and Brokerages</t>
        </is>
      </c>
      <c r="J971" s="5" t="inlineStr">
        <is>
          <t>65</t>
        </is>
      </c>
      <c r="K971" s="5" t="n">
        <v>6513</v>
      </c>
      <c r="L971" s="5" t="inlineStr">
        <is>
          <t>AZ</t>
        </is>
      </c>
      <c r="M971" s="5" t="inlineStr">
        <is>
          <t>PMF</t>
        </is>
      </c>
      <c r="N971" s="5" t="inlineStr">
        <is>
          <t>New Deal</t>
        </is>
      </c>
      <c r="O971" s="19" t="n">
        <v>1.49</v>
      </c>
      <c r="P971" s="20" t="n">
        <v>20000</v>
      </c>
      <c r="Q971" s="20" t="n">
        <v>2800</v>
      </c>
      <c r="R971" s="20" t="n">
        <v>29800</v>
      </c>
      <c r="S971" s="20" t="n">
        <v>7835.25</v>
      </c>
      <c r="T971" s="20" t="n">
        <v>21964.75</v>
      </c>
      <c r="U971" s="21" t="n">
        <v>0.262927852348993</v>
      </c>
      <c r="V971" s="22" t="n">
        <v>3.115</v>
      </c>
      <c r="W971" s="17" t="n">
        <v>26</v>
      </c>
      <c r="X971" s="17" t="n">
        <v>4</v>
      </c>
      <c r="Y971" s="20" t="n">
        <v>135144.45</v>
      </c>
      <c r="Z971" s="21" t="n">
        <v>0.0487</v>
      </c>
      <c r="AA971" s="16" t="n">
        <v>33522</v>
      </c>
      <c r="AB971" s="5">
        <f>IF(V971="","",IF(V971&lt;12,"Months","Weeks"))</f>
        <v/>
      </c>
      <c r="AC971" s="5">
        <f>IF(AB971="","",IF(AB971="Months","Daily","Weekly"))</f>
        <v/>
      </c>
      <c r="AD971" s="17">
        <f>IF(V971="","",IF(AC971="Daily",V971*Controls!$B$13,V971))</f>
        <v/>
      </c>
      <c r="AE971" s="17">
        <f>IF(V971="","",IF(AC971="Daily",V971*Controls!$B$13,V971*Controls!$B$12))</f>
        <v/>
      </c>
      <c r="AF971" s="17">
        <f>IF(OR(E971="",F971=""),"",F971-E971)</f>
        <v/>
      </c>
      <c r="AG971" s="17">
        <f>IF(OR(E971="",F971=""),"",NETWORKDAYS(E971,F971,Ref!$F$4:$F$47))</f>
        <v/>
      </c>
      <c r="AH971" s="39">
        <f>IF(IFERROR(VLOOKUP(D971,Controls!$A$25:$D$35,2,FALSE()),"No")="Yes",1,0)</f>
        <v/>
      </c>
      <c r="AI971" s="39">
        <f>IF(IFERROR(VLOOKUP(D971,Controls!$A$25:$D$35,3,FALSE()),"No")="Yes",1,0)</f>
        <v/>
      </c>
      <c r="AJ971" s="39">
        <f>IF(IFERROR(VLOOKUP(D971,Controls!$A$25:$D$35,4,FALSE()),"No")="Yes",1,0)</f>
        <v/>
      </c>
      <c r="AK971" s="96">
        <f>IF(AND($E971&gt;=Controls!$B$5,$E971&lt;=Controls!$B$6,OR(Controls!$E$9&lt;&gt;"Y",$BE971=1)),1,0)</f>
        <v/>
      </c>
      <c r="AL971" s="39">
        <f>1</f>
        <v/>
      </c>
      <c r="AM971" s="20">
        <f>S971-P971</f>
        <v/>
      </c>
      <c r="AN971" s="20">
        <f>IF(AH971=1,MAX(0,P971-S971),0)</f>
        <v/>
      </c>
      <c r="AO971" s="21">
        <f>IFERROR(S971/P971,"")</f>
        <v/>
      </c>
      <c r="AP971" s="22">
        <f>IF(Y971="","",P971/Y971)</f>
        <v/>
      </c>
      <c r="AQ971" s="39">
        <f>IF(Y971="",0,1)</f>
        <v/>
      </c>
      <c r="AR971" s="39">
        <f>IF(S971&lt;=0,1,0)</f>
        <v/>
      </c>
      <c r="AS971" s="17">
        <f>IF(AH971=1,AG971,"")</f>
        <v/>
      </c>
      <c r="AT971" s="17">
        <f>IF(AND(AH971=0,AJ971=1),AG971,"")</f>
        <v/>
      </c>
      <c r="AU971" s="5">
        <f>IF(P971&lt;10000,"Under $10K",IF(P971&lt;20000,"$10-20K",IF(P971&lt;30000,"$20-30K",IF(P971&lt;50000,"$30-50K",IF(P971&lt;100000,"$50-100K","$100K+")))))</f>
        <v/>
      </c>
      <c r="AV971" s="5">
        <f>IF(O971&lt;=1.35,"1.35 and under",IF(O971&lt;=1.42,"1.36-1.42",IF(O971&lt;=1.45,"1.43-1.45",IF(O971&lt;1.49,"1.46-1.48",IF(O971&lt;=1.49,"1.49","Above 1.49")))))</f>
        <v/>
      </c>
      <c r="AW971" s="5">
        <f>IF(AE971="","",IF(AE971&lt;60,"Under 60",IF(AE971&lt;90,"60-89",IF(AE971&lt;120,"90-119",IF(AE971&lt;150,"120-149","150+")))))</f>
        <v/>
      </c>
      <c r="AX971" s="5">
        <f>IF(AP971="","No revenue data",IF(AP971&lt;0.15,"Under 0.15x",IF(AP971&lt;0.3,"0.15-0.30x",IF(AP971&lt;0.5,"0.30-0.50x",IF(AP971&lt;1,"0.50-1.00x","1.00x+")))))</f>
        <v/>
      </c>
      <c r="AY971" s="5">
        <f>IF(J971="","No SIC",IFERROR(VLOOKUP(J971,Ref!$A$4:$C$67,2,FALSE()),"Unclassified"))</f>
        <v/>
      </c>
      <c r="AZ971" s="5">
        <f>IF(E971="","",TEXT(E971,"YYYY")&amp;"-Q"&amp;ROUNDUP(MONTH(E971)/3,0))</f>
        <v/>
      </c>
      <c r="BA971" s="5">
        <f>IF(E971="","",TEXT(E971,"YYYY-MM"))</f>
        <v/>
      </c>
      <c r="BB971" s="5">
        <f>IF(E971="","",TEXT(E971,"YYYY"))</f>
        <v/>
      </c>
      <c r="BC971" s="92">
        <f>IF($E971="","",NETWORKDAYS($E971,Controls!$B$9,Ref!$F$4:$F$47))</f>
        <v/>
      </c>
      <c r="BD971" s="92">
        <f>IF(OR($AH971=1,$AJ971=1),1,0)</f>
        <v/>
      </c>
      <c r="BE971" s="95">
        <f>IF(OR($BD971=1,AND($AE971&lt;&gt;"",$BC971&gt;=Controls!$B$10*$AE971)),1,0)</f>
        <v/>
      </c>
    </row>
    <row r="972" ht="15.75" customHeight="1" s="79">
      <c r="A972" s="5" t="inlineStr">
        <is>
          <t>5674185768</t>
        </is>
      </c>
      <c r="B972" s="5" t="inlineStr">
        <is>
          <t>VENTURA PRODUCE</t>
        </is>
      </c>
      <c r="C972" s="5" t="inlineStr">
        <is>
          <t>Ventura Produce INC.</t>
        </is>
      </c>
      <c r="D972" s="5" t="inlineStr">
        <is>
          <t>Open</t>
        </is>
      </c>
      <c r="E972" s="16" t="n">
        <v>46191</v>
      </c>
      <c r="F972" s="16" t="n">
        <v>46253</v>
      </c>
      <c r="G972" s="17" t="n">
        <v>2</v>
      </c>
      <c r="H972" s="5" t="inlineStr">
        <is>
          <t>5148</t>
        </is>
      </c>
      <c r="I972" s="5" t="inlineStr">
        <is>
          <t>Fresh Fruit and Vegetable Merchant Wholesalers</t>
        </is>
      </c>
      <c r="J972" s="5" t="inlineStr">
        <is>
          <t>51</t>
        </is>
      </c>
      <c r="K972" s="5" t="n">
        <v>5999</v>
      </c>
      <c r="L972" s="5" t="inlineStr">
        <is>
          <t>CA</t>
        </is>
      </c>
      <c r="M972" s="5" t="inlineStr">
        <is>
          <t>Shore Funding USA</t>
        </is>
      </c>
      <c r="N972" s="5" t="inlineStr">
        <is>
          <t>New Deal</t>
        </is>
      </c>
      <c r="O972" s="19" t="n">
        <v>1.49</v>
      </c>
      <c r="P972" s="20" t="n">
        <v>30000</v>
      </c>
      <c r="Q972" s="20" t="n">
        <v>4200</v>
      </c>
      <c r="R972" s="20" t="n">
        <v>44700</v>
      </c>
      <c r="S972" s="20" t="n">
        <v>12820.02</v>
      </c>
      <c r="T972" s="20" t="n">
        <v>31879.98</v>
      </c>
      <c r="U972" s="21" t="n">
        <v>0.286801342281879</v>
      </c>
      <c r="V972" s="22" t="n">
        <v>4.918</v>
      </c>
      <c r="W972" s="17" t="n">
        <v>0</v>
      </c>
      <c r="X972" s="17" t="n">
        <v>0</v>
      </c>
      <c r="Y972" s="20" t="n">
        <v>135520.03</v>
      </c>
      <c r="Z972" s="21" t="n">
        <v>0.0462</v>
      </c>
      <c r="AA972" s="16" t="n">
        <v>40888</v>
      </c>
      <c r="AB972" s="5">
        <f>IF(V972="","",IF(V972&lt;12,"Months","Weeks"))</f>
        <v/>
      </c>
      <c r="AC972" s="5">
        <f>IF(AB972="","",IF(AB972="Months","Daily","Weekly"))</f>
        <v/>
      </c>
      <c r="AD972" s="17">
        <f>IF(V972="","",IF(AC972="Daily",V972*Controls!$B$13,V972))</f>
        <v/>
      </c>
      <c r="AE972" s="17">
        <f>IF(V972="","",IF(AC972="Daily",V972*Controls!$B$13,V972*Controls!$B$12))</f>
        <v/>
      </c>
      <c r="AF972" s="17">
        <f>IF(OR(E972="",F972=""),"",F972-E972)</f>
        <v/>
      </c>
      <c r="AG972" s="17">
        <f>IF(OR(E972="",F972=""),"",NETWORKDAYS(E972,F972,Ref!$F$4:$F$47))</f>
        <v/>
      </c>
      <c r="AH972" s="39">
        <f>IF(IFERROR(VLOOKUP(D972,Controls!$A$25:$D$35,2,FALSE()),"No")="Yes",1,0)</f>
        <v/>
      </c>
      <c r="AI972" s="39">
        <f>IF(IFERROR(VLOOKUP(D972,Controls!$A$25:$D$35,3,FALSE()),"No")="Yes",1,0)</f>
        <v/>
      </c>
      <c r="AJ972" s="39">
        <f>IF(IFERROR(VLOOKUP(D972,Controls!$A$25:$D$35,4,FALSE()),"No")="Yes",1,0)</f>
        <v/>
      </c>
      <c r="AK972" s="96">
        <f>IF(AND($E972&gt;=Controls!$B$5,$E972&lt;=Controls!$B$6,OR(Controls!$E$9&lt;&gt;"Y",$BE972=1)),1,0)</f>
        <v/>
      </c>
      <c r="AL972" s="39">
        <f>1</f>
        <v/>
      </c>
      <c r="AM972" s="20">
        <f>S972-P972</f>
        <v/>
      </c>
      <c r="AN972" s="20">
        <f>IF(AH972=1,MAX(0,P972-S972),0)</f>
        <v/>
      </c>
      <c r="AO972" s="21">
        <f>IFERROR(S972/P972,"")</f>
        <v/>
      </c>
      <c r="AP972" s="22">
        <f>IF(Y972="","",P972/Y972)</f>
        <v/>
      </c>
      <c r="AQ972" s="39">
        <f>IF(Y972="",0,1)</f>
        <v/>
      </c>
      <c r="AR972" s="39">
        <f>IF(S972&lt;=0,1,0)</f>
        <v/>
      </c>
      <c r="AS972" s="17">
        <f>IF(AH972=1,AG972,"")</f>
        <v/>
      </c>
      <c r="AT972" s="17">
        <f>IF(AND(AH972=0,AJ972=1),AG972,"")</f>
        <v/>
      </c>
      <c r="AU972" s="5">
        <f>IF(P972&lt;10000,"Under $10K",IF(P972&lt;20000,"$10-20K",IF(P972&lt;30000,"$20-30K",IF(P972&lt;50000,"$30-50K",IF(P972&lt;100000,"$50-100K","$100K+")))))</f>
        <v/>
      </c>
      <c r="AV972" s="5">
        <f>IF(O972&lt;=1.35,"1.35 and under",IF(O972&lt;=1.42,"1.36-1.42",IF(O972&lt;=1.45,"1.43-1.45",IF(O972&lt;1.49,"1.46-1.48",IF(O972&lt;=1.49,"1.49","Above 1.49")))))</f>
        <v/>
      </c>
      <c r="AW972" s="5">
        <f>IF(AE972="","",IF(AE972&lt;60,"Under 60",IF(AE972&lt;90,"60-89",IF(AE972&lt;120,"90-119",IF(AE972&lt;150,"120-149","150+")))))</f>
        <v/>
      </c>
      <c r="AX972" s="5">
        <f>IF(AP972="","No revenue data",IF(AP972&lt;0.15,"Under 0.15x",IF(AP972&lt;0.3,"0.15-0.30x",IF(AP972&lt;0.5,"0.30-0.50x",IF(AP972&lt;1,"0.50-1.00x","1.00x+")))))</f>
        <v/>
      </c>
      <c r="AY972" s="5">
        <f>IF(J972="","No SIC",IFERROR(VLOOKUP(J972,Ref!$A$4:$C$67,2,FALSE()),"Unclassified"))</f>
        <v/>
      </c>
      <c r="AZ972" s="5">
        <f>IF(E972="","",TEXT(E972,"YYYY")&amp;"-Q"&amp;ROUNDUP(MONTH(E972)/3,0))</f>
        <v/>
      </c>
      <c r="BA972" s="5">
        <f>IF(E972="","",TEXT(E972,"YYYY-MM"))</f>
        <v/>
      </c>
      <c r="BB972" s="5">
        <f>IF(E972="","",TEXT(E972,"YYYY"))</f>
        <v/>
      </c>
      <c r="BC972" s="92">
        <f>IF($E972="","",NETWORKDAYS($E972,Controls!$B$9,Ref!$F$4:$F$47))</f>
        <v/>
      </c>
      <c r="BD972" s="92">
        <f>IF(OR($AH972=1,$AJ972=1),1,0)</f>
        <v/>
      </c>
      <c r="BE972" s="95">
        <f>IF(OR($BD972=1,AND($AE972&lt;&gt;"",$BC972&gt;=Controls!$B$10*$AE972)),1,0)</f>
        <v/>
      </c>
    </row>
    <row r="973" ht="15.75" customHeight="1" s="79">
      <c r="A973" s="5" t="inlineStr">
        <is>
          <t>5674185771</t>
        </is>
      </c>
      <c r="B973" s="5" t="inlineStr">
        <is>
          <t>DIXON MECHANICAL LLC</t>
        </is>
      </c>
      <c r="C973" s="5" t="inlineStr">
        <is>
          <t>DIXON MECHANICAL LLC</t>
        </is>
      </c>
      <c r="D973" s="5" t="inlineStr">
        <is>
          <t>Open</t>
        </is>
      </c>
      <c r="E973" s="16" t="n">
        <v>46191</v>
      </c>
      <c r="F973" s="16" t="n">
        <v>46253</v>
      </c>
      <c r="G973" s="17" t="n">
        <v>2</v>
      </c>
      <c r="H973" s="5" t="inlineStr">
        <is>
          <t>7538</t>
        </is>
      </c>
      <c r="I973" s="5" t="inlineStr">
        <is>
          <t>General Automotive Repair</t>
        </is>
      </c>
      <c r="J973" s="5" t="inlineStr">
        <is>
          <t>75</t>
        </is>
      </c>
      <c r="K973" s="5" t="n">
        <v>7538</v>
      </c>
      <c r="L973" s="5" t="inlineStr">
        <is>
          <t>TN</t>
        </is>
      </c>
      <c r="M973" s="5" t="inlineStr">
        <is>
          <t>biz advance now</t>
        </is>
      </c>
      <c r="N973" s="5" t="inlineStr">
        <is>
          <t>New Deal</t>
        </is>
      </c>
      <c r="O973" s="19" t="n">
        <v>1.49</v>
      </c>
      <c r="P973" s="20" t="n">
        <v>25000</v>
      </c>
      <c r="Q973" s="20" t="n">
        <v>3500</v>
      </c>
      <c r="R973" s="20" t="n">
        <v>37250</v>
      </c>
      <c r="S973" s="20" t="n">
        <v>6826.6</v>
      </c>
      <c r="T973" s="20" t="n">
        <v>30423.4</v>
      </c>
      <c r="U973" s="21" t="n">
        <v>0.183264429530201</v>
      </c>
      <c r="V973" s="22" t="n">
        <v>3.934</v>
      </c>
      <c r="W973" s="17" t="n">
        <v>0</v>
      </c>
      <c r="X973" s="17" t="n">
        <v>21</v>
      </c>
      <c r="Y973" s="20" t="n">
        <v>104932.85</v>
      </c>
      <c r="Z973" s="21" t="n">
        <v>0.0621</v>
      </c>
      <c r="AA973" s="16" t="n">
        <v>42777</v>
      </c>
      <c r="AB973" s="5">
        <f>IF(V973="","",IF(V973&lt;12,"Months","Weeks"))</f>
        <v/>
      </c>
      <c r="AC973" s="5">
        <f>IF(AB973="","",IF(AB973="Months","Daily","Weekly"))</f>
        <v/>
      </c>
      <c r="AD973" s="17">
        <f>IF(V973="","",IF(AC973="Daily",V973*Controls!$B$13,V973))</f>
        <v/>
      </c>
      <c r="AE973" s="17">
        <f>IF(V973="","",IF(AC973="Daily",V973*Controls!$B$13,V973*Controls!$B$12))</f>
        <v/>
      </c>
      <c r="AF973" s="17">
        <f>IF(OR(E973="",F973=""),"",F973-E973)</f>
        <v/>
      </c>
      <c r="AG973" s="17">
        <f>IF(OR(E973="",F973=""),"",NETWORKDAYS(E973,F973,Ref!$F$4:$F$47))</f>
        <v/>
      </c>
      <c r="AH973" s="39">
        <f>IF(IFERROR(VLOOKUP(D973,Controls!$A$25:$D$35,2,FALSE()),"No")="Yes",1,0)</f>
        <v/>
      </c>
      <c r="AI973" s="39">
        <f>IF(IFERROR(VLOOKUP(D973,Controls!$A$25:$D$35,3,FALSE()),"No")="Yes",1,0)</f>
        <v/>
      </c>
      <c r="AJ973" s="39">
        <f>IF(IFERROR(VLOOKUP(D973,Controls!$A$25:$D$35,4,FALSE()),"No")="Yes",1,0)</f>
        <v/>
      </c>
      <c r="AK973" s="96">
        <f>IF(AND($E973&gt;=Controls!$B$5,$E973&lt;=Controls!$B$6,OR(Controls!$E$9&lt;&gt;"Y",$BE973=1)),1,0)</f>
        <v/>
      </c>
      <c r="AL973" s="39">
        <f>1</f>
        <v/>
      </c>
      <c r="AM973" s="20">
        <f>S973-P973</f>
        <v/>
      </c>
      <c r="AN973" s="20">
        <f>IF(AH973=1,MAX(0,P973-S973),0)</f>
        <v/>
      </c>
      <c r="AO973" s="21">
        <f>IFERROR(S973/P973,"")</f>
        <v/>
      </c>
      <c r="AP973" s="22">
        <f>IF(Y973="","",P973/Y973)</f>
        <v/>
      </c>
      <c r="AQ973" s="39">
        <f>IF(Y973="",0,1)</f>
        <v/>
      </c>
      <c r="AR973" s="39">
        <f>IF(S973&lt;=0,1,0)</f>
        <v/>
      </c>
      <c r="AS973" s="17">
        <f>IF(AH973=1,AG973,"")</f>
        <v/>
      </c>
      <c r="AT973" s="17">
        <f>IF(AND(AH973=0,AJ973=1),AG973,"")</f>
        <v/>
      </c>
      <c r="AU973" s="5">
        <f>IF(P973&lt;10000,"Under $10K",IF(P973&lt;20000,"$10-20K",IF(P973&lt;30000,"$20-30K",IF(P973&lt;50000,"$30-50K",IF(P973&lt;100000,"$50-100K","$100K+")))))</f>
        <v/>
      </c>
      <c r="AV973" s="5">
        <f>IF(O973&lt;=1.35,"1.35 and under",IF(O973&lt;=1.42,"1.36-1.42",IF(O973&lt;=1.45,"1.43-1.45",IF(O973&lt;1.49,"1.46-1.48",IF(O973&lt;=1.49,"1.49","Above 1.49")))))</f>
        <v/>
      </c>
      <c r="AW973" s="5">
        <f>IF(AE973="","",IF(AE973&lt;60,"Under 60",IF(AE973&lt;90,"60-89",IF(AE973&lt;120,"90-119",IF(AE973&lt;150,"120-149","150+")))))</f>
        <v/>
      </c>
      <c r="AX973" s="5">
        <f>IF(AP973="","No revenue data",IF(AP973&lt;0.15,"Under 0.15x",IF(AP973&lt;0.3,"0.15-0.30x",IF(AP973&lt;0.5,"0.30-0.50x",IF(AP973&lt;1,"0.50-1.00x","1.00x+")))))</f>
        <v/>
      </c>
      <c r="AY973" s="5">
        <f>IF(J973="","No SIC",IFERROR(VLOOKUP(J973,Ref!$A$4:$C$67,2,FALSE()),"Unclassified"))</f>
        <v/>
      </c>
      <c r="AZ973" s="5">
        <f>IF(E973="","",TEXT(E973,"YYYY")&amp;"-Q"&amp;ROUNDUP(MONTH(E973)/3,0))</f>
        <v/>
      </c>
      <c r="BA973" s="5">
        <f>IF(E973="","",TEXT(E973,"YYYY-MM"))</f>
        <v/>
      </c>
      <c r="BB973" s="5">
        <f>IF(E973="","",TEXT(E973,"YYYY"))</f>
        <v/>
      </c>
      <c r="BC973" s="92">
        <f>IF($E973="","",NETWORKDAYS($E973,Controls!$B$9,Ref!$F$4:$F$47))</f>
        <v/>
      </c>
      <c r="BD973" s="92">
        <f>IF(OR($AH973=1,$AJ973=1),1,0)</f>
        <v/>
      </c>
      <c r="BE973" s="95">
        <f>IF(OR($BD973=1,AND($AE973&lt;&gt;"",$BC973&gt;=Controls!$B$10*$AE973)),1,0)</f>
        <v/>
      </c>
    </row>
    <row r="974" ht="15.75" customHeight="1" s="79">
      <c r="A974" s="5" t="inlineStr">
        <is>
          <t>5674185785</t>
        </is>
      </c>
      <c r="B974" s="5" t="inlineStr">
        <is>
          <t>TAQUERIA EGRAN CHAPIN</t>
        </is>
      </c>
      <c r="C974" s="5" t="inlineStr">
        <is>
          <t>TAQUERIA EGRAN CHAPIN</t>
        </is>
      </c>
      <c r="D974" s="5" t="inlineStr">
        <is>
          <t>Open</t>
        </is>
      </c>
      <c r="E974" s="16" t="n">
        <v>46191</v>
      </c>
      <c r="F974" s="16" t="n">
        <v>46253</v>
      </c>
      <c r="G974" s="17" t="n">
        <v>3</v>
      </c>
      <c r="H974" s="5" t="inlineStr">
        <is>
          <t>5812</t>
        </is>
      </c>
      <c r="I974" s="5" t="inlineStr">
        <is>
          <t>Snack and Nonalcoholic Beverage Bars</t>
        </is>
      </c>
      <c r="J974" s="5" t="inlineStr">
        <is>
          <t>58</t>
        </is>
      </c>
      <c r="K974" s="5" t="n">
        <v>5812</v>
      </c>
      <c r="L974" s="5" t="inlineStr">
        <is>
          <t>VA</t>
        </is>
      </c>
      <c r="M974" s="5" t="inlineStr">
        <is>
          <t>Westwood</t>
        </is>
      </c>
      <c r="N974" s="5" t="inlineStr">
        <is>
          <t>New Deal</t>
        </is>
      </c>
      <c r="O974" s="19" t="n">
        <v>1.46</v>
      </c>
      <c r="P974" s="20" t="n">
        <v>5000</v>
      </c>
      <c r="Q974" s="20" t="n">
        <v>625</v>
      </c>
      <c r="R974" s="20" t="n">
        <v>7300</v>
      </c>
      <c r="S974" s="20" t="n">
        <v>3924.61</v>
      </c>
      <c r="T974" s="20" t="n">
        <v>3375.39</v>
      </c>
      <c r="U974" s="21" t="n">
        <v>0.537617808219178</v>
      </c>
      <c r="V974" s="22" t="n">
        <v>2.623</v>
      </c>
      <c r="W974" s="17" t="n">
        <v>0</v>
      </c>
      <c r="X974" s="17" t="n">
        <v>0</v>
      </c>
      <c r="Y974" s="20" t="n">
        <v>14962.29</v>
      </c>
      <c r="Z974" s="21" t="n">
        <v>0.1281</v>
      </c>
      <c r="AA974" s="16" t="n">
        <v>43212</v>
      </c>
      <c r="AB974" s="5">
        <f>IF(V974="","",IF(V974&lt;12,"Months","Weeks"))</f>
        <v/>
      </c>
      <c r="AC974" s="5">
        <f>IF(AB974="","",IF(AB974="Months","Daily","Weekly"))</f>
        <v/>
      </c>
      <c r="AD974" s="17">
        <f>IF(V974="","",IF(AC974="Daily",V974*Controls!$B$13,V974))</f>
        <v/>
      </c>
      <c r="AE974" s="17">
        <f>IF(V974="","",IF(AC974="Daily",V974*Controls!$B$13,V974*Controls!$B$12))</f>
        <v/>
      </c>
      <c r="AF974" s="17">
        <f>IF(OR(E974="",F974=""),"",F974-E974)</f>
        <v/>
      </c>
      <c r="AG974" s="17">
        <f>IF(OR(E974="",F974=""),"",NETWORKDAYS(E974,F974,Ref!$F$4:$F$47))</f>
        <v/>
      </c>
      <c r="AH974" s="39">
        <f>IF(IFERROR(VLOOKUP(D974,Controls!$A$25:$D$35,2,FALSE()),"No")="Yes",1,0)</f>
        <v/>
      </c>
      <c r="AI974" s="39">
        <f>IF(IFERROR(VLOOKUP(D974,Controls!$A$25:$D$35,3,FALSE()),"No")="Yes",1,0)</f>
        <v/>
      </c>
      <c r="AJ974" s="39">
        <f>IF(IFERROR(VLOOKUP(D974,Controls!$A$25:$D$35,4,FALSE()),"No")="Yes",1,0)</f>
        <v/>
      </c>
      <c r="AK974" s="96">
        <f>IF(AND($E974&gt;=Controls!$B$5,$E974&lt;=Controls!$B$6,OR(Controls!$E$9&lt;&gt;"Y",$BE974=1)),1,0)</f>
        <v/>
      </c>
      <c r="AL974" s="39">
        <f>1</f>
        <v/>
      </c>
      <c r="AM974" s="20">
        <f>S974-P974</f>
        <v/>
      </c>
      <c r="AN974" s="20">
        <f>IF(AH974=1,MAX(0,P974-S974),0)</f>
        <v/>
      </c>
      <c r="AO974" s="21">
        <f>IFERROR(S974/P974,"")</f>
        <v/>
      </c>
      <c r="AP974" s="22">
        <f>IF(Y974="","",P974/Y974)</f>
        <v/>
      </c>
      <c r="AQ974" s="39">
        <f>IF(Y974="",0,1)</f>
        <v/>
      </c>
      <c r="AR974" s="39">
        <f>IF(S974&lt;=0,1,0)</f>
        <v/>
      </c>
      <c r="AS974" s="17">
        <f>IF(AH974=1,AG974,"")</f>
        <v/>
      </c>
      <c r="AT974" s="17">
        <f>IF(AND(AH974=0,AJ974=1),AG974,"")</f>
        <v/>
      </c>
      <c r="AU974" s="5">
        <f>IF(P974&lt;10000,"Under $10K",IF(P974&lt;20000,"$10-20K",IF(P974&lt;30000,"$20-30K",IF(P974&lt;50000,"$30-50K",IF(P974&lt;100000,"$50-100K","$100K+")))))</f>
        <v/>
      </c>
      <c r="AV974" s="5">
        <f>IF(O974&lt;=1.35,"1.35 and under",IF(O974&lt;=1.42,"1.36-1.42",IF(O974&lt;=1.45,"1.43-1.45",IF(O974&lt;1.49,"1.46-1.48",IF(O974&lt;=1.49,"1.49","Above 1.49")))))</f>
        <v/>
      </c>
      <c r="AW974" s="5">
        <f>IF(AE974="","",IF(AE974&lt;60,"Under 60",IF(AE974&lt;90,"60-89",IF(AE974&lt;120,"90-119",IF(AE974&lt;150,"120-149","150+")))))</f>
        <v/>
      </c>
      <c r="AX974" s="5">
        <f>IF(AP974="","No revenue data",IF(AP974&lt;0.15,"Under 0.15x",IF(AP974&lt;0.3,"0.15-0.30x",IF(AP974&lt;0.5,"0.30-0.50x",IF(AP974&lt;1,"0.50-1.00x","1.00x+")))))</f>
        <v/>
      </c>
      <c r="AY974" s="5">
        <f>IF(J974="","No SIC",IFERROR(VLOOKUP(J974,Ref!$A$4:$C$67,2,FALSE()),"Unclassified"))</f>
        <v/>
      </c>
      <c r="AZ974" s="5">
        <f>IF(E974="","",TEXT(E974,"YYYY")&amp;"-Q"&amp;ROUNDUP(MONTH(E974)/3,0))</f>
        <v/>
      </c>
      <c r="BA974" s="5">
        <f>IF(E974="","",TEXT(E974,"YYYY-MM"))</f>
        <v/>
      </c>
      <c r="BB974" s="5">
        <f>IF(E974="","",TEXT(E974,"YYYY"))</f>
        <v/>
      </c>
      <c r="BC974" s="92">
        <f>IF($E974="","",NETWORKDAYS($E974,Controls!$B$9,Ref!$F$4:$F$47))</f>
        <v/>
      </c>
      <c r="BD974" s="92">
        <f>IF(OR($AH974=1,$AJ974=1),1,0)</f>
        <v/>
      </c>
      <c r="BE974" s="95">
        <f>IF(OR($BD974=1,AND($AE974&lt;&gt;"",$BC974&gt;=Controls!$B$10*$AE974)),1,0)</f>
        <v/>
      </c>
    </row>
    <row r="975" ht="15.75" customHeight="1" s="79">
      <c r="A975" s="5" t="inlineStr">
        <is>
          <t>5674185786</t>
        </is>
      </c>
      <c r="B975" s="5" t="inlineStr">
        <is>
          <t>GREAT LAKES URGENT CARE</t>
        </is>
      </c>
      <c r="C975" s="5" t="inlineStr">
        <is>
          <t>GREAT LAKES MEDICAL SERVICES LLC</t>
        </is>
      </c>
      <c r="D975" s="5" t="inlineStr">
        <is>
          <t>Open</t>
        </is>
      </c>
      <c r="E975" s="16" t="n">
        <v>46191</v>
      </c>
      <c r="F975" s="16" t="n">
        <v>46253</v>
      </c>
      <c r="G975" s="17" t="n">
        <v>3</v>
      </c>
      <c r="H975" s="5" t="inlineStr">
        <is>
          <t>8011</t>
        </is>
      </c>
      <c r="I975" s="5" t="inlineStr">
        <is>
          <t>Freestanding Ambulatory Surgical and Emergency Centers</t>
        </is>
      </c>
      <c r="J975" s="5" t="inlineStr">
        <is>
          <t>80</t>
        </is>
      </c>
      <c r="K975" s="5" t="n">
        <v>8011</v>
      </c>
      <c r="L975" s="5" t="inlineStr">
        <is>
          <t>OH</t>
        </is>
      </c>
      <c r="M975" s="5" t="inlineStr">
        <is>
          <t>Platform Funding</t>
        </is>
      </c>
      <c r="N975" s="5" t="inlineStr">
        <is>
          <t>New Deal</t>
        </is>
      </c>
      <c r="O975" s="19" t="n">
        <v>1.49</v>
      </c>
      <c r="P975" s="20" t="n">
        <v>5000</v>
      </c>
      <c r="Q975" s="20" t="n">
        <v>700</v>
      </c>
      <c r="R975" s="20" t="n">
        <v>7450</v>
      </c>
      <c r="S975" s="20" t="n">
        <v>4005.45</v>
      </c>
      <c r="T975" s="20" t="n">
        <v>3444.55</v>
      </c>
      <c r="U975" s="21" t="n">
        <v>0.537644295302013</v>
      </c>
      <c r="V975" s="22" t="n">
        <v>2.623</v>
      </c>
      <c r="W975" s="17" t="n">
        <v>0</v>
      </c>
      <c r="X975" s="17" t="n">
        <v>0</v>
      </c>
      <c r="Y975" s="20" t="n">
        <v>18436.73</v>
      </c>
      <c r="Z975" s="21" t="n">
        <v>0.1061</v>
      </c>
      <c r="AA975" s="16" t="n">
        <v>38718</v>
      </c>
      <c r="AB975" s="5">
        <f>IF(V975="","",IF(V975&lt;12,"Months","Weeks"))</f>
        <v/>
      </c>
      <c r="AC975" s="5">
        <f>IF(AB975="","",IF(AB975="Months","Daily","Weekly"))</f>
        <v/>
      </c>
      <c r="AD975" s="17">
        <f>IF(V975="","",IF(AC975="Daily",V975*Controls!$B$13,V975))</f>
        <v/>
      </c>
      <c r="AE975" s="17">
        <f>IF(V975="","",IF(AC975="Daily",V975*Controls!$B$13,V975*Controls!$B$12))</f>
        <v/>
      </c>
      <c r="AF975" s="17">
        <f>IF(OR(E975="",F975=""),"",F975-E975)</f>
        <v/>
      </c>
      <c r="AG975" s="17">
        <f>IF(OR(E975="",F975=""),"",NETWORKDAYS(E975,F975,Ref!$F$4:$F$47))</f>
        <v/>
      </c>
      <c r="AH975" s="39">
        <f>IF(IFERROR(VLOOKUP(D975,Controls!$A$25:$D$35,2,FALSE()),"No")="Yes",1,0)</f>
        <v/>
      </c>
      <c r="AI975" s="39">
        <f>IF(IFERROR(VLOOKUP(D975,Controls!$A$25:$D$35,3,FALSE()),"No")="Yes",1,0)</f>
        <v/>
      </c>
      <c r="AJ975" s="39">
        <f>IF(IFERROR(VLOOKUP(D975,Controls!$A$25:$D$35,4,FALSE()),"No")="Yes",1,0)</f>
        <v/>
      </c>
      <c r="AK975" s="96">
        <f>IF(AND($E975&gt;=Controls!$B$5,$E975&lt;=Controls!$B$6,OR(Controls!$E$9&lt;&gt;"Y",$BE975=1)),1,0)</f>
        <v/>
      </c>
      <c r="AL975" s="39">
        <f>1</f>
        <v/>
      </c>
      <c r="AM975" s="20">
        <f>S975-P975</f>
        <v/>
      </c>
      <c r="AN975" s="20">
        <f>IF(AH975=1,MAX(0,P975-S975),0)</f>
        <v/>
      </c>
      <c r="AO975" s="21">
        <f>IFERROR(S975/P975,"")</f>
        <v/>
      </c>
      <c r="AP975" s="22">
        <f>IF(Y975="","",P975/Y975)</f>
        <v/>
      </c>
      <c r="AQ975" s="39">
        <f>IF(Y975="",0,1)</f>
        <v/>
      </c>
      <c r="AR975" s="39">
        <f>IF(S975&lt;=0,1,0)</f>
        <v/>
      </c>
      <c r="AS975" s="17">
        <f>IF(AH975=1,AG975,"")</f>
        <v/>
      </c>
      <c r="AT975" s="17">
        <f>IF(AND(AH975=0,AJ975=1),AG975,"")</f>
        <v/>
      </c>
      <c r="AU975" s="5">
        <f>IF(P975&lt;10000,"Under $10K",IF(P975&lt;20000,"$10-20K",IF(P975&lt;30000,"$20-30K",IF(P975&lt;50000,"$30-50K",IF(P975&lt;100000,"$50-100K","$100K+")))))</f>
        <v/>
      </c>
      <c r="AV975" s="5">
        <f>IF(O975&lt;=1.35,"1.35 and under",IF(O975&lt;=1.42,"1.36-1.42",IF(O975&lt;=1.45,"1.43-1.45",IF(O975&lt;1.49,"1.46-1.48",IF(O975&lt;=1.49,"1.49","Above 1.49")))))</f>
        <v/>
      </c>
      <c r="AW975" s="5">
        <f>IF(AE975="","",IF(AE975&lt;60,"Under 60",IF(AE975&lt;90,"60-89",IF(AE975&lt;120,"90-119",IF(AE975&lt;150,"120-149","150+")))))</f>
        <v/>
      </c>
      <c r="AX975" s="5">
        <f>IF(AP975="","No revenue data",IF(AP975&lt;0.15,"Under 0.15x",IF(AP975&lt;0.3,"0.15-0.30x",IF(AP975&lt;0.5,"0.30-0.50x",IF(AP975&lt;1,"0.50-1.00x","1.00x+")))))</f>
        <v/>
      </c>
      <c r="AY975" s="5">
        <f>IF(J975="","No SIC",IFERROR(VLOOKUP(J975,Ref!$A$4:$C$67,2,FALSE()),"Unclassified"))</f>
        <v/>
      </c>
      <c r="AZ975" s="5">
        <f>IF(E975="","",TEXT(E975,"YYYY")&amp;"-Q"&amp;ROUNDUP(MONTH(E975)/3,0))</f>
        <v/>
      </c>
      <c r="BA975" s="5">
        <f>IF(E975="","",TEXT(E975,"YYYY-MM"))</f>
        <v/>
      </c>
      <c r="BB975" s="5">
        <f>IF(E975="","",TEXT(E975,"YYYY"))</f>
        <v/>
      </c>
      <c r="BC975" s="92">
        <f>IF($E975="","",NETWORKDAYS($E975,Controls!$B$9,Ref!$F$4:$F$47))</f>
        <v/>
      </c>
      <c r="BD975" s="92">
        <f>IF(OR($AH975=1,$AJ975=1),1,0)</f>
        <v/>
      </c>
      <c r="BE975" s="95">
        <f>IF(OR($BD975=1,AND($AE975&lt;&gt;"",$BC975&gt;=Controls!$B$10*$AE975)),1,0)</f>
        <v/>
      </c>
    </row>
    <row r="976" ht="15.75" customHeight="1" s="79">
      <c r="A976" s="5" t="inlineStr">
        <is>
          <t>5674185857</t>
        </is>
      </c>
      <c r="B976" s="5" t="inlineStr">
        <is>
          <t>Silver &amp; Riley</t>
        </is>
      </c>
      <c r="C976" s="5" t="inlineStr">
        <is>
          <t>Silver &amp; Riley</t>
        </is>
      </c>
      <c r="D976" s="5" t="inlineStr">
        <is>
          <t>Open</t>
        </is>
      </c>
      <c r="E976" s="16" t="n">
        <v>46195</v>
      </c>
      <c r="F976" s="16" t="n">
        <v>46248</v>
      </c>
      <c r="G976" s="17" t="n">
        <v>2</v>
      </c>
      <c r="H976" s="5" t="inlineStr">
        <is>
          <t>5399</t>
        </is>
      </c>
      <c r="I976" s="5" t="inlineStr">
        <is>
          <t>All Other General Merchandise Stores</t>
        </is>
      </c>
      <c r="J976" s="5" t="inlineStr">
        <is>
          <t>53</t>
        </is>
      </c>
      <c r="K976" s="5" t="n">
        <v>5399</v>
      </c>
      <c r="L976" s="5" t="inlineStr">
        <is>
          <t>NJ</t>
        </is>
      </c>
      <c r="M976" s="5" t="inlineStr">
        <is>
          <t>Vanguard Equities</t>
        </is>
      </c>
      <c r="N976" s="5" t="inlineStr">
        <is>
          <t>Renewal</t>
        </is>
      </c>
      <c r="O976" s="19" t="n">
        <v>1.4</v>
      </c>
      <c r="P976" s="20" t="n">
        <v>40000</v>
      </c>
      <c r="Q976" s="20" t="n">
        <v>3800</v>
      </c>
      <c r="R976" s="20" t="n">
        <v>56000</v>
      </c>
      <c r="S976" s="20" t="n">
        <v>14317.08</v>
      </c>
      <c r="T976" s="20" t="n">
        <v>41682.92</v>
      </c>
      <c r="U976" s="21" t="n">
        <v>0.255662142857143</v>
      </c>
      <c r="V976" s="22" t="n">
        <v>32</v>
      </c>
      <c r="W976" s="17" t="n">
        <v>5</v>
      </c>
      <c r="X976" s="17" t="n">
        <v>0</v>
      </c>
      <c r="Y976" s="20" t="n">
        <v>37557.06</v>
      </c>
      <c r="Z976" s="21" t="n">
        <v>0.1864</v>
      </c>
      <c r="AA976" s="16" t="n">
        <v>43617</v>
      </c>
      <c r="AB976" s="5">
        <f>IF(V976="","",IF(V976&lt;12,"Months","Weeks"))</f>
        <v/>
      </c>
      <c r="AC976" s="5">
        <f>IF(AB976="","",IF(AB976="Months","Daily","Weekly"))</f>
        <v/>
      </c>
      <c r="AD976" s="17">
        <f>IF(V976="","",IF(AC976="Daily",V976*Controls!$B$13,V976))</f>
        <v/>
      </c>
      <c r="AE976" s="17">
        <f>IF(V976="","",IF(AC976="Daily",V976*Controls!$B$13,V976*Controls!$B$12))</f>
        <v/>
      </c>
      <c r="AF976" s="17">
        <f>IF(OR(E976="",F976=""),"",F976-E976)</f>
        <v/>
      </c>
      <c r="AG976" s="17">
        <f>IF(OR(E976="",F976=""),"",NETWORKDAYS(E976,F976,Ref!$F$4:$F$47))</f>
        <v/>
      </c>
      <c r="AH976" s="39">
        <f>IF(IFERROR(VLOOKUP(D976,Controls!$A$25:$D$35,2,FALSE()),"No")="Yes",1,0)</f>
        <v/>
      </c>
      <c r="AI976" s="39">
        <f>IF(IFERROR(VLOOKUP(D976,Controls!$A$25:$D$35,3,FALSE()),"No")="Yes",1,0)</f>
        <v/>
      </c>
      <c r="AJ976" s="39">
        <f>IF(IFERROR(VLOOKUP(D976,Controls!$A$25:$D$35,4,FALSE()),"No")="Yes",1,0)</f>
        <v/>
      </c>
      <c r="AK976" s="96">
        <f>IF(AND($E976&gt;=Controls!$B$5,$E976&lt;=Controls!$B$6,OR(Controls!$E$9&lt;&gt;"Y",$BE976=1)),1,0)</f>
        <v/>
      </c>
      <c r="AL976" s="39">
        <f>1</f>
        <v/>
      </c>
      <c r="AM976" s="20">
        <f>S976-P976</f>
        <v/>
      </c>
      <c r="AN976" s="20">
        <f>IF(AH976=1,MAX(0,P976-S976),0)</f>
        <v/>
      </c>
      <c r="AO976" s="21">
        <f>IFERROR(S976/P976,"")</f>
        <v/>
      </c>
      <c r="AP976" s="22">
        <f>IF(Y976="","",P976/Y976)</f>
        <v/>
      </c>
      <c r="AQ976" s="39">
        <f>IF(Y976="",0,1)</f>
        <v/>
      </c>
      <c r="AR976" s="39">
        <f>IF(S976&lt;=0,1,0)</f>
        <v/>
      </c>
      <c r="AS976" s="17">
        <f>IF(AH976=1,AG976,"")</f>
        <v/>
      </c>
      <c r="AT976" s="17">
        <f>IF(AND(AH976=0,AJ976=1),AG976,"")</f>
        <v/>
      </c>
      <c r="AU976" s="5">
        <f>IF(P976&lt;10000,"Under $10K",IF(P976&lt;20000,"$10-20K",IF(P976&lt;30000,"$20-30K",IF(P976&lt;50000,"$30-50K",IF(P976&lt;100000,"$50-100K","$100K+")))))</f>
        <v/>
      </c>
      <c r="AV976" s="5">
        <f>IF(O976&lt;=1.35,"1.35 and under",IF(O976&lt;=1.42,"1.36-1.42",IF(O976&lt;=1.45,"1.43-1.45",IF(O976&lt;1.49,"1.46-1.48",IF(O976&lt;=1.49,"1.49","Above 1.49")))))</f>
        <v/>
      </c>
      <c r="AW976" s="5">
        <f>IF(AE976="","",IF(AE976&lt;60,"Under 60",IF(AE976&lt;90,"60-89",IF(AE976&lt;120,"90-119",IF(AE976&lt;150,"120-149","150+")))))</f>
        <v/>
      </c>
      <c r="AX976" s="5">
        <f>IF(AP976="","No revenue data",IF(AP976&lt;0.15,"Under 0.15x",IF(AP976&lt;0.3,"0.15-0.30x",IF(AP976&lt;0.5,"0.30-0.50x",IF(AP976&lt;1,"0.50-1.00x","1.00x+")))))</f>
        <v/>
      </c>
      <c r="AY976" s="5">
        <f>IF(J976="","No SIC",IFERROR(VLOOKUP(J976,Ref!$A$4:$C$67,2,FALSE()),"Unclassified"))</f>
        <v/>
      </c>
      <c r="AZ976" s="5">
        <f>IF(E976="","",TEXT(E976,"YYYY")&amp;"-Q"&amp;ROUNDUP(MONTH(E976)/3,0))</f>
        <v/>
      </c>
      <c r="BA976" s="5">
        <f>IF(E976="","",TEXT(E976,"YYYY-MM"))</f>
        <v/>
      </c>
      <c r="BB976" s="5">
        <f>IF(E976="","",TEXT(E976,"YYYY"))</f>
        <v/>
      </c>
      <c r="BC976" s="92">
        <f>IF($E976="","",NETWORKDAYS($E976,Controls!$B$9,Ref!$F$4:$F$47))</f>
        <v/>
      </c>
      <c r="BD976" s="92">
        <f>IF(OR($AH976=1,$AJ976=1),1,0)</f>
        <v/>
      </c>
      <c r="BE976" s="95">
        <f>IF(OR($BD976=1,AND($AE976&lt;&gt;"",$BC976&gt;=Controls!$B$10*$AE976)),1,0)</f>
        <v/>
      </c>
    </row>
    <row r="977" ht="15.75" customHeight="1" s="79">
      <c r="A977" s="5" t="inlineStr">
        <is>
          <t>5674185859</t>
        </is>
      </c>
      <c r="B977" s="5" t="inlineStr">
        <is>
          <t>Controlled Outcomes</t>
        </is>
      </c>
      <c r="C977" s="5" t="inlineStr">
        <is>
          <t>CONTROLLED OUTCOMES LLC</t>
        </is>
      </c>
      <c r="D977" s="5" t="inlineStr">
        <is>
          <t>In House Collection</t>
        </is>
      </c>
      <c r="E977" s="16" t="n">
        <v>46195</v>
      </c>
      <c r="F977" s="16" t="n">
        <v>46237</v>
      </c>
      <c r="G977" s="17" t="n">
        <v>3</v>
      </c>
      <c r="H977" s="5" t="inlineStr">
        <is>
          <t>5999</t>
        </is>
      </c>
      <c r="I977" s="5" t="inlineStr">
        <is>
          <t>All Other Health and Personal Care Stores</t>
        </is>
      </c>
      <c r="J977" s="5" t="inlineStr">
        <is>
          <t>59</t>
        </is>
      </c>
      <c r="K977" s="5" t="n">
        <v>5999</v>
      </c>
      <c r="L977" s="5" t="inlineStr">
        <is>
          <t>FL</t>
        </is>
      </c>
      <c r="M977" s="5" t="inlineStr">
        <is>
          <t>PMF</t>
        </is>
      </c>
      <c r="N977" s="5" t="inlineStr">
        <is>
          <t>New Deal</t>
        </is>
      </c>
      <c r="O977" s="19" t="n">
        <v>1.49</v>
      </c>
      <c r="P977" s="20" t="n">
        <v>15000</v>
      </c>
      <c r="Q977" s="20" t="n">
        <v>0</v>
      </c>
      <c r="R977" s="20" t="n">
        <v>22350</v>
      </c>
      <c r="S977" s="20" t="n">
        <v>2873.16</v>
      </c>
      <c r="T977" s="20" t="n">
        <v>19476.84</v>
      </c>
      <c r="U977" s="21" t="n">
        <v>0.128553020134228</v>
      </c>
      <c r="V977" s="22" t="n">
        <v>2.295</v>
      </c>
      <c r="W977" s="17" t="n">
        <v>48</v>
      </c>
      <c r="X977" s="17" t="n">
        <v>21</v>
      </c>
      <c r="Y977" s="20" t="n">
        <v>48000</v>
      </c>
      <c r="Z977" s="21" t="n">
        <v>0.1922</v>
      </c>
      <c r="AA977" s="16" t="n">
        <v>44124</v>
      </c>
      <c r="AB977" s="5">
        <f>IF(V977="","",IF(V977&lt;12,"Months","Weeks"))</f>
        <v/>
      </c>
      <c r="AC977" s="5">
        <f>IF(AB977="","",IF(AB977="Months","Daily","Weekly"))</f>
        <v/>
      </c>
      <c r="AD977" s="17">
        <f>IF(V977="","",IF(AC977="Daily",V977*Controls!$B$13,V977))</f>
        <v/>
      </c>
      <c r="AE977" s="17">
        <f>IF(V977="","",IF(AC977="Daily",V977*Controls!$B$13,V977*Controls!$B$12))</f>
        <v/>
      </c>
      <c r="AF977" s="17">
        <f>IF(OR(E977="",F977=""),"",F977-E977)</f>
        <v/>
      </c>
      <c r="AG977" s="17">
        <f>IF(OR(E977="",F977=""),"",NETWORKDAYS(E977,F977,Ref!$F$4:$F$47))</f>
        <v/>
      </c>
      <c r="AH977" s="39">
        <f>IF(IFERROR(VLOOKUP(D977,Controls!$A$25:$D$35,2,FALSE()),"No")="Yes",1,0)</f>
        <v/>
      </c>
      <c r="AI977" s="39">
        <f>IF(IFERROR(VLOOKUP(D977,Controls!$A$25:$D$35,3,FALSE()),"No")="Yes",1,0)</f>
        <v/>
      </c>
      <c r="AJ977" s="39">
        <f>IF(IFERROR(VLOOKUP(D977,Controls!$A$25:$D$35,4,FALSE()),"No")="Yes",1,0)</f>
        <v/>
      </c>
      <c r="AK977" s="96">
        <f>IF(AND($E977&gt;=Controls!$B$5,$E977&lt;=Controls!$B$6,OR(Controls!$E$9&lt;&gt;"Y",$BE977=1)),1,0)</f>
        <v/>
      </c>
      <c r="AL977" s="39">
        <f>1</f>
        <v/>
      </c>
      <c r="AM977" s="20">
        <f>S977-P977</f>
        <v/>
      </c>
      <c r="AN977" s="20">
        <f>IF(AH977=1,MAX(0,P977-S977),0)</f>
        <v/>
      </c>
      <c r="AO977" s="21">
        <f>IFERROR(S977/P977,"")</f>
        <v/>
      </c>
      <c r="AP977" s="22">
        <f>IF(Y977="","",P977/Y977)</f>
        <v/>
      </c>
      <c r="AQ977" s="39">
        <f>IF(Y977="",0,1)</f>
        <v/>
      </c>
      <c r="AR977" s="39">
        <f>IF(S977&lt;=0,1,0)</f>
        <v/>
      </c>
      <c r="AS977" s="17">
        <f>IF(AH977=1,AG977,"")</f>
        <v/>
      </c>
      <c r="AT977" s="17">
        <f>IF(AND(AH977=0,AJ977=1),AG977,"")</f>
        <v/>
      </c>
      <c r="AU977" s="5">
        <f>IF(P977&lt;10000,"Under $10K",IF(P977&lt;20000,"$10-20K",IF(P977&lt;30000,"$20-30K",IF(P977&lt;50000,"$30-50K",IF(P977&lt;100000,"$50-100K","$100K+")))))</f>
        <v/>
      </c>
      <c r="AV977" s="5">
        <f>IF(O977&lt;=1.35,"1.35 and under",IF(O977&lt;=1.42,"1.36-1.42",IF(O977&lt;=1.45,"1.43-1.45",IF(O977&lt;1.49,"1.46-1.48",IF(O977&lt;=1.49,"1.49","Above 1.49")))))</f>
        <v/>
      </c>
      <c r="AW977" s="5">
        <f>IF(AE977="","",IF(AE977&lt;60,"Under 60",IF(AE977&lt;90,"60-89",IF(AE977&lt;120,"90-119",IF(AE977&lt;150,"120-149","150+")))))</f>
        <v/>
      </c>
      <c r="AX977" s="5">
        <f>IF(AP977="","No revenue data",IF(AP977&lt;0.15,"Under 0.15x",IF(AP977&lt;0.3,"0.15-0.30x",IF(AP977&lt;0.5,"0.30-0.50x",IF(AP977&lt;1,"0.50-1.00x","1.00x+")))))</f>
        <v/>
      </c>
      <c r="AY977" s="5">
        <f>IF(J977="","No SIC",IFERROR(VLOOKUP(J977,Ref!$A$4:$C$67,2,FALSE()),"Unclassified"))</f>
        <v/>
      </c>
      <c r="AZ977" s="5">
        <f>IF(E977="","",TEXT(E977,"YYYY")&amp;"-Q"&amp;ROUNDUP(MONTH(E977)/3,0))</f>
        <v/>
      </c>
      <c r="BA977" s="5">
        <f>IF(E977="","",TEXT(E977,"YYYY-MM"))</f>
        <v/>
      </c>
      <c r="BB977" s="5">
        <f>IF(E977="","",TEXT(E977,"YYYY"))</f>
        <v/>
      </c>
      <c r="BC977" s="92">
        <f>IF($E977="","",NETWORKDAYS($E977,Controls!$B$9,Ref!$F$4:$F$47))</f>
        <v/>
      </c>
      <c r="BD977" s="92">
        <f>IF(OR($AH977=1,$AJ977=1),1,0)</f>
        <v/>
      </c>
      <c r="BE977" s="95">
        <f>IF(OR($BD977=1,AND($AE977&lt;&gt;"",$BC977&gt;=Controls!$B$10*$AE977)),1,0)</f>
        <v/>
      </c>
    </row>
    <row r="978" ht="15.75" customHeight="1" s="79">
      <c r="A978" s="5" t="inlineStr">
        <is>
          <t>5674185876</t>
        </is>
      </c>
      <c r="B978" s="5" t="inlineStr">
        <is>
          <t>Miramar Mermaids Synchro Team</t>
        </is>
      </c>
      <c r="C978" s="5" t="inlineStr">
        <is>
          <t>MIRAMAR MERMAIDS SYNCHRO TEAM LLC</t>
        </is>
      </c>
      <c r="D978" s="5" t="inlineStr">
        <is>
          <t>In House Collection</t>
        </is>
      </c>
      <c r="E978" s="16" t="n">
        <v>46195</v>
      </c>
      <c r="F978" s="16" t="n">
        <v>46220</v>
      </c>
      <c r="G978" s="17" t="n">
        <v>3</v>
      </c>
      <c r="H978" s="5" t="inlineStr">
        <is>
          <t>5999</t>
        </is>
      </c>
      <c r="I978" s="5" t="inlineStr">
        <is>
          <t>All Other Misc. Store Retailers (Except Tobacco Stores)</t>
        </is>
      </c>
      <c r="J978" s="5" t="inlineStr">
        <is>
          <t>59</t>
        </is>
      </c>
      <c r="K978" s="5" t="n">
        <v>5999</v>
      </c>
      <c r="L978" s="5" t="inlineStr">
        <is>
          <t>FL</t>
        </is>
      </c>
      <c r="M978" s="5" t="inlineStr">
        <is>
          <t>Secure Capital Solutions 7</t>
        </is>
      </c>
      <c r="N978" s="5" t="inlineStr">
        <is>
          <t>New Deal</t>
        </is>
      </c>
      <c r="O978" s="19" t="n">
        <v>1.49</v>
      </c>
      <c r="P978" s="20" t="n">
        <v>4000</v>
      </c>
      <c r="Q978" s="20" t="n">
        <v>0</v>
      </c>
      <c r="R978" s="20" t="n">
        <v>5960</v>
      </c>
      <c r="S978" s="20" t="n">
        <v>813.21</v>
      </c>
      <c r="T978" s="20" t="n">
        <v>5146.79</v>
      </c>
      <c r="U978" s="21" t="n">
        <v>0.136444630872483</v>
      </c>
      <c r="V978" s="22" t="n">
        <v>22</v>
      </c>
      <c r="W978" s="17" t="n">
        <v>40</v>
      </c>
      <c r="X978" s="17" t="n">
        <v>1</v>
      </c>
      <c r="Y978" s="20" t="n">
        <v>13954.68</v>
      </c>
      <c r="Z978" s="21" t="n">
        <v>0.07770000000000001</v>
      </c>
      <c r="AA978" s="16" t="n">
        <v>41446</v>
      </c>
      <c r="AB978" s="5">
        <f>IF(V978="","",IF(V978&lt;12,"Months","Weeks"))</f>
        <v/>
      </c>
      <c r="AC978" s="5">
        <f>IF(AB978="","",IF(AB978="Months","Daily","Weekly"))</f>
        <v/>
      </c>
      <c r="AD978" s="17">
        <f>IF(V978="","",IF(AC978="Daily",V978*Controls!$B$13,V978))</f>
        <v/>
      </c>
      <c r="AE978" s="17">
        <f>IF(V978="","",IF(AC978="Daily",V978*Controls!$B$13,V978*Controls!$B$12))</f>
        <v/>
      </c>
      <c r="AF978" s="17">
        <f>IF(OR(E978="",F978=""),"",F978-E978)</f>
        <v/>
      </c>
      <c r="AG978" s="17">
        <f>IF(OR(E978="",F978=""),"",NETWORKDAYS(E978,F978,Ref!$F$4:$F$47))</f>
        <v/>
      </c>
      <c r="AH978" s="39">
        <f>IF(IFERROR(VLOOKUP(D978,Controls!$A$25:$D$35,2,FALSE()),"No")="Yes",1,0)</f>
        <v/>
      </c>
      <c r="AI978" s="39">
        <f>IF(IFERROR(VLOOKUP(D978,Controls!$A$25:$D$35,3,FALSE()),"No")="Yes",1,0)</f>
        <v/>
      </c>
      <c r="AJ978" s="39">
        <f>IF(IFERROR(VLOOKUP(D978,Controls!$A$25:$D$35,4,FALSE()),"No")="Yes",1,0)</f>
        <v/>
      </c>
      <c r="AK978" s="96">
        <f>IF(AND($E978&gt;=Controls!$B$5,$E978&lt;=Controls!$B$6,OR(Controls!$E$9&lt;&gt;"Y",$BE978=1)),1,0)</f>
        <v/>
      </c>
      <c r="AL978" s="39">
        <f>1</f>
        <v/>
      </c>
      <c r="AM978" s="20">
        <f>S978-P978</f>
        <v/>
      </c>
      <c r="AN978" s="20">
        <f>IF(AH978=1,MAX(0,P978-S978),0)</f>
        <v/>
      </c>
      <c r="AO978" s="21">
        <f>IFERROR(S978/P978,"")</f>
        <v/>
      </c>
      <c r="AP978" s="22">
        <f>IF(Y978="","",P978/Y978)</f>
        <v/>
      </c>
      <c r="AQ978" s="39">
        <f>IF(Y978="",0,1)</f>
        <v/>
      </c>
      <c r="AR978" s="39">
        <f>IF(S978&lt;=0,1,0)</f>
        <v/>
      </c>
      <c r="AS978" s="17">
        <f>IF(AH978=1,AG978,"")</f>
        <v/>
      </c>
      <c r="AT978" s="17">
        <f>IF(AND(AH978=0,AJ978=1),AG978,"")</f>
        <v/>
      </c>
      <c r="AU978" s="5">
        <f>IF(P978&lt;10000,"Under $10K",IF(P978&lt;20000,"$10-20K",IF(P978&lt;30000,"$20-30K",IF(P978&lt;50000,"$30-50K",IF(P978&lt;100000,"$50-100K","$100K+")))))</f>
        <v/>
      </c>
      <c r="AV978" s="5">
        <f>IF(O978&lt;=1.35,"1.35 and under",IF(O978&lt;=1.42,"1.36-1.42",IF(O978&lt;=1.45,"1.43-1.45",IF(O978&lt;1.49,"1.46-1.48",IF(O978&lt;=1.49,"1.49","Above 1.49")))))</f>
        <v/>
      </c>
      <c r="AW978" s="5">
        <f>IF(AE978="","",IF(AE978&lt;60,"Under 60",IF(AE978&lt;90,"60-89",IF(AE978&lt;120,"90-119",IF(AE978&lt;150,"120-149","150+")))))</f>
        <v/>
      </c>
      <c r="AX978" s="5">
        <f>IF(AP978="","No revenue data",IF(AP978&lt;0.15,"Under 0.15x",IF(AP978&lt;0.3,"0.15-0.30x",IF(AP978&lt;0.5,"0.30-0.50x",IF(AP978&lt;1,"0.50-1.00x","1.00x+")))))</f>
        <v/>
      </c>
      <c r="AY978" s="5">
        <f>IF(J978="","No SIC",IFERROR(VLOOKUP(J978,Ref!$A$4:$C$67,2,FALSE()),"Unclassified"))</f>
        <v/>
      </c>
      <c r="AZ978" s="5">
        <f>IF(E978="","",TEXT(E978,"YYYY")&amp;"-Q"&amp;ROUNDUP(MONTH(E978)/3,0))</f>
        <v/>
      </c>
      <c r="BA978" s="5">
        <f>IF(E978="","",TEXT(E978,"YYYY-MM"))</f>
        <v/>
      </c>
      <c r="BB978" s="5">
        <f>IF(E978="","",TEXT(E978,"YYYY"))</f>
        <v/>
      </c>
      <c r="BC978" s="92">
        <f>IF($E978="","",NETWORKDAYS($E978,Controls!$B$9,Ref!$F$4:$F$47))</f>
        <v/>
      </c>
      <c r="BD978" s="92">
        <f>IF(OR($AH978=1,$AJ978=1),1,0)</f>
        <v/>
      </c>
      <c r="BE978" s="95">
        <f>IF(OR($BD978=1,AND($AE978&lt;&gt;"",$BC978&gt;=Controls!$B$10*$AE978)),1,0)</f>
        <v/>
      </c>
    </row>
    <row r="979" ht="15.75" customHeight="1" s="79">
      <c r="A979" s="5" t="inlineStr">
        <is>
          <t>5674185894</t>
        </is>
      </c>
      <c r="B979" s="5" t="inlineStr">
        <is>
          <t>RML DBA FETTES MOVING &amp; STORAGE DBA ROBERT LEHR SOLE MBR</t>
        </is>
      </c>
      <c r="C979" s="5" t="inlineStr">
        <is>
          <t>RML LLC</t>
        </is>
      </c>
      <c r="D979" s="5" t="inlineStr">
        <is>
          <t>Open</t>
        </is>
      </c>
      <c r="E979" s="16" t="n">
        <v>46195</v>
      </c>
      <c r="F979" s="16" t="n">
        <v>46247</v>
      </c>
      <c r="G979" s="17" t="n">
        <v>3</v>
      </c>
      <c r="H979" s="5" t="inlineStr">
        <is>
          <t>4226</t>
        </is>
      </c>
      <c r="I979" s="5" t="inlineStr">
        <is>
          <t>Other Warehousing and Storage</t>
        </is>
      </c>
      <c r="J979" s="5" t="inlineStr">
        <is>
          <t>42</t>
        </is>
      </c>
      <c r="K979" s="5" t="n">
        <v>4225</v>
      </c>
      <c r="L979" s="5" t="inlineStr">
        <is>
          <t>NC</t>
        </is>
      </c>
      <c r="M979" s="5" t="inlineStr">
        <is>
          <t>Capfront Funding</t>
        </is>
      </c>
      <c r="N979" s="5" t="inlineStr">
        <is>
          <t>New Deal</t>
        </is>
      </c>
      <c r="O979" s="19" t="n">
        <v>1.49</v>
      </c>
      <c r="P979" s="20" t="n">
        <v>60000</v>
      </c>
      <c r="Q979" s="20" t="n">
        <v>8400</v>
      </c>
      <c r="R979" s="20" t="n">
        <v>89400</v>
      </c>
      <c r="S979" s="20" t="n">
        <v>26064.57</v>
      </c>
      <c r="T979" s="20" t="n">
        <v>63335.43</v>
      </c>
      <c r="U979" s="21" t="n">
        <v>0.29155</v>
      </c>
      <c r="V979" s="22" t="n">
        <v>24</v>
      </c>
      <c r="W979" s="17" t="n">
        <v>6</v>
      </c>
      <c r="X979" s="17" t="n">
        <v>0</v>
      </c>
      <c r="Y979" s="20" t="n">
        <v>898992.04</v>
      </c>
      <c r="Z979" s="21" t="n">
        <v>0.0573</v>
      </c>
      <c r="AA979" s="16" t="n">
        <v>42050</v>
      </c>
      <c r="AB979" s="5">
        <f>IF(V979="","",IF(V979&lt;12,"Months","Weeks"))</f>
        <v/>
      </c>
      <c r="AC979" s="5">
        <f>IF(AB979="","",IF(AB979="Months","Daily","Weekly"))</f>
        <v/>
      </c>
      <c r="AD979" s="17">
        <f>IF(V979="","",IF(AC979="Daily",V979*Controls!$B$13,V979))</f>
        <v/>
      </c>
      <c r="AE979" s="17">
        <f>IF(V979="","",IF(AC979="Daily",V979*Controls!$B$13,V979*Controls!$B$12))</f>
        <v/>
      </c>
      <c r="AF979" s="17">
        <f>IF(OR(E979="",F979=""),"",F979-E979)</f>
        <v/>
      </c>
      <c r="AG979" s="17">
        <f>IF(OR(E979="",F979=""),"",NETWORKDAYS(E979,F979,Ref!$F$4:$F$47))</f>
        <v/>
      </c>
      <c r="AH979" s="39">
        <f>IF(IFERROR(VLOOKUP(D979,Controls!$A$25:$D$35,2,FALSE()),"No")="Yes",1,0)</f>
        <v/>
      </c>
      <c r="AI979" s="39">
        <f>IF(IFERROR(VLOOKUP(D979,Controls!$A$25:$D$35,3,FALSE()),"No")="Yes",1,0)</f>
        <v/>
      </c>
      <c r="AJ979" s="39">
        <f>IF(IFERROR(VLOOKUP(D979,Controls!$A$25:$D$35,4,FALSE()),"No")="Yes",1,0)</f>
        <v/>
      </c>
      <c r="AK979" s="96">
        <f>IF(AND($E979&gt;=Controls!$B$5,$E979&lt;=Controls!$B$6,OR(Controls!$E$9&lt;&gt;"Y",$BE979=1)),1,0)</f>
        <v/>
      </c>
      <c r="AL979" s="39">
        <f>1</f>
        <v/>
      </c>
      <c r="AM979" s="20">
        <f>S979-P979</f>
        <v/>
      </c>
      <c r="AN979" s="20">
        <f>IF(AH979=1,MAX(0,P979-S979),0)</f>
        <v/>
      </c>
      <c r="AO979" s="21">
        <f>IFERROR(S979/P979,"")</f>
        <v/>
      </c>
      <c r="AP979" s="22">
        <f>IF(Y979="","",P979/Y979)</f>
        <v/>
      </c>
      <c r="AQ979" s="39">
        <f>IF(Y979="",0,1)</f>
        <v/>
      </c>
      <c r="AR979" s="39">
        <f>IF(S979&lt;=0,1,0)</f>
        <v/>
      </c>
      <c r="AS979" s="17">
        <f>IF(AH979=1,AG979,"")</f>
        <v/>
      </c>
      <c r="AT979" s="17">
        <f>IF(AND(AH979=0,AJ979=1),AG979,"")</f>
        <v/>
      </c>
      <c r="AU979" s="5">
        <f>IF(P979&lt;10000,"Under $10K",IF(P979&lt;20000,"$10-20K",IF(P979&lt;30000,"$20-30K",IF(P979&lt;50000,"$30-50K",IF(P979&lt;100000,"$50-100K","$100K+")))))</f>
        <v/>
      </c>
      <c r="AV979" s="5">
        <f>IF(O979&lt;=1.35,"1.35 and under",IF(O979&lt;=1.42,"1.36-1.42",IF(O979&lt;=1.45,"1.43-1.45",IF(O979&lt;1.49,"1.46-1.48",IF(O979&lt;=1.49,"1.49","Above 1.49")))))</f>
        <v/>
      </c>
      <c r="AW979" s="5">
        <f>IF(AE979="","",IF(AE979&lt;60,"Under 60",IF(AE979&lt;90,"60-89",IF(AE979&lt;120,"90-119",IF(AE979&lt;150,"120-149","150+")))))</f>
        <v/>
      </c>
      <c r="AX979" s="5">
        <f>IF(AP979="","No revenue data",IF(AP979&lt;0.15,"Under 0.15x",IF(AP979&lt;0.3,"0.15-0.30x",IF(AP979&lt;0.5,"0.30-0.50x",IF(AP979&lt;1,"0.50-1.00x","1.00x+")))))</f>
        <v/>
      </c>
      <c r="AY979" s="5">
        <f>IF(J979="","No SIC",IFERROR(VLOOKUP(J979,Ref!$A$4:$C$67,2,FALSE()),"Unclassified"))</f>
        <v/>
      </c>
      <c r="AZ979" s="5">
        <f>IF(E979="","",TEXT(E979,"YYYY")&amp;"-Q"&amp;ROUNDUP(MONTH(E979)/3,0))</f>
        <v/>
      </c>
      <c r="BA979" s="5">
        <f>IF(E979="","",TEXT(E979,"YYYY-MM"))</f>
        <v/>
      </c>
      <c r="BB979" s="5">
        <f>IF(E979="","",TEXT(E979,"YYYY"))</f>
        <v/>
      </c>
      <c r="BC979" s="92">
        <f>IF($E979="","",NETWORKDAYS($E979,Controls!$B$9,Ref!$F$4:$F$47))</f>
        <v/>
      </c>
      <c r="BD979" s="92">
        <f>IF(OR($AH979=1,$AJ979=1),1,0)</f>
        <v/>
      </c>
      <c r="BE979" s="95">
        <f>IF(OR($BD979=1,AND($AE979&lt;&gt;"",$BC979&gt;=Controls!$B$10*$AE979)),1,0)</f>
        <v/>
      </c>
    </row>
    <row r="980" ht="15.75" customHeight="1" s="79">
      <c r="A980" s="5" t="inlineStr">
        <is>
          <t>5674185913</t>
        </is>
      </c>
      <c r="B980" s="5" t="inlineStr">
        <is>
          <t>HD SADLER ELECTRICAL REPAIR SERVICE LLC</t>
        </is>
      </c>
      <c r="C980" s="5" t="inlineStr">
        <is>
          <t>HD SADLER ELECTRICAL REPAIR SERVICE LLC</t>
        </is>
      </c>
      <c r="D980" s="5" t="inlineStr">
        <is>
          <t>Open</t>
        </is>
      </c>
      <c r="E980" s="16" t="n">
        <v>46195</v>
      </c>
      <c r="F980" s="16" t="n">
        <v>46241</v>
      </c>
      <c r="G980" s="17" t="n">
        <v>3</v>
      </c>
      <c r="H980" s="5" t="inlineStr">
        <is>
          <t>1731</t>
        </is>
      </c>
      <c r="I980" s="5" t="inlineStr">
        <is>
          <t>Electrical Contractors and Other Wiring Installation Contractors</t>
        </is>
      </c>
      <c r="J980" s="5" t="inlineStr">
        <is>
          <t>17</t>
        </is>
      </c>
      <c r="K980" s="5" t="n">
        <v>1731</v>
      </c>
      <c r="L980" s="5" t="inlineStr">
        <is>
          <t>GA</t>
        </is>
      </c>
      <c r="M980" s="5" t="inlineStr">
        <is>
          <t>TRUSTFI</t>
        </is>
      </c>
      <c r="N980" s="5" t="inlineStr">
        <is>
          <t>New Deal</t>
        </is>
      </c>
      <c r="O980" s="19" t="n">
        <v>1.4</v>
      </c>
      <c r="P980" s="20" t="n">
        <v>7500</v>
      </c>
      <c r="Q980" s="20" t="n">
        <v>712.5</v>
      </c>
      <c r="R980" s="20" t="n">
        <v>10500</v>
      </c>
      <c r="S980" s="20" t="n">
        <v>2862.9</v>
      </c>
      <c r="T980" s="20" t="n">
        <v>7637.1</v>
      </c>
      <c r="U980" s="21" t="n">
        <v>0.272657142857143</v>
      </c>
      <c r="V980" s="22" t="n">
        <v>22</v>
      </c>
      <c r="W980" s="17" t="n">
        <v>19</v>
      </c>
      <c r="X980" s="17" t="n">
        <v>1</v>
      </c>
      <c r="Y980" s="20" t="n">
        <v>27781.44</v>
      </c>
      <c r="Z980" s="21" t="n">
        <v>0.0687</v>
      </c>
      <c r="AA980" s="16" t="n">
        <v>45961</v>
      </c>
      <c r="AB980" s="5">
        <f>IF(V980="","",IF(V980&lt;12,"Months","Weeks"))</f>
        <v/>
      </c>
      <c r="AC980" s="5">
        <f>IF(AB980="","",IF(AB980="Months","Daily","Weekly"))</f>
        <v/>
      </c>
      <c r="AD980" s="17">
        <f>IF(V980="","",IF(AC980="Daily",V980*Controls!$B$13,V980))</f>
        <v/>
      </c>
      <c r="AE980" s="17">
        <f>IF(V980="","",IF(AC980="Daily",V980*Controls!$B$13,V980*Controls!$B$12))</f>
        <v/>
      </c>
      <c r="AF980" s="17">
        <f>IF(OR(E980="",F980=""),"",F980-E980)</f>
        <v/>
      </c>
      <c r="AG980" s="17">
        <f>IF(OR(E980="",F980=""),"",NETWORKDAYS(E980,F980,Ref!$F$4:$F$47))</f>
        <v/>
      </c>
      <c r="AH980" s="39">
        <f>IF(IFERROR(VLOOKUP(D980,Controls!$A$25:$D$35,2,FALSE()),"No")="Yes",1,0)</f>
        <v/>
      </c>
      <c r="AI980" s="39">
        <f>IF(IFERROR(VLOOKUP(D980,Controls!$A$25:$D$35,3,FALSE()),"No")="Yes",1,0)</f>
        <v/>
      </c>
      <c r="AJ980" s="39">
        <f>IF(IFERROR(VLOOKUP(D980,Controls!$A$25:$D$35,4,FALSE()),"No")="Yes",1,0)</f>
        <v/>
      </c>
      <c r="AK980" s="96">
        <f>IF(AND($E980&gt;=Controls!$B$5,$E980&lt;=Controls!$B$6,OR(Controls!$E$9&lt;&gt;"Y",$BE980=1)),1,0)</f>
        <v/>
      </c>
      <c r="AL980" s="39">
        <f>1</f>
        <v/>
      </c>
      <c r="AM980" s="20">
        <f>S980-P980</f>
        <v/>
      </c>
      <c r="AN980" s="20">
        <f>IF(AH980=1,MAX(0,P980-S980),0)</f>
        <v/>
      </c>
      <c r="AO980" s="21">
        <f>IFERROR(S980/P980,"")</f>
        <v/>
      </c>
      <c r="AP980" s="22">
        <f>IF(Y980="","",P980/Y980)</f>
        <v/>
      </c>
      <c r="AQ980" s="39">
        <f>IF(Y980="",0,1)</f>
        <v/>
      </c>
      <c r="AR980" s="39">
        <f>IF(S980&lt;=0,1,0)</f>
        <v/>
      </c>
      <c r="AS980" s="17">
        <f>IF(AH980=1,AG980,"")</f>
        <v/>
      </c>
      <c r="AT980" s="17">
        <f>IF(AND(AH980=0,AJ980=1),AG980,"")</f>
        <v/>
      </c>
      <c r="AU980" s="5">
        <f>IF(P980&lt;10000,"Under $10K",IF(P980&lt;20000,"$10-20K",IF(P980&lt;30000,"$20-30K",IF(P980&lt;50000,"$30-50K",IF(P980&lt;100000,"$50-100K","$100K+")))))</f>
        <v/>
      </c>
      <c r="AV980" s="5">
        <f>IF(O980&lt;=1.35,"1.35 and under",IF(O980&lt;=1.42,"1.36-1.42",IF(O980&lt;=1.45,"1.43-1.45",IF(O980&lt;1.49,"1.46-1.48",IF(O980&lt;=1.49,"1.49","Above 1.49")))))</f>
        <v/>
      </c>
      <c r="AW980" s="5">
        <f>IF(AE980="","",IF(AE980&lt;60,"Under 60",IF(AE980&lt;90,"60-89",IF(AE980&lt;120,"90-119",IF(AE980&lt;150,"120-149","150+")))))</f>
        <v/>
      </c>
      <c r="AX980" s="5">
        <f>IF(AP980="","No revenue data",IF(AP980&lt;0.15,"Under 0.15x",IF(AP980&lt;0.3,"0.15-0.30x",IF(AP980&lt;0.5,"0.30-0.50x",IF(AP980&lt;1,"0.50-1.00x","1.00x+")))))</f>
        <v/>
      </c>
      <c r="AY980" s="5">
        <f>IF(J980="","No SIC",IFERROR(VLOOKUP(J980,Ref!$A$4:$C$67,2,FALSE()),"Unclassified"))</f>
        <v/>
      </c>
      <c r="AZ980" s="5">
        <f>IF(E980="","",TEXT(E980,"YYYY")&amp;"-Q"&amp;ROUNDUP(MONTH(E980)/3,0))</f>
        <v/>
      </c>
      <c r="BA980" s="5">
        <f>IF(E980="","",TEXT(E980,"YYYY-MM"))</f>
        <v/>
      </c>
      <c r="BB980" s="5">
        <f>IF(E980="","",TEXT(E980,"YYYY"))</f>
        <v/>
      </c>
      <c r="BC980" s="92">
        <f>IF($E980="","",NETWORKDAYS($E980,Controls!$B$9,Ref!$F$4:$F$47))</f>
        <v/>
      </c>
      <c r="BD980" s="92">
        <f>IF(OR($AH980=1,$AJ980=1),1,0)</f>
        <v/>
      </c>
      <c r="BE980" s="95">
        <f>IF(OR($BD980=1,AND($AE980&lt;&gt;"",$BC980&gt;=Controls!$B$10*$AE980)),1,0)</f>
        <v/>
      </c>
    </row>
    <row r="981" ht="15.75" customHeight="1" s="79">
      <c r="A981" s="5" t="inlineStr">
        <is>
          <t>5674185941</t>
        </is>
      </c>
      <c r="B981" s="5" t="inlineStr">
        <is>
          <t>MJD EXCAVATING</t>
        </is>
      </c>
      <c r="C981" s="5" t="inlineStr">
        <is>
          <t>MJD EXCAVATING INC</t>
        </is>
      </c>
      <c r="D981" s="5" t="inlineStr">
        <is>
          <t>Open</t>
        </is>
      </c>
      <c r="E981" s="16" t="n">
        <v>46196</v>
      </c>
      <c r="F981" s="16" t="n">
        <v>46253</v>
      </c>
      <c r="G981" s="17" t="n">
        <v>3</v>
      </c>
      <c r="H981" s="5" t="inlineStr">
        <is>
          <t>1629</t>
        </is>
      </c>
      <c r="I981" s="5" t="inlineStr">
        <is>
          <t>Site Preparation Contractors</t>
        </is>
      </c>
      <c r="J981" s="5" t="inlineStr">
        <is>
          <t>16</t>
        </is>
      </c>
      <c r="K981" s="5" t="n">
        <v>1799</v>
      </c>
      <c r="L981" s="5" t="inlineStr">
        <is>
          <t>MA</t>
        </is>
      </c>
      <c r="M981" s="5" t="inlineStr">
        <is>
          <t>Premium Capital (AMRK)</t>
        </is>
      </c>
      <c r="N981" s="5" t="inlineStr">
        <is>
          <t>Renewal</t>
        </is>
      </c>
      <c r="O981" s="19" t="n">
        <v>1.49</v>
      </c>
      <c r="P981" s="20" t="n">
        <v>325000</v>
      </c>
      <c r="Q981" s="20" t="n">
        <v>45500</v>
      </c>
      <c r="R981" s="20" t="n">
        <v>484250</v>
      </c>
      <c r="S981" s="20" t="n">
        <v>88809.09</v>
      </c>
      <c r="T981" s="20" t="n">
        <v>395440.91</v>
      </c>
      <c r="U981" s="21" t="n">
        <v>0.183395126484254</v>
      </c>
      <c r="V981" s="22" t="n">
        <v>36</v>
      </c>
      <c r="W981" s="17" t="n">
        <v>0</v>
      </c>
      <c r="X981" s="17" t="n">
        <v>2</v>
      </c>
      <c r="Y981" s="20" t="n">
        <v>836006.55</v>
      </c>
      <c r="Z981" s="21" t="n">
        <v>0.0762</v>
      </c>
      <c r="AA981" s="16" t="n">
        <v>40909</v>
      </c>
      <c r="AB981" s="5">
        <f>IF(V981="","",IF(V981&lt;12,"Months","Weeks"))</f>
        <v/>
      </c>
      <c r="AC981" s="5">
        <f>IF(AB981="","",IF(AB981="Months","Daily","Weekly"))</f>
        <v/>
      </c>
      <c r="AD981" s="17">
        <f>IF(V981="","",IF(AC981="Daily",V981*Controls!$B$13,V981))</f>
        <v/>
      </c>
      <c r="AE981" s="17">
        <f>IF(V981="","",IF(AC981="Daily",V981*Controls!$B$13,V981*Controls!$B$12))</f>
        <v/>
      </c>
      <c r="AF981" s="17">
        <f>IF(OR(E981="",F981=""),"",F981-E981)</f>
        <v/>
      </c>
      <c r="AG981" s="17">
        <f>IF(OR(E981="",F981=""),"",NETWORKDAYS(E981,F981,Ref!$F$4:$F$47))</f>
        <v/>
      </c>
      <c r="AH981" s="39">
        <f>IF(IFERROR(VLOOKUP(D981,Controls!$A$25:$D$35,2,FALSE()),"No")="Yes",1,0)</f>
        <v/>
      </c>
      <c r="AI981" s="39">
        <f>IF(IFERROR(VLOOKUP(D981,Controls!$A$25:$D$35,3,FALSE()),"No")="Yes",1,0)</f>
        <v/>
      </c>
      <c r="AJ981" s="39">
        <f>IF(IFERROR(VLOOKUP(D981,Controls!$A$25:$D$35,4,FALSE()),"No")="Yes",1,0)</f>
        <v/>
      </c>
      <c r="AK981" s="96">
        <f>IF(AND($E981&gt;=Controls!$B$5,$E981&lt;=Controls!$B$6,OR(Controls!$E$9&lt;&gt;"Y",$BE981=1)),1,0)</f>
        <v/>
      </c>
      <c r="AL981" s="39">
        <f>1</f>
        <v/>
      </c>
      <c r="AM981" s="20">
        <f>S981-P981</f>
        <v/>
      </c>
      <c r="AN981" s="20">
        <f>IF(AH981=1,MAX(0,P981-S981),0)</f>
        <v/>
      </c>
      <c r="AO981" s="21">
        <f>IFERROR(S981/P981,"")</f>
        <v/>
      </c>
      <c r="AP981" s="22">
        <f>IF(Y981="","",P981/Y981)</f>
        <v/>
      </c>
      <c r="AQ981" s="39">
        <f>IF(Y981="",0,1)</f>
        <v/>
      </c>
      <c r="AR981" s="39">
        <f>IF(S981&lt;=0,1,0)</f>
        <v/>
      </c>
      <c r="AS981" s="17">
        <f>IF(AH981=1,AG981,"")</f>
        <v/>
      </c>
      <c r="AT981" s="17">
        <f>IF(AND(AH981=0,AJ981=1),AG981,"")</f>
        <v/>
      </c>
      <c r="AU981" s="5">
        <f>IF(P981&lt;10000,"Under $10K",IF(P981&lt;20000,"$10-20K",IF(P981&lt;30000,"$20-30K",IF(P981&lt;50000,"$30-50K",IF(P981&lt;100000,"$50-100K","$100K+")))))</f>
        <v/>
      </c>
      <c r="AV981" s="5">
        <f>IF(O981&lt;=1.35,"1.35 and under",IF(O981&lt;=1.42,"1.36-1.42",IF(O981&lt;=1.45,"1.43-1.45",IF(O981&lt;1.49,"1.46-1.48",IF(O981&lt;=1.49,"1.49","Above 1.49")))))</f>
        <v/>
      </c>
      <c r="AW981" s="5">
        <f>IF(AE981="","",IF(AE981&lt;60,"Under 60",IF(AE981&lt;90,"60-89",IF(AE981&lt;120,"90-119",IF(AE981&lt;150,"120-149","150+")))))</f>
        <v/>
      </c>
      <c r="AX981" s="5">
        <f>IF(AP981="","No revenue data",IF(AP981&lt;0.15,"Under 0.15x",IF(AP981&lt;0.3,"0.15-0.30x",IF(AP981&lt;0.5,"0.30-0.50x",IF(AP981&lt;1,"0.50-1.00x","1.00x+")))))</f>
        <v/>
      </c>
      <c r="AY981" s="5">
        <f>IF(J981="","No SIC",IFERROR(VLOOKUP(J981,Ref!$A$4:$C$67,2,FALSE()),"Unclassified"))</f>
        <v/>
      </c>
      <c r="AZ981" s="5">
        <f>IF(E981="","",TEXT(E981,"YYYY")&amp;"-Q"&amp;ROUNDUP(MONTH(E981)/3,0))</f>
        <v/>
      </c>
      <c r="BA981" s="5">
        <f>IF(E981="","",TEXT(E981,"YYYY-MM"))</f>
        <v/>
      </c>
      <c r="BB981" s="5">
        <f>IF(E981="","",TEXT(E981,"YYYY"))</f>
        <v/>
      </c>
      <c r="BC981" s="92">
        <f>IF($E981="","",NETWORKDAYS($E981,Controls!$B$9,Ref!$F$4:$F$47))</f>
        <v/>
      </c>
      <c r="BD981" s="92">
        <f>IF(OR($AH981=1,$AJ981=1),1,0)</f>
        <v/>
      </c>
      <c r="BE981" s="95">
        <f>IF(OR($BD981=1,AND($AE981&lt;&gt;"",$BC981&gt;=Controls!$B$10*$AE981)),1,0)</f>
        <v/>
      </c>
    </row>
    <row r="982" ht="15.75" customHeight="1" s="79">
      <c r="A982" s="5" t="inlineStr">
        <is>
          <t>5674185972</t>
        </is>
      </c>
      <c r="B982" s="5" t="inlineStr">
        <is>
          <t>Eyecare Express</t>
        </is>
      </c>
      <c r="C982" s="5" t="inlineStr">
        <is>
          <t>THIRTEENTH  STREET OPTICAL CO INC</t>
        </is>
      </c>
      <c r="D982" s="5" t="inlineStr">
        <is>
          <t>Open</t>
        </is>
      </c>
      <c r="E982" s="16" t="n">
        <v>46196</v>
      </c>
      <c r="F982" s="16" t="n">
        <v>46248</v>
      </c>
      <c r="G982" s="17" t="n">
        <v>3</v>
      </c>
      <c r="H982" s="5" t="inlineStr">
        <is>
          <t>8042</t>
        </is>
      </c>
      <c r="I982" s="5" t="inlineStr">
        <is>
          <t>Offices of Optometrists</t>
        </is>
      </c>
      <c r="J982" s="5" t="inlineStr">
        <is>
          <t>80</t>
        </is>
      </c>
      <c r="K982" s="5" t="n">
        <v>8042</v>
      </c>
      <c r="L982" s="5" t="inlineStr">
        <is>
          <t>FL</t>
        </is>
      </c>
      <c r="M982" s="5" t="inlineStr">
        <is>
          <t>Credibly</t>
        </is>
      </c>
      <c r="N982" s="5" t="inlineStr">
        <is>
          <t>New Deal</t>
        </is>
      </c>
      <c r="O982" s="19" t="n">
        <v>1.49</v>
      </c>
      <c r="P982" s="20" t="n">
        <v>30000</v>
      </c>
      <c r="Q982" s="20" t="n">
        <v>4200</v>
      </c>
      <c r="R982" s="20" t="n">
        <v>44700</v>
      </c>
      <c r="S982" s="20" t="n">
        <v>9930</v>
      </c>
      <c r="T982" s="20" t="n">
        <v>34770</v>
      </c>
      <c r="U982" s="21" t="n">
        <v>0.222147651006711</v>
      </c>
      <c r="V982" s="22" t="n">
        <v>36</v>
      </c>
      <c r="W982" s="17" t="n">
        <v>5</v>
      </c>
      <c r="X982" s="17" t="n">
        <v>0</v>
      </c>
      <c r="Y982" s="20" t="n">
        <v>42000</v>
      </c>
      <c r="Z982" s="21" t="n">
        <v>0.0993</v>
      </c>
      <c r="AA982" s="16" t="n">
        <v>35085</v>
      </c>
      <c r="AB982" s="5">
        <f>IF(V982="","",IF(V982&lt;12,"Months","Weeks"))</f>
        <v/>
      </c>
      <c r="AC982" s="5">
        <f>IF(AB982="","",IF(AB982="Months","Daily","Weekly"))</f>
        <v/>
      </c>
      <c r="AD982" s="17">
        <f>IF(V982="","",IF(AC982="Daily",V982*Controls!$B$13,V982))</f>
        <v/>
      </c>
      <c r="AE982" s="17">
        <f>IF(V982="","",IF(AC982="Daily",V982*Controls!$B$13,V982*Controls!$B$12))</f>
        <v/>
      </c>
      <c r="AF982" s="17">
        <f>IF(OR(E982="",F982=""),"",F982-E982)</f>
        <v/>
      </c>
      <c r="AG982" s="17">
        <f>IF(OR(E982="",F982=""),"",NETWORKDAYS(E982,F982,Ref!$F$4:$F$47))</f>
        <v/>
      </c>
      <c r="AH982" s="39">
        <f>IF(IFERROR(VLOOKUP(D982,Controls!$A$25:$D$35,2,FALSE()),"No")="Yes",1,0)</f>
        <v/>
      </c>
      <c r="AI982" s="39">
        <f>IF(IFERROR(VLOOKUP(D982,Controls!$A$25:$D$35,3,FALSE()),"No")="Yes",1,0)</f>
        <v/>
      </c>
      <c r="AJ982" s="39">
        <f>IF(IFERROR(VLOOKUP(D982,Controls!$A$25:$D$35,4,FALSE()),"No")="Yes",1,0)</f>
        <v/>
      </c>
      <c r="AK982" s="96">
        <f>IF(AND($E982&gt;=Controls!$B$5,$E982&lt;=Controls!$B$6,OR(Controls!$E$9&lt;&gt;"Y",$BE982=1)),1,0)</f>
        <v/>
      </c>
      <c r="AL982" s="39">
        <f>1</f>
        <v/>
      </c>
      <c r="AM982" s="20">
        <f>S982-P982</f>
        <v/>
      </c>
      <c r="AN982" s="20">
        <f>IF(AH982=1,MAX(0,P982-S982),0)</f>
        <v/>
      </c>
      <c r="AO982" s="21">
        <f>IFERROR(S982/P982,"")</f>
        <v/>
      </c>
      <c r="AP982" s="22">
        <f>IF(Y982="","",P982/Y982)</f>
        <v/>
      </c>
      <c r="AQ982" s="39">
        <f>IF(Y982="",0,1)</f>
        <v/>
      </c>
      <c r="AR982" s="39">
        <f>IF(S982&lt;=0,1,0)</f>
        <v/>
      </c>
      <c r="AS982" s="17">
        <f>IF(AH982=1,AG982,"")</f>
        <v/>
      </c>
      <c r="AT982" s="17">
        <f>IF(AND(AH982=0,AJ982=1),AG982,"")</f>
        <v/>
      </c>
      <c r="AU982" s="5">
        <f>IF(P982&lt;10000,"Under $10K",IF(P982&lt;20000,"$10-20K",IF(P982&lt;30000,"$20-30K",IF(P982&lt;50000,"$30-50K",IF(P982&lt;100000,"$50-100K","$100K+")))))</f>
        <v/>
      </c>
      <c r="AV982" s="5">
        <f>IF(O982&lt;=1.35,"1.35 and under",IF(O982&lt;=1.42,"1.36-1.42",IF(O982&lt;=1.45,"1.43-1.45",IF(O982&lt;1.49,"1.46-1.48",IF(O982&lt;=1.49,"1.49","Above 1.49")))))</f>
        <v/>
      </c>
      <c r="AW982" s="5">
        <f>IF(AE982="","",IF(AE982&lt;60,"Under 60",IF(AE982&lt;90,"60-89",IF(AE982&lt;120,"90-119",IF(AE982&lt;150,"120-149","150+")))))</f>
        <v/>
      </c>
      <c r="AX982" s="5">
        <f>IF(AP982="","No revenue data",IF(AP982&lt;0.15,"Under 0.15x",IF(AP982&lt;0.3,"0.15-0.30x",IF(AP982&lt;0.5,"0.30-0.50x",IF(AP982&lt;1,"0.50-1.00x","1.00x+")))))</f>
        <v/>
      </c>
      <c r="AY982" s="5">
        <f>IF(J982="","No SIC",IFERROR(VLOOKUP(J982,Ref!$A$4:$C$67,2,FALSE()),"Unclassified"))</f>
        <v/>
      </c>
      <c r="AZ982" s="5">
        <f>IF(E982="","",TEXT(E982,"YYYY")&amp;"-Q"&amp;ROUNDUP(MONTH(E982)/3,0))</f>
        <v/>
      </c>
      <c r="BA982" s="5">
        <f>IF(E982="","",TEXT(E982,"YYYY-MM"))</f>
        <v/>
      </c>
      <c r="BB982" s="5">
        <f>IF(E982="","",TEXT(E982,"YYYY"))</f>
        <v/>
      </c>
      <c r="BC982" s="92">
        <f>IF($E982="","",NETWORKDAYS($E982,Controls!$B$9,Ref!$F$4:$F$47))</f>
        <v/>
      </c>
      <c r="BD982" s="92">
        <f>IF(OR($AH982=1,$AJ982=1),1,0)</f>
        <v/>
      </c>
      <c r="BE982" s="95">
        <f>IF(OR($BD982=1,AND($AE982&lt;&gt;"",$BC982&gt;=Controls!$B$10*$AE982)),1,0)</f>
        <v/>
      </c>
    </row>
    <row r="983" ht="15.75" customHeight="1" s="79">
      <c r="A983" s="5" t="inlineStr">
        <is>
          <t>5674185992</t>
        </is>
      </c>
      <c r="B983" s="5" t="inlineStr">
        <is>
          <t>ELEVATE IT</t>
        </is>
      </c>
      <c r="C983" s="5" t="inlineStr">
        <is>
          <t>ELEVATE EVENTS LLC</t>
        </is>
      </c>
      <c r="D983" s="5" t="inlineStr">
        <is>
          <t>Open</t>
        </is>
      </c>
      <c r="E983" s="16" t="n">
        <v>46196</v>
      </c>
      <c r="F983" s="16" t="n">
        <v>46251</v>
      </c>
      <c r="G983" s="17" t="n">
        <v>1</v>
      </c>
      <c r="H983" s="5" t="inlineStr">
        <is>
          <t>7371</t>
        </is>
      </c>
      <c r="I983" s="5" t="inlineStr">
        <is>
          <t>Custom Computer Programming Services</t>
        </is>
      </c>
      <c r="J983" s="5" t="inlineStr">
        <is>
          <t>73</t>
        </is>
      </c>
      <c r="K983" s="5" t="n">
        <v>7372</v>
      </c>
      <c r="L983" s="5" t="inlineStr">
        <is>
          <t>OR</t>
        </is>
      </c>
      <c r="M983" s="5" t="inlineStr">
        <is>
          <t>United Secured Capital 8</t>
        </is>
      </c>
      <c r="N983" s="5" t="inlineStr">
        <is>
          <t>New Deal</t>
        </is>
      </c>
      <c r="O983" s="19" t="n">
        <v>1.32</v>
      </c>
      <c r="P983" s="20" t="n">
        <v>100000</v>
      </c>
      <c r="Q983" s="20" t="n">
        <v>4000</v>
      </c>
      <c r="R983" s="20" t="n">
        <v>132000</v>
      </c>
      <c r="S983" s="20" t="n">
        <v>33003.12</v>
      </c>
      <c r="T983" s="20" t="n">
        <v>98996.88</v>
      </c>
      <c r="U983" s="21" t="n">
        <v>0.250023636363636</v>
      </c>
      <c r="V983" s="22" t="n">
        <v>32</v>
      </c>
      <c r="W983" s="17" t="n">
        <v>2</v>
      </c>
      <c r="X983" s="17" t="n">
        <v>0</v>
      </c>
      <c r="Y983" s="20" t="n">
        <v>164142.69</v>
      </c>
      <c r="Z983" s="21" t="n">
        <v>0.1114</v>
      </c>
      <c r="AA983" s="16" t="n">
        <v>44419</v>
      </c>
      <c r="AB983" s="5">
        <f>IF(V983="","",IF(V983&lt;12,"Months","Weeks"))</f>
        <v/>
      </c>
      <c r="AC983" s="5">
        <f>IF(AB983="","",IF(AB983="Months","Daily","Weekly"))</f>
        <v/>
      </c>
      <c r="AD983" s="17">
        <f>IF(V983="","",IF(AC983="Daily",V983*Controls!$B$13,V983))</f>
        <v/>
      </c>
      <c r="AE983" s="17">
        <f>IF(V983="","",IF(AC983="Daily",V983*Controls!$B$13,V983*Controls!$B$12))</f>
        <v/>
      </c>
      <c r="AF983" s="17">
        <f>IF(OR(E983="",F983=""),"",F983-E983)</f>
        <v/>
      </c>
      <c r="AG983" s="17">
        <f>IF(OR(E983="",F983=""),"",NETWORKDAYS(E983,F983,Ref!$F$4:$F$47))</f>
        <v/>
      </c>
      <c r="AH983" s="39">
        <f>IF(IFERROR(VLOOKUP(D983,Controls!$A$25:$D$35,2,FALSE()),"No")="Yes",1,0)</f>
        <v/>
      </c>
      <c r="AI983" s="39">
        <f>IF(IFERROR(VLOOKUP(D983,Controls!$A$25:$D$35,3,FALSE()),"No")="Yes",1,0)</f>
        <v/>
      </c>
      <c r="AJ983" s="39">
        <f>IF(IFERROR(VLOOKUP(D983,Controls!$A$25:$D$35,4,FALSE()),"No")="Yes",1,0)</f>
        <v/>
      </c>
      <c r="AK983" s="96">
        <f>IF(AND($E983&gt;=Controls!$B$5,$E983&lt;=Controls!$B$6,OR(Controls!$E$9&lt;&gt;"Y",$BE983=1)),1,0)</f>
        <v/>
      </c>
      <c r="AL983" s="39">
        <f>1</f>
        <v/>
      </c>
      <c r="AM983" s="20">
        <f>S983-P983</f>
        <v/>
      </c>
      <c r="AN983" s="20">
        <f>IF(AH983=1,MAX(0,P983-S983),0)</f>
        <v/>
      </c>
      <c r="AO983" s="21">
        <f>IFERROR(S983/P983,"")</f>
        <v/>
      </c>
      <c r="AP983" s="22">
        <f>IF(Y983="","",P983/Y983)</f>
        <v/>
      </c>
      <c r="AQ983" s="39">
        <f>IF(Y983="",0,1)</f>
        <v/>
      </c>
      <c r="AR983" s="39">
        <f>IF(S983&lt;=0,1,0)</f>
        <v/>
      </c>
      <c r="AS983" s="17">
        <f>IF(AH983=1,AG983,"")</f>
        <v/>
      </c>
      <c r="AT983" s="17">
        <f>IF(AND(AH983=0,AJ983=1),AG983,"")</f>
        <v/>
      </c>
      <c r="AU983" s="5">
        <f>IF(P983&lt;10000,"Under $10K",IF(P983&lt;20000,"$10-20K",IF(P983&lt;30000,"$20-30K",IF(P983&lt;50000,"$30-50K",IF(P983&lt;100000,"$50-100K","$100K+")))))</f>
        <v/>
      </c>
      <c r="AV983" s="5">
        <f>IF(O983&lt;=1.35,"1.35 and under",IF(O983&lt;=1.42,"1.36-1.42",IF(O983&lt;=1.45,"1.43-1.45",IF(O983&lt;1.49,"1.46-1.48",IF(O983&lt;=1.49,"1.49","Above 1.49")))))</f>
        <v/>
      </c>
      <c r="AW983" s="5">
        <f>IF(AE983="","",IF(AE983&lt;60,"Under 60",IF(AE983&lt;90,"60-89",IF(AE983&lt;120,"90-119",IF(AE983&lt;150,"120-149","150+")))))</f>
        <v/>
      </c>
      <c r="AX983" s="5">
        <f>IF(AP983="","No revenue data",IF(AP983&lt;0.15,"Under 0.15x",IF(AP983&lt;0.3,"0.15-0.30x",IF(AP983&lt;0.5,"0.30-0.50x",IF(AP983&lt;1,"0.50-1.00x","1.00x+")))))</f>
        <v/>
      </c>
      <c r="AY983" s="5">
        <f>IF(J983="","No SIC",IFERROR(VLOOKUP(J983,Ref!$A$4:$C$67,2,FALSE()),"Unclassified"))</f>
        <v/>
      </c>
      <c r="AZ983" s="5">
        <f>IF(E983="","",TEXT(E983,"YYYY")&amp;"-Q"&amp;ROUNDUP(MONTH(E983)/3,0))</f>
        <v/>
      </c>
      <c r="BA983" s="5">
        <f>IF(E983="","",TEXT(E983,"YYYY-MM"))</f>
        <v/>
      </c>
      <c r="BB983" s="5">
        <f>IF(E983="","",TEXT(E983,"YYYY"))</f>
        <v/>
      </c>
      <c r="BC983" s="92">
        <f>IF($E983="","",NETWORKDAYS($E983,Controls!$B$9,Ref!$F$4:$F$47))</f>
        <v/>
      </c>
      <c r="BD983" s="92">
        <f>IF(OR($AH983=1,$AJ983=1),1,0)</f>
        <v/>
      </c>
      <c r="BE983" s="95">
        <f>IF(OR($BD983=1,AND($AE983&lt;&gt;"",$BC983&gt;=Controls!$B$10*$AE983)),1,0)</f>
        <v/>
      </c>
    </row>
    <row r="984" ht="15.75" customHeight="1" s="79">
      <c r="A984" s="5" t="inlineStr">
        <is>
          <t>5674186087</t>
        </is>
      </c>
      <c r="B984" s="5" t="inlineStr">
        <is>
          <t>CARGO, CARGO TX, CARGO LLC</t>
        </is>
      </c>
      <c r="C984" s="5" t="inlineStr">
        <is>
          <t>CARGO OPERATIONS LLC</t>
        </is>
      </c>
      <c r="D984" s="5" t="inlineStr">
        <is>
          <t>Open</t>
        </is>
      </c>
      <c r="E984" s="16" t="n">
        <v>46197</v>
      </c>
      <c r="F984" s="16" t="n">
        <v>46253</v>
      </c>
      <c r="G984" s="17" t="n">
        <v>1</v>
      </c>
      <c r="H984" s="5" t="inlineStr">
        <is>
          <t>5812</t>
        </is>
      </c>
      <c r="I984" s="5" t="inlineStr">
        <is>
          <t>Full-Service Restaurants</t>
        </is>
      </c>
      <c r="J984" s="5" t="inlineStr">
        <is>
          <t>58</t>
        </is>
      </c>
      <c r="K984" s="5" t="n">
        <v>5812</v>
      </c>
      <c r="L984" s="5" t="inlineStr">
        <is>
          <t>TX</t>
        </is>
      </c>
      <c r="M984" s="5" t="inlineStr">
        <is>
          <t>Credibly</t>
        </is>
      </c>
      <c r="N984" s="5" t="inlineStr">
        <is>
          <t>New Deal</t>
        </is>
      </c>
      <c r="O984" s="19" t="n">
        <v>1.39</v>
      </c>
      <c r="P984" s="20" t="n">
        <v>75000</v>
      </c>
      <c r="Q984" s="20" t="n">
        <v>6750</v>
      </c>
      <c r="R984" s="20" t="n">
        <v>104250</v>
      </c>
      <c r="S984" s="20" t="n">
        <v>29817.6</v>
      </c>
      <c r="T984" s="20" t="n">
        <v>74432.39999999999</v>
      </c>
      <c r="U984" s="21" t="n">
        <v>0.286020143884892</v>
      </c>
      <c r="V984" s="22" t="n">
        <v>4.59</v>
      </c>
      <c r="W984" s="17" t="n">
        <v>0</v>
      </c>
      <c r="X984" s="17" t="n">
        <v>1</v>
      </c>
      <c r="Y984" s="20" t="n">
        <v>343296.1</v>
      </c>
      <c r="Z984" s="21" t="n">
        <v>0.0456</v>
      </c>
      <c r="AA984" s="16" t="n">
        <v>45870</v>
      </c>
      <c r="AB984" s="5">
        <f>IF(V984="","",IF(V984&lt;12,"Months","Weeks"))</f>
        <v/>
      </c>
      <c r="AC984" s="5">
        <f>IF(AB984="","",IF(AB984="Months","Daily","Weekly"))</f>
        <v/>
      </c>
      <c r="AD984" s="17">
        <f>IF(V984="","",IF(AC984="Daily",V984*Controls!$B$13,V984))</f>
        <v/>
      </c>
      <c r="AE984" s="17">
        <f>IF(V984="","",IF(AC984="Daily",V984*Controls!$B$13,V984*Controls!$B$12))</f>
        <v/>
      </c>
      <c r="AF984" s="17">
        <f>IF(OR(E984="",F984=""),"",F984-E984)</f>
        <v/>
      </c>
      <c r="AG984" s="17">
        <f>IF(OR(E984="",F984=""),"",NETWORKDAYS(E984,F984,Ref!$F$4:$F$47))</f>
        <v/>
      </c>
      <c r="AH984" s="39">
        <f>IF(IFERROR(VLOOKUP(D984,Controls!$A$25:$D$35,2,FALSE()),"No")="Yes",1,0)</f>
        <v/>
      </c>
      <c r="AI984" s="39">
        <f>IF(IFERROR(VLOOKUP(D984,Controls!$A$25:$D$35,3,FALSE()),"No")="Yes",1,0)</f>
        <v/>
      </c>
      <c r="AJ984" s="39">
        <f>IF(IFERROR(VLOOKUP(D984,Controls!$A$25:$D$35,4,FALSE()),"No")="Yes",1,0)</f>
        <v/>
      </c>
      <c r="AK984" s="96">
        <f>IF(AND($E984&gt;=Controls!$B$5,$E984&lt;=Controls!$B$6,OR(Controls!$E$9&lt;&gt;"Y",$BE984=1)),1,0)</f>
        <v/>
      </c>
      <c r="AL984" s="39">
        <f>1</f>
        <v/>
      </c>
      <c r="AM984" s="20">
        <f>S984-P984</f>
        <v/>
      </c>
      <c r="AN984" s="20">
        <f>IF(AH984=1,MAX(0,P984-S984),0)</f>
        <v/>
      </c>
      <c r="AO984" s="21">
        <f>IFERROR(S984/P984,"")</f>
        <v/>
      </c>
      <c r="AP984" s="22">
        <f>IF(Y984="","",P984/Y984)</f>
        <v/>
      </c>
      <c r="AQ984" s="39">
        <f>IF(Y984="",0,1)</f>
        <v/>
      </c>
      <c r="AR984" s="39">
        <f>IF(S984&lt;=0,1,0)</f>
        <v/>
      </c>
      <c r="AS984" s="17">
        <f>IF(AH984=1,AG984,"")</f>
        <v/>
      </c>
      <c r="AT984" s="17">
        <f>IF(AND(AH984=0,AJ984=1),AG984,"")</f>
        <v/>
      </c>
      <c r="AU984" s="5">
        <f>IF(P984&lt;10000,"Under $10K",IF(P984&lt;20000,"$10-20K",IF(P984&lt;30000,"$20-30K",IF(P984&lt;50000,"$30-50K",IF(P984&lt;100000,"$50-100K","$100K+")))))</f>
        <v/>
      </c>
      <c r="AV984" s="5">
        <f>IF(O984&lt;=1.35,"1.35 and under",IF(O984&lt;=1.42,"1.36-1.42",IF(O984&lt;=1.45,"1.43-1.45",IF(O984&lt;1.49,"1.46-1.48",IF(O984&lt;=1.49,"1.49","Above 1.49")))))</f>
        <v/>
      </c>
      <c r="AW984" s="5">
        <f>IF(AE984="","",IF(AE984&lt;60,"Under 60",IF(AE984&lt;90,"60-89",IF(AE984&lt;120,"90-119",IF(AE984&lt;150,"120-149","150+")))))</f>
        <v/>
      </c>
      <c r="AX984" s="5">
        <f>IF(AP984="","No revenue data",IF(AP984&lt;0.15,"Under 0.15x",IF(AP984&lt;0.3,"0.15-0.30x",IF(AP984&lt;0.5,"0.30-0.50x",IF(AP984&lt;1,"0.50-1.00x","1.00x+")))))</f>
        <v/>
      </c>
      <c r="AY984" s="5">
        <f>IF(J984="","No SIC",IFERROR(VLOOKUP(J984,Ref!$A$4:$C$67,2,FALSE()),"Unclassified"))</f>
        <v/>
      </c>
      <c r="AZ984" s="5">
        <f>IF(E984="","",TEXT(E984,"YYYY")&amp;"-Q"&amp;ROUNDUP(MONTH(E984)/3,0))</f>
        <v/>
      </c>
      <c r="BA984" s="5">
        <f>IF(E984="","",TEXT(E984,"YYYY-MM"))</f>
        <v/>
      </c>
      <c r="BB984" s="5">
        <f>IF(E984="","",TEXT(E984,"YYYY"))</f>
        <v/>
      </c>
      <c r="BC984" s="92">
        <f>IF($E984="","",NETWORKDAYS($E984,Controls!$B$9,Ref!$F$4:$F$47))</f>
        <v/>
      </c>
      <c r="BD984" s="92">
        <f>IF(OR($AH984=1,$AJ984=1),1,0)</f>
        <v/>
      </c>
      <c r="BE984" s="95">
        <f>IF(OR($BD984=1,AND($AE984&lt;&gt;"",$BC984&gt;=Controls!$B$10*$AE984)),1,0)</f>
        <v/>
      </c>
    </row>
    <row r="985" ht="15.75" customHeight="1" s="79">
      <c r="A985" s="5" t="inlineStr">
        <is>
          <t>5674186171</t>
        </is>
      </c>
      <c r="B985" s="5" t="inlineStr">
        <is>
          <t>LIG LOGISTICS LLC</t>
        </is>
      </c>
      <c r="C985" s="5" t="inlineStr">
        <is>
          <t>LIG LOGISTICS LLC</t>
        </is>
      </c>
      <c r="D985" s="5" t="inlineStr">
        <is>
          <t>Open</t>
        </is>
      </c>
      <c r="E985" s="16" t="n">
        <v>46198</v>
      </c>
      <c r="F985" s="16" t="n">
        <v>46248</v>
      </c>
      <c r="G985" s="17" t="n">
        <v>3</v>
      </c>
      <c r="H985" s="5" t="inlineStr">
        <is>
          <t>4212</t>
        </is>
      </c>
      <c r="I985" s="5" t="inlineStr">
        <is>
          <t>General Freight Trucking, Local</t>
        </is>
      </c>
      <c r="J985" s="5" t="inlineStr">
        <is>
          <t>42</t>
        </is>
      </c>
      <c r="K985" s="5" t="n">
        <v>4214</v>
      </c>
      <c r="L985" s="5" t="inlineStr">
        <is>
          <t>NJ</t>
        </is>
      </c>
      <c r="M985" s="5" t="inlineStr">
        <is>
          <t>Westwood</t>
        </is>
      </c>
      <c r="N985" s="5" t="inlineStr">
        <is>
          <t>New Deal</t>
        </is>
      </c>
      <c r="O985" s="19" t="n">
        <v>1.39</v>
      </c>
      <c r="P985" s="20" t="n">
        <v>15000</v>
      </c>
      <c r="Q985" s="20" t="n">
        <v>1350</v>
      </c>
      <c r="R985" s="20" t="n">
        <v>20850</v>
      </c>
      <c r="S985" s="20" t="n">
        <v>4903.74</v>
      </c>
      <c r="T985" s="20" t="n">
        <v>15946.26</v>
      </c>
      <c r="U985" s="21" t="n">
        <v>0.235191366906475</v>
      </c>
      <c r="V985" s="22" t="n">
        <v>17</v>
      </c>
      <c r="W985" s="17" t="n">
        <v>14</v>
      </c>
      <c r="X985" s="17" t="n">
        <v>7</v>
      </c>
      <c r="Y985" s="20" t="n">
        <v>96896.8</v>
      </c>
      <c r="Z985" s="21" t="n">
        <v>0.0506</v>
      </c>
      <c r="AA985" s="16" t="n">
        <v>44958</v>
      </c>
      <c r="AB985" s="5">
        <f>IF(V985="","",IF(V985&lt;12,"Months","Weeks"))</f>
        <v/>
      </c>
      <c r="AC985" s="5">
        <f>IF(AB985="","",IF(AB985="Months","Daily","Weekly"))</f>
        <v/>
      </c>
      <c r="AD985" s="17">
        <f>IF(V985="","",IF(AC985="Daily",V985*Controls!$B$13,V985))</f>
        <v/>
      </c>
      <c r="AE985" s="17">
        <f>IF(V985="","",IF(AC985="Daily",V985*Controls!$B$13,V985*Controls!$B$12))</f>
        <v/>
      </c>
      <c r="AF985" s="17">
        <f>IF(OR(E985="",F985=""),"",F985-E985)</f>
        <v/>
      </c>
      <c r="AG985" s="17">
        <f>IF(OR(E985="",F985=""),"",NETWORKDAYS(E985,F985,Ref!$F$4:$F$47))</f>
        <v/>
      </c>
      <c r="AH985" s="39">
        <f>IF(IFERROR(VLOOKUP(D985,Controls!$A$25:$D$35,2,FALSE()),"No")="Yes",1,0)</f>
        <v/>
      </c>
      <c r="AI985" s="39">
        <f>IF(IFERROR(VLOOKUP(D985,Controls!$A$25:$D$35,3,FALSE()),"No")="Yes",1,0)</f>
        <v/>
      </c>
      <c r="AJ985" s="39">
        <f>IF(IFERROR(VLOOKUP(D985,Controls!$A$25:$D$35,4,FALSE()),"No")="Yes",1,0)</f>
        <v/>
      </c>
      <c r="AK985" s="96">
        <f>IF(AND($E985&gt;=Controls!$B$5,$E985&lt;=Controls!$B$6,OR(Controls!$E$9&lt;&gt;"Y",$BE985=1)),1,0)</f>
        <v/>
      </c>
      <c r="AL985" s="39">
        <f>1</f>
        <v/>
      </c>
      <c r="AM985" s="20">
        <f>S985-P985</f>
        <v/>
      </c>
      <c r="AN985" s="20">
        <f>IF(AH985=1,MAX(0,P985-S985),0)</f>
        <v/>
      </c>
      <c r="AO985" s="21">
        <f>IFERROR(S985/P985,"")</f>
        <v/>
      </c>
      <c r="AP985" s="22">
        <f>IF(Y985="","",P985/Y985)</f>
        <v/>
      </c>
      <c r="AQ985" s="39">
        <f>IF(Y985="",0,1)</f>
        <v/>
      </c>
      <c r="AR985" s="39">
        <f>IF(S985&lt;=0,1,0)</f>
        <v/>
      </c>
      <c r="AS985" s="17">
        <f>IF(AH985=1,AG985,"")</f>
        <v/>
      </c>
      <c r="AT985" s="17">
        <f>IF(AND(AH985=0,AJ985=1),AG985,"")</f>
        <v/>
      </c>
      <c r="AU985" s="5">
        <f>IF(P985&lt;10000,"Under $10K",IF(P985&lt;20000,"$10-20K",IF(P985&lt;30000,"$20-30K",IF(P985&lt;50000,"$30-50K",IF(P985&lt;100000,"$50-100K","$100K+")))))</f>
        <v/>
      </c>
      <c r="AV985" s="5">
        <f>IF(O985&lt;=1.35,"1.35 and under",IF(O985&lt;=1.42,"1.36-1.42",IF(O985&lt;=1.45,"1.43-1.45",IF(O985&lt;1.49,"1.46-1.48",IF(O985&lt;=1.49,"1.49","Above 1.49")))))</f>
        <v/>
      </c>
      <c r="AW985" s="5">
        <f>IF(AE985="","",IF(AE985&lt;60,"Under 60",IF(AE985&lt;90,"60-89",IF(AE985&lt;120,"90-119",IF(AE985&lt;150,"120-149","150+")))))</f>
        <v/>
      </c>
      <c r="AX985" s="5">
        <f>IF(AP985="","No revenue data",IF(AP985&lt;0.15,"Under 0.15x",IF(AP985&lt;0.3,"0.15-0.30x",IF(AP985&lt;0.5,"0.30-0.50x",IF(AP985&lt;1,"0.50-1.00x","1.00x+")))))</f>
        <v/>
      </c>
      <c r="AY985" s="5">
        <f>IF(J985="","No SIC",IFERROR(VLOOKUP(J985,Ref!$A$4:$C$67,2,FALSE()),"Unclassified"))</f>
        <v/>
      </c>
      <c r="AZ985" s="5">
        <f>IF(E985="","",TEXT(E985,"YYYY")&amp;"-Q"&amp;ROUNDUP(MONTH(E985)/3,0))</f>
        <v/>
      </c>
      <c r="BA985" s="5">
        <f>IF(E985="","",TEXT(E985,"YYYY-MM"))</f>
        <v/>
      </c>
      <c r="BB985" s="5">
        <f>IF(E985="","",TEXT(E985,"YYYY"))</f>
        <v/>
      </c>
      <c r="BC985" s="92">
        <f>IF($E985="","",NETWORKDAYS($E985,Controls!$B$9,Ref!$F$4:$F$47))</f>
        <v/>
      </c>
      <c r="BD985" s="92">
        <f>IF(OR($AH985=1,$AJ985=1),1,0)</f>
        <v/>
      </c>
      <c r="BE985" s="95">
        <f>IF(OR($BD985=1,AND($AE985&lt;&gt;"",$BC985&gt;=Controls!$B$10*$AE985)),1,0)</f>
        <v/>
      </c>
    </row>
    <row r="986" ht="15.75" customHeight="1" s="79">
      <c r="A986" s="5" t="inlineStr">
        <is>
          <t>5674186188</t>
        </is>
      </c>
      <c r="B986" s="5" t="inlineStr">
        <is>
          <t>The Med Spa by BA</t>
        </is>
      </c>
      <c r="C986" s="5" t="inlineStr">
        <is>
          <t>THE MED SPA BY BA LLC</t>
        </is>
      </c>
      <c r="D986" s="5" t="inlineStr">
        <is>
          <t>Open</t>
        </is>
      </c>
      <c r="E986" s="16" t="n">
        <v>46198</v>
      </c>
      <c r="F986" s="16" t="n">
        <v>46247</v>
      </c>
      <c r="G986" s="17" t="n">
        <v>3</v>
      </c>
      <c r="H986" s="5" t="inlineStr">
        <is>
          <t>8011</t>
        </is>
      </c>
      <c r="I986" s="5" t="inlineStr">
        <is>
          <t>Offices of Physicians (Except Mental Health Specialists)</t>
        </is>
      </c>
      <c r="J986" s="5" t="inlineStr">
        <is>
          <t>80</t>
        </is>
      </c>
      <c r="K986" s="5" t="n">
        <v>8011</v>
      </c>
      <c r="L986" s="5" t="inlineStr">
        <is>
          <t>PA</t>
        </is>
      </c>
      <c r="M986" s="5" t="inlineStr">
        <is>
          <t>MONETCAP</t>
        </is>
      </c>
      <c r="N986" s="5" t="inlineStr">
        <is>
          <t>New Deal</t>
        </is>
      </c>
      <c r="O986" s="19" t="n">
        <v>1.49</v>
      </c>
      <c r="P986" s="20" t="n">
        <v>30000</v>
      </c>
      <c r="Q986" s="20" t="n">
        <v>4200</v>
      </c>
      <c r="R986" s="20" t="n">
        <v>44700</v>
      </c>
      <c r="S986" s="20" t="n">
        <v>11180.75</v>
      </c>
      <c r="T986" s="20" t="n">
        <v>33519.25</v>
      </c>
      <c r="U986" s="21" t="n">
        <v>0.250128635346756</v>
      </c>
      <c r="V986" s="22" t="n">
        <v>28</v>
      </c>
      <c r="W986" s="17" t="n">
        <v>6</v>
      </c>
      <c r="X986" s="17" t="n">
        <v>0</v>
      </c>
      <c r="Y986" s="20" t="n">
        <v>92459.92</v>
      </c>
      <c r="Z986" s="21" t="n">
        <v>0.06909999999999999</v>
      </c>
      <c r="AA986" s="16" t="n">
        <v>45736</v>
      </c>
      <c r="AB986" s="5">
        <f>IF(V986="","",IF(V986&lt;12,"Months","Weeks"))</f>
        <v/>
      </c>
      <c r="AC986" s="5">
        <f>IF(AB986="","",IF(AB986="Months","Daily","Weekly"))</f>
        <v/>
      </c>
      <c r="AD986" s="17">
        <f>IF(V986="","",IF(AC986="Daily",V986*Controls!$B$13,V986))</f>
        <v/>
      </c>
      <c r="AE986" s="17">
        <f>IF(V986="","",IF(AC986="Daily",V986*Controls!$B$13,V986*Controls!$B$12))</f>
        <v/>
      </c>
      <c r="AF986" s="17">
        <f>IF(OR(E986="",F986=""),"",F986-E986)</f>
        <v/>
      </c>
      <c r="AG986" s="17">
        <f>IF(OR(E986="",F986=""),"",NETWORKDAYS(E986,F986,Ref!$F$4:$F$47))</f>
        <v/>
      </c>
      <c r="AH986" s="39">
        <f>IF(IFERROR(VLOOKUP(D986,Controls!$A$25:$D$35,2,FALSE()),"No")="Yes",1,0)</f>
        <v/>
      </c>
      <c r="AI986" s="39">
        <f>IF(IFERROR(VLOOKUP(D986,Controls!$A$25:$D$35,3,FALSE()),"No")="Yes",1,0)</f>
        <v/>
      </c>
      <c r="AJ986" s="39">
        <f>IF(IFERROR(VLOOKUP(D986,Controls!$A$25:$D$35,4,FALSE()),"No")="Yes",1,0)</f>
        <v/>
      </c>
      <c r="AK986" s="96">
        <f>IF(AND($E986&gt;=Controls!$B$5,$E986&lt;=Controls!$B$6,OR(Controls!$E$9&lt;&gt;"Y",$BE986=1)),1,0)</f>
        <v/>
      </c>
      <c r="AL986" s="39">
        <f>1</f>
        <v/>
      </c>
      <c r="AM986" s="20">
        <f>S986-P986</f>
        <v/>
      </c>
      <c r="AN986" s="20">
        <f>IF(AH986=1,MAX(0,P986-S986),0)</f>
        <v/>
      </c>
      <c r="AO986" s="21">
        <f>IFERROR(S986/P986,"")</f>
        <v/>
      </c>
      <c r="AP986" s="22">
        <f>IF(Y986="","",P986/Y986)</f>
        <v/>
      </c>
      <c r="AQ986" s="39">
        <f>IF(Y986="",0,1)</f>
        <v/>
      </c>
      <c r="AR986" s="39">
        <f>IF(S986&lt;=0,1,0)</f>
        <v/>
      </c>
      <c r="AS986" s="17">
        <f>IF(AH986=1,AG986,"")</f>
        <v/>
      </c>
      <c r="AT986" s="17">
        <f>IF(AND(AH986=0,AJ986=1),AG986,"")</f>
        <v/>
      </c>
      <c r="AU986" s="5">
        <f>IF(P986&lt;10000,"Under $10K",IF(P986&lt;20000,"$10-20K",IF(P986&lt;30000,"$20-30K",IF(P986&lt;50000,"$30-50K",IF(P986&lt;100000,"$50-100K","$100K+")))))</f>
        <v/>
      </c>
      <c r="AV986" s="5">
        <f>IF(O986&lt;=1.35,"1.35 and under",IF(O986&lt;=1.42,"1.36-1.42",IF(O986&lt;=1.45,"1.43-1.45",IF(O986&lt;1.49,"1.46-1.48",IF(O986&lt;=1.49,"1.49","Above 1.49")))))</f>
        <v/>
      </c>
      <c r="AW986" s="5">
        <f>IF(AE986="","",IF(AE986&lt;60,"Under 60",IF(AE986&lt;90,"60-89",IF(AE986&lt;120,"90-119",IF(AE986&lt;150,"120-149","150+")))))</f>
        <v/>
      </c>
      <c r="AX986" s="5">
        <f>IF(AP986="","No revenue data",IF(AP986&lt;0.15,"Under 0.15x",IF(AP986&lt;0.3,"0.15-0.30x",IF(AP986&lt;0.5,"0.30-0.50x",IF(AP986&lt;1,"0.50-1.00x","1.00x+")))))</f>
        <v/>
      </c>
      <c r="AY986" s="5">
        <f>IF(J986="","No SIC",IFERROR(VLOOKUP(J986,Ref!$A$4:$C$67,2,FALSE()),"Unclassified"))</f>
        <v/>
      </c>
      <c r="AZ986" s="5">
        <f>IF(E986="","",TEXT(E986,"YYYY")&amp;"-Q"&amp;ROUNDUP(MONTH(E986)/3,0))</f>
        <v/>
      </c>
      <c r="BA986" s="5">
        <f>IF(E986="","",TEXT(E986,"YYYY-MM"))</f>
        <v/>
      </c>
      <c r="BB986" s="5">
        <f>IF(E986="","",TEXT(E986,"YYYY"))</f>
        <v/>
      </c>
      <c r="BC986" s="92">
        <f>IF($E986="","",NETWORKDAYS($E986,Controls!$B$9,Ref!$F$4:$F$47))</f>
        <v/>
      </c>
      <c r="BD986" s="92">
        <f>IF(OR($AH986=1,$AJ986=1),1,0)</f>
        <v/>
      </c>
      <c r="BE986" s="95">
        <f>IF(OR($BD986=1,AND($AE986&lt;&gt;"",$BC986&gt;=Controls!$B$10*$AE986)),1,0)</f>
        <v/>
      </c>
    </row>
    <row r="987" ht="15.75" customHeight="1" s="79">
      <c r="A987" s="5" t="inlineStr">
        <is>
          <t>5674186239</t>
        </is>
      </c>
      <c r="B987" s="5" t="inlineStr">
        <is>
          <t>T1 RESTORATION &amp; CONSTRUCTION, T1 RESTORATION</t>
        </is>
      </c>
      <c r="C987" s="5" t="inlineStr">
        <is>
          <t>T1 RESTORATION &amp; CONSTRUCTION LLC</t>
        </is>
      </c>
      <c r="D987" s="5" t="inlineStr">
        <is>
          <t>Open</t>
        </is>
      </c>
      <c r="E987" s="16" t="n">
        <v>46199</v>
      </c>
      <c r="F987" s="16" t="n">
        <v>46253</v>
      </c>
      <c r="G987" s="17" t="n">
        <v>5</v>
      </c>
      <c r="H987" s="5" t="inlineStr">
        <is>
          <t>1629</t>
        </is>
      </c>
      <c r="I987" s="5" t="inlineStr">
        <is>
          <t>Other Heavy and Civil Engineering Construction</t>
        </is>
      </c>
      <c r="J987" s="5" t="inlineStr">
        <is>
          <t>16</t>
        </is>
      </c>
      <c r="K987" s="5" t="n">
        <v>1520</v>
      </c>
      <c r="L987" s="5" t="inlineStr">
        <is>
          <t>PA</t>
        </is>
      </c>
      <c r="M987" s="5" t="inlineStr">
        <is>
          <t>PMF</t>
        </is>
      </c>
      <c r="N987" s="5" t="inlineStr">
        <is>
          <t>New Deal</t>
        </is>
      </c>
      <c r="O987" s="19" t="n">
        <v>1.49</v>
      </c>
      <c r="P987" s="20" t="n">
        <v>100000</v>
      </c>
      <c r="Q987" s="20" t="n">
        <v>14000</v>
      </c>
      <c r="R987" s="20" t="n">
        <v>149000</v>
      </c>
      <c r="S987" s="20" t="n">
        <v>30826.38</v>
      </c>
      <c r="T987" s="20" t="n">
        <v>118173.62</v>
      </c>
      <c r="U987" s="21" t="n">
        <v>0.206888456375839</v>
      </c>
      <c r="V987" s="22" t="n">
        <v>12</v>
      </c>
      <c r="W987" s="17" t="n">
        <v>0</v>
      </c>
      <c r="X987" s="17" t="n">
        <v>2</v>
      </c>
      <c r="Y987" s="20" t="n">
        <v>500000</v>
      </c>
      <c r="Z987" s="21" t="n">
        <v>0.1105</v>
      </c>
      <c r="AA987" s="16" t="n">
        <v>44239</v>
      </c>
      <c r="AB987" s="5">
        <f>IF(V987="","",IF(V987&lt;12,"Months","Weeks"))</f>
        <v/>
      </c>
      <c r="AC987" s="5">
        <f>IF(AB987="","",IF(AB987="Months","Daily","Weekly"))</f>
        <v/>
      </c>
      <c r="AD987" s="17">
        <f>IF(V987="","",IF(AC987="Daily",V987*Controls!$B$13,V987))</f>
        <v/>
      </c>
      <c r="AE987" s="17">
        <f>IF(V987="","",IF(AC987="Daily",V987*Controls!$B$13,V987*Controls!$B$12))</f>
        <v/>
      </c>
      <c r="AF987" s="17">
        <f>IF(OR(E987="",F987=""),"",F987-E987)</f>
        <v/>
      </c>
      <c r="AG987" s="17">
        <f>IF(OR(E987="",F987=""),"",NETWORKDAYS(E987,F987,Ref!$F$4:$F$47))</f>
        <v/>
      </c>
      <c r="AH987" s="39">
        <f>IF(IFERROR(VLOOKUP(D987,Controls!$A$25:$D$35,2,FALSE()),"No")="Yes",1,0)</f>
        <v/>
      </c>
      <c r="AI987" s="39">
        <f>IF(IFERROR(VLOOKUP(D987,Controls!$A$25:$D$35,3,FALSE()),"No")="Yes",1,0)</f>
        <v/>
      </c>
      <c r="AJ987" s="39">
        <f>IF(IFERROR(VLOOKUP(D987,Controls!$A$25:$D$35,4,FALSE()),"No")="Yes",1,0)</f>
        <v/>
      </c>
      <c r="AK987" s="96">
        <f>IF(AND($E987&gt;=Controls!$B$5,$E987&lt;=Controls!$B$6,OR(Controls!$E$9&lt;&gt;"Y",$BE987=1)),1,0)</f>
        <v/>
      </c>
      <c r="AL987" s="39">
        <f>1</f>
        <v/>
      </c>
      <c r="AM987" s="20">
        <f>S987-P987</f>
        <v/>
      </c>
      <c r="AN987" s="20">
        <f>IF(AH987=1,MAX(0,P987-S987),0)</f>
        <v/>
      </c>
      <c r="AO987" s="21">
        <f>IFERROR(S987/P987,"")</f>
        <v/>
      </c>
      <c r="AP987" s="22">
        <f>IF(Y987="","",P987/Y987)</f>
        <v/>
      </c>
      <c r="AQ987" s="39">
        <f>IF(Y987="",0,1)</f>
        <v/>
      </c>
      <c r="AR987" s="39">
        <f>IF(S987&lt;=0,1,0)</f>
        <v/>
      </c>
      <c r="AS987" s="17">
        <f>IF(AH987=1,AG987,"")</f>
        <v/>
      </c>
      <c r="AT987" s="17">
        <f>IF(AND(AH987=0,AJ987=1),AG987,"")</f>
        <v/>
      </c>
      <c r="AU987" s="5">
        <f>IF(P987&lt;10000,"Under $10K",IF(P987&lt;20000,"$10-20K",IF(P987&lt;30000,"$20-30K",IF(P987&lt;50000,"$30-50K",IF(P987&lt;100000,"$50-100K","$100K+")))))</f>
        <v/>
      </c>
      <c r="AV987" s="5">
        <f>IF(O987&lt;=1.35,"1.35 and under",IF(O987&lt;=1.42,"1.36-1.42",IF(O987&lt;=1.45,"1.43-1.45",IF(O987&lt;1.49,"1.46-1.48",IF(O987&lt;=1.49,"1.49","Above 1.49")))))</f>
        <v/>
      </c>
      <c r="AW987" s="5">
        <f>IF(AE987="","",IF(AE987&lt;60,"Under 60",IF(AE987&lt;90,"60-89",IF(AE987&lt;120,"90-119",IF(AE987&lt;150,"120-149","150+")))))</f>
        <v/>
      </c>
      <c r="AX987" s="5">
        <f>IF(AP987="","No revenue data",IF(AP987&lt;0.15,"Under 0.15x",IF(AP987&lt;0.3,"0.15-0.30x",IF(AP987&lt;0.5,"0.30-0.50x",IF(AP987&lt;1,"0.50-1.00x","1.00x+")))))</f>
        <v/>
      </c>
      <c r="AY987" s="5">
        <f>IF(J987="","No SIC",IFERROR(VLOOKUP(J987,Ref!$A$4:$C$67,2,FALSE()),"Unclassified"))</f>
        <v/>
      </c>
      <c r="AZ987" s="5">
        <f>IF(E987="","",TEXT(E987,"YYYY")&amp;"-Q"&amp;ROUNDUP(MONTH(E987)/3,0))</f>
        <v/>
      </c>
      <c r="BA987" s="5">
        <f>IF(E987="","",TEXT(E987,"YYYY-MM"))</f>
        <v/>
      </c>
      <c r="BB987" s="5">
        <f>IF(E987="","",TEXT(E987,"YYYY"))</f>
        <v/>
      </c>
      <c r="BC987" s="92">
        <f>IF($E987="","",NETWORKDAYS($E987,Controls!$B$9,Ref!$F$4:$F$47))</f>
        <v/>
      </c>
      <c r="BD987" s="92">
        <f>IF(OR($AH987=1,$AJ987=1),1,0)</f>
        <v/>
      </c>
      <c r="BE987" s="95">
        <f>IF(OR($BD987=1,AND($AE987&lt;&gt;"",$BC987&gt;=Controls!$B$10*$AE987)),1,0)</f>
        <v/>
      </c>
    </row>
    <row r="988" ht="15.75" customHeight="1" s="79">
      <c r="A988" s="5" t="inlineStr">
        <is>
          <t>5674186277</t>
        </is>
      </c>
      <c r="B988" s="5" t="inlineStr">
        <is>
          <t>TEAMWORK TOWN INC</t>
        </is>
      </c>
      <c r="C988" s="5" t="inlineStr">
        <is>
          <t>TEAMWORK TOWN INC</t>
        </is>
      </c>
      <c r="D988" s="5" t="inlineStr">
        <is>
          <t>Open</t>
        </is>
      </c>
      <c r="E988" s="16" t="n">
        <v>46202</v>
      </c>
      <c r="F988" s="16" t="n">
        <v>46248</v>
      </c>
      <c r="G988" s="17" t="n">
        <v>2</v>
      </c>
      <c r="H988" s="5" t="inlineStr">
        <is>
          <t>1521</t>
        </is>
      </c>
      <c r="I988" s="5" t="inlineStr">
        <is>
          <t>Residential Remodelers</t>
        </is>
      </c>
      <c r="J988" s="5" t="inlineStr">
        <is>
          <t>15</t>
        </is>
      </c>
      <c r="K988" s="5" t="n">
        <v>1520</v>
      </c>
      <c r="L988" s="5" t="inlineStr">
        <is>
          <t>TX</t>
        </is>
      </c>
      <c r="M988" s="5" t="inlineStr">
        <is>
          <t>Westwood</t>
        </is>
      </c>
      <c r="N988" s="5" t="inlineStr">
        <is>
          <t>New Deal</t>
        </is>
      </c>
      <c r="O988" s="19" t="n">
        <v>1.4</v>
      </c>
      <c r="P988" s="20" t="n">
        <v>42000</v>
      </c>
      <c r="Q988" s="20" t="n">
        <v>3990</v>
      </c>
      <c r="R988" s="20" t="n">
        <v>58800</v>
      </c>
      <c r="S988" s="20" t="n">
        <v>13840.04</v>
      </c>
      <c r="T988" s="20" t="n">
        <v>44959.96</v>
      </c>
      <c r="U988" s="21" t="n">
        <v>0.235374829931973</v>
      </c>
      <c r="V988" s="22" t="n">
        <v>28</v>
      </c>
      <c r="W988" s="17" t="n">
        <v>5</v>
      </c>
      <c r="X988" s="17" t="n">
        <v>0</v>
      </c>
      <c r="Y988" s="20" t="n">
        <v>159888.75</v>
      </c>
      <c r="Z988" s="21" t="n">
        <v>0.0525</v>
      </c>
      <c r="AA988" s="16" t="n">
        <v>44094</v>
      </c>
      <c r="AB988" s="5">
        <f>IF(V988="","",IF(V988&lt;12,"Months","Weeks"))</f>
        <v/>
      </c>
      <c r="AC988" s="5">
        <f>IF(AB988="","",IF(AB988="Months","Daily","Weekly"))</f>
        <v/>
      </c>
      <c r="AD988" s="17">
        <f>IF(V988="","",IF(AC988="Daily",V988*Controls!$B$13,V988))</f>
        <v/>
      </c>
      <c r="AE988" s="17">
        <f>IF(V988="","",IF(AC988="Daily",V988*Controls!$B$13,V988*Controls!$B$12))</f>
        <v/>
      </c>
      <c r="AF988" s="17">
        <f>IF(OR(E988="",F988=""),"",F988-E988)</f>
        <v/>
      </c>
      <c r="AG988" s="17">
        <f>IF(OR(E988="",F988=""),"",NETWORKDAYS(E988,F988,Ref!$F$4:$F$47))</f>
        <v/>
      </c>
      <c r="AH988" s="39">
        <f>IF(IFERROR(VLOOKUP(D988,Controls!$A$25:$D$35,2,FALSE()),"No")="Yes",1,0)</f>
        <v/>
      </c>
      <c r="AI988" s="39">
        <f>IF(IFERROR(VLOOKUP(D988,Controls!$A$25:$D$35,3,FALSE()),"No")="Yes",1,0)</f>
        <v/>
      </c>
      <c r="AJ988" s="39">
        <f>IF(IFERROR(VLOOKUP(D988,Controls!$A$25:$D$35,4,FALSE()),"No")="Yes",1,0)</f>
        <v/>
      </c>
      <c r="AK988" s="96">
        <f>IF(AND($E988&gt;=Controls!$B$5,$E988&lt;=Controls!$B$6,OR(Controls!$E$9&lt;&gt;"Y",$BE988=1)),1,0)</f>
        <v/>
      </c>
      <c r="AL988" s="39">
        <f>1</f>
        <v/>
      </c>
      <c r="AM988" s="20">
        <f>S988-P988</f>
        <v/>
      </c>
      <c r="AN988" s="20">
        <f>IF(AH988=1,MAX(0,P988-S988),0)</f>
        <v/>
      </c>
      <c r="AO988" s="21">
        <f>IFERROR(S988/P988,"")</f>
        <v/>
      </c>
      <c r="AP988" s="22">
        <f>IF(Y988="","",P988/Y988)</f>
        <v/>
      </c>
      <c r="AQ988" s="39">
        <f>IF(Y988="",0,1)</f>
        <v/>
      </c>
      <c r="AR988" s="39">
        <f>IF(S988&lt;=0,1,0)</f>
        <v/>
      </c>
      <c r="AS988" s="17">
        <f>IF(AH988=1,AG988,"")</f>
        <v/>
      </c>
      <c r="AT988" s="17">
        <f>IF(AND(AH988=0,AJ988=1),AG988,"")</f>
        <v/>
      </c>
      <c r="AU988" s="5">
        <f>IF(P988&lt;10000,"Under $10K",IF(P988&lt;20000,"$10-20K",IF(P988&lt;30000,"$20-30K",IF(P988&lt;50000,"$30-50K",IF(P988&lt;100000,"$50-100K","$100K+")))))</f>
        <v/>
      </c>
      <c r="AV988" s="5">
        <f>IF(O988&lt;=1.35,"1.35 and under",IF(O988&lt;=1.42,"1.36-1.42",IF(O988&lt;=1.45,"1.43-1.45",IF(O988&lt;1.49,"1.46-1.48",IF(O988&lt;=1.49,"1.49","Above 1.49")))))</f>
        <v/>
      </c>
      <c r="AW988" s="5">
        <f>IF(AE988="","",IF(AE988&lt;60,"Under 60",IF(AE988&lt;90,"60-89",IF(AE988&lt;120,"90-119",IF(AE988&lt;150,"120-149","150+")))))</f>
        <v/>
      </c>
      <c r="AX988" s="5">
        <f>IF(AP988="","No revenue data",IF(AP988&lt;0.15,"Under 0.15x",IF(AP988&lt;0.3,"0.15-0.30x",IF(AP988&lt;0.5,"0.30-0.50x",IF(AP988&lt;1,"0.50-1.00x","1.00x+")))))</f>
        <v/>
      </c>
      <c r="AY988" s="5">
        <f>IF(J988="","No SIC",IFERROR(VLOOKUP(J988,Ref!$A$4:$C$67,2,FALSE()),"Unclassified"))</f>
        <v/>
      </c>
      <c r="AZ988" s="5">
        <f>IF(E988="","",TEXT(E988,"YYYY")&amp;"-Q"&amp;ROUNDUP(MONTH(E988)/3,0))</f>
        <v/>
      </c>
      <c r="BA988" s="5">
        <f>IF(E988="","",TEXT(E988,"YYYY-MM"))</f>
        <v/>
      </c>
      <c r="BB988" s="5">
        <f>IF(E988="","",TEXT(E988,"YYYY"))</f>
        <v/>
      </c>
      <c r="BC988" s="92">
        <f>IF($E988="","",NETWORKDAYS($E988,Controls!$B$9,Ref!$F$4:$F$47))</f>
        <v/>
      </c>
      <c r="BD988" s="92">
        <f>IF(OR($AH988=1,$AJ988=1),1,0)</f>
        <v/>
      </c>
      <c r="BE988" s="95">
        <f>IF(OR($BD988=1,AND($AE988&lt;&gt;"",$BC988&gt;=Controls!$B$10*$AE988)),1,0)</f>
        <v/>
      </c>
    </row>
    <row r="989" ht="15.75" customHeight="1" s="79">
      <c r="A989" s="5" t="inlineStr">
        <is>
          <t>5674186308</t>
        </is>
      </c>
      <c r="B989" s="5" t="inlineStr">
        <is>
          <t>Tayler Playgrounds</t>
        </is>
      </c>
      <c r="C989" s="5" t="inlineStr">
        <is>
          <t>TAYLER PLAYGROUNDS LLC</t>
        </is>
      </c>
      <c r="D989" s="5" t="inlineStr">
        <is>
          <t>Open</t>
        </is>
      </c>
      <c r="E989" s="16" t="n">
        <v>46202</v>
      </c>
      <c r="F989" s="16" t="n">
        <v>46248</v>
      </c>
      <c r="G989" s="17" t="n">
        <v>3</v>
      </c>
      <c r="H989" s="5" t="inlineStr">
        <is>
          <t>3949</t>
        </is>
      </c>
      <c r="I989" s="5" t="inlineStr">
        <is>
          <t>Sporting and Athletic Goods Mfg.</t>
        </is>
      </c>
      <c r="J989" s="5" t="inlineStr">
        <is>
          <t>39</t>
        </is>
      </c>
      <c r="K989" s="5" t="n">
        <v>5941</v>
      </c>
      <c r="L989" s="5" t="inlineStr">
        <is>
          <t>MO</t>
        </is>
      </c>
      <c r="M989" s="5" t="inlineStr">
        <is>
          <t>PMF</t>
        </is>
      </c>
      <c r="N989" s="5" t="inlineStr">
        <is>
          <t>New Deal</t>
        </is>
      </c>
      <c r="O989" s="19" t="n">
        <v>1.43</v>
      </c>
      <c r="P989" s="20" t="n">
        <v>15000</v>
      </c>
      <c r="Q989" s="20" t="n">
        <v>1650</v>
      </c>
      <c r="R989" s="20" t="n">
        <v>21450</v>
      </c>
      <c r="S989" s="20" t="n">
        <v>3300.96</v>
      </c>
      <c r="T989" s="20" t="n">
        <v>18149.04</v>
      </c>
      <c r="U989" s="21" t="n">
        <v>0.153890909090909</v>
      </c>
      <c r="V989" s="22" t="n">
        <v>26</v>
      </c>
      <c r="W989" s="17" t="n">
        <v>26</v>
      </c>
      <c r="X989" s="17" t="n">
        <v>3</v>
      </c>
      <c r="Y989" s="20" t="n">
        <v>33242.32</v>
      </c>
      <c r="Z989" s="21" t="n">
        <v>0.0993</v>
      </c>
      <c r="AA989" s="16" t="n">
        <v>40380</v>
      </c>
      <c r="AB989" s="5">
        <f>IF(V989="","",IF(V989&lt;12,"Months","Weeks"))</f>
        <v/>
      </c>
      <c r="AC989" s="5">
        <f>IF(AB989="","",IF(AB989="Months","Daily","Weekly"))</f>
        <v/>
      </c>
      <c r="AD989" s="17">
        <f>IF(V989="","",IF(AC989="Daily",V989*Controls!$B$13,V989))</f>
        <v/>
      </c>
      <c r="AE989" s="17">
        <f>IF(V989="","",IF(AC989="Daily",V989*Controls!$B$13,V989*Controls!$B$12))</f>
        <v/>
      </c>
      <c r="AF989" s="17">
        <f>IF(OR(E989="",F989=""),"",F989-E989)</f>
        <v/>
      </c>
      <c r="AG989" s="17">
        <f>IF(OR(E989="",F989=""),"",NETWORKDAYS(E989,F989,Ref!$F$4:$F$47))</f>
        <v/>
      </c>
      <c r="AH989" s="39">
        <f>IF(IFERROR(VLOOKUP(D989,Controls!$A$25:$D$35,2,FALSE()),"No")="Yes",1,0)</f>
        <v/>
      </c>
      <c r="AI989" s="39">
        <f>IF(IFERROR(VLOOKUP(D989,Controls!$A$25:$D$35,3,FALSE()),"No")="Yes",1,0)</f>
        <v/>
      </c>
      <c r="AJ989" s="39">
        <f>IF(IFERROR(VLOOKUP(D989,Controls!$A$25:$D$35,4,FALSE()),"No")="Yes",1,0)</f>
        <v/>
      </c>
      <c r="AK989" s="96">
        <f>IF(AND($E989&gt;=Controls!$B$5,$E989&lt;=Controls!$B$6,OR(Controls!$E$9&lt;&gt;"Y",$BE989=1)),1,0)</f>
        <v/>
      </c>
      <c r="AL989" s="39">
        <f>1</f>
        <v/>
      </c>
      <c r="AM989" s="20">
        <f>S989-P989</f>
        <v/>
      </c>
      <c r="AN989" s="20">
        <f>IF(AH989=1,MAX(0,P989-S989),0)</f>
        <v/>
      </c>
      <c r="AO989" s="21">
        <f>IFERROR(S989/P989,"")</f>
        <v/>
      </c>
      <c r="AP989" s="22">
        <f>IF(Y989="","",P989/Y989)</f>
        <v/>
      </c>
      <c r="AQ989" s="39">
        <f>IF(Y989="",0,1)</f>
        <v/>
      </c>
      <c r="AR989" s="39">
        <f>IF(S989&lt;=0,1,0)</f>
        <v/>
      </c>
      <c r="AS989" s="17">
        <f>IF(AH989=1,AG989,"")</f>
        <v/>
      </c>
      <c r="AT989" s="17">
        <f>IF(AND(AH989=0,AJ989=1),AG989,"")</f>
        <v/>
      </c>
      <c r="AU989" s="5">
        <f>IF(P989&lt;10000,"Under $10K",IF(P989&lt;20000,"$10-20K",IF(P989&lt;30000,"$20-30K",IF(P989&lt;50000,"$30-50K",IF(P989&lt;100000,"$50-100K","$100K+")))))</f>
        <v/>
      </c>
      <c r="AV989" s="5">
        <f>IF(O989&lt;=1.35,"1.35 and under",IF(O989&lt;=1.42,"1.36-1.42",IF(O989&lt;=1.45,"1.43-1.45",IF(O989&lt;1.49,"1.46-1.48",IF(O989&lt;=1.49,"1.49","Above 1.49")))))</f>
        <v/>
      </c>
      <c r="AW989" s="5">
        <f>IF(AE989="","",IF(AE989&lt;60,"Under 60",IF(AE989&lt;90,"60-89",IF(AE989&lt;120,"90-119",IF(AE989&lt;150,"120-149","150+")))))</f>
        <v/>
      </c>
      <c r="AX989" s="5">
        <f>IF(AP989="","No revenue data",IF(AP989&lt;0.15,"Under 0.15x",IF(AP989&lt;0.3,"0.15-0.30x",IF(AP989&lt;0.5,"0.30-0.50x",IF(AP989&lt;1,"0.50-1.00x","1.00x+")))))</f>
        <v/>
      </c>
      <c r="AY989" s="5">
        <f>IF(J989="","No SIC",IFERROR(VLOOKUP(J989,Ref!$A$4:$C$67,2,FALSE()),"Unclassified"))</f>
        <v/>
      </c>
      <c r="AZ989" s="5">
        <f>IF(E989="","",TEXT(E989,"YYYY")&amp;"-Q"&amp;ROUNDUP(MONTH(E989)/3,0))</f>
        <v/>
      </c>
      <c r="BA989" s="5">
        <f>IF(E989="","",TEXT(E989,"YYYY-MM"))</f>
        <v/>
      </c>
      <c r="BB989" s="5">
        <f>IF(E989="","",TEXT(E989,"YYYY"))</f>
        <v/>
      </c>
      <c r="BC989" s="92">
        <f>IF($E989="","",NETWORKDAYS($E989,Controls!$B$9,Ref!$F$4:$F$47))</f>
        <v/>
      </c>
      <c r="BD989" s="92">
        <f>IF(OR($AH989=1,$AJ989=1),1,0)</f>
        <v/>
      </c>
      <c r="BE989" s="95">
        <f>IF(OR($BD989=1,AND($AE989&lt;&gt;"",$BC989&gt;=Controls!$B$10*$AE989)),1,0)</f>
        <v/>
      </c>
    </row>
    <row r="990" ht="15.75" customHeight="1" s="79">
      <c r="A990" s="5" t="inlineStr">
        <is>
          <t>5674186312</t>
        </is>
      </c>
      <c r="B990" s="5" t="inlineStr">
        <is>
          <t>PAR-10 Companies</t>
        </is>
      </c>
      <c r="C990" s="5" t="inlineStr">
        <is>
          <t>PAR-10 Companies</t>
        </is>
      </c>
      <c r="D990" s="5" t="inlineStr">
        <is>
          <t>Open</t>
        </is>
      </c>
      <c r="E990" s="16" t="n">
        <v>46202</v>
      </c>
      <c r="F990" s="16" t="n">
        <v>46248</v>
      </c>
      <c r="G990" s="17" t="n">
        <v>3</v>
      </c>
      <c r="H990" s="5" t="inlineStr">
        <is>
          <t>5712</t>
        </is>
      </c>
      <c r="I990" s="5" t="inlineStr">
        <is>
          <t>Furniture Stores</t>
        </is>
      </c>
      <c r="J990" s="5" t="inlineStr">
        <is>
          <t>57</t>
        </is>
      </c>
      <c r="K990" s="5" t="n">
        <v>5719</v>
      </c>
      <c r="L990" s="5" t="inlineStr">
        <is>
          <t>MN</t>
        </is>
      </c>
      <c r="M990" s="5" t="inlineStr">
        <is>
          <t>The Funding Channel</t>
        </is>
      </c>
      <c r="N990" s="5" t="inlineStr">
        <is>
          <t>New Deal</t>
        </is>
      </c>
      <c r="O990" s="19" t="n">
        <v>1.45</v>
      </c>
      <c r="P990" s="20" t="n">
        <v>10000</v>
      </c>
      <c r="Q990" s="20" t="n">
        <v>1200</v>
      </c>
      <c r="R990" s="20" t="n">
        <v>14500</v>
      </c>
      <c r="S990" s="20" t="n">
        <v>2174.79</v>
      </c>
      <c r="T990" s="20" t="n">
        <v>12325.21</v>
      </c>
      <c r="U990" s="21" t="n">
        <v>0.149985517241379</v>
      </c>
      <c r="V990" s="22" t="n">
        <v>20</v>
      </c>
      <c r="W990" s="17" t="n">
        <v>26</v>
      </c>
      <c r="X990" s="17" t="n">
        <v>4</v>
      </c>
      <c r="Y990" s="20" t="n">
        <v>86558.33</v>
      </c>
      <c r="Z990" s="21" t="n">
        <v>0.0335</v>
      </c>
      <c r="AA990" s="16" t="n">
        <v>41072</v>
      </c>
      <c r="AB990" s="5">
        <f>IF(V990="","",IF(V990&lt;12,"Months","Weeks"))</f>
        <v/>
      </c>
      <c r="AC990" s="5">
        <f>IF(AB990="","",IF(AB990="Months","Daily","Weekly"))</f>
        <v/>
      </c>
      <c r="AD990" s="17">
        <f>IF(V990="","",IF(AC990="Daily",V990*Controls!$B$13,V990))</f>
        <v/>
      </c>
      <c r="AE990" s="17">
        <f>IF(V990="","",IF(AC990="Daily",V990*Controls!$B$13,V990*Controls!$B$12))</f>
        <v/>
      </c>
      <c r="AF990" s="17">
        <f>IF(OR(E990="",F990=""),"",F990-E990)</f>
        <v/>
      </c>
      <c r="AG990" s="17">
        <f>IF(OR(E990="",F990=""),"",NETWORKDAYS(E990,F990,Ref!$F$4:$F$47))</f>
        <v/>
      </c>
      <c r="AH990" s="39">
        <f>IF(IFERROR(VLOOKUP(D990,Controls!$A$25:$D$35,2,FALSE()),"No")="Yes",1,0)</f>
        <v/>
      </c>
      <c r="AI990" s="39">
        <f>IF(IFERROR(VLOOKUP(D990,Controls!$A$25:$D$35,3,FALSE()),"No")="Yes",1,0)</f>
        <v/>
      </c>
      <c r="AJ990" s="39">
        <f>IF(IFERROR(VLOOKUP(D990,Controls!$A$25:$D$35,4,FALSE()),"No")="Yes",1,0)</f>
        <v/>
      </c>
      <c r="AK990" s="96">
        <f>IF(AND($E990&gt;=Controls!$B$5,$E990&lt;=Controls!$B$6,OR(Controls!$E$9&lt;&gt;"Y",$BE990=1)),1,0)</f>
        <v/>
      </c>
      <c r="AL990" s="39">
        <f>1</f>
        <v/>
      </c>
      <c r="AM990" s="20">
        <f>S990-P990</f>
        <v/>
      </c>
      <c r="AN990" s="20">
        <f>IF(AH990=1,MAX(0,P990-S990),0)</f>
        <v/>
      </c>
      <c r="AO990" s="21">
        <f>IFERROR(S990/P990,"")</f>
        <v/>
      </c>
      <c r="AP990" s="22">
        <f>IF(Y990="","",P990/Y990)</f>
        <v/>
      </c>
      <c r="AQ990" s="39">
        <f>IF(Y990="",0,1)</f>
        <v/>
      </c>
      <c r="AR990" s="39">
        <f>IF(S990&lt;=0,1,0)</f>
        <v/>
      </c>
      <c r="AS990" s="17">
        <f>IF(AH990=1,AG990,"")</f>
        <v/>
      </c>
      <c r="AT990" s="17">
        <f>IF(AND(AH990=0,AJ990=1),AG990,"")</f>
        <v/>
      </c>
      <c r="AU990" s="5">
        <f>IF(P990&lt;10000,"Under $10K",IF(P990&lt;20000,"$10-20K",IF(P990&lt;30000,"$20-30K",IF(P990&lt;50000,"$30-50K",IF(P990&lt;100000,"$50-100K","$100K+")))))</f>
        <v/>
      </c>
      <c r="AV990" s="5">
        <f>IF(O990&lt;=1.35,"1.35 and under",IF(O990&lt;=1.42,"1.36-1.42",IF(O990&lt;=1.45,"1.43-1.45",IF(O990&lt;1.49,"1.46-1.48",IF(O990&lt;=1.49,"1.49","Above 1.49")))))</f>
        <v/>
      </c>
      <c r="AW990" s="5">
        <f>IF(AE990="","",IF(AE990&lt;60,"Under 60",IF(AE990&lt;90,"60-89",IF(AE990&lt;120,"90-119",IF(AE990&lt;150,"120-149","150+")))))</f>
        <v/>
      </c>
      <c r="AX990" s="5">
        <f>IF(AP990="","No revenue data",IF(AP990&lt;0.15,"Under 0.15x",IF(AP990&lt;0.3,"0.15-0.30x",IF(AP990&lt;0.5,"0.30-0.50x",IF(AP990&lt;1,"0.50-1.00x","1.00x+")))))</f>
        <v/>
      </c>
      <c r="AY990" s="5">
        <f>IF(J990="","No SIC",IFERROR(VLOOKUP(J990,Ref!$A$4:$C$67,2,FALSE()),"Unclassified"))</f>
        <v/>
      </c>
      <c r="AZ990" s="5">
        <f>IF(E990="","",TEXT(E990,"YYYY")&amp;"-Q"&amp;ROUNDUP(MONTH(E990)/3,0))</f>
        <v/>
      </c>
      <c r="BA990" s="5">
        <f>IF(E990="","",TEXT(E990,"YYYY-MM"))</f>
        <v/>
      </c>
      <c r="BB990" s="5">
        <f>IF(E990="","",TEXT(E990,"YYYY"))</f>
        <v/>
      </c>
      <c r="BC990" s="92">
        <f>IF($E990="","",NETWORKDAYS($E990,Controls!$B$9,Ref!$F$4:$F$47))</f>
        <v/>
      </c>
      <c r="BD990" s="92">
        <f>IF(OR($AH990=1,$AJ990=1),1,0)</f>
        <v/>
      </c>
      <c r="BE990" s="95">
        <f>IF(OR($BD990=1,AND($AE990&lt;&gt;"",$BC990&gt;=Controls!$B$10*$AE990)),1,0)</f>
        <v/>
      </c>
    </row>
    <row r="991" ht="15.75" customHeight="1" s="79">
      <c r="A991" s="5" t="inlineStr">
        <is>
          <t>5674186372</t>
        </is>
      </c>
      <c r="B991" s="5" t="inlineStr">
        <is>
          <t>SST Brands</t>
        </is>
      </c>
      <c r="C991" s="5" t="inlineStr">
        <is>
          <t>Heads Up Headcare LLC</t>
        </is>
      </c>
      <c r="D991" s="5" t="inlineStr">
        <is>
          <t>Open</t>
        </is>
      </c>
      <c r="E991" s="16" t="n">
        <v>46203</v>
      </c>
      <c r="F991" s="16" t="n">
        <v>46251</v>
      </c>
      <c r="G991" s="17" t="n">
        <v>3</v>
      </c>
      <c r="H991" s="5" t="inlineStr">
        <is>
          <t>5999</t>
        </is>
      </c>
      <c r="I991" s="5" t="inlineStr">
        <is>
          <t>All Other Health and Personal Care Stores</t>
        </is>
      </c>
      <c r="J991" s="5" t="inlineStr">
        <is>
          <t>59</t>
        </is>
      </c>
      <c r="K991" s="5" t="n">
        <v>5999</v>
      </c>
      <c r="L991" s="5" t="inlineStr">
        <is>
          <t>NJ</t>
        </is>
      </c>
      <c r="M991" s="5" t="inlineStr">
        <is>
          <t>YM ventures</t>
        </is>
      </c>
      <c r="N991" s="5" t="inlineStr">
        <is>
          <t>Renewal</t>
        </is>
      </c>
      <c r="O991" s="19" t="n">
        <v>1.49</v>
      </c>
      <c r="P991" s="20" t="n">
        <v>235000</v>
      </c>
      <c r="Q991" s="20" t="n">
        <v>30550</v>
      </c>
      <c r="R991" s="20" t="n">
        <v>350150</v>
      </c>
      <c r="S991" s="20" t="n">
        <v>36168.32</v>
      </c>
      <c r="T991" s="20" t="n">
        <v>313981.68</v>
      </c>
      <c r="U991" s="21" t="n">
        <v>0.10329378837641</v>
      </c>
      <c r="V991" s="22" t="n">
        <v>46</v>
      </c>
      <c r="W991" s="17" t="n">
        <v>2</v>
      </c>
      <c r="X991" s="17" t="n">
        <v>0</v>
      </c>
      <c r="Y991" s="20" t="n">
        <v>640003.17</v>
      </c>
      <c r="Z991" s="21" t="n">
        <v>0.1016</v>
      </c>
      <c r="AA991" s="16" t="n">
        <v>40087</v>
      </c>
      <c r="AB991" s="5">
        <f>IF(V991="","",IF(V991&lt;12,"Months","Weeks"))</f>
        <v/>
      </c>
      <c r="AC991" s="5">
        <f>IF(AB991="","",IF(AB991="Months","Daily","Weekly"))</f>
        <v/>
      </c>
      <c r="AD991" s="17">
        <f>IF(V991="","",IF(AC991="Daily",V991*Controls!$B$13,V991))</f>
        <v/>
      </c>
      <c r="AE991" s="17">
        <f>IF(V991="","",IF(AC991="Daily",V991*Controls!$B$13,V991*Controls!$B$12))</f>
        <v/>
      </c>
      <c r="AF991" s="17">
        <f>IF(OR(E991="",F991=""),"",F991-E991)</f>
        <v/>
      </c>
      <c r="AG991" s="17">
        <f>IF(OR(E991="",F991=""),"",NETWORKDAYS(E991,F991,Ref!$F$4:$F$47))</f>
        <v/>
      </c>
      <c r="AH991" s="39">
        <f>IF(IFERROR(VLOOKUP(D991,Controls!$A$25:$D$35,2,FALSE()),"No")="Yes",1,0)</f>
        <v/>
      </c>
      <c r="AI991" s="39">
        <f>IF(IFERROR(VLOOKUP(D991,Controls!$A$25:$D$35,3,FALSE()),"No")="Yes",1,0)</f>
        <v/>
      </c>
      <c r="AJ991" s="39">
        <f>IF(IFERROR(VLOOKUP(D991,Controls!$A$25:$D$35,4,FALSE()),"No")="Yes",1,0)</f>
        <v/>
      </c>
      <c r="AK991" s="96">
        <f>IF(AND($E991&gt;=Controls!$B$5,$E991&lt;=Controls!$B$6,OR(Controls!$E$9&lt;&gt;"Y",$BE991=1)),1,0)</f>
        <v/>
      </c>
      <c r="AL991" s="39">
        <f>1</f>
        <v/>
      </c>
      <c r="AM991" s="20">
        <f>S991-P991</f>
        <v/>
      </c>
      <c r="AN991" s="20">
        <f>IF(AH991=1,MAX(0,P991-S991),0)</f>
        <v/>
      </c>
      <c r="AO991" s="21">
        <f>IFERROR(S991/P991,"")</f>
        <v/>
      </c>
      <c r="AP991" s="22">
        <f>IF(Y991="","",P991/Y991)</f>
        <v/>
      </c>
      <c r="AQ991" s="39">
        <f>IF(Y991="",0,1)</f>
        <v/>
      </c>
      <c r="AR991" s="39">
        <f>IF(S991&lt;=0,1,0)</f>
        <v/>
      </c>
      <c r="AS991" s="17">
        <f>IF(AH991=1,AG991,"")</f>
        <v/>
      </c>
      <c r="AT991" s="17">
        <f>IF(AND(AH991=0,AJ991=1),AG991,"")</f>
        <v/>
      </c>
      <c r="AU991" s="5">
        <f>IF(P991&lt;10000,"Under $10K",IF(P991&lt;20000,"$10-20K",IF(P991&lt;30000,"$20-30K",IF(P991&lt;50000,"$30-50K",IF(P991&lt;100000,"$50-100K","$100K+")))))</f>
        <v/>
      </c>
      <c r="AV991" s="5">
        <f>IF(O991&lt;=1.35,"1.35 and under",IF(O991&lt;=1.42,"1.36-1.42",IF(O991&lt;=1.45,"1.43-1.45",IF(O991&lt;1.49,"1.46-1.48",IF(O991&lt;=1.49,"1.49","Above 1.49")))))</f>
        <v/>
      </c>
      <c r="AW991" s="5">
        <f>IF(AE991="","",IF(AE991&lt;60,"Under 60",IF(AE991&lt;90,"60-89",IF(AE991&lt;120,"90-119",IF(AE991&lt;150,"120-149","150+")))))</f>
        <v/>
      </c>
      <c r="AX991" s="5">
        <f>IF(AP991="","No revenue data",IF(AP991&lt;0.15,"Under 0.15x",IF(AP991&lt;0.3,"0.15-0.30x",IF(AP991&lt;0.5,"0.30-0.50x",IF(AP991&lt;1,"0.50-1.00x","1.00x+")))))</f>
        <v/>
      </c>
      <c r="AY991" s="5">
        <f>IF(J991="","No SIC",IFERROR(VLOOKUP(J991,Ref!$A$4:$C$67,2,FALSE()),"Unclassified"))</f>
        <v/>
      </c>
      <c r="AZ991" s="5">
        <f>IF(E991="","",TEXT(E991,"YYYY")&amp;"-Q"&amp;ROUNDUP(MONTH(E991)/3,0))</f>
        <v/>
      </c>
      <c r="BA991" s="5">
        <f>IF(E991="","",TEXT(E991,"YYYY-MM"))</f>
        <v/>
      </c>
      <c r="BB991" s="5">
        <f>IF(E991="","",TEXT(E991,"YYYY"))</f>
        <v/>
      </c>
      <c r="BC991" s="92">
        <f>IF($E991="","",NETWORKDAYS($E991,Controls!$B$9,Ref!$F$4:$F$47))</f>
        <v/>
      </c>
      <c r="BD991" s="92">
        <f>IF(OR($AH991=1,$AJ991=1),1,0)</f>
        <v/>
      </c>
      <c r="BE991" s="95">
        <f>IF(OR($BD991=1,AND($AE991&lt;&gt;"",$BC991&gt;=Controls!$B$10*$AE991)),1,0)</f>
        <v/>
      </c>
    </row>
    <row r="992" ht="15.75" customHeight="1" s="79">
      <c r="A992" s="5" t="inlineStr">
        <is>
          <t>5674186382</t>
        </is>
      </c>
      <c r="B992" s="5" t="inlineStr">
        <is>
          <t>Golden Stream Media LLC</t>
        </is>
      </c>
      <c r="C992" s="5" t="inlineStr">
        <is>
          <t>Golden Stream Media LLC</t>
        </is>
      </c>
      <c r="D992" s="5" t="inlineStr">
        <is>
          <t>Open</t>
        </is>
      </c>
      <c r="E992" s="16" t="n">
        <v>46203</v>
      </c>
      <c r="F992" s="16" t="n">
        <v>46248</v>
      </c>
      <c r="G992" s="17" t="n">
        <v>3</v>
      </c>
      <c r="H992" s="5" t="inlineStr">
        <is>
          <t>7311</t>
        </is>
      </c>
      <c r="I992" s="5" t="inlineStr">
        <is>
          <t>Advertising Agencies</t>
        </is>
      </c>
      <c r="J992" s="5" t="inlineStr">
        <is>
          <t>73</t>
        </is>
      </c>
      <c r="K992" s="5" t="n">
        <v>7311</v>
      </c>
      <c r="L992" s="5" t="inlineStr">
        <is>
          <t>FL</t>
        </is>
      </c>
      <c r="M992" s="5" t="inlineStr">
        <is>
          <t>Capfront Funding</t>
        </is>
      </c>
      <c r="N992" s="5" t="inlineStr">
        <is>
          <t>New Deal</t>
        </is>
      </c>
      <c r="O992" s="19" t="n">
        <v>1.39</v>
      </c>
      <c r="P992" s="20" t="n">
        <v>10000</v>
      </c>
      <c r="Q992" s="20" t="n">
        <v>900</v>
      </c>
      <c r="R992" s="20" t="n">
        <v>13900</v>
      </c>
      <c r="S992" s="20" t="n">
        <v>4863.95</v>
      </c>
      <c r="T992" s="20" t="n">
        <v>9036.049999999999</v>
      </c>
      <c r="U992" s="21" t="n">
        <v>0.349924460431655</v>
      </c>
      <c r="V992" s="22" t="n">
        <v>20</v>
      </c>
      <c r="W992" s="17" t="n">
        <v>5</v>
      </c>
      <c r="X992" s="17" t="n">
        <v>0</v>
      </c>
      <c r="Y992" s="20" t="n">
        <v>36002.37</v>
      </c>
      <c r="Z992" s="21" t="n">
        <v>0.0772</v>
      </c>
      <c r="AA992" s="16" t="n">
        <v>44096</v>
      </c>
      <c r="AB992" s="5">
        <f>IF(V992="","",IF(V992&lt;12,"Months","Weeks"))</f>
        <v/>
      </c>
      <c r="AC992" s="5">
        <f>IF(AB992="","",IF(AB992="Months","Daily","Weekly"))</f>
        <v/>
      </c>
      <c r="AD992" s="17">
        <f>IF(V992="","",IF(AC992="Daily",V992*Controls!$B$13,V992))</f>
        <v/>
      </c>
      <c r="AE992" s="17">
        <f>IF(V992="","",IF(AC992="Daily",V992*Controls!$B$13,V992*Controls!$B$12))</f>
        <v/>
      </c>
      <c r="AF992" s="17">
        <f>IF(OR(E992="",F992=""),"",F992-E992)</f>
        <v/>
      </c>
      <c r="AG992" s="17">
        <f>IF(OR(E992="",F992=""),"",NETWORKDAYS(E992,F992,Ref!$F$4:$F$47))</f>
        <v/>
      </c>
      <c r="AH992" s="39">
        <f>IF(IFERROR(VLOOKUP(D992,Controls!$A$25:$D$35,2,FALSE()),"No")="Yes",1,0)</f>
        <v/>
      </c>
      <c r="AI992" s="39">
        <f>IF(IFERROR(VLOOKUP(D992,Controls!$A$25:$D$35,3,FALSE()),"No")="Yes",1,0)</f>
        <v/>
      </c>
      <c r="AJ992" s="39">
        <f>IF(IFERROR(VLOOKUP(D992,Controls!$A$25:$D$35,4,FALSE()),"No")="Yes",1,0)</f>
        <v/>
      </c>
      <c r="AK992" s="96">
        <f>IF(AND($E992&gt;=Controls!$B$5,$E992&lt;=Controls!$B$6,OR(Controls!$E$9&lt;&gt;"Y",$BE992=1)),1,0)</f>
        <v/>
      </c>
      <c r="AL992" s="39">
        <f>1</f>
        <v/>
      </c>
      <c r="AM992" s="20">
        <f>S992-P992</f>
        <v/>
      </c>
      <c r="AN992" s="20">
        <f>IF(AH992=1,MAX(0,P992-S992),0)</f>
        <v/>
      </c>
      <c r="AO992" s="21">
        <f>IFERROR(S992/P992,"")</f>
        <v/>
      </c>
      <c r="AP992" s="22">
        <f>IF(Y992="","",P992/Y992)</f>
        <v/>
      </c>
      <c r="AQ992" s="39">
        <f>IF(Y992="",0,1)</f>
        <v/>
      </c>
      <c r="AR992" s="39">
        <f>IF(S992&lt;=0,1,0)</f>
        <v/>
      </c>
      <c r="AS992" s="17">
        <f>IF(AH992=1,AG992,"")</f>
        <v/>
      </c>
      <c r="AT992" s="17">
        <f>IF(AND(AH992=0,AJ992=1),AG992,"")</f>
        <v/>
      </c>
      <c r="AU992" s="5">
        <f>IF(P992&lt;10000,"Under $10K",IF(P992&lt;20000,"$10-20K",IF(P992&lt;30000,"$20-30K",IF(P992&lt;50000,"$30-50K",IF(P992&lt;100000,"$50-100K","$100K+")))))</f>
        <v/>
      </c>
      <c r="AV992" s="5">
        <f>IF(O992&lt;=1.35,"1.35 and under",IF(O992&lt;=1.42,"1.36-1.42",IF(O992&lt;=1.45,"1.43-1.45",IF(O992&lt;1.49,"1.46-1.48",IF(O992&lt;=1.49,"1.49","Above 1.49")))))</f>
        <v/>
      </c>
      <c r="AW992" s="5">
        <f>IF(AE992="","",IF(AE992&lt;60,"Under 60",IF(AE992&lt;90,"60-89",IF(AE992&lt;120,"90-119",IF(AE992&lt;150,"120-149","150+")))))</f>
        <v/>
      </c>
      <c r="AX992" s="5">
        <f>IF(AP992="","No revenue data",IF(AP992&lt;0.15,"Under 0.15x",IF(AP992&lt;0.3,"0.15-0.30x",IF(AP992&lt;0.5,"0.30-0.50x",IF(AP992&lt;1,"0.50-1.00x","1.00x+")))))</f>
        <v/>
      </c>
      <c r="AY992" s="5">
        <f>IF(J992="","No SIC",IFERROR(VLOOKUP(J992,Ref!$A$4:$C$67,2,FALSE()),"Unclassified"))</f>
        <v/>
      </c>
      <c r="AZ992" s="5">
        <f>IF(E992="","",TEXT(E992,"YYYY")&amp;"-Q"&amp;ROUNDUP(MONTH(E992)/3,0))</f>
        <v/>
      </c>
      <c r="BA992" s="5">
        <f>IF(E992="","",TEXT(E992,"YYYY-MM"))</f>
        <v/>
      </c>
      <c r="BB992" s="5">
        <f>IF(E992="","",TEXT(E992,"YYYY"))</f>
        <v/>
      </c>
      <c r="BC992" s="92">
        <f>IF($E992="","",NETWORKDAYS($E992,Controls!$B$9,Ref!$F$4:$F$47))</f>
        <v/>
      </c>
      <c r="BD992" s="92">
        <f>IF(OR($AH992=1,$AJ992=1),1,0)</f>
        <v/>
      </c>
      <c r="BE992" s="95">
        <f>IF(OR($BD992=1,AND($AE992&lt;&gt;"",$BC992&gt;=Controls!$B$10*$AE992)),1,0)</f>
        <v/>
      </c>
    </row>
    <row r="993" ht="15.75" customHeight="1" s="79">
      <c r="A993" s="5" t="inlineStr">
        <is>
          <t>5674186416</t>
        </is>
      </c>
      <c r="B993" s="5" t="inlineStr">
        <is>
          <t>BE WELLNESS DBA DUBOIS DRUG AND WELLNESS DBA WILLIAM DRAHUSHAK SOLE MBR</t>
        </is>
      </c>
      <c r="C993" s="5" t="inlineStr">
        <is>
          <t>BE Wellness Inc</t>
        </is>
      </c>
      <c r="D993" s="5" t="inlineStr">
        <is>
          <t>Open</t>
        </is>
      </c>
      <c r="E993" s="16" t="n">
        <v>46203</v>
      </c>
      <c r="F993" s="16" t="n">
        <v>46253</v>
      </c>
      <c r="G993" s="17" t="n">
        <v>3</v>
      </c>
      <c r="H993" s="5" t="inlineStr">
        <is>
          <t>2834</t>
        </is>
      </c>
      <c r="I993" s="5" t="inlineStr">
        <is>
          <t>Pharmaceutical Preparation Mfg.</t>
        </is>
      </c>
      <c r="J993" s="5" t="inlineStr">
        <is>
          <t>28</t>
        </is>
      </c>
      <c r="K993" s="5" t="n">
        <v>2842</v>
      </c>
      <c r="L993" s="5" t="inlineStr">
        <is>
          <t>PA</t>
        </is>
      </c>
      <c r="M993" s="5" t="inlineStr">
        <is>
          <t>TRUSTFI</t>
        </is>
      </c>
      <c r="N993" s="5" t="inlineStr">
        <is>
          <t>New Deal</t>
        </is>
      </c>
      <c r="O993" s="19" t="n">
        <v>1.43</v>
      </c>
      <c r="P993" s="20" t="n">
        <v>110000</v>
      </c>
      <c r="Q993" s="20" t="n">
        <v>12100</v>
      </c>
      <c r="R993" s="20" t="n">
        <v>157300</v>
      </c>
      <c r="S993" s="20" t="n">
        <v>19305.89</v>
      </c>
      <c r="T993" s="20" t="n">
        <v>137994.11</v>
      </c>
      <c r="U993" s="21" t="n">
        <v>0.122732930705658</v>
      </c>
      <c r="V993" s="22" t="n">
        <v>44</v>
      </c>
      <c r="W993" s="17" t="n">
        <v>0</v>
      </c>
      <c r="X993" s="17" t="n">
        <v>1</v>
      </c>
      <c r="Y993" s="20" t="n">
        <v>276075.27</v>
      </c>
      <c r="Z993" s="21" t="n">
        <v>0.0518</v>
      </c>
      <c r="AA993" s="16" t="n">
        <v>39056</v>
      </c>
      <c r="AB993" s="5">
        <f>IF(V993="","",IF(V993&lt;12,"Months","Weeks"))</f>
        <v/>
      </c>
      <c r="AC993" s="5">
        <f>IF(AB993="","",IF(AB993="Months","Daily","Weekly"))</f>
        <v/>
      </c>
      <c r="AD993" s="17">
        <f>IF(V993="","",IF(AC993="Daily",V993*Controls!$B$13,V993))</f>
        <v/>
      </c>
      <c r="AE993" s="17">
        <f>IF(V993="","",IF(AC993="Daily",V993*Controls!$B$13,V993*Controls!$B$12))</f>
        <v/>
      </c>
      <c r="AF993" s="17">
        <f>IF(OR(E993="",F993=""),"",F993-E993)</f>
        <v/>
      </c>
      <c r="AG993" s="17">
        <f>IF(OR(E993="",F993=""),"",NETWORKDAYS(E993,F993,Ref!$F$4:$F$47))</f>
        <v/>
      </c>
      <c r="AH993" s="39">
        <f>IF(IFERROR(VLOOKUP(D993,Controls!$A$25:$D$35,2,FALSE()),"No")="Yes",1,0)</f>
        <v/>
      </c>
      <c r="AI993" s="39">
        <f>IF(IFERROR(VLOOKUP(D993,Controls!$A$25:$D$35,3,FALSE()),"No")="Yes",1,0)</f>
        <v/>
      </c>
      <c r="AJ993" s="39">
        <f>IF(IFERROR(VLOOKUP(D993,Controls!$A$25:$D$35,4,FALSE()),"No")="Yes",1,0)</f>
        <v/>
      </c>
      <c r="AK993" s="96">
        <f>IF(AND($E993&gt;=Controls!$B$5,$E993&lt;=Controls!$B$6,OR(Controls!$E$9&lt;&gt;"Y",$BE993=1)),1,0)</f>
        <v/>
      </c>
      <c r="AL993" s="39">
        <f>1</f>
        <v/>
      </c>
      <c r="AM993" s="20">
        <f>S993-P993</f>
        <v/>
      </c>
      <c r="AN993" s="20">
        <f>IF(AH993=1,MAX(0,P993-S993),0)</f>
        <v/>
      </c>
      <c r="AO993" s="21">
        <f>IFERROR(S993/P993,"")</f>
        <v/>
      </c>
      <c r="AP993" s="22">
        <f>IF(Y993="","",P993/Y993)</f>
        <v/>
      </c>
      <c r="AQ993" s="39">
        <f>IF(Y993="",0,1)</f>
        <v/>
      </c>
      <c r="AR993" s="39">
        <f>IF(S993&lt;=0,1,0)</f>
        <v/>
      </c>
      <c r="AS993" s="17">
        <f>IF(AH993=1,AG993,"")</f>
        <v/>
      </c>
      <c r="AT993" s="17">
        <f>IF(AND(AH993=0,AJ993=1),AG993,"")</f>
        <v/>
      </c>
      <c r="AU993" s="5">
        <f>IF(P993&lt;10000,"Under $10K",IF(P993&lt;20000,"$10-20K",IF(P993&lt;30000,"$20-30K",IF(P993&lt;50000,"$30-50K",IF(P993&lt;100000,"$50-100K","$100K+")))))</f>
        <v/>
      </c>
      <c r="AV993" s="5">
        <f>IF(O993&lt;=1.35,"1.35 and under",IF(O993&lt;=1.42,"1.36-1.42",IF(O993&lt;=1.45,"1.43-1.45",IF(O993&lt;1.49,"1.46-1.48",IF(O993&lt;=1.49,"1.49","Above 1.49")))))</f>
        <v/>
      </c>
      <c r="AW993" s="5">
        <f>IF(AE993="","",IF(AE993&lt;60,"Under 60",IF(AE993&lt;90,"60-89",IF(AE993&lt;120,"90-119",IF(AE993&lt;150,"120-149","150+")))))</f>
        <v/>
      </c>
      <c r="AX993" s="5">
        <f>IF(AP993="","No revenue data",IF(AP993&lt;0.15,"Under 0.15x",IF(AP993&lt;0.3,"0.15-0.30x",IF(AP993&lt;0.5,"0.30-0.50x",IF(AP993&lt;1,"0.50-1.00x","1.00x+")))))</f>
        <v/>
      </c>
      <c r="AY993" s="5">
        <f>IF(J993="","No SIC",IFERROR(VLOOKUP(J993,Ref!$A$4:$C$67,2,FALSE()),"Unclassified"))</f>
        <v/>
      </c>
      <c r="AZ993" s="5">
        <f>IF(E993="","",TEXT(E993,"YYYY")&amp;"-Q"&amp;ROUNDUP(MONTH(E993)/3,0))</f>
        <v/>
      </c>
      <c r="BA993" s="5">
        <f>IF(E993="","",TEXT(E993,"YYYY-MM"))</f>
        <v/>
      </c>
      <c r="BB993" s="5">
        <f>IF(E993="","",TEXT(E993,"YYYY"))</f>
        <v/>
      </c>
      <c r="BC993" s="92">
        <f>IF($E993="","",NETWORKDAYS($E993,Controls!$B$9,Ref!$F$4:$F$47))</f>
        <v/>
      </c>
      <c r="BD993" s="92">
        <f>IF(OR($AH993=1,$AJ993=1),1,0)</f>
        <v/>
      </c>
      <c r="BE993" s="95">
        <f>IF(OR($BD993=1,AND($AE993&lt;&gt;"",$BC993&gt;=Controls!$B$10*$AE993)),1,0)</f>
        <v/>
      </c>
    </row>
    <row r="994" ht="15.75" customHeight="1" s="79">
      <c r="A994" s="5" t="inlineStr">
        <is>
          <t>5674186419</t>
        </is>
      </c>
      <c r="B994" s="5" t="inlineStr">
        <is>
          <t>FRANCHISE MEALS</t>
        </is>
      </c>
      <c r="C994" s="5" t="inlineStr">
        <is>
          <t>FRANCHISE MEALS LLC</t>
        </is>
      </c>
      <c r="D994" s="5" t="inlineStr">
        <is>
          <t>Open</t>
        </is>
      </c>
      <c r="E994" s="16" t="n">
        <v>46203</v>
      </c>
      <c r="F994" s="16" t="n">
        <v>46253</v>
      </c>
      <c r="G994" s="17" t="n">
        <v>3</v>
      </c>
      <c r="H994" s="5" t="inlineStr">
        <is>
          <t>5812</t>
        </is>
      </c>
      <c r="I994" s="5" t="inlineStr">
        <is>
          <t>Full-Service Restaurants</t>
        </is>
      </c>
      <c r="J994" s="5" t="inlineStr">
        <is>
          <t>58</t>
        </is>
      </c>
      <c r="K994" s="5" t="n">
        <v>5812</v>
      </c>
      <c r="L994" s="5" t="inlineStr">
        <is>
          <t>MO</t>
        </is>
      </c>
      <c r="M994" s="5" t="inlineStr">
        <is>
          <t>Westwood</t>
        </is>
      </c>
      <c r="N994" s="5" t="inlineStr">
        <is>
          <t>New Deal</t>
        </is>
      </c>
      <c r="O994" s="19" t="n">
        <v>1.49</v>
      </c>
      <c r="P994" s="20" t="n">
        <v>20000</v>
      </c>
      <c r="Q994" s="20" t="n">
        <v>2800</v>
      </c>
      <c r="R994" s="20" t="n">
        <v>29800</v>
      </c>
      <c r="S994" s="20" t="n">
        <v>3228.07</v>
      </c>
      <c r="T994" s="20" t="n">
        <v>26571.93</v>
      </c>
      <c r="U994" s="21" t="n">
        <v>0.108324496644295</v>
      </c>
      <c r="V994" s="22" t="n">
        <v>24</v>
      </c>
      <c r="W994" s="17" t="n">
        <v>0</v>
      </c>
      <c r="X994" s="17" t="n">
        <v>5</v>
      </c>
      <c r="Y994" s="20" t="n">
        <v>29008.61</v>
      </c>
      <c r="Z994" s="21" t="n">
        <v>0.1712</v>
      </c>
      <c r="AA994" s="16" t="n">
        <v>44187</v>
      </c>
      <c r="AB994" s="5">
        <f>IF(V994="","",IF(V994&lt;12,"Months","Weeks"))</f>
        <v/>
      </c>
      <c r="AC994" s="5">
        <f>IF(AB994="","",IF(AB994="Months","Daily","Weekly"))</f>
        <v/>
      </c>
      <c r="AD994" s="17">
        <f>IF(V994="","",IF(AC994="Daily",V994*Controls!$B$13,V994))</f>
        <v/>
      </c>
      <c r="AE994" s="17">
        <f>IF(V994="","",IF(AC994="Daily",V994*Controls!$B$13,V994*Controls!$B$12))</f>
        <v/>
      </c>
      <c r="AF994" s="17">
        <f>IF(OR(E994="",F994=""),"",F994-E994)</f>
        <v/>
      </c>
      <c r="AG994" s="17">
        <f>IF(OR(E994="",F994=""),"",NETWORKDAYS(E994,F994,Ref!$F$4:$F$47))</f>
        <v/>
      </c>
      <c r="AH994" s="39">
        <f>IF(IFERROR(VLOOKUP(D994,Controls!$A$25:$D$35,2,FALSE()),"No")="Yes",1,0)</f>
        <v/>
      </c>
      <c r="AI994" s="39">
        <f>IF(IFERROR(VLOOKUP(D994,Controls!$A$25:$D$35,3,FALSE()),"No")="Yes",1,0)</f>
        <v/>
      </c>
      <c r="AJ994" s="39">
        <f>IF(IFERROR(VLOOKUP(D994,Controls!$A$25:$D$35,4,FALSE()),"No")="Yes",1,0)</f>
        <v/>
      </c>
      <c r="AK994" s="96">
        <f>IF(AND($E994&gt;=Controls!$B$5,$E994&lt;=Controls!$B$6,OR(Controls!$E$9&lt;&gt;"Y",$BE994=1)),1,0)</f>
        <v/>
      </c>
      <c r="AL994" s="39">
        <f>1</f>
        <v/>
      </c>
      <c r="AM994" s="20">
        <f>S994-P994</f>
        <v/>
      </c>
      <c r="AN994" s="20">
        <f>IF(AH994=1,MAX(0,P994-S994),0)</f>
        <v/>
      </c>
      <c r="AO994" s="21">
        <f>IFERROR(S994/P994,"")</f>
        <v/>
      </c>
      <c r="AP994" s="22">
        <f>IF(Y994="","",P994/Y994)</f>
        <v/>
      </c>
      <c r="AQ994" s="39">
        <f>IF(Y994="",0,1)</f>
        <v/>
      </c>
      <c r="AR994" s="39">
        <f>IF(S994&lt;=0,1,0)</f>
        <v/>
      </c>
      <c r="AS994" s="17">
        <f>IF(AH994=1,AG994,"")</f>
        <v/>
      </c>
      <c r="AT994" s="17">
        <f>IF(AND(AH994=0,AJ994=1),AG994,"")</f>
        <v/>
      </c>
      <c r="AU994" s="5">
        <f>IF(P994&lt;10000,"Under $10K",IF(P994&lt;20000,"$10-20K",IF(P994&lt;30000,"$20-30K",IF(P994&lt;50000,"$30-50K",IF(P994&lt;100000,"$50-100K","$100K+")))))</f>
        <v/>
      </c>
      <c r="AV994" s="5">
        <f>IF(O994&lt;=1.35,"1.35 and under",IF(O994&lt;=1.42,"1.36-1.42",IF(O994&lt;=1.45,"1.43-1.45",IF(O994&lt;1.49,"1.46-1.48",IF(O994&lt;=1.49,"1.49","Above 1.49")))))</f>
        <v/>
      </c>
      <c r="AW994" s="5">
        <f>IF(AE994="","",IF(AE994&lt;60,"Under 60",IF(AE994&lt;90,"60-89",IF(AE994&lt;120,"90-119",IF(AE994&lt;150,"120-149","150+")))))</f>
        <v/>
      </c>
      <c r="AX994" s="5">
        <f>IF(AP994="","No revenue data",IF(AP994&lt;0.15,"Under 0.15x",IF(AP994&lt;0.3,"0.15-0.30x",IF(AP994&lt;0.5,"0.30-0.50x",IF(AP994&lt;1,"0.50-1.00x","1.00x+")))))</f>
        <v/>
      </c>
      <c r="AY994" s="5">
        <f>IF(J994="","No SIC",IFERROR(VLOOKUP(J994,Ref!$A$4:$C$67,2,FALSE()),"Unclassified"))</f>
        <v/>
      </c>
      <c r="AZ994" s="5">
        <f>IF(E994="","",TEXT(E994,"YYYY")&amp;"-Q"&amp;ROUNDUP(MONTH(E994)/3,0))</f>
        <v/>
      </c>
      <c r="BA994" s="5">
        <f>IF(E994="","",TEXT(E994,"YYYY-MM"))</f>
        <v/>
      </c>
      <c r="BB994" s="5">
        <f>IF(E994="","",TEXT(E994,"YYYY"))</f>
        <v/>
      </c>
      <c r="BC994" s="92">
        <f>IF($E994="","",NETWORKDAYS($E994,Controls!$B$9,Ref!$F$4:$F$47))</f>
        <v/>
      </c>
      <c r="BD994" s="92">
        <f>IF(OR($AH994=1,$AJ994=1),1,0)</f>
        <v/>
      </c>
      <c r="BE994" s="95">
        <f>IF(OR($BD994=1,AND($AE994&lt;&gt;"",$BC994&gt;=Controls!$B$10*$AE994)),1,0)</f>
        <v/>
      </c>
    </row>
    <row r="995" ht="15.75" customHeight="1" s="79">
      <c r="A995" s="5" t="inlineStr">
        <is>
          <t>5674186483</t>
        </is>
      </c>
      <c r="B995" s="5" t="inlineStr">
        <is>
          <t>TACOS MADRE KITCHEN &amp; CANTINA</t>
        </is>
      </c>
      <c r="C995" s="5" t="inlineStr">
        <is>
          <t>Tacos Madre Kitchen &amp; Cantina LLC</t>
        </is>
      </c>
      <c r="D995" s="5" t="inlineStr">
        <is>
          <t>Open</t>
        </is>
      </c>
      <c r="E995" s="16" t="n">
        <v>46204</v>
      </c>
      <c r="F995" s="16" t="n">
        <v>46248</v>
      </c>
      <c r="G995" s="17" t="n">
        <v>3</v>
      </c>
      <c r="H995" s="5" t="inlineStr">
        <is>
          <t>5812</t>
        </is>
      </c>
      <c r="I995" s="5" t="inlineStr">
        <is>
          <t>Full-Service Restaurants</t>
        </is>
      </c>
      <c r="J995" s="5" t="inlineStr">
        <is>
          <t>58</t>
        </is>
      </c>
      <c r="K995" s="5" t="n">
        <v>5812</v>
      </c>
      <c r="L995" s="5" t="inlineStr">
        <is>
          <t>CA</t>
        </is>
      </c>
      <c r="M995" s="5" t="inlineStr">
        <is>
          <t>National Business Capital</t>
        </is>
      </c>
      <c r="N995" s="5" t="inlineStr">
        <is>
          <t>New Deal</t>
        </is>
      </c>
      <c r="O995" s="19" t="n">
        <v>1.45</v>
      </c>
      <c r="P995" s="20" t="n">
        <v>20000</v>
      </c>
      <c r="Q995" s="20" t="n">
        <v>2400</v>
      </c>
      <c r="R995" s="20" t="n">
        <v>29000</v>
      </c>
      <c r="S995" s="20" t="n">
        <v>6960</v>
      </c>
      <c r="T995" s="20" t="n">
        <v>22040</v>
      </c>
      <c r="U995" s="21" t="n">
        <v>0.24</v>
      </c>
      <c r="V995" s="22" t="n">
        <v>25</v>
      </c>
      <c r="W995" s="17" t="n">
        <v>5</v>
      </c>
      <c r="X995" s="17" t="n">
        <v>0</v>
      </c>
      <c r="Y995" s="20" t="n">
        <v>184402.29</v>
      </c>
      <c r="Z995" s="21" t="n">
        <v>0.03</v>
      </c>
      <c r="AA995" s="16" t="n">
        <v>45190</v>
      </c>
      <c r="AB995" s="5">
        <f>IF(V995="","",IF(V995&lt;12,"Months","Weeks"))</f>
        <v/>
      </c>
      <c r="AC995" s="5">
        <f>IF(AB995="","",IF(AB995="Months","Daily","Weekly"))</f>
        <v/>
      </c>
      <c r="AD995" s="17">
        <f>IF(V995="","",IF(AC995="Daily",V995*Controls!$B$13,V995))</f>
        <v/>
      </c>
      <c r="AE995" s="17">
        <f>IF(V995="","",IF(AC995="Daily",V995*Controls!$B$13,V995*Controls!$B$12))</f>
        <v/>
      </c>
      <c r="AF995" s="17">
        <f>IF(OR(E995="",F995=""),"",F995-E995)</f>
        <v/>
      </c>
      <c r="AG995" s="17">
        <f>IF(OR(E995="",F995=""),"",NETWORKDAYS(E995,F995,Ref!$F$4:$F$47))</f>
        <v/>
      </c>
      <c r="AH995" s="39">
        <f>IF(IFERROR(VLOOKUP(D995,Controls!$A$25:$D$35,2,FALSE()),"No")="Yes",1,0)</f>
        <v/>
      </c>
      <c r="AI995" s="39">
        <f>IF(IFERROR(VLOOKUP(D995,Controls!$A$25:$D$35,3,FALSE()),"No")="Yes",1,0)</f>
        <v/>
      </c>
      <c r="AJ995" s="39">
        <f>IF(IFERROR(VLOOKUP(D995,Controls!$A$25:$D$35,4,FALSE()),"No")="Yes",1,0)</f>
        <v/>
      </c>
      <c r="AK995" s="96">
        <f>IF(AND($E995&gt;=Controls!$B$5,$E995&lt;=Controls!$B$6,OR(Controls!$E$9&lt;&gt;"Y",$BE995=1)),1,0)</f>
        <v/>
      </c>
      <c r="AL995" s="39">
        <f>1</f>
        <v/>
      </c>
      <c r="AM995" s="20">
        <f>S995-P995</f>
        <v/>
      </c>
      <c r="AN995" s="20">
        <f>IF(AH995=1,MAX(0,P995-S995),0)</f>
        <v/>
      </c>
      <c r="AO995" s="21">
        <f>IFERROR(S995/P995,"")</f>
        <v/>
      </c>
      <c r="AP995" s="22">
        <f>IF(Y995="","",P995/Y995)</f>
        <v/>
      </c>
      <c r="AQ995" s="39">
        <f>IF(Y995="",0,1)</f>
        <v/>
      </c>
      <c r="AR995" s="39">
        <f>IF(S995&lt;=0,1,0)</f>
        <v/>
      </c>
      <c r="AS995" s="17">
        <f>IF(AH995=1,AG995,"")</f>
        <v/>
      </c>
      <c r="AT995" s="17">
        <f>IF(AND(AH995=0,AJ995=1),AG995,"")</f>
        <v/>
      </c>
      <c r="AU995" s="5">
        <f>IF(P995&lt;10000,"Under $10K",IF(P995&lt;20000,"$10-20K",IF(P995&lt;30000,"$20-30K",IF(P995&lt;50000,"$30-50K",IF(P995&lt;100000,"$50-100K","$100K+")))))</f>
        <v/>
      </c>
      <c r="AV995" s="5">
        <f>IF(O995&lt;=1.35,"1.35 and under",IF(O995&lt;=1.42,"1.36-1.42",IF(O995&lt;=1.45,"1.43-1.45",IF(O995&lt;1.49,"1.46-1.48",IF(O995&lt;=1.49,"1.49","Above 1.49")))))</f>
        <v/>
      </c>
      <c r="AW995" s="5">
        <f>IF(AE995="","",IF(AE995&lt;60,"Under 60",IF(AE995&lt;90,"60-89",IF(AE995&lt;120,"90-119",IF(AE995&lt;150,"120-149","150+")))))</f>
        <v/>
      </c>
      <c r="AX995" s="5">
        <f>IF(AP995="","No revenue data",IF(AP995&lt;0.15,"Under 0.15x",IF(AP995&lt;0.3,"0.15-0.30x",IF(AP995&lt;0.5,"0.30-0.50x",IF(AP995&lt;1,"0.50-1.00x","1.00x+")))))</f>
        <v/>
      </c>
      <c r="AY995" s="5">
        <f>IF(J995="","No SIC",IFERROR(VLOOKUP(J995,Ref!$A$4:$C$67,2,FALSE()),"Unclassified"))</f>
        <v/>
      </c>
      <c r="AZ995" s="5">
        <f>IF(E995="","",TEXT(E995,"YYYY")&amp;"-Q"&amp;ROUNDUP(MONTH(E995)/3,0))</f>
        <v/>
      </c>
      <c r="BA995" s="5">
        <f>IF(E995="","",TEXT(E995,"YYYY-MM"))</f>
        <v/>
      </c>
      <c r="BB995" s="5">
        <f>IF(E995="","",TEXT(E995,"YYYY"))</f>
        <v/>
      </c>
      <c r="BC995" s="92">
        <f>IF($E995="","",NETWORKDAYS($E995,Controls!$B$9,Ref!$F$4:$F$47))</f>
        <v/>
      </c>
      <c r="BD995" s="92">
        <f>IF(OR($AH995=1,$AJ995=1),1,0)</f>
        <v/>
      </c>
      <c r="BE995" s="95">
        <f>IF(OR($BD995=1,AND($AE995&lt;&gt;"",$BC995&gt;=Controls!$B$10*$AE995)),1,0)</f>
        <v/>
      </c>
    </row>
    <row r="996" ht="15.75" customHeight="1" s="79">
      <c r="A996" s="5" t="inlineStr">
        <is>
          <t>5674186487</t>
        </is>
      </c>
      <c r="B996" s="5" t="inlineStr">
        <is>
          <t>Doreesha Flavad Puurckles</t>
        </is>
      </c>
      <c r="C996" s="5" t="inlineStr">
        <is>
          <t>Doreesha Flavad Puurckles</t>
        </is>
      </c>
      <c r="D996" s="5" t="inlineStr">
        <is>
          <t>Open</t>
        </is>
      </c>
      <c r="E996" s="16" t="n">
        <v>46204</v>
      </c>
      <c r="F996" s="16" t="n">
        <v>46253</v>
      </c>
      <c r="G996" s="17" t="n">
        <v>3</v>
      </c>
      <c r="H996" s="5" t="inlineStr">
        <is>
          <t>5499</t>
        </is>
      </c>
      <c r="I996" s="5" t="inlineStr">
        <is>
          <t>All Other Specialty Food Stores</t>
        </is>
      </c>
      <c r="J996" s="5" t="inlineStr">
        <is>
          <t>54</t>
        </is>
      </c>
      <c r="K996" s="5" t="n">
        <v>5499</v>
      </c>
      <c r="L996" s="5" t="inlineStr">
        <is>
          <t>GA</t>
        </is>
      </c>
      <c r="M996" s="5" t="inlineStr">
        <is>
          <t>United Secured Capital 8</t>
        </is>
      </c>
      <c r="N996" s="5" t="inlineStr">
        <is>
          <t>New Deal</t>
        </is>
      </c>
      <c r="O996" s="19" t="n">
        <v>1.49</v>
      </c>
      <c r="P996" s="20" t="n">
        <v>25000</v>
      </c>
      <c r="Q996" s="20" t="n">
        <v>3500</v>
      </c>
      <c r="R996" s="20" t="n">
        <v>37250</v>
      </c>
      <c r="S996" s="20" t="n">
        <v>3725.23</v>
      </c>
      <c r="T996" s="20" t="n">
        <v>33524.77</v>
      </c>
      <c r="U996" s="21" t="n">
        <v>0.100006174496644</v>
      </c>
      <c r="V996" s="22" t="n">
        <v>20</v>
      </c>
      <c r="W996" s="17" t="n">
        <v>0</v>
      </c>
      <c r="X996" s="17" t="n">
        <v>8</v>
      </c>
      <c r="Y996" s="20" t="n">
        <v>30373.05</v>
      </c>
      <c r="Z996" s="21" t="n">
        <v>0.2453</v>
      </c>
      <c r="AA996" s="16" t="n">
        <v>44287</v>
      </c>
      <c r="AB996" s="5">
        <f>IF(V996="","",IF(V996&lt;12,"Months","Weeks"))</f>
        <v/>
      </c>
      <c r="AC996" s="5">
        <f>IF(AB996="","",IF(AB996="Months","Daily","Weekly"))</f>
        <v/>
      </c>
      <c r="AD996" s="17">
        <f>IF(V996="","",IF(AC996="Daily",V996*Controls!$B$13,V996))</f>
        <v/>
      </c>
      <c r="AE996" s="17">
        <f>IF(V996="","",IF(AC996="Daily",V996*Controls!$B$13,V996*Controls!$B$12))</f>
        <v/>
      </c>
      <c r="AF996" s="17">
        <f>IF(OR(E996="",F996=""),"",F996-E996)</f>
        <v/>
      </c>
      <c r="AG996" s="17">
        <f>IF(OR(E996="",F996=""),"",NETWORKDAYS(E996,F996,Ref!$F$4:$F$47))</f>
        <v/>
      </c>
      <c r="AH996" s="39">
        <f>IF(IFERROR(VLOOKUP(D996,Controls!$A$25:$D$35,2,FALSE()),"No")="Yes",1,0)</f>
        <v/>
      </c>
      <c r="AI996" s="39">
        <f>IF(IFERROR(VLOOKUP(D996,Controls!$A$25:$D$35,3,FALSE()),"No")="Yes",1,0)</f>
        <v/>
      </c>
      <c r="AJ996" s="39">
        <f>IF(IFERROR(VLOOKUP(D996,Controls!$A$25:$D$35,4,FALSE()),"No")="Yes",1,0)</f>
        <v/>
      </c>
      <c r="AK996" s="96">
        <f>IF(AND($E996&gt;=Controls!$B$5,$E996&lt;=Controls!$B$6,OR(Controls!$E$9&lt;&gt;"Y",$BE996=1)),1,0)</f>
        <v/>
      </c>
      <c r="AL996" s="39">
        <f>1</f>
        <v/>
      </c>
      <c r="AM996" s="20">
        <f>S996-P996</f>
        <v/>
      </c>
      <c r="AN996" s="20">
        <f>IF(AH996=1,MAX(0,P996-S996),0)</f>
        <v/>
      </c>
      <c r="AO996" s="21">
        <f>IFERROR(S996/P996,"")</f>
        <v/>
      </c>
      <c r="AP996" s="22">
        <f>IF(Y996="","",P996/Y996)</f>
        <v/>
      </c>
      <c r="AQ996" s="39">
        <f>IF(Y996="",0,1)</f>
        <v/>
      </c>
      <c r="AR996" s="39">
        <f>IF(S996&lt;=0,1,0)</f>
        <v/>
      </c>
      <c r="AS996" s="17">
        <f>IF(AH996=1,AG996,"")</f>
        <v/>
      </c>
      <c r="AT996" s="17">
        <f>IF(AND(AH996=0,AJ996=1),AG996,"")</f>
        <v/>
      </c>
      <c r="AU996" s="5">
        <f>IF(P996&lt;10000,"Under $10K",IF(P996&lt;20000,"$10-20K",IF(P996&lt;30000,"$20-30K",IF(P996&lt;50000,"$30-50K",IF(P996&lt;100000,"$50-100K","$100K+")))))</f>
        <v/>
      </c>
      <c r="AV996" s="5">
        <f>IF(O996&lt;=1.35,"1.35 and under",IF(O996&lt;=1.42,"1.36-1.42",IF(O996&lt;=1.45,"1.43-1.45",IF(O996&lt;1.49,"1.46-1.48",IF(O996&lt;=1.49,"1.49","Above 1.49")))))</f>
        <v/>
      </c>
      <c r="AW996" s="5">
        <f>IF(AE996="","",IF(AE996&lt;60,"Under 60",IF(AE996&lt;90,"60-89",IF(AE996&lt;120,"90-119",IF(AE996&lt;150,"120-149","150+")))))</f>
        <v/>
      </c>
      <c r="AX996" s="5">
        <f>IF(AP996="","No revenue data",IF(AP996&lt;0.15,"Under 0.15x",IF(AP996&lt;0.3,"0.15-0.30x",IF(AP996&lt;0.5,"0.30-0.50x",IF(AP996&lt;1,"0.50-1.00x","1.00x+")))))</f>
        <v/>
      </c>
      <c r="AY996" s="5">
        <f>IF(J996="","No SIC",IFERROR(VLOOKUP(J996,Ref!$A$4:$C$67,2,FALSE()),"Unclassified"))</f>
        <v/>
      </c>
      <c r="AZ996" s="5">
        <f>IF(E996="","",TEXT(E996,"YYYY")&amp;"-Q"&amp;ROUNDUP(MONTH(E996)/3,0))</f>
        <v/>
      </c>
      <c r="BA996" s="5">
        <f>IF(E996="","",TEXT(E996,"YYYY-MM"))</f>
        <v/>
      </c>
      <c r="BB996" s="5">
        <f>IF(E996="","",TEXT(E996,"YYYY"))</f>
        <v/>
      </c>
      <c r="BC996" s="92">
        <f>IF($E996="","",NETWORKDAYS($E996,Controls!$B$9,Ref!$F$4:$F$47))</f>
        <v/>
      </c>
      <c r="BD996" s="92">
        <f>IF(OR($AH996=1,$AJ996=1),1,0)</f>
        <v/>
      </c>
      <c r="BE996" s="95">
        <f>IF(OR($BD996=1,AND($AE996&lt;&gt;"",$BC996&gt;=Controls!$B$10*$AE996)),1,0)</f>
        <v/>
      </c>
    </row>
    <row r="997" ht="15.75" customHeight="1" s="79">
      <c r="A997" s="5" t="inlineStr">
        <is>
          <t>5674186490</t>
        </is>
      </c>
      <c r="B997" s="5" t="inlineStr">
        <is>
          <t>TRANSGLOBAL CONCESSIONS</t>
        </is>
      </c>
      <c r="C997" s="5" t="inlineStr">
        <is>
          <t>Transglobal Concessions LLC</t>
        </is>
      </c>
      <c r="D997" s="5" t="inlineStr">
        <is>
          <t>Open</t>
        </is>
      </c>
      <c r="E997" s="16" t="n">
        <v>46204</v>
      </c>
      <c r="F997" s="16" t="n">
        <v>46251</v>
      </c>
      <c r="G997" s="17" t="n">
        <v>4</v>
      </c>
      <c r="H997" s="5" t="inlineStr">
        <is>
          <t>1522</t>
        </is>
      </c>
      <c r="I997" s="5" t="inlineStr">
        <is>
          <t>New Multifamily Housing Construction (Except For-Sale Builders)</t>
        </is>
      </c>
      <c r="J997" s="5" t="inlineStr">
        <is>
          <t>15</t>
        </is>
      </c>
      <c r="K997" s="5" t="n">
        <v>1520</v>
      </c>
      <c r="L997" s="5" t="inlineStr">
        <is>
          <t>FL</t>
        </is>
      </c>
      <c r="M997" s="5" t="inlineStr">
        <is>
          <t>PMF</t>
        </is>
      </c>
      <c r="N997" s="5" t="inlineStr">
        <is>
          <t>New Deal</t>
        </is>
      </c>
      <c r="O997" s="19" t="n">
        <v>1.39</v>
      </c>
      <c r="P997" s="20" t="n">
        <v>300000</v>
      </c>
      <c r="Q997" s="20" t="n">
        <v>27000</v>
      </c>
      <c r="R997" s="20" t="n">
        <v>417000</v>
      </c>
      <c r="S997" s="20" t="n">
        <v>72932.72</v>
      </c>
      <c r="T997" s="20" t="n">
        <v>344067.28</v>
      </c>
      <c r="U997" s="21" t="n">
        <v>0.17489860911271</v>
      </c>
      <c r="V997" s="22" t="n">
        <v>40</v>
      </c>
      <c r="W997" s="17" t="n">
        <v>2</v>
      </c>
      <c r="X997" s="17" t="n">
        <v>0</v>
      </c>
      <c r="Y997" s="20" t="n">
        <v>949336.14</v>
      </c>
      <c r="Z997" s="21" t="n">
        <v>0.0439</v>
      </c>
      <c r="AA997" s="16" t="n">
        <v>38959</v>
      </c>
      <c r="AB997" s="5">
        <f>IF(V997="","",IF(V997&lt;12,"Months","Weeks"))</f>
        <v/>
      </c>
      <c r="AC997" s="5">
        <f>IF(AB997="","",IF(AB997="Months","Daily","Weekly"))</f>
        <v/>
      </c>
      <c r="AD997" s="17">
        <f>IF(V997="","",IF(AC997="Daily",V997*Controls!$B$13,V997))</f>
        <v/>
      </c>
      <c r="AE997" s="17">
        <f>IF(V997="","",IF(AC997="Daily",V997*Controls!$B$13,V997*Controls!$B$12))</f>
        <v/>
      </c>
      <c r="AF997" s="17">
        <f>IF(OR(E997="",F997=""),"",F997-E997)</f>
        <v/>
      </c>
      <c r="AG997" s="17">
        <f>IF(OR(E997="",F997=""),"",NETWORKDAYS(E997,F997,Ref!$F$4:$F$47))</f>
        <v/>
      </c>
      <c r="AH997" s="39">
        <f>IF(IFERROR(VLOOKUP(D997,Controls!$A$25:$D$35,2,FALSE()),"No")="Yes",1,0)</f>
        <v/>
      </c>
      <c r="AI997" s="39">
        <f>IF(IFERROR(VLOOKUP(D997,Controls!$A$25:$D$35,3,FALSE()),"No")="Yes",1,0)</f>
        <v/>
      </c>
      <c r="AJ997" s="39">
        <f>IF(IFERROR(VLOOKUP(D997,Controls!$A$25:$D$35,4,FALSE()),"No")="Yes",1,0)</f>
        <v/>
      </c>
      <c r="AK997" s="96">
        <f>IF(AND($E997&gt;=Controls!$B$5,$E997&lt;=Controls!$B$6,OR(Controls!$E$9&lt;&gt;"Y",$BE997=1)),1,0)</f>
        <v/>
      </c>
      <c r="AL997" s="39">
        <f>1</f>
        <v/>
      </c>
      <c r="AM997" s="20">
        <f>S997-P997</f>
        <v/>
      </c>
      <c r="AN997" s="20">
        <f>IF(AH997=1,MAX(0,P997-S997),0)</f>
        <v/>
      </c>
      <c r="AO997" s="21">
        <f>IFERROR(S997/P997,"")</f>
        <v/>
      </c>
      <c r="AP997" s="22">
        <f>IF(Y997="","",P997/Y997)</f>
        <v/>
      </c>
      <c r="AQ997" s="39">
        <f>IF(Y997="",0,1)</f>
        <v/>
      </c>
      <c r="AR997" s="39">
        <f>IF(S997&lt;=0,1,0)</f>
        <v/>
      </c>
      <c r="AS997" s="17">
        <f>IF(AH997=1,AG997,"")</f>
        <v/>
      </c>
      <c r="AT997" s="17">
        <f>IF(AND(AH997=0,AJ997=1),AG997,"")</f>
        <v/>
      </c>
      <c r="AU997" s="5">
        <f>IF(P997&lt;10000,"Under $10K",IF(P997&lt;20000,"$10-20K",IF(P997&lt;30000,"$20-30K",IF(P997&lt;50000,"$30-50K",IF(P997&lt;100000,"$50-100K","$100K+")))))</f>
        <v/>
      </c>
      <c r="AV997" s="5">
        <f>IF(O997&lt;=1.35,"1.35 and under",IF(O997&lt;=1.42,"1.36-1.42",IF(O997&lt;=1.45,"1.43-1.45",IF(O997&lt;1.49,"1.46-1.48",IF(O997&lt;=1.49,"1.49","Above 1.49")))))</f>
        <v/>
      </c>
      <c r="AW997" s="5">
        <f>IF(AE997="","",IF(AE997&lt;60,"Under 60",IF(AE997&lt;90,"60-89",IF(AE997&lt;120,"90-119",IF(AE997&lt;150,"120-149","150+")))))</f>
        <v/>
      </c>
      <c r="AX997" s="5">
        <f>IF(AP997="","No revenue data",IF(AP997&lt;0.15,"Under 0.15x",IF(AP997&lt;0.3,"0.15-0.30x",IF(AP997&lt;0.5,"0.30-0.50x",IF(AP997&lt;1,"0.50-1.00x","1.00x+")))))</f>
        <v/>
      </c>
      <c r="AY997" s="5">
        <f>IF(J997="","No SIC",IFERROR(VLOOKUP(J997,Ref!$A$4:$C$67,2,FALSE()),"Unclassified"))</f>
        <v/>
      </c>
      <c r="AZ997" s="5">
        <f>IF(E997="","",TEXT(E997,"YYYY")&amp;"-Q"&amp;ROUNDUP(MONTH(E997)/3,0))</f>
        <v/>
      </c>
      <c r="BA997" s="5">
        <f>IF(E997="","",TEXT(E997,"YYYY-MM"))</f>
        <v/>
      </c>
      <c r="BB997" s="5">
        <f>IF(E997="","",TEXT(E997,"YYYY"))</f>
        <v/>
      </c>
      <c r="BC997" s="92">
        <f>IF($E997="","",NETWORKDAYS($E997,Controls!$B$9,Ref!$F$4:$F$47))</f>
        <v/>
      </c>
      <c r="BD997" s="92">
        <f>IF(OR($AH997=1,$AJ997=1),1,0)</f>
        <v/>
      </c>
      <c r="BE997" s="95">
        <f>IF(OR($BD997=1,AND($AE997&lt;&gt;"",$BC997&gt;=Controls!$B$10*$AE997)),1,0)</f>
        <v/>
      </c>
    </row>
    <row r="998" ht="15.75" customHeight="1" s="79">
      <c r="A998" s="5" t="inlineStr">
        <is>
          <t>5674186503</t>
        </is>
      </c>
      <c r="B998" s="5" t="inlineStr">
        <is>
          <t>Nexus Contracting</t>
        </is>
      </c>
      <c r="C998" s="5" t="inlineStr">
        <is>
          <t>NEXUS CONTRACTING LLC</t>
        </is>
      </c>
      <c r="D998" s="5" t="inlineStr">
        <is>
          <t>Open</t>
        </is>
      </c>
      <c r="E998" s="16" t="n">
        <v>46204</v>
      </c>
      <c r="F998" s="16" t="n">
        <v>46248</v>
      </c>
      <c r="G998" s="17" t="n">
        <v>3</v>
      </c>
      <c r="H998" s="5" t="inlineStr">
        <is>
          <t>1521</t>
        </is>
      </c>
      <c r="I998" s="5" t="inlineStr">
        <is>
          <t>New Single-Family Housing Construction (Except For-Sale Builders)</t>
        </is>
      </c>
      <c r="J998" s="5" t="inlineStr">
        <is>
          <t>15</t>
        </is>
      </c>
      <c r="K998" s="5" t="n">
        <v>1520</v>
      </c>
      <c r="L998" s="5" t="inlineStr">
        <is>
          <t>TX</t>
        </is>
      </c>
      <c r="M998" s="5" t="inlineStr">
        <is>
          <t>United Secured Capital 8</t>
        </is>
      </c>
      <c r="N998" s="5" t="inlineStr">
        <is>
          <t>New Deal</t>
        </is>
      </c>
      <c r="O998" s="19" t="n">
        <v>1.49</v>
      </c>
      <c r="P998" s="20" t="n">
        <v>15000</v>
      </c>
      <c r="Q998" s="20" t="n">
        <v>2100</v>
      </c>
      <c r="R998" s="20" t="n">
        <v>22350</v>
      </c>
      <c r="S998" s="20" t="n">
        <v>3653.61</v>
      </c>
      <c r="T998" s="20" t="n">
        <v>18696.39</v>
      </c>
      <c r="U998" s="21" t="n">
        <v>0.163472483221477</v>
      </c>
      <c r="V998" s="22" t="n">
        <v>20</v>
      </c>
      <c r="W998" s="17" t="n">
        <v>5</v>
      </c>
      <c r="X998" s="17" t="n">
        <v>0</v>
      </c>
      <c r="Y998" s="20" t="n">
        <v>73423.09</v>
      </c>
      <c r="Z998" s="21" t="n">
        <v>0.0609</v>
      </c>
      <c r="AA998" s="16" t="n">
        <v>45826</v>
      </c>
      <c r="AB998" s="5">
        <f>IF(V998="","",IF(V998&lt;12,"Months","Weeks"))</f>
        <v/>
      </c>
      <c r="AC998" s="5">
        <f>IF(AB998="","",IF(AB998="Months","Daily","Weekly"))</f>
        <v/>
      </c>
      <c r="AD998" s="17">
        <f>IF(V998="","",IF(AC998="Daily",V998*Controls!$B$13,V998))</f>
        <v/>
      </c>
      <c r="AE998" s="17">
        <f>IF(V998="","",IF(AC998="Daily",V998*Controls!$B$13,V998*Controls!$B$12))</f>
        <v/>
      </c>
      <c r="AF998" s="17">
        <f>IF(OR(E998="",F998=""),"",F998-E998)</f>
        <v/>
      </c>
      <c r="AG998" s="17">
        <f>IF(OR(E998="",F998=""),"",NETWORKDAYS(E998,F998,Ref!$F$4:$F$47))</f>
        <v/>
      </c>
      <c r="AH998" s="39">
        <f>IF(IFERROR(VLOOKUP(D998,Controls!$A$25:$D$35,2,FALSE()),"No")="Yes",1,0)</f>
        <v/>
      </c>
      <c r="AI998" s="39">
        <f>IF(IFERROR(VLOOKUP(D998,Controls!$A$25:$D$35,3,FALSE()),"No")="Yes",1,0)</f>
        <v/>
      </c>
      <c r="AJ998" s="39">
        <f>IF(IFERROR(VLOOKUP(D998,Controls!$A$25:$D$35,4,FALSE()),"No")="Yes",1,0)</f>
        <v/>
      </c>
      <c r="AK998" s="96">
        <f>IF(AND($E998&gt;=Controls!$B$5,$E998&lt;=Controls!$B$6,OR(Controls!$E$9&lt;&gt;"Y",$BE998=1)),1,0)</f>
        <v/>
      </c>
      <c r="AL998" s="39">
        <f>1</f>
        <v/>
      </c>
      <c r="AM998" s="20">
        <f>S998-P998</f>
        <v/>
      </c>
      <c r="AN998" s="20">
        <f>IF(AH998=1,MAX(0,P998-S998),0)</f>
        <v/>
      </c>
      <c r="AO998" s="21">
        <f>IFERROR(S998/P998,"")</f>
        <v/>
      </c>
      <c r="AP998" s="22">
        <f>IF(Y998="","",P998/Y998)</f>
        <v/>
      </c>
      <c r="AQ998" s="39">
        <f>IF(Y998="",0,1)</f>
        <v/>
      </c>
      <c r="AR998" s="39">
        <f>IF(S998&lt;=0,1,0)</f>
        <v/>
      </c>
      <c r="AS998" s="17">
        <f>IF(AH998=1,AG998,"")</f>
        <v/>
      </c>
      <c r="AT998" s="17">
        <f>IF(AND(AH998=0,AJ998=1),AG998,"")</f>
        <v/>
      </c>
      <c r="AU998" s="5">
        <f>IF(P998&lt;10000,"Under $10K",IF(P998&lt;20000,"$10-20K",IF(P998&lt;30000,"$20-30K",IF(P998&lt;50000,"$30-50K",IF(P998&lt;100000,"$50-100K","$100K+")))))</f>
        <v/>
      </c>
      <c r="AV998" s="5">
        <f>IF(O998&lt;=1.35,"1.35 and under",IF(O998&lt;=1.42,"1.36-1.42",IF(O998&lt;=1.45,"1.43-1.45",IF(O998&lt;1.49,"1.46-1.48",IF(O998&lt;=1.49,"1.49","Above 1.49")))))</f>
        <v/>
      </c>
      <c r="AW998" s="5">
        <f>IF(AE998="","",IF(AE998&lt;60,"Under 60",IF(AE998&lt;90,"60-89",IF(AE998&lt;120,"90-119",IF(AE998&lt;150,"120-149","150+")))))</f>
        <v/>
      </c>
      <c r="AX998" s="5">
        <f>IF(AP998="","No revenue data",IF(AP998&lt;0.15,"Under 0.15x",IF(AP998&lt;0.3,"0.15-0.30x",IF(AP998&lt;0.5,"0.30-0.50x",IF(AP998&lt;1,"0.50-1.00x","1.00x+")))))</f>
        <v/>
      </c>
      <c r="AY998" s="5">
        <f>IF(J998="","No SIC",IFERROR(VLOOKUP(J998,Ref!$A$4:$C$67,2,FALSE()),"Unclassified"))</f>
        <v/>
      </c>
      <c r="AZ998" s="5">
        <f>IF(E998="","",TEXT(E998,"YYYY")&amp;"-Q"&amp;ROUNDUP(MONTH(E998)/3,0))</f>
        <v/>
      </c>
      <c r="BA998" s="5">
        <f>IF(E998="","",TEXT(E998,"YYYY-MM"))</f>
        <v/>
      </c>
      <c r="BB998" s="5">
        <f>IF(E998="","",TEXT(E998,"YYYY"))</f>
        <v/>
      </c>
      <c r="BC998" s="92">
        <f>IF($E998="","",NETWORKDAYS($E998,Controls!$B$9,Ref!$F$4:$F$47))</f>
        <v/>
      </c>
      <c r="BD998" s="92">
        <f>IF(OR($AH998=1,$AJ998=1),1,0)</f>
        <v/>
      </c>
      <c r="BE998" s="95">
        <f>IF(OR($BD998=1,AND($AE998&lt;&gt;"",$BC998&gt;=Controls!$B$10*$AE998)),1,0)</f>
        <v/>
      </c>
    </row>
    <row r="999" ht="15.75" customHeight="1" s="79">
      <c r="A999" s="5" t="inlineStr">
        <is>
          <t>5674186521</t>
        </is>
      </c>
      <c r="B999" s="5" t="inlineStr">
        <is>
          <t>ROUSNY LLC</t>
        </is>
      </c>
      <c r="C999" s="5" t="inlineStr">
        <is>
          <t>ROUSNY LLC</t>
        </is>
      </c>
      <c r="D999" s="5" t="inlineStr">
        <is>
          <t>Open</t>
        </is>
      </c>
      <c r="E999" s="16" t="n">
        <v>46204</v>
      </c>
      <c r="F999" s="16" t="n">
        <v>46253</v>
      </c>
      <c r="G999" s="17" t="n">
        <v>3</v>
      </c>
      <c r="H999" s="5" t="inlineStr">
        <is>
          <t>5999</t>
        </is>
      </c>
      <c r="I999" s="5" t="inlineStr">
        <is>
          <t>All Other Misc. Store Retailers (Except Tobacco Stores)</t>
        </is>
      </c>
      <c r="J999" s="5" t="inlineStr">
        <is>
          <t>59</t>
        </is>
      </c>
      <c r="K999" s="5" t="n">
        <v>5999</v>
      </c>
      <c r="L999" s="5" t="inlineStr">
        <is>
          <t>FL</t>
        </is>
      </c>
      <c r="M999" s="5" t="inlineStr">
        <is>
          <t>Fundwell</t>
        </is>
      </c>
      <c r="N999" s="5" t="inlineStr">
        <is>
          <t>New Deal</t>
        </is>
      </c>
      <c r="O999" s="19" t="n">
        <v>1.42</v>
      </c>
      <c r="P999" s="20" t="n">
        <v>5000</v>
      </c>
      <c r="Q999" s="20" t="n">
        <v>525</v>
      </c>
      <c r="R999" s="20" t="n">
        <v>7100</v>
      </c>
      <c r="S999" s="20" t="n">
        <v>2344.32</v>
      </c>
      <c r="T999" s="20" t="n">
        <v>4755.68</v>
      </c>
      <c r="U999" s="21" t="n">
        <v>0.330185915492958</v>
      </c>
      <c r="V999" s="22" t="n">
        <v>3.279</v>
      </c>
      <c r="W999" s="17" t="n">
        <v>0</v>
      </c>
      <c r="X999" s="17" t="n">
        <v>3</v>
      </c>
      <c r="Y999" s="20" t="n">
        <v>19078.51</v>
      </c>
      <c r="Z999" s="21" t="n">
        <v>0.07820000000000001</v>
      </c>
      <c r="AA999" s="16" t="n">
        <v>45733</v>
      </c>
      <c r="AB999" s="5">
        <f>IF(V999="","",IF(V999&lt;12,"Months","Weeks"))</f>
        <v/>
      </c>
      <c r="AC999" s="5">
        <f>IF(AB999="","",IF(AB999="Months","Daily","Weekly"))</f>
        <v/>
      </c>
      <c r="AD999" s="17">
        <f>IF(V999="","",IF(AC999="Daily",V999*Controls!$B$13,V999))</f>
        <v/>
      </c>
      <c r="AE999" s="17">
        <f>IF(V999="","",IF(AC999="Daily",V999*Controls!$B$13,V999*Controls!$B$12))</f>
        <v/>
      </c>
      <c r="AF999" s="17">
        <f>IF(OR(E999="",F999=""),"",F999-E999)</f>
        <v/>
      </c>
      <c r="AG999" s="17">
        <f>IF(OR(E999="",F999=""),"",NETWORKDAYS(E999,F999,Ref!$F$4:$F$47))</f>
        <v/>
      </c>
      <c r="AH999" s="39">
        <f>IF(IFERROR(VLOOKUP(D999,Controls!$A$25:$D$35,2,FALSE()),"No")="Yes",1,0)</f>
        <v/>
      </c>
      <c r="AI999" s="39">
        <f>IF(IFERROR(VLOOKUP(D999,Controls!$A$25:$D$35,3,FALSE()),"No")="Yes",1,0)</f>
        <v/>
      </c>
      <c r="AJ999" s="39">
        <f>IF(IFERROR(VLOOKUP(D999,Controls!$A$25:$D$35,4,FALSE()),"No")="Yes",1,0)</f>
        <v/>
      </c>
      <c r="AK999" s="96">
        <f>IF(AND($E999&gt;=Controls!$B$5,$E999&lt;=Controls!$B$6,OR(Controls!$E$9&lt;&gt;"Y",$BE999=1)),1,0)</f>
        <v/>
      </c>
      <c r="AL999" s="39">
        <f>1</f>
        <v/>
      </c>
      <c r="AM999" s="20">
        <f>S999-P999</f>
        <v/>
      </c>
      <c r="AN999" s="20">
        <f>IF(AH999=1,MAX(0,P999-S999),0)</f>
        <v/>
      </c>
      <c r="AO999" s="21">
        <f>IFERROR(S999/P999,"")</f>
        <v/>
      </c>
      <c r="AP999" s="22">
        <f>IF(Y999="","",P999/Y999)</f>
        <v/>
      </c>
      <c r="AQ999" s="39">
        <f>IF(Y999="",0,1)</f>
        <v/>
      </c>
      <c r="AR999" s="39">
        <f>IF(S999&lt;=0,1,0)</f>
        <v/>
      </c>
      <c r="AS999" s="17">
        <f>IF(AH999=1,AG999,"")</f>
        <v/>
      </c>
      <c r="AT999" s="17">
        <f>IF(AND(AH999=0,AJ999=1),AG999,"")</f>
        <v/>
      </c>
      <c r="AU999" s="5">
        <f>IF(P999&lt;10000,"Under $10K",IF(P999&lt;20000,"$10-20K",IF(P999&lt;30000,"$20-30K",IF(P999&lt;50000,"$30-50K",IF(P999&lt;100000,"$50-100K","$100K+")))))</f>
        <v/>
      </c>
      <c r="AV999" s="5">
        <f>IF(O999&lt;=1.35,"1.35 and under",IF(O999&lt;=1.42,"1.36-1.42",IF(O999&lt;=1.45,"1.43-1.45",IF(O999&lt;1.49,"1.46-1.48",IF(O999&lt;=1.49,"1.49","Above 1.49")))))</f>
        <v/>
      </c>
      <c r="AW999" s="5">
        <f>IF(AE999="","",IF(AE999&lt;60,"Under 60",IF(AE999&lt;90,"60-89",IF(AE999&lt;120,"90-119",IF(AE999&lt;150,"120-149","150+")))))</f>
        <v/>
      </c>
      <c r="AX999" s="5">
        <f>IF(AP999="","No revenue data",IF(AP999&lt;0.15,"Under 0.15x",IF(AP999&lt;0.3,"0.15-0.30x",IF(AP999&lt;0.5,"0.30-0.50x",IF(AP999&lt;1,"0.50-1.00x","1.00x+")))))</f>
        <v/>
      </c>
      <c r="AY999" s="5">
        <f>IF(J999="","No SIC",IFERROR(VLOOKUP(J999,Ref!$A$4:$C$67,2,FALSE()),"Unclassified"))</f>
        <v/>
      </c>
      <c r="AZ999" s="5">
        <f>IF(E999="","",TEXT(E999,"YYYY")&amp;"-Q"&amp;ROUNDUP(MONTH(E999)/3,0))</f>
        <v/>
      </c>
      <c r="BA999" s="5">
        <f>IF(E999="","",TEXT(E999,"YYYY-MM"))</f>
        <v/>
      </c>
      <c r="BB999" s="5">
        <f>IF(E999="","",TEXT(E999,"YYYY"))</f>
        <v/>
      </c>
      <c r="BC999" s="92">
        <f>IF($E999="","",NETWORKDAYS($E999,Controls!$B$9,Ref!$F$4:$F$47))</f>
        <v/>
      </c>
      <c r="BD999" s="92">
        <f>IF(OR($AH999=1,$AJ999=1),1,0)</f>
        <v/>
      </c>
      <c r="BE999" s="95">
        <f>IF(OR($BD999=1,AND($AE999&lt;&gt;"",$BC999&gt;=Controls!$B$10*$AE999)),1,0)</f>
        <v/>
      </c>
    </row>
    <row r="1000" ht="15.75" customHeight="1" s="79">
      <c r="A1000" s="5" t="inlineStr">
        <is>
          <t>5674186593</t>
        </is>
      </c>
      <c r="B1000" s="5" t="inlineStr">
        <is>
          <t>vecs group llc</t>
        </is>
      </c>
      <c r="C1000" s="5" t="inlineStr">
        <is>
          <t>vecs group llc</t>
        </is>
      </c>
      <c r="D1000" s="5" t="inlineStr">
        <is>
          <t>Open</t>
        </is>
      </c>
      <c r="E1000" s="16" t="n">
        <v>46205</v>
      </c>
      <c r="F1000" s="16" t="n">
        <v>46247</v>
      </c>
      <c r="G1000" s="17" t="n">
        <v>3</v>
      </c>
      <c r="H1000" s="5" t="inlineStr">
        <is>
          <t>5999</t>
        </is>
      </c>
      <c r="I1000" s="5" t="inlineStr">
        <is>
          <t>All Other Misc. Store Retailers (Except Tobacco Stores)</t>
        </is>
      </c>
      <c r="J1000" s="5" t="inlineStr">
        <is>
          <t>59</t>
        </is>
      </c>
      <c r="K1000" s="5" t="n">
        <v>5999</v>
      </c>
      <c r="L1000" s="5" t="inlineStr">
        <is>
          <t>FL</t>
        </is>
      </c>
      <c r="M1000" s="5" t="inlineStr">
        <is>
          <t>The Funding Channel</t>
        </is>
      </c>
      <c r="N1000" s="5" t="inlineStr">
        <is>
          <t>Renewal</t>
        </is>
      </c>
      <c r="O1000" s="19" t="n">
        <v>1.49</v>
      </c>
      <c r="P1000" s="20" t="n">
        <v>25000</v>
      </c>
      <c r="Q1000" s="20" t="n">
        <v>3500</v>
      </c>
      <c r="R1000" s="20" t="n">
        <v>37250</v>
      </c>
      <c r="S1000" s="20" t="n">
        <v>7449.96</v>
      </c>
      <c r="T1000" s="20" t="n">
        <v>29800.04</v>
      </c>
      <c r="U1000" s="21" t="n">
        <v>0.199998926174497</v>
      </c>
      <c r="V1000" s="22" t="n">
        <v>30</v>
      </c>
      <c r="W1000" s="17" t="n">
        <v>6</v>
      </c>
      <c r="X1000" s="17" t="n">
        <v>0</v>
      </c>
      <c r="Y1000" s="20" t="n">
        <v>47032.66</v>
      </c>
      <c r="Z1000" s="21" t="n">
        <v>0.1056</v>
      </c>
      <c r="AA1000" s="16" t="n">
        <v>44336</v>
      </c>
      <c r="AB1000" s="5">
        <f>IF(V1000="","",IF(V1000&lt;12,"Months","Weeks"))</f>
        <v/>
      </c>
      <c r="AC1000" s="5">
        <f>IF(AB1000="","",IF(AB1000="Months","Daily","Weekly"))</f>
        <v/>
      </c>
      <c r="AD1000" s="17">
        <f>IF(V1000="","",IF(AC1000="Daily",V1000*Controls!$B$13,V1000))</f>
        <v/>
      </c>
      <c r="AE1000" s="17">
        <f>IF(V1000="","",IF(AC1000="Daily",V1000*Controls!$B$13,V1000*Controls!$B$12))</f>
        <v/>
      </c>
      <c r="AF1000" s="17">
        <f>IF(OR(E1000="",F1000=""),"",F1000-E1000)</f>
        <v/>
      </c>
      <c r="AG1000" s="17">
        <f>IF(OR(E1000="",F1000=""),"",NETWORKDAYS(E1000,F1000,Ref!$F$4:$F$47))</f>
        <v/>
      </c>
      <c r="AH1000" s="39">
        <f>IF(IFERROR(VLOOKUP(D1000,Controls!$A$25:$D$35,2,FALSE()),"No")="Yes",1,0)</f>
        <v/>
      </c>
      <c r="AI1000" s="39">
        <f>IF(IFERROR(VLOOKUP(D1000,Controls!$A$25:$D$35,3,FALSE()),"No")="Yes",1,0)</f>
        <v/>
      </c>
      <c r="AJ1000" s="39">
        <f>IF(IFERROR(VLOOKUP(D1000,Controls!$A$25:$D$35,4,FALSE()),"No")="Yes",1,0)</f>
        <v/>
      </c>
      <c r="AK1000" s="96">
        <f>IF(AND($E1000&gt;=Controls!$B$5,$E1000&lt;=Controls!$B$6,OR(Controls!$E$9&lt;&gt;"Y",$BE1000=1)),1,0)</f>
        <v/>
      </c>
      <c r="AL1000" s="39">
        <f>1</f>
        <v/>
      </c>
      <c r="AM1000" s="20">
        <f>S1000-P1000</f>
        <v/>
      </c>
      <c r="AN1000" s="20">
        <f>IF(AH1000=1,MAX(0,P1000-S1000),0)</f>
        <v/>
      </c>
      <c r="AO1000" s="21">
        <f>IFERROR(S1000/P1000,"")</f>
        <v/>
      </c>
      <c r="AP1000" s="22">
        <f>IF(Y1000="","",P1000/Y1000)</f>
        <v/>
      </c>
      <c r="AQ1000" s="39">
        <f>IF(Y1000="",0,1)</f>
        <v/>
      </c>
      <c r="AR1000" s="39">
        <f>IF(S1000&lt;=0,1,0)</f>
        <v/>
      </c>
      <c r="AS1000" s="17">
        <f>IF(AH1000=1,AG1000,"")</f>
        <v/>
      </c>
      <c r="AT1000" s="17">
        <f>IF(AND(AH1000=0,AJ1000=1),AG1000,"")</f>
        <v/>
      </c>
      <c r="AU1000" s="5">
        <f>IF(P1000&lt;10000,"Under $10K",IF(P1000&lt;20000,"$10-20K",IF(P1000&lt;30000,"$20-30K",IF(P1000&lt;50000,"$30-50K",IF(P1000&lt;100000,"$50-100K","$100K+")))))</f>
        <v/>
      </c>
      <c r="AV1000" s="5">
        <f>IF(O1000&lt;=1.35,"1.35 and under",IF(O1000&lt;=1.42,"1.36-1.42",IF(O1000&lt;=1.45,"1.43-1.45",IF(O1000&lt;1.49,"1.46-1.48",IF(O1000&lt;=1.49,"1.49","Above 1.49")))))</f>
        <v/>
      </c>
      <c r="AW1000" s="5">
        <f>IF(AE1000="","",IF(AE1000&lt;60,"Under 60",IF(AE1000&lt;90,"60-89",IF(AE1000&lt;120,"90-119",IF(AE1000&lt;150,"120-149","150+")))))</f>
        <v/>
      </c>
      <c r="AX1000" s="5">
        <f>IF(AP1000="","No revenue data",IF(AP1000&lt;0.15,"Under 0.15x",IF(AP1000&lt;0.3,"0.15-0.30x",IF(AP1000&lt;0.5,"0.30-0.50x",IF(AP1000&lt;1,"0.50-1.00x","1.00x+")))))</f>
        <v/>
      </c>
      <c r="AY1000" s="5">
        <f>IF(J1000="","No SIC",IFERROR(VLOOKUP(J1000,Ref!$A$4:$C$67,2,FALSE()),"Unclassified"))</f>
        <v/>
      </c>
      <c r="AZ1000" s="5">
        <f>IF(E1000="","",TEXT(E1000,"YYYY")&amp;"-Q"&amp;ROUNDUP(MONTH(E1000)/3,0))</f>
        <v/>
      </c>
      <c r="BA1000" s="5">
        <f>IF(E1000="","",TEXT(E1000,"YYYY-MM"))</f>
        <v/>
      </c>
      <c r="BB1000" s="5">
        <f>IF(E1000="","",TEXT(E1000,"YYYY"))</f>
        <v/>
      </c>
      <c r="BC1000" s="92">
        <f>IF($E1000="","",NETWORKDAYS($E1000,Controls!$B$9,Ref!$F$4:$F$47))</f>
        <v/>
      </c>
      <c r="BD1000" s="92">
        <f>IF(OR($AH1000=1,$AJ1000=1),1,0)</f>
        <v/>
      </c>
      <c r="BE1000" s="95">
        <f>IF(OR($BD1000=1,AND($AE1000&lt;&gt;"",$BC1000&gt;=Controls!$B$10*$AE1000)),1,0)</f>
        <v/>
      </c>
    </row>
    <row r="1001" ht="15.75" customHeight="1" s="79">
      <c r="A1001" s="5" t="inlineStr">
        <is>
          <t>5674186624</t>
        </is>
      </c>
      <c r="B1001" s="5" t="inlineStr">
        <is>
          <t>Senter Consulting Inc</t>
        </is>
      </c>
      <c r="C1001" s="5" t="inlineStr">
        <is>
          <t>Senter Consulting Inc</t>
        </is>
      </c>
      <c r="D1001" s="5" t="inlineStr">
        <is>
          <t>Open</t>
        </is>
      </c>
      <c r="E1001" s="16" t="n">
        <v>46205</v>
      </c>
      <c r="F1001" s="16" t="n">
        <v>46248</v>
      </c>
      <c r="G1001" s="17" t="n">
        <v>3</v>
      </c>
      <c r="H1001" s="5" t="inlineStr">
        <is>
          <t>8742</t>
        </is>
      </c>
      <c r="I1001" s="5" t="inlineStr">
        <is>
          <t>Administrative Management and General Management Consulting Services</t>
        </is>
      </c>
      <c r="J1001" s="5" t="inlineStr">
        <is>
          <t>87</t>
        </is>
      </c>
      <c r="K1001" s="5" t="n">
        <v>7392</v>
      </c>
      <c r="L1001" s="5" t="inlineStr">
        <is>
          <t>MD</t>
        </is>
      </c>
      <c r="M1001" s="5" t="inlineStr">
        <is>
          <t>PMF</t>
        </is>
      </c>
      <c r="N1001" s="5" t="inlineStr">
        <is>
          <t>New Deal</t>
        </is>
      </c>
      <c r="O1001" s="19" t="n">
        <v>1.43</v>
      </c>
      <c r="P1001" s="20" t="n">
        <v>20000</v>
      </c>
      <c r="Q1001" s="20" t="n">
        <v>2200</v>
      </c>
      <c r="R1001" s="20" t="n">
        <v>28600</v>
      </c>
      <c r="S1001" s="20" t="n">
        <v>5721.06</v>
      </c>
      <c r="T1001" s="20" t="n">
        <v>22878.94</v>
      </c>
      <c r="U1001" s="21" t="n">
        <v>0.200037062937063</v>
      </c>
      <c r="V1001" s="22" t="n">
        <v>30</v>
      </c>
      <c r="W1001" s="17" t="n">
        <v>5</v>
      </c>
      <c r="X1001" s="17" t="n">
        <v>0</v>
      </c>
      <c r="Y1001" s="20" t="n">
        <v>28734.87</v>
      </c>
      <c r="Z1001" s="21" t="n">
        <v>0.1037</v>
      </c>
      <c r="AA1001" s="16" t="n">
        <v>34394</v>
      </c>
      <c r="AB1001" s="5">
        <f>IF(V1001="","",IF(V1001&lt;12,"Months","Weeks"))</f>
        <v/>
      </c>
      <c r="AC1001" s="5">
        <f>IF(AB1001="","",IF(AB1001="Months","Daily","Weekly"))</f>
        <v/>
      </c>
      <c r="AD1001" s="17">
        <f>IF(V1001="","",IF(AC1001="Daily",V1001*Controls!$B$13,V1001))</f>
        <v/>
      </c>
      <c r="AE1001" s="17">
        <f>IF(V1001="","",IF(AC1001="Daily",V1001*Controls!$B$13,V1001*Controls!$B$12))</f>
        <v/>
      </c>
      <c r="AF1001" s="17">
        <f>IF(OR(E1001="",F1001=""),"",F1001-E1001)</f>
        <v/>
      </c>
      <c r="AG1001" s="17">
        <f>IF(OR(E1001="",F1001=""),"",NETWORKDAYS(E1001,F1001,Ref!$F$4:$F$47))</f>
        <v/>
      </c>
      <c r="AH1001" s="39">
        <f>IF(IFERROR(VLOOKUP(D1001,Controls!$A$25:$D$35,2,FALSE()),"No")="Yes",1,0)</f>
        <v/>
      </c>
      <c r="AI1001" s="39">
        <f>IF(IFERROR(VLOOKUP(D1001,Controls!$A$25:$D$35,3,FALSE()),"No")="Yes",1,0)</f>
        <v/>
      </c>
      <c r="AJ1001" s="39">
        <f>IF(IFERROR(VLOOKUP(D1001,Controls!$A$25:$D$35,4,FALSE()),"No")="Yes",1,0)</f>
        <v/>
      </c>
      <c r="AK1001" s="96">
        <f>IF(AND($E1001&gt;=Controls!$B$5,$E1001&lt;=Controls!$B$6,OR(Controls!$E$9&lt;&gt;"Y",$BE1001=1)),1,0)</f>
        <v/>
      </c>
      <c r="AL1001" s="39">
        <f>1</f>
        <v/>
      </c>
      <c r="AM1001" s="20">
        <f>S1001-P1001</f>
        <v/>
      </c>
      <c r="AN1001" s="20">
        <f>IF(AH1001=1,MAX(0,P1001-S1001),0)</f>
        <v/>
      </c>
      <c r="AO1001" s="21">
        <f>IFERROR(S1001/P1001,"")</f>
        <v/>
      </c>
      <c r="AP1001" s="22">
        <f>IF(Y1001="","",P1001/Y1001)</f>
        <v/>
      </c>
      <c r="AQ1001" s="39">
        <f>IF(Y1001="",0,1)</f>
        <v/>
      </c>
      <c r="AR1001" s="39">
        <f>IF(S1001&lt;=0,1,0)</f>
        <v/>
      </c>
      <c r="AS1001" s="17">
        <f>IF(AH1001=1,AG1001,"")</f>
        <v/>
      </c>
      <c r="AT1001" s="17">
        <f>IF(AND(AH1001=0,AJ1001=1),AG1001,"")</f>
        <v/>
      </c>
      <c r="AU1001" s="5">
        <f>IF(P1001&lt;10000,"Under $10K",IF(P1001&lt;20000,"$10-20K",IF(P1001&lt;30000,"$20-30K",IF(P1001&lt;50000,"$30-50K",IF(P1001&lt;100000,"$50-100K","$100K+")))))</f>
        <v/>
      </c>
      <c r="AV1001" s="5">
        <f>IF(O1001&lt;=1.35,"1.35 and under",IF(O1001&lt;=1.42,"1.36-1.42",IF(O1001&lt;=1.45,"1.43-1.45",IF(O1001&lt;1.49,"1.46-1.48",IF(O1001&lt;=1.49,"1.49","Above 1.49")))))</f>
        <v/>
      </c>
      <c r="AW1001" s="5">
        <f>IF(AE1001="","",IF(AE1001&lt;60,"Under 60",IF(AE1001&lt;90,"60-89",IF(AE1001&lt;120,"90-119",IF(AE1001&lt;150,"120-149","150+")))))</f>
        <v/>
      </c>
      <c r="AX1001" s="5">
        <f>IF(AP1001="","No revenue data",IF(AP1001&lt;0.15,"Under 0.15x",IF(AP1001&lt;0.3,"0.15-0.30x",IF(AP1001&lt;0.5,"0.30-0.50x",IF(AP1001&lt;1,"0.50-1.00x","1.00x+")))))</f>
        <v/>
      </c>
      <c r="AY1001" s="5">
        <f>IF(J1001="","No SIC",IFERROR(VLOOKUP(J1001,Ref!$A$4:$C$67,2,FALSE()),"Unclassified"))</f>
        <v/>
      </c>
      <c r="AZ1001" s="5">
        <f>IF(E1001="","",TEXT(E1001,"YYYY")&amp;"-Q"&amp;ROUNDUP(MONTH(E1001)/3,0))</f>
        <v/>
      </c>
      <c r="BA1001" s="5">
        <f>IF(E1001="","",TEXT(E1001,"YYYY-MM"))</f>
        <v/>
      </c>
      <c r="BB1001" s="5">
        <f>IF(E1001="","",TEXT(E1001,"YYYY"))</f>
        <v/>
      </c>
      <c r="BC1001" s="92">
        <f>IF($E1001="","",NETWORKDAYS($E1001,Controls!$B$9,Ref!$F$4:$F$47))</f>
        <v/>
      </c>
      <c r="BD1001" s="92">
        <f>IF(OR($AH1001=1,$AJ1001=1),1,0)</f>
        <v/>
      </c>
      <c r="BE1001" s="95">
        <f>IF(OR($BD1001=1,AND($AE1001&lt;&gt;"",$BC1001&gt;=Controls!$B$10*$AE1001)),1,0)</f>
        <v/>
      </c>
    </row>
    <row r="1002" ht="15.75" customHeight="1" s="79">
      <c r="A1002" s="5" t="inlineStr">
        <is>
          <t>5674186679</t>
        </is>
      </c>
      <c r="B1002" s="5" t="inlineStr">
        <is>
          <t>AMDF SOLUTIONS CORP</t>
        </is>
      </c>
      <c r="C1002" s="5" t="inlineStr">
        <is>
          <t>AMDF SOLUTIONS CORP</t>
        </is>
      </c>
      <c r="D1002" s="5" t="inlineStr">
        <is>
          <t>Legal</t>
        </is>
      </c>
      <c r="E1002" s="16" t="n">
        <v>46209</v>
      </c>
      <c r="F1002" s="16" t="n">
        <v>46252</v>
      </c>
      <c r="G1002" s="17" t="n">
        <v>3</v>
      </c>
      <c r="H1002" s="5" t="inlineStr">
        <is>
          <t>5399</t>
        </is>
      </c>
      <c r="I1002" s="5" t="inlineStr">
        <is>
          <t>All Other General Merchandise Stores</t>
        </is>
      </c>
      <c r="J1002" s="5" t="inlineStr">
        <is>
          <t>53</t>
        </is>
      </c>
      <c r="K1002" s="5" t="n">
        <v>5399</v>
      </c>
      <c r="L1002" s="5" t="inlineStr">
        <is>
          <t>FL</t>
        </is>
      </c>
      <c r="M1002" s="5" t="inlineStr">
        <is>
          <t>Fundible</t>
        </is>
      </c>
      <c r="N1002" s="5" t="inlineStr">
        <is>
          <t>New Deal</t>
        </is>
      </c>
      <c r="O1002" s="19" t="n">
        <v>1.49</v>
      </c>
      <c r="P1002" s="20" t="n">
        <v>20000</v>
      </c>
      <c r="Q1002" s="20" t="n">
        <v>2800</v>
      </c>
      <c r="R1002" s="20" t="n">
        <v>29800</v>
      </c>
      <c r="S1002" s="20" t="n">
        <v>1191.48</v>
      </c>
      <c r="T1002" s="20" t="n">
        <v>28608.52</v>
      </c>
      <c r="U1002" s="21" t="n">
        <v>0.0399825503355705</v>
      </c>
      <c r="V1002" s="22" t="n">
        <v>30</v>
      </c>
      <c r="W1002" s="17" t="n">
        <v>2</v>
      </c>
      <c r="X1002" s="17" t="n">
        <v>7</v>
      </c>
      <c r="Y1002" s="20" t="n">
        <v>38373.13</v>
      </c>
      <c r="Z1002" s="21" t="n">
        <v>0.1035</v>
      </c>
      <c r="AA1002" s="16" t="n">
        <v>44838</v>
      </c>
      <c r="AB1002" s="5">
        <f>IF(V1002="","",IF(V1002&lt;12,"Months","Weeks"))</f>
        <v/>
      </c>
      <c r="AC1002" s="5">
        <f>IF(AB1002="","",IF(AB1002="Months","Daily","Weekly"))</f>
        <v/>
      </c>
      <c r="AD1002" s="17">
        <f>IF(V1002="","",IF(AC1002="Daily",V1002*Controls!$B$13,V1002))</f>
        <v/>
      </c>
      <c r="AE1002" s="17">
        <f>IF(V1002="","",IF(AC1002="Daily",V1002*Controls!$B$13,V1002*Controls!$B$12))</f>
        <v/>
      </c>
      <c r="AF1002" s="17">
        <f>IF(OR(E1002="",F1002=""),"",F1002-E1002)</f>
        <v/>
      </c>
      <c r="AG1002" s="17">
        <f>IF(OR(E1002="",F1002=""),"",NETWORKDAYS(E1002,F1002,Ref!$F$4:$F$47))</f>
        <v/>
      </c>
      <c r="AH1002" s="39">
        <f>IF(IFERROR(VLOOKUP(D1002,Controls!$A$25:$D$35,2,FALSE()),"No")="Yes",1,0)</f>
        <v/>
      </c>
      <c r="AI1002" s="39">
        <f>IF(IFERROR(VLOOKUP(D1002,Controls!$A$25:$D$35,3,FALSE()),"No")="Yes",1,0)</f>
        <v/>
      </c>
      <c r="AJ1002" s="39">
        <f>IF(IFERROR(VLOOKUP(D1002,Controls!$A$25:$D$35,4,FALSE()),"No")="Yes",1,0)</f>
        <v/>
      </c>
      <c r="AK1002" s="96">
        <f>IF(AND($E1002&gt;=Controls!$B$5,$E1002&lt;=Controls!$B$6,OR(Controls!$E$9&lt;&gt;"Y",$BE1002=1)),1,0)</f>
        <v/>
      </c>
      <c r="AL1002" s="39">
        <f>1</f>
        <v/>
      </c>
      <c r="AM1002" s="20">
        <f>S1002-P1002</f>
        <v/>
      </c>
      <c r="AN1002" s="20">
        <f>IF(AH1002=1,MAX(0,P1002-S1002),0)</f>
        <v/>
      </c>
      <c r="AO1002" s="21">
        <f>IFERROR(S1002/P1002,"")</f>
        <v/>
      </c>
      <c r="AP1002" s="22">
        <f>IF(Y1002="","",P1002/Y1002)</f>
        <v/>
      </c>
      <c r="AQ1002" s="39">
        <f>IF(Y1002="",0,1)</f>
        <v/>
      </c>
      <c r="AR1002" s="39">
        <f>IF(S1002&lt;=0,1,0)</f>
        <v/>
      </c>
      <c r="AS1002" s="17">
        <f>IF(AH1002=1,AG1002,"")</f>
        <v/>
      </c>
      <c r="AT1002" s="17">
        <f>IF(AND(AH1002=0,AJ1002=1),AG1002,"")</f>
        <v/>
      </c>
      <c r="AU1002" s="5">
        <f>IF(P1002&lt;10000,"Under $10K",IF(P1002&lt;20000,"$10-20K",IF(P1002&lt;30000,"$20-30K",IF(P1002&lt;50000,"$30-50K",IF(P1002&lt;100000,"$50-100K","$100K+")))))</f>
        <v/>
      </c>
      <c r="AV1002" s="5">
        <f>IF(O1002&lt;=1.35,"1.35 and under",IF(O1002&lt;=1.42,"1.36-1.42",IF(O1002&lt;=1.45,"1.43-1.45",IF(O1002&lt;1.49,"1.46-1.48",IF(O1002&lt;=1.49,"1.49","Above 1.49")))))</f>
        <v/>
      </c>
      <c r="AW1002" s="5">
        <f>IF(AE1002="","",IF(AE1002&lt;60,"Under 60",IF(AE1002&lt;90,"60-89",IF(AE1002&lt;120,"90-119",IF(AE1002&lt;150,"120-149","150+")))))</f>
        <v/>
      </c>
      <c r="AX1002" s="5">
        <f>IF(AP1002="","No revenue data",IF(AP1002&lt;0.15,"Under 0.15x",IF(AP1002&lt;0.3,"0.15-0.30x",IF(AP1002&lt;0.5,"0.30-0.50x",IF(AP1002&lt;1,"0.50-1.00x","1.00x+")))))</f>
        <v/>
      </c>
      <c r="AY1002" s="5">
        <f>IF(J1002="","No SIC",IFERROR(VLOOKUP(J1002,Ref!$A$4:$C$67,2,FALSE()),"Unclassified"))</f>
        <v/>
      </c>
      <c r="AZ1002" s="5">
        <f>IF(E1002="","",TEXT(E1002,"YYYY")&amp;"-Q"&amp;ROUNDUP(MONTH(E1002)/3,0))</f>
        <v/>
      </c>
      <c r="BA1002" s="5">
        <f>IF(E1002="","",TEXT(E1002,"YYYY-MM"))</f>
        <v/>
      </c>
      <c r="BB1002" s="5">
        <f>IF(E1002="","",TEXT(E1002,"YYYY"))</f>
        <v/>
      </c>
      <c r="BC1002" s="92">
        <f>IF($E1002="","",NETWORKDAYS($E1002,Controls!$B$9,Ref!$F$4:$F$47))</f>
        <v/>
      </c>
      <c r="BD1002" s="92">
        <f>IF(OR($AH1002=1,$AJ1002=1),1,0)</f>
        <v/>
      </c>
      <c r="BE1002" s="95">
        <f>IF(OR($BD1002=1,AND($AE1002&lt;&gt;"",$BC1002&gt;=Controls!$B$10*$AE1002)),1,0)</f>
        <v/>
      </c>
    </row>
    <row r="1003" ht="15.75" customHeight="1" s="79">
      <c r="A1003" s="5" t="inlineStr">
        <is>
          <t>5674186685</t>
        </is>
      </c>
      <c r="B1003" s="5" t="inlineStr">
        <is>
          <t>Sweet Racks &amp; Smokin' Butts BBQ</t>
        </is>
      </c>
      <c r="C1003" s="5" t="inlineStr">
        <is>
          <t>Sweet Racks &amp; Smokin' Butts BBQ LLC</t>
        </is>
      </c>
      <c r="D1003" s="5" t="inlineStr">
        <is>
          <t>In House Collection</t>
        </is>
      </c>
      <c r="E1003" s="16" t="n">
        <v>46209</v>
      </c>
      <c r="F1003" s="16" t="n">
        <v>46241</v>
      </c>
      <c r="G1003" s="17" t="n">
        <v>3</v>
      </c>
      <c r="H1003" s="5" t="inlineStr">
        <is>
          <t>5812</t>
        </is>
      </c>
      <c r="I1003" s="5" t="inlineStr">
        <is>
          <t>Full-Service Restaurants</t>
        </is>
      </c>
      <c r="J1003" s="5" t="inlineStr">
        <is>
          <t>58</t>
        </is>
      </c>
      <c r="K1003" s="5" t="n">
        <v>5812</v>
      </c>
      <c r="L1003" s="5" t="inlineStr">
        <is>
          <t>MI</t>
        </is>
      </c>
      <c r="M1003" s="5" t="inlineStr">
        <is>
          <t>Seacap</t>
        </is>
      </c>
      <c r="N1003" s="5" t="inlineStr">
        <is>
          <t>New Deal</t>
        </is>
      </c>
      <c r="O1003" s="19" t="n">
        <v>1.49</v>
      </c>
      <c r="P1003" s="20" t="n">
        <v>30000</v>
      </c>
      <c r="Q1003" s="20" t="n">
        <v>0</v>
      </c>
      <c r="R1003" s="20" t="n">
        <v>44700</v>
      </c>
      <c r="S1003" s="20" t="n">
        <v>6706.23</v>
      </c>
      <c r="T1003" s="20" t="n">
        <v>37993.77</v>
      </c>
      <c r="U1003" s="21" t="n">
        <v>0.150027516778524</v>
      </c>
      <c r="V1003" s="22" t="n">
        <v>20</v>
      </c>
      <c r="W1003" s="17" t="n">
        <v>26</v>
      </c>
      <c r="X1003" s="17" t="n">
        <v>2</v>
      </c>
      <c r="Y1003" s="20" t="n">
        <v>100542.37</v>
      </c>
      <c r="Z1003" s="21" t="n">
        <v>0.0982</v>
      </c>
      <c r="AA1003" s="16" t="n">
        <v>43516</v>
      </c>
      <c r="AB1003" s="5">
        <f>IF(V1003="","",IF(V1003&lt;12,"Months","Weeks"))</f>
        <v/>
      </c>
      <c r="AC1003" s="5">
        <f>IF(AB1003="","",IF(AB1003="Months","Daily","Weekly"))</f>
        <v/>
      </c>
      <c r="AD1003" s="17">
        <f>IF(V1003="","",IF(AC1003="Daily",V1003*Controls!$B$13,V1003))</f>
        <v/>
      </c>
      <c r="AE1003" s="17">
        <f>IF(V1003="","",IF(AC1003="Daily",V1003*Controls!$B$13,V1003*Controls!$B$12))</f>
        <v/>
      </c>
      <c r="AF1003" s="17">
        <f>IF(OR(E1003="",F1003=""),"",F1003-E1003)</f>
        <v/>
      </c>
      <c r="AG1003" s="17">
        <f>IF(OR(E1003="",F1003=""),"",NETWORKDAYS(E1003,F1003,Ref!$F$4:$F$47))</f>
        <v/>
      </c>
      <c r="AH1003" s="39">
        <f>IF(IFERROR(VLOOKUP(D1003,Controls!$A$25:$D$35,2,FALSE()),"No")="Yes",1,0)</f>
        <v/>
      </c>
      <c r="AI1003" s="39">
        <f>IF(IFERROR(VLOOKUP(D1003,Controls!$A$25:$D$35,3,FALSE()),"No")="Yes",1,0)</f>
        <v/>
      </c>
      <c r="AJ1003" s="39">
        <f>IF(IFERROR(VLOOKUP(D1003,Controls!$A$25:$D$35,4,FALSE()),"No")="Yes",1,0)</f>
        <v/>
      </c>
      <c r="AK1003" s="96">
        <f>IF(AND($E1003&gt;=Controls!$B$5,$E1003&lt;=Controls!$B$6,OR(Controls!$E$9&lt;&gt;"Y",$BE1003=1)),1,0)</f>
        <v/>
      </c>
      <c r="AL1003" s="39">
        <f>1</f>
        <v/>
      </c>
      <c r="AM1003" s="20">
        <f>S1003-P1003</f>
        <v/>
      </c>
      <c r="AN1003" s="20">
        <f>IF(AH1003=1,MAX(0,P1003-S1003),0)</f>
        <v/>
      </c>
      <c r="AO1003" s="21">
        <f>IFERROR(S1003/P1003,"")</f>
        <v/>
      </c>
      <c r="AP1003" s="22">
        <f>IF(Y1003="","",P1003/Y1003)</f>
        <v/>
      </c>
      <c r="AQ1003" s="39">
        <f>IF(Y1003="",0,1)</f>
        <v/>
      </c>
      <c r="AR1003" s="39">
        <f>IF(S1003&lt;=0,1,0)</f>
        <v/>
      </c>
      <c r="AS1003" s="17">
        <f>IF(AH1003=1,AG1003,"")</f>
        <v/>
      </c>
      <c r="AT1003" s="17">
        <f>IF(AND(AH1003=0,AJ1003=1),AG1003,"")</f>
        <v/>
      </c>
      <c r="AU1003" s="5">
        <f>IF(P1003&lt;10000,"Under $10K",IF(P1003&lt;20000,"$10-20K",IF(P1003&lt;30000,"$20-30K",IF(P1003&lt;50000,"$30-50K",IF(P1003&lt;100000,"$50-100K","$100K+")))))</f>
        <v/>
      </c>
      <c r="AV1003" s="5">
        <f>IF(O1003&lt;=1.35,"1.35 and under",IF(O1003&lt;=1.42,"1.36-1.42",IF(O1003&lt;=1.45,"1.43-1.45",IF(O1003&lt;1.49,"1.46-1.48",IF(O1003&lt;=1.49,"1.49","Above 1.49")))))</f>
        <v/>
      </c>
      <c r="AW1003" s="5">
        <f>IF(AE1003="","",IF(AE1003&lt;60,"Under 60",IF(AE1003&lt;90,"60-89",IF(AE1003&lt;120,"90-119",IF(AE1003&lt;150,"120-149","150+")))))</f>
        <v/>
      </c>
      <c r="AX1003" s="5">
        <f>IF(AP1003="","No revenue data",IF(AP1003&lt;0.15,"Under 0.15x",IF(AP1003&lt;0.3,"0.15-0.30x",IF(AP1003&lt;0.5,"0.30-0.50x",IF(AP1003&lt;1,"0.50-1.00x","1.00x+")))))</f>
        <v/>
      </c>
      <c r="AY1003" s="5">
        <f>IF(J1003="","No SIC",IFERROR(VLOOKUP(J1003,Ref!$A$4:$C$67,2,FALSE()),"Unclassified"))</f>
        <v/>
      </c>
      <c r="AZ1003" s="5">
        <f>IF(E1003="","",TEXT(E1003,"YYYY")&amp;"-Q"&amp;ROUNDUP(MONTH(E1003)/3,0))</f>
        <v/>
      </c>
      <c r="BA1003" s="5">
        <f>IF(E1003="","",TEXT(E1003,"YYYY-MM"))</f>
        <v/>
      </c>
      <c r="BB1003" s="5">
        <f>IF(E1003="","",TEXT(E1003,"YYYY"))</f>
        <v/>
      </c>
      <c r="BC1003" s="92">
        <f>IF($E1003="","",NETWORKDAYS($E1003,Controls!$B$9,Ref!$F$4:$F$47))</f>
        <v/>
      </c>
      <c r="BD1003" s="92">
        <f>IF(OR($AH1003=1,$AJ1003=1),1,0)</f>
        <v/>
      </c>
      <c r="BE1003" s="95">
        <f>IF(OR($BD1003=1,AND($AE1003&lt;&gt;"",$BC1003&gt;=Controls!$B$10*$AE1003)),1,0)</f>
        <v/>
      </c>
    </row>
    <row r="1004" ht="15.75" customHeight="1" s="79">
      <c r="A1004" s="5" t="inlineStr">
        <is>
          <t>5674186738</t>
        </is>
      </c>
      <c r="B1004" s="5" t="inlineStr">
        <is>
          <t>Finish line diner</t>
        </is>
      </c>
      <c r="C1004" s="5" t="inlineStr">
        <is>
          <t>SUMER D BOOHER</t>
        </is>
      </c>
      <c r="D1004" s="5" t="inlineStr">
        <is>
          <t>Open</t>
        </is>
      </c>
      <c r="E1004" s="16" t="n">
        <v>46209</v>
      </c>
      <c r="F1004" s="16" t="n">
        <v>46253</v>
      </c>
      <c r="G1004" s="17" t="n">
        <v>3</v>
      </c>
      <c r="H1004" s="5" t="inlineStr">
        <is>
          <t>5812</t>
        </is>
      </c>
      <c r="I1004" s="5" t="inlineStr">
        <is>
          <t>Full-Service Restaurants</t>
        </is>
      </c>
      <c r="J1004" s="5" t="inlineStr">
        <is>
          <t>58</t>
        </is>
      </c>
      <c r="K1004" s="5" t="n">
        <v>5812</v>
      </c>
      <c r="L1004" s="5" t="inlineStr">
        <is>
          <t>TN</t>
        </is>
      </c>
      <c r="M1004" s="5" t="inlineStr">
        <is>
          <t>peach tree capital</t>
        </is>
      </c>
      <c r="N1004" s="5" t="inlineStr">
        <is>
          <t>New Deal</t>
        </is>
      </c>
      <c r="O1004" s="19" t="n">
        <v>1.49</v>
      </c>
      <c r="P1004" s="20" t="n">
        <v>8000</v>
      </c>
      <c r="Q1004" s="20" t="n">
        <v>1120</v>
      </c>
      <c r="R1004" s="20" t="n">
        <v>11920</v>
      </c>
      <c r="S1004" s="20" t="n">
        <v>4925.59</v>
      </c>
      <c r="T1004" s="20" t="n">
        <v>6994.41</v>
      </c>
      <c r="U1004" s="21" t="n">
        <v>0.413220637583893</v>
      </c>
      <c r="V1004" s="22" t="n">
        <v>2.459</v>
      </c>
      <c r="W1004" s="17" t="n">
        <v>0</v>
      </c>
      <c r="X1004" s="17" t="n">
        <v>1</v>
      </c>
      <c r="Y1004" s="20" t="n">
        <v>31597.8</v>
      </c>
      <c r="Z1004" s="21" t="n">
        <v>0.1056</v>
      </c>
      <c r="AA1004" s="16" t="n">
        <v>42962</v>
      </c>
      <c r="AB1004" s="5">
        <f>IF(V1004="","",IF(V1004&lt;12,"Months","Weeks"))</f>
        <v/>
      </c>
      <c r="AC1004" s="5">
        <f>IF(AB1004="","",IF(AB1004="Months","Daily","Weekly"))</f>
        <v/>
      </c>
      <c r="AD1004" s="17">
        <f>IF(V1004="","",IF(AC1004="Daily",V1004*Controls!$B$13,V1004))</f>
        <v/>
      </c>
      <c r="AE1004" s="17">
        <f>IF(V1004="","",IF(AC1004="Daily",V1004*Controls!$B$13,V1004*Controls!$B$12))</f>
        <v/>
      </c>
      <c r="AF1004" s="17">
        <f>IF(OR(E1004="",F1004=""),"",F1004-E1004)</f>
        <v/>
      </c>
      <c r="AG1004" s="17">
        <f>IF(OR(E1004="",F1004=""),"",NETWORKDAYS(E1004,F1004,Ref!$F$4:$F$47))</f>
        <v/>
      </c>
      <c r="AH1004" s="39">
        <f>IF(IFERROR(VLOOKUP(D1004,Controls!$A$25:$D$35,2,FALSE()),"No")="Yes",1,0)</f>
        <v/>
      </c>
      <c r="AI1004" s="39">
        <f>IF(IFERROR(VLOOKUP(D1004,Controls!$A$25:$D$35,3,FALSE()),"No")="Yes",1,0)</f>
        <v/>
      </c>
      <c r="AJ1004" s="39">
        <f>IF(IFERROR(VLOOKUP(D1004,Controls!$A$25:$D$35,4,FALSE()),"No")="Yes",1,0)</f>
        <v/>
      </c>
      <c r="AK1004" s="96">
        <f>IF(AND($E1004&gt;=Controls!$B$5,$E1004&lt;=Controls!$B$6,OR(Controls!$E$9&lt;&gt;"Y",$BE1004=1)),1,0)</f>
        <v/>
      </c>
      <c r="AL1004" s="39">
        <f>1</f>
        <v/>
      </c>
      <c r="AM1004" s="20">
        <f>S1004-P1004</f>
        <v/>
      </c>
      <c r="AN1004" s="20">
        <f>IF(AH1004=1,MAX(0,P1004-S1004),0)</f>
        <v/>
      </c>
      <c r="AO1004" s="21">
        <f>IFERROR(S1004/P1004,"")</f>
        <v/>
      </c>
      <c r="AP1004" s="22">
        <f>IF(Y1004="","",P1004/Y1004)</f>
        <v/>
      </c>
      <c r="AQ1004" s="39">
        <f>IF(Y1004="",0,1)</f>
        <v/>
      </c>
      <c r="AR1004" s="39">
        <f>IF(S1004&lt;=0,1,0)</f>
        <v/>
      </c>
      <c r="AS1004" s="17">
        <f>IF(AH1004=1,AG1004,"")</f>
        <v/>
      </c>
      <c r="AT1004" s="17">
        <f>IF(AND(AH1004=0,AJ1004=1),AG1004,"")</f>
        <v/>
      </c>
      <c r="AU1004" s="5">
        <f>IF(P1004&lt;10000,"Under $10K",IF(P1004&lt;20000,"$10-20K",IF(P1004&lt;30000,"$20-30K",IF(P1004&lt;50000,"$30-50K",IF(P1004&lt;100000,"$50-100K","$100K+")))))</f>
        <v/>
      </c>
      <c r="AV1004" s="5">
        <f>IF(O1004&lt;=1.35,"1.35 and under",IF(O1004&lt;=1.42,"1.36-1.42",IF(O1004&lt;=1.45,"1.43-1.45",IF(O1004&lt;1.49,"1.46-1.48",IF(O1004&lt;=1.49,"1.49","Above 1.49")))))</f>
        <v/>
      </c>
      <c r="AW1004" s="5">
        <f>IF(AE1004="","",IF(AE1004&lt;60,"Under 60",IF(AE1004&lt;90,"60-89",IF(AE1004&lt;120,"90-119",IF(AE1004&lt;150,"120-149","150+")))))</f>
        <v/>
      </c>
      <c r="AX1004" s="5">
        <f>IF(AP1004="","No revenue data",IF(AP1004&lt;0.15,"Under 0.15x",IF(AP1004&lt;0.3,"0.15-0.30x",IF(AP1004&lt;0.5,"0.30-0.50x",IF(AP1004&lt;1,"0.50-1.00x","1.00x+")))))</f>
        <v/>
      </c>
      <c r="AY1004" s="5">
        <f>IF(J1004="","No SIC",IFERROR(VLOOKUP(J1004,Ref!$A$4:$C$67,2,FALSE()),"Unclassified"))</f>
        <v/>
      </c>
      <c r="AZ1004" s="5">
        <f>IF(E1004="","",TEXT(E1004,"YYYY")&amp;"-Q"&amp;ROUNDUP(MONTH(E1004)/3,0))</f>
        <v/>
      </c>
      <c r="BA1004" s="5">
        <f>IF(E1004="","",TEXT(E1004,"YYYY-MM"))</f>
        <v/>
      </c>
      <c r="BB1004" s="5">
        <f>IF(E1004="","",TEXT(E1004,"YYYY"))</f>
        <v/>
      </c>
      <c r="BC1004" s="92">
        <f>IF($E1004="","",NETWORKDAYS($E1004,Controls!$B$9,Ref!$F$4:$F$47))</f>
        <v/>
      </c>
      <c r="BD1004" s="92">
        <f>IF(OR($AH1004=1,$AJ1004=1),1,0)</f>
        <v/>
      </c>
      <c r="BE1004" s="95">
        <f>IF(OR($BD1004=1,AND($AE1004&lt;&gt;"",$BC1004&gt;=Controls!$B$10*$AE1004)),1,0)</f>
        <v/>
      </c>
    </row>
    <row r="1005" ht="15.75" customHeight="1" s="79">
      <c r="A1005" s="5" t="inlineStr">
        <is>
          <t>5674186773</t>
        </is>
      </c>
      <c r="B1005" s="5" t="inlineStr">
        <is>
          <t>Transporte Jose Baez Corp</t>
        </is>
      </c>
      <c r="C1005" s="5" t="inlineStr">
        <is>
          <t>Transporte Jose Baez Corp</t>
        </is>
      </c>
      <c r="D1005" s="5" t="inlineStr">
        <is>
          <t>Open</t>
        </is>
      </c>
      <c r="E1005" s="16" t="n">
        <v>46210</v>
      </c>
      <c r="F1005" s="16" t="n">
        <v>46253</v>
      </c>
      <c r="G1005" s="17" t="n">
        <v>3</v>
      </c>
      <c r="H1005" s="5" t="inlineStr">
        <is>
          <t>4212</t>
        </is>
      </c>
      <c r="I1005" s="5" t="inlineStr">
        <is>
          <t>General Freight Trucking, Local</t>
        </is>
      </c>
      <c r="J1005" s="5" t="inlineStr">
        <is>
          <t>42</t>
        </is>
      </c>
      <c r="K1005" s="5" t="n">
        <v>4214</v>
      </c>
      <c r="L1005" s="5" t="inlineStr">
        <is>
          <t>PR</t>
        </is>
      </c>
      <c r="M1005" s="5" t="inlineStr">
        <is>
          <t>Westwood</t>
        </is>
      </c>
      <c r="N1005" s="5" t="inlineStr">
        <is>
          <t>New Deal</t>
        </is>
      </c>
      <c r="O1005" s="19" t="n">
        <v>1.49</v>
      </c>
      <c r="P1005" s="20" t="n">
        <v>5000</v>
      </c>
      <c r="Q1005" s="20" t="n">
        <v>700</v>
      </c>
      <c r="R1005" s="20" t="n">
        <v>7450</v>
      </c>
      <c r="S1005" s="20" t="n">
        <v>1989.12</v>
      </c>
      <c r="T1005" s="20" t="n">
        <v>5460.88</v>
      </c>
      <c r="U1005" s="21" t="n">
        <v>0.266995973154362</v>
      </c>
      <c r="V1005" s="22" t="n">
        <v>3.934</v>
      </c>
      <c r="W1005" s="17" t="n">
        <v>0</v>
      </c>
      <c r="X1005" s="17" t="n">
        <v>0</v>
      </c>
      <c r="Y1005" s="20" t="n">
        <v>64622.8</v>
      </c>
      <c r="Z1005" s="21" t="n">
        <v>0.0202</v>
      </c>
      <c r="AA1005" s="16" t="n">
        <v>39262</v>
      </c>
      <c r="AB1005" s="5">
        <f>IF(V1005="","",IF(V1005&lt;12,"Months","Weeks"))</f>
        <v/>
      </c>
      <c r="AC1005" s="5">
        <f>IF(AB1005="","",IF(AB1005="Months","Daily","Weekly"))</f>
        <v/>
      </c>
      <c r="AD1005" s="17">
        <f>IF(V1005="","",IF(AC1005="Daily",V1005*Controls!$B$13,V1005))</f>
        <v/>
      </c>
      <c r="AE1005" s="17">
        <f>IF(V1005="","",IF(AC1005="Daily",V1005*Controls!$B$13,V1005*Controls!$B$12))</f>
        <v/>
      </c>
      <c r="AF1005" s="17">
        <f>IF(OR(E1005="",F1005=""),"",F1005-E1005)</f>
        <v/>
      </c>
      <c r="AG1005" s="17">
        <f>IF(OR(E1005="",F1005=""),"",NETWORKDAYS(E1005,F1005,Ref!$F$4:$F$47))</f>
        <v/>
      </c>
      <c r="AH1005" s="39">
        <f>IF(IFERROR(VLOOKUP(D1005,Controls!$A$25:$D$35,2,FALSE()),"No")="Yes",1,0)</f>
        <v/>
      </c>
      <c r="AI1005" s="39">
        <f>IF(IFERROR(VLOOKUP(D1005,Controls!$A$25:$D$35,3,FALSE()),"No")="Yes",1,0)</f>
        <v/>
      </c>
      <c r="AJ1005" s="39">
        <f>IF(IFERROR(VLOOKUP(D1005,Controls!$A$25:$D$35,4,FALSE()),"No")="Yes",1,0)</f>
        <v/>
      </c>
      <c r="AK1005" s="96">
        <f>IF(AND($E1005&gt;=Controls!$B$5,$E1005&lt;=Controls!$B$6,OR(Controls!$E$9&lt;&gt;"Y",$BE1005=1)),1,0)</f>
        <v/>
      </c>
      <c r="AL1005" s="39">
        <f>1</f>
        <v/>
      </c>
      <c r="AM1005" s="20">
        <f>S1005-P1005</f>
        <v/>
      </c>
      <c r="AN1005" s="20">
        <f>IF(AH1005=1,MAX(0,P1005-S1005),0)</f>
        <v/>
      </c>
      <c r="AO1005" s="21">
        <f>IFERROR(S1005/P1005,"")</f>
        <v/>
      </c>
      <c r="AP1005" s="22">
        <f>IF(Y1005="","",P1005/Y1005)</f>
        <v/>
      </c>
      <c r="AQ1005" s="39">
        <f>IF(Y1005="",0,1)</f>
        <v/>
      </c>
      <c r="AR1005" s="39">
        <f>IF(S1005&lt;=0,1,0)</f>
        <v/>
      </c>
      <c r="AS1005" s="17">
        <f>IF(AH1005=1,AG1005,"")</f>
        <v/>
      </c>
      <c r="AT1005" s="17">
        <f>IF(AND(AH1005=0,AJ1005=1),AG1005,"")</f>
        <v/>
      </c>
      <c r="AU1005" s="5">
        <f>IF(P1005&lt;10000,"Under $10K",IF(P1005&lt;20000,"$10-20K",IF(P1005&lt;30000,"$20-30K",IF(P1005&lt;50000,"$30-50K",IF(P1005&lt;100000,"$50-100K","$100K+")))))</f>
        <v/>
      </c>
      <c r="AV1005" s="5">
        <f>IF(O1005&lt;=1.35,"1.35 and under",IF(O1005&lt;=1.42,"1.36-1.42",IF(O1005&lt;=1.45,"1.43-1.45",IF(O1005&lt;1.49,"1.46-1.48",IF(O1005&lt;=1.49,"1.49","Above 1.49")))))</f>
        <v/>
      </c>
      <c r="AW1005" s="5">
        <f>IF(AE1005="","",IF(AE1005&lt;60,"Under 60",IF(AE1005&lt;90,"60-89",IF(AE1005&lt;120,"90-119",IF(AE1005&lt;150,"120-149","150+")))))</f>
        <v/>
      </c>
      <c r="AX1005" s="5">
        <f>IF(AP1005="","No revenue data",IF(AP1005&lt;0.15,"Under 0.15x",IF(AP1005&lt;0.3,"0.15-0.30x",IF(AP1005&lt;0.5,"0.30-0.50x",IF(AP1005&lt;1,"0.50-1.00x","1.00x+")))))</f>
        <v/>
      </c>
      <c r="AY1005" s="5">
        <f>IF(J1005="","No SIC",IFERROR(VLOOKUP(J1005,Ref!$A$4:$C$67,2,FALSE()),"Unclassified"))</f>
        <v/>
      </c>
      <c r="AZ1005" s="5">
        <f>IF(E1005="","",TEXT(E1005,"YYYY")&amp;"-Q"&amp;ROUNDUP(MONTH(E1005)/3,0))</f>
        <v/>
      </c>
      <c r="BA1005" s="5">
        <f>IF(E1005="","",TEXT(E1005,"YYYY-MM"))</f>
        <v/>
      </c>
      <c r="BB1005" s="5">
        <f>IF(E1005="","",TEXT(E1005,"YYYY"))</f>
        <v/>
      </c>
      <c r="BC1005" s="92">
        <f>IF($E1005="","",NETWORKDAYS($E1005,Controls!$B$9,Ref!$F$4:$F$47))</f>
        <v/>
      </c>
      <c r="BD1005" s="92">
        <f>IF(OR($AH1005=1,$AJ1005=1),1,0)</f>
        <v/>
      </c>
      <c r="BE1005" s="95">
        <f>IF(OR($BD1005=1,AND($AE1005&lt;&gt;"",$BC1005&gt;=Controls!$B$10*$AE1005)),1,0)</f>
        <v/>
      </c>
    </row>
    <row r="1006" ht="15.75" customHeight="1" s="79">
      <c r="A1006" s="5" t="inlineStr">
        <is>
          <t>5674186776</t>
        </is>
      </c>
      <c r="B1006" s="5" t="inlineStr">
        <is>
          <t>AERODESIGN SERVICES DBA ADS</t>
        </is>
      </c>
      <c r="C1006" s="5" t="inlineStr">
        <is>
          <t>AeroDesign Services LLC</t>
        </is>
      </c>
      <c r="D1006" s="5" t="inlineStr">
        <is>
          <t>Open</t>
        </is>
      </c>
      <c r="E1006" s="16" t="n">
        <v>46210</v>
      </c>
      <c r="F1006" s="16" t="n">
        <v>46253</v>
      </c>
      <c r="G1006" s="17" t="n">
        <v>3</v>
      </c>
      <c r="H1006" s="5" t="inlineStr">
        <is>
          <t>3728</t>
        </is>
      </c>
      <c r="I1006" s="5" t="inlineStr">
        <is>
          <t>Other Aircraft Parts and Auxiliary Equipment Mfg.</t>
        </is>
      </c>
      <c r="J1006" s="5" t="inlineStr">
        <is>
          <t>37</t>
        </is>
      </c>
      <c r="K1006" s="5" t="n">
        <v>3003</v>
      </c>
      <c r="L1006" s="5" t="inlineStr">
        <is>
          <t>MI</t>
        </is>
      </c>
      <c r="M1006" s="5" t="inlineStr">
        <is>
          <t>FireLine Funding</t>
        </is>
      </c>
      <c r="N1006" s="5" t="inlineStr">
        <is>
          <t>New Deal</t>
        </is>
      </c>
      <c r="O1006" s="19" t="n">
        <v>1.49</v>
      </c>
      <c r="P1006" s="20" t="n">
        <v>100000</v>
      </c>
      <c r="Q1006" s="20" t="n">
        <v>14000</v>
      </c>
      <c r="R1006" s="20" t="n">
        <v>149000</v>
      </c>
      <c r="S1006" s="20" t="n">
        <v>25545.42</v>
      </c>
      <c r="T1006" s="20" t="n">
        <v>123454.58</v>
      </c>
      <c r="U1006" s="21" t="n">
        <v>0.171445771812081</v>
      </c>
      <c r="V1006" s="22" t="n">
        <v>35</v>
      </c>
      <c r="W1006" s="17" t="n">
        <v>0</v>
      </c>
      <c r="X1006" s="17" t="n">
        <v>0</v>
      </c>
      <c r="Y1006" s="20" t="n">
        <v>290619.15</v>
      </c>
      <c r="Z1006" s="21" t="n">
        <v>0.0586</v>
      </c>
      <c r="AA1006" s="16" t="n">
        <v>37347</v>
      </c>
      <c r="AB1006" s="5">
        <f>IF(V1006="","",IF(V1006&lt;12,"Months","Weeks"))</f>
        <v/>
      </c>
      <c r="AC1006" s="5">
        <f>IF(AB1006="","",IF(AB1006="Months","Daily","Weekly"))</f>
        <v/>
      </c>
      <c r="AD1006" s="17">
        <f>IF(V1006="","",IF(AC1006="Daily",V1006*Controls!$B$13,V1006))</f>
        <v/>
      </c>
      <c r="AE1006" s="17">
        <f>IF(V1006="","",IF(AC1006="Daily",V1006*Controls!$B$13,V1006*Controls!$B$12))</f>
        <v/>
      </c>
      <c r="AF1006" s="17">
        <f>IF(OR(E1006="",F1006=""),"",F1006-E1006)</f>
        <v/>
      </c>
      <c r="AG1006" s="17">
        <f>IF(OR(E1006="",F1006=""),"",NETWORKDAYS(E1006,F1006,Ref!$F$4:$F$47))</f>
        <v/>
      </c>
      <c r="AH1006" s="39">
        <f>IF(IFERROR(VLOOKUP(D1006,Controls!$A$25:$D$35,2,FALSE()),"No")="Yes",1,0)</f>
        <v/>
      </c>
      <c r="AI1006" s="39">
        <f>IF(IFERROR(VLOOKUP(D1006,Controls!$A$25:$D$35,3,FALSE()),"No")="Yes",1,0)</f>
        <v/>
      </c>
      <c r="AJ1006" s="39">
        <f>IF(IFERROR(VLOOKUP(D1006,Controls!$A$25:$D$35,4,FALSE()),"No")="Yes",1,0)</f>
        <v/>
      </c>
      <c r="AK1006" s="96">
        <f>IF(AND($E1006&gt;=Controls!$B$5,$E1006&lt;=Controls!$B$6,OR(Controls!$E$9&lt;&gt;"Y",$BE1006=1)),1,0)</f>
        <v/>
      </c>
      <c r="AL1006" s="39">
        <f>1</f>
        <v/>
      </c>
      <c r="AM1006" s="20">
        <f>S1006-P1006</f>
        <v/>
      </c>
      <c r="AN1006" s="20">
        <f>IF(AH1006=1,MAX(0,P1006-S1006),0)</f>
        <v/>
      </c>
      <c r="AO1006" s="21">
        <f>IFERROR(S1006/P1006,"")</f>
        <v/>
      </c>
      <c r="AP1006" s="22">
        <f>IF(Y1006="","",P1006/Y1006)</f>
        <v/>
      </c>
      <c r="AQ1006" s="39">
        <f>IF(Y1006="",0,1)</f>
        <v/>
      </c>
      <c r="AR1006" s="39">
        <f>IF(S1006&lt;=0,1,0)</f>
        <v/>
      </c>
      <c r="AS1006" s="17">
        <f>IF(AH1006=1,AG1006,"")</f>
        <v/>
      </c>
      <c r="AT1006" s="17">
        <f>IF(AND(AH1006=0,AJ1006=1),AG1006,"")</f>
        <v/>
      </c>
      <c r="AU1006" s="5">
        <f>IF(P1006&lt;10000,"Under $10K",IF(P1006&lt;20000,"$10-20K",IF(P1006&lt;30000,"$20-30K",IF(P1006&lt;50000,"$30-50K",IF(P1006&lt;100000,"$50-100K","$100K+")))))</f>
        <v/>
      </c>
      <c r="AV1006" s="5">
        <f>IF(O1006&lt;=1.35,"1.35 and under",IF(O1006&lt;=1.42,"1.36-1.42",IF(O1006&lt;=1.45,"1.43-1.45",IF(O1006&lt;1.49,"1.46-1.48",IF(O1006&lt;=1.49,"1.49","Above 1.49")))))</f>
        <v/>
      </c>
      <c r="AW1006" s="5">
        <f>IF(AE1006="","",IF(AE1006&lt;60,"Under 60",IF(AE1006&lt;90,"60-89",IF(AE1006&lt;120,"90-119",IF(AE1006&lt;150,"120-149","150+")))))</f>
        <v/>
      </c>
      <c r="AX1006" s="5">
        <f>IF(AP1006="","No revenue data",IF(AP1006&lt;0.15,"Under 0.15x",IF(AP1006&lt;0.3,"0.15-0.30x",IF(AP1006&lt;0.5,"0.30-0.50x",IF(AP1006&lt;1,"0.50-1.00x","1.00x+")))))</f>
        <v/>
      </c>
      <c r="AY1006" s="5">
        <f>IF(J1006="","No SIC",IFERROR(VLOOKUP(J1006,Ref!$A$4:$C$67,2,FALSE()),"Unclassified"))</f>
        <v/>
      </c>
      <c r="AZ1006" s="5">
        <f>IF(E1006="","",TEXT(E1006,"YYYY")&amp;"-Q"&amp;ROUNDUP(MONTH(E1006)/3,0))</f>
        <v/>
      </c>
      <c r="BA1006" s="5">
        <f>IF(E1006="","",TEXT(E1006,"YYYY-MM"))</f>
        <v/>
      </c>
      <c r="BB1006" s="5">
        <f>IF(E1006="","",TEXT(E1006,"YYYY"))</f>
        <v/>
      </c>
      <c r="BC1006" s="92">
        <f>IF($E1006="","",NETWORKDAYS($E1006,Controls!$B$9,Ref!$F$4:$F$47))</f>
        <v/>
      </c>
      <c r="BD1006" s="92">
        <f>IF(OR($AH1006=1,$AJ1006=1),1,0)</f>
        <v/>
      </c>
      <c r="BE1006" s="95">
        <f>IF(OR($BD1006=1,AND($AE1006&lt;&gt;"",$BC1006&gt;=Controls!$B$10*$AE1006)),1,0)</f>
        <v/>
      </c>
    </row>
    <row r="1007" ht="15.75" customHeight="1" s="79">
      <c r="A1007" s="5" t="inlineStr">
        <is>
          <t>5674186785</t>
        </is>
      </c>
      <c r="B1007" s="5" t="inlineStr">
        <is>
          <t>Browns logging LLC</t>
        </is>
      </c>
      <c r="C1007" s="5" t="inlineStr">
        <is>
          <t>Browns logging LLC</t>
        </is>
      </c>
      <c r="D1007" s="5" t="inlineStr">
        <is>
          <t>Open</t>
        </is>
      </c>
      <c r="E1007" s="16" t="n">
        <v>46210</v>
      </c>
      <c r="F1007" s="16" t="n">
        <v>46253</v>
      </c>
      <c r="G1007" s="17" t="n">
        <v>3</v>
      </c>
      <c r="H1007" s="5" t="inlineStr">
        <is>
          <t>2411</t>
        </is>
      </c>
      <c r="I1007" s="5" t="inlineStr">
        <is>
          <t>Logging</t>
        </is>
      </c>
      <c r="J1007" s="5" t="inlineStr">
        <is>
          <t>24</t>
        </is>
      </c>
      <c r="K1007" s="5" t="n">
        <v>5999</v>
      </c>
      <c r="L1007" s="5" t="inlineStr">
        <is>
          <t>TX</t>
        </is>
      </c>
      <c r="M1007" s="5" t="inlineStr">
        <is>
          <t>Fundwell</t>
        </is>
      </c>
      <c r="N1007" s="5" t="inlineStr">
        <is>
          <t>New Deal</t>
        </is>
      </c>
      <c r="O1007" s="19" t="n">
        <v>1.49</v>
      </c>
      <c r="P1007" s="20" t="n">
        <v>8000</v>
      </c>
      <c r="Q1007" s="20" t="n">
        <v>1120</v>
      </c>
      <c r="R1007" s="20" t="n">
        <v>11920</v>
      </c>
      <c r="S1007" s="20" t="n">
        <v>3632</v>
      </c>
      <c r="T1007" s="20" t="n">
        <v>8288</v>
      </c>
      <c r="U1007" s="21" t="n">
        <v>0.304697986577181</v>
      </c>
      <c r="V1007" s="22" t="n">
        <v>3.443</v>
      </c>
      <c r="W1007" s="17" t="n">
        <v>0</v>
      </c>
      <c r="X1007" s="17" t="n">
        <v>0</v>
      </c>
      <c r="Y1007" s="20" t="n">
        <v>20000</v>
      </c>
      <c r="Z1007" s="21" t="n">
        <v>0.1135</v>
      </c>
      <c r="AA1007" s="16" t="n">
        <v>45323</v>
      </c>
      <c r="AB1007" s="5">
        <f>IF(V1007="","",IF(V1007&lt;12,"Months","Weeks"))</f>
        <v/>
      </c>
      <c r="AC1007" s="5">
        <f>IF(AB1007="","",IF(AB1007="Months","Daily","Weekly"))</f>
        <v/>
      </c>
      <c r="AD1007" s="17">
        <f>IF(V1007="","",IF(AC1007="Daily",V1007*Controls!$B$13,V1007))</f>
        <v/>
      </c>
      <c r="AE1007" s="17">
        <f>IF(V1007="","",IF(AC1007="Daily",V1007*Controls!$B$13,V1007*Controls!$B$12))</f>
        <v/>
      </c>
      <c r="AF1007" s="17">
        <f>IF(OR(E1007="",F1007=""),"",F1007-E1007)</f>
        <v/>
      </c>
      <c r="AG1007" s="17">
        <f>IF(OR(E1007="",F1007=""),"",NETWORKDAYS(E1007,F1007,Ref!$F$4:$F$47))</f>
        <v/>
      </c>
      <c r="AH1007" s="39">
        <f>IF(IFERROR(VLOOKUP(D1007,Controls!$A$25:$D$35,2,FALSE()),"No")="Yes",1,0)</f>
        <v/>
      </c>
      <c r="AI1007" s="39">
        <f>IF(IFERROR(VLOOKUP(D1007,Controls!$A$25:$D$35,3,FALSE()),"No")="Yes",1,0)</f>
        <v/>
      </c>
      <c r="AJ1007" s="39">
        <f>IF(IFERROR(VLOOKUP(D1007,Controls!$A$25:$D$35,4,FALSE()),"No")="Yes",1,0)</f>
        <v/>
      </c>
      <c r="AK1007" s="96">
        <f>IF(AND($E1007&gt;=Controls!$B$5,$E1007&lt;=Controls!$B$6,OR(Controls!$E$9&lt;&gt;"Y",$BE1007=1)),1,0)</f>
        <v/>
      </c>
      <c r="AL1007" s="39">
        <f>1</f>
        <v/>
      </c>
      <c r="AM1007" s="20">
        <f>S1007-P1007</f>
        <v/>
      </c>
      <c r="AN1007" s="20">
        <f>IF(AH1007=1,MAX(0,P1007-S1007),0)</f>
        <v/>
      </c>
      <c r="AO1007" s="21">
        <f>IFERROR(S1007/P1007,"")</f>
        <v/>
      </c>
      <c r="AP1007" s="22">
        <f>IF(Y1007="","",P1007/Y1007)</f>
        <v/>
      </c>
      <c r="AQ1007" s="39">
        <f>IF(Y1007="",0,1)</f>
        <v/>
      </c>
      <c r="AR1007" s="39">
        <f>IF(S1007&lt;=0,1,0)</f>
        <v/>
      </c>
      <c r="AS1007" s="17">
        <f>IF(AH1007=1,AG1007,"")</f>
        <v/>
      </c>
      <c r="AT1007" s="17">
        <f>IF(AND(AH1007=0,AJ1007=1),AG1007,"")</f>
        <v/>
      </c>
      <c r="AU1007" s="5">
        <f>IF(P1007&lt;10000,"Under $10K",IF(P1007&lt;20000,"$10-20K",IF(P1007&lt;30000,"$20-30K",IF(P1007&lt;50000,"$30-50K",IF(P1007&lt;100000,"$50-100K","$100K+")))))</f>
        <v/>
      </c>
      <c r="AV1007" s="5">
        <f>IF(O1007&lt;=1.35,"1.35 and under",IF(O1007&lt;=1.42,"1.36-1.42",IF(O1007&lt;=1.45,"1.43-1.45",IF(O1007&lt;1.49,"1.46-1.48",IF(O1007&lt;=1.49,"1.49","Above 1.49")))))</f>
        <v/>
      </c>
      <c r="AW1007" s="5">
        <f>IF(AE1007="","",IF(AE1007&lt;60,"Under 60",IF(AE1007&lt;90,"60-89",IF(AE1007&lt;120,"90-119",IF(AE1007&lt;150,"120-149","150+")))))</f>
        <v/>
      </c>
      <c r="AX1007" s="5">
        <f>IF(AP1007="","No revenue data",IF(AP1007&lt;0.15,"Under 0.15x",IF(AP1007&lt;0.3,"0.15-0.30x",IF(AP1007&lt;0.5,"0.30-0.50x",IF(AP1007&lt;1,"0.50-1.00x","1.00x+")))))</f>
        <v/>
      </c>
      <c r="AY1007" s="5">
        <f>IF(J1007="","No SIC",IFERROR(VLOOKUP(J1007,Ref!$A$4:$C$67,2,FALSE()),"Unclassified"))</f>
        <v/>
      </c>
      <c r="AZ1007" s="5">
        <f>IF(E1007="","",TEXT(E1007,"YYYY")&amp;"-Q"&amp;ROUNDUP(MONTH(E1007)/3,0))</f>
        <v/>
      </c>
      <c r="BA1007" s="5">
        <f>IF(E1007="","",TEXT(E1007,"YYYY-MM"))</f>
        <v/>
      </c>
      <c r="BB1007" s="5">
        <f>IF(E1007="","",TEXT(E1007,"YYYY"))</f>
        <v/>
      </c>
      <c r="BC1007" s="92">
        <f>IF($E1007="","",NETWORKDAYS($E1007,Controls!$B$9,Ref!$F$4:$F$47))</f>
        <v/>
      </c>
      <c r="BD1007" s="92">
        <f>IF(OR($AH1007=1,$AJ1007=1),1,0)</f>
        <v/>
      </c>
      <c r="BE1007" s="95">
        <f>IF(OR($BD1007=1,AND($AE1007&lt;&gt;"",$BC1007&gt;=Controls!$B$10*$AE1007)),1,0)</f>
        <v/>
      </c>
    </row>
    <row r="1008" ht="15.75" customHeight="1" s="79">
      <c r="A1008" s="5" t="inlineStr">
        <is>
          <t>5674186794</t>
        </is>
      </c>
      <c r="B1008" s="5" t="inlineStr">
        <is>
          <t>GREASE MONKEY, GREASE MONKEY OF PENDLETON</t>
        </is>
      </c>
      <c r="C1008" s="5" t="inlineStr">
        <is>
          <t>Grease Monkey</t>
        </is>
      </c>
      <c r="D1008" s="5" t="inlineStr">
        <is>
          <t>Open</t>
        </is>
      </c>
      <c r="E1008" s="16" t="n">
        <v>46210</v>
      </c>
      <c r="F1008" s="16" t="n">
        <v>46241</v>
      </c>
      <c r="G1008" s="17" t="n">
        <v>3</v>
      </c>
      <c r="H1008" s="5" t="inlineStr">
        <is>
          <t>7533</t>
        </is>
      </c>
      <c r="I1008" s="5" t="inlineStr">
        <is>
          <t>Automotive Exhaust System Repair</t>
        </is>
      </c>
      <c r="J1008" s="5" t="inlineStr">
        <is>
          <t>75</t>
        </is>
      </c>
      <c r="K1008" s="5" t="n">
        <v>7531</v>
      </c>
      <c r="L1008" s="5" t="inlineStr">
        <is>
          <t>SC</t>
        </is>
      </c>
      <c r="M1008" s="5" t="inlineStr">
        <is>
          <t>elite finance team</t>
        </is>
      </c>
      <c r="N1008" s="5" t="inlineStr">
        <is>
          <t>New Deal</t>
        </is>
      </c>
      <c r="O1008" s="19" t="n">
        <v>1.35</v>
      </c>
      <c r="P1008" s="20" t="n">
        <v>20000</v>
      </c>
      <c r="Q1008" s="20" t="n">
        <v>0</v>
      </c>
      <c r="R1008" s="20" t="n">
        <v>27000</v>
      </c>
      <c r="S1008" s="20" t="n">
        <v>2250.36</v>
      </c>
      <c r="T1008" s="20" t="n">
        <v>24749.64</v>
      </c>
      <c r="U1008" s="21" t="n">
        <v>0.08334666666666669</v>
      </c>
      <c r="V1008" s="22" t="n">
        <v>24</v>
      </c>
      <c r="W1008" s="17" t="n">
        <v>33</v>
      </c>
      <c r="X1008" s="17" t="n">
        <v>8</v>
      </c>
      <c r="Y1008" s="20" t="n">
        <v>64851.96</v>
      </c>
      <c r="Z1008" s="21" t="n">
        <v>0.0694</v>
      </c>
      <c r="AA1008" s="16" t="n">
        <v>45505</v>
      </c>
      <c r="AB1008" s="5">
        <f>IF(V1008="","",IF(V1008&lt;12,"Months","Weeks"))</f>
        <v/>
      </c>
      <c r="AC1008" s="5">
        <f>IF(AB1008="","",IF(AB1008="Months","Daily","Weekly"))</f>
        <v/>
      </c>
      <c r="AD1008" s="17">
        <f>IF(V1008="","",IF(AC1008="Daily",V1008*Controls!$B$13,V1008))</f>
        <v/>
      </c>
      <c r="AE1008" s="17">
        <f>IF(V1008="","",IF(AC1008="Daily",V1008*Controls!$B$13,V1008*Controls!$B$12))</f>
        <v/>
      </c>
      <c r="AF1008" s="17">
        <f>IF(OR(E1008="",F1008=""),"",F1008-E1008)</f>
        <v/>
      </c>
      <c r="AG1008" s="17">
        <f>IF(OR(E1008="",F1008=""),"",NETWORKDAYS(E1008,F1008,Ref!$F$4:$F$47))</f>
        <v/>
      </c>
      <c r="AH1008" s="39">
        <f>IF(IFERROR(VLOOKUP(D1008,Controls!$A$25:$D$35,2,FALSE()),"No")="Yes",1,0)</f>
        <v/>
      </c>
      <c r="AI1008" s="39">
        <f>IF(IFERROR(VLOOKUP(D1008,Controls!$A$25:$D$35,3,FALSE()),"No")="Yes",1,0)</f>
        <v/>
      </c>
      <c r="AJ1008" s="39">
        <f>IF(IFERROR(VLOOKUP(D1008,Controls!$A$25:$D$35,4,FALSE()),"No")="Yes",1,0)</f>
        <v/>
      </c>
      <c r="AK1008" s="96">
        <f>IF(AND($E1008&gt;=Controls!$B$5,$E1008&lt;=Controls!$B$6,OR(Controls!$E$9&lt;&gt;"Y",$BE1008=1)),1,0)</f>
        <v/>
      </c>
      <c r="AL1008" s="39">
        <f>1</f>
        <v/>
      </c>
      <c r="AM1008" s="20">
        <f>S1008-P1008</f>
        <v/>
      </c>
      <c r="AN1008" s="20">
        <f>IF(AH1008=1,MAX(0,P1008-S1008),0)</f>
        <v/>
      </c>
      <c r="AO1008" s="21">
        <f>IFERROR(S1008/P1008,"")</f>
        <v/>
      </c>
      <c r="AP1008" s="22">
        <f>IF(Y1008="","",P1008/Y1008)</f>
        <v/>
      </c>
      <c r="AQ1008" s="39">
        <f>IF(Y1008="",0,1)</f>
        <v/>
      </c>
      <c r="AR1008" s="39">
        <f>IF(S1008&lt;=0,1,0)</f>
        <v/>
      </c>
      <c r="AS1008" s="17">
        <f>IF(AH1008=1,AG1008,"")</f>
        <v/>
      </c>
      <c r="AT1008" s="17">
        <f>IF(AND(AH1008=0,AJ1008=1),AG1008,"")</f>
        <v/>
      </c>
      <c r="AU1008" s="5">
        <f>IF(P1008&lt;10000,"Under $10K",IF(P1008&lt;20000,"$10-20K",IF(P1008&lt;30000,"$20-30K",IF(P1008&lt;50000,"$30-50K",IF(P1008&lt;100000,"$50-100K","$100K+")))))</f>
        <v/>
      </c>
      <c r="AV1008" s="5">
        <f>IF(O1008&lt;=1.35,"1.35 and under",IF(O1008&lt;=1.42,"1.36-1.42",IF(O1008&lt;=1.45,"1.43-1.45",IF(O1008&lt;1.49,"1.46-1.48",IF(O1008&lt;=1.49,"1.49","Above 1.49")))))</f>
        <v/>
      </c>
      <c r="AW1008" s="5">
        <f>IF(AE1008="","",IF(AE1008&lt;60,"Under 60",IF(AE1008&lt;90,"60-89",IF(AE1008&lt;120,"90-119",IF(AE1008&lt;150,"120-149","150+")))))</f>
        <v/>
      </c>
      <c r="AX1008" s="5">
        <f>IF(AP1008="","No revenue data",IF(AP1008&lt;0.15,"Under 0.15x",IF(AP1008&lt;0.3,"0.15-0.30x",IF(AP1008&lt;0.5,"0.30-0.50x",IF(AP1008&lt;1,"0.50-1.00x","1.00x+")))))</f>
        <v/>
      </c>
      <c r="AY1008" s="5">
        <f>IF(J1008="","No SIC",IFERROR(VLOOKUP(J1008,Ref!$A$4:$C$67,2,FALSE()),"Unclassified"))</f>
        <v/>
      </c>
      <c r="AZ1008" s="5">
        <f>IF(E1008="","",TEXT(E1008,"YYYY")&amp;"-Q"&amp;ROUNDUP(MONTH(E1008)/3,0))</f>
        <v/>
      </c>
      <c r="BA1008" s="5">
        <f>IF(E1008="","",TEXT(E1008,"YYYY-MM"))</f>
        <v/>
      </c>
      <c r="BB1008" s="5">
        <f>IF(E1008="","",TEXT(E1008,"YYYY"))</f>
        <v/>
      </c>
      <c r="BC1008" s="92">
        <f>IF($E1008="","",NETWORKDAYS($E1008,Controls!$B$9,Ref!$F$4:$F$47))</f>
        <v/>
      </c>
      <c r="BD1008" s="92">
        <f>IF(OR($AH1008=1,$AJ1008=1),1,0)</f>
        <v/>
      </c>
      <c r="BE1008" s="95">
        <f>IF(OR($BD1008=1,AND($AE1008&lt;&gt;"",$BC1008&gt;=Controls!$B$10*$AE1008)),1,0)</f>
        <v/>
      </c>
    </row>
    <row r="1009" ht="15.75" customHeight="1" s="79">
      <c r="A1009" s="5" t="inlineStr">
        <is>
          <t>5674186838</t>
        </is>
      </c>
      <c r="B1009" s="5" t="inlineStr">
        <is>
          <t>ROLLS AND BOWLS SUSHI</t>
        </is>
      </c>
      <c r="C1009" s="5" t="inlineStr">
        <is>
          <t>Rolls and bowls Llc</t>
        </is>
      </c>
      <c r="D1009" s="5" t="inlineStr">
        <is>
          <t>Open</t>
        </is>
      </c>
      <c r="E1009" s="16" t="n">
        <v>46210</v>
      </c>
      <c r="F1009" s="16" t="n">
        <v>46248</v>
      </c>
      <c r="G1009" s="17" t="n">
        <v>2</v>
      </c>
      <c r="H1009" s="5" t="inlineStr">
        <is>
          <t>5812</t>
        </is>
      </c>
      <c r="I1009" s="5" t="inlineStr">
        <is>
          <t>Full-Service Restaurants</t>
        </is>
      </c>
      <c r="J1009" s="5" t="inlineStr">
        <is>
          <t>58</t>
        </is>
      </c>
      <c r="K1009" s="5" t="n">
        <v>5812</v>
      </c>
      <c r="L1009" s="5" t="inlineStr">
        <is>
          <t>AZ</t>
        </is>
      </c>
      <c r="M1009" s="5" t="inlineStr">
        <is>
          <t>PMF</t>
        </is>
      </c>
      <c r="N1009" s="5" t="inlineStr">
        <is>
          <t>New Deal</t>
        </is>
      </c>
      <c r="O1009" s="19" t="n">
        <v>1.4</v>
      </c>
      <c r="P1009" s="20" t="n">
        <v>70000</v>
      </c>
      <c r="Q1009" s="20" t="n">
        <v>6650</v>
      </c>
      <c r="R1009" s="20" t="n">
        <v>98000</v>
      </c>
      <c r="S1009" s="20" t="n">
        <v>16799.04</v>
      </c>
      <c r="T1009" s="20" t="n">
        <v>81200.96000000001</v>
      </c>
      <c r="U1009" s="21" t="n">
        <v>0.171418775510204</v>
      </c>
      <c r="V1009" s="22" t="n">
        <v>35</v>
      </c>
      <c r="W1009" s="17" t="n">
        <v>5</v>
      </c>
      <c r="X1009" s="17" t="n">
        <v>0</v>
      </c>
      <c r="Y1009" s="20" t="n">
        <v>65531.76</v>
      </c>
      <c r="Z1009" s="21" t="n">
        <v>0.1709</v>
      </c>
      <c r="AA1009" s="16" t="n">
        <v>41814</v>
      </c>
      <c r="AB1009" s="5">
        <f>IF(V1009="","",IF(V1009&lt;12,"Months","Weeks"))</f>
        <v/>
      </c>
      <c r="AC1009" s="5">
        <f>IF(AB1009="","",IF(AB1009="Months","Daily","Weekly"))</f>
        <v/>
      </c>
      <c r="AD1009" s="17">
        <f>IF(V1009="","",IF(AC1009="Daily",V1009*Controls!$B$13,V1009))</f>
        <v/>
      </c>
      <c r="AE1009" s="17">
        <f>IF(V1009="","",IF(AC1009="Daily",V1009*Controls!$B$13,V1009*Controls!$B$12))</f>
        <v/>
      </c>
      <c r="AF1009" s="17">
        <f>IF(OR(E1009="",F1009=""),"",F1009-E1009)</f>
        <v/>
      </c>
      <c r="AG1009" s="17">
        <f>IF(OR(E1009="",F1009=""),"",NETWORKDAYS(E1009,F1009,Ref!$F$4:$F$47))</f>
        <v/>
      </c>
      <c r="AH1009" s="39">
        <f>IF(IFERROR(VLOOKUP(D1009,Controls!$A$25:$D$35,2,FALSE()),"No")="Yes",1,0)</f>
        <v/>
      </c>
      <c r="AI1009" s="39">
        <f>IF(IFERROR(VLOOKUP(D1009,Controls!$A$25:$D$35,3,FALSE()),"No")="Yes",1,0)</f>
        <v/>
      </c>
      <c r="AJ1009" s="39">
        <f>IF(IFERROR(VLOOKUP(D1009,Controls!$A$25:$D$35,4,FALSE()),"No")="Yes",1,0)</f>
        <v/>
      </c>
      <c r="AK1009" s="96">
        <f>IF(AND($E1009&gt;=Controls!$B$5,$E1009&lt;=Controls!$B$6,OR(Controls!$E$9&lt;&gt;"Y",$BE1009=1)),1,0)</f>
        <v/>
      </c>
      <c r="AL1009" s="39">
        <f>1</f>
        <v/>
      </c>
      <c r="AM1009" s="20">
        <f>S1009-P1009</f>
        <v/>
      </c>
      <c r="AN1009" s="20">
        <f>IF(AH1009=1,MAX(0,P1009-S1009),0)</f>
        <v/>
      </c>
      <c r="AO1009" s="21">
        <f>IFERROR(S1009/P1009,"")</f>
        <v/>
      </c>
      <c r="AP1009" s="22">
        <f>IF(Y1009="","",P1009/Y1009)</f>
        <v/>
      </c>
      <c r="AQ1009" s="39">
        <f>IF(Y1009="",0,1)</f>
        <v/>
      </c>
      <c r="AR1009" s="39">
        <f>IF(S1009&lt;=0,1,0)</f>
        <v/>
      </c>
      <c r="AS1009" s="17">
        <f>IF(AH1009=1,AG1009,"")</f>
        <v/>
      </c>
      <c r="AT1009" s="17">
        <f>IF(AND(AH1009=0,AJ1009=1),AG1009,"")</f>
        <v/>
      </c>
      <c r="AU1009" s="5">
        <f>IF(P1009&lt;10000,"Under $10K",IF(P1009&lt;20000,"$10-20K",IF(P1009&lt;30000,"$20-30K",IF(P1009&lt;50000,"$30-50K",IF(P1009&lt;100000,"$50-100K","$100K+")))))</f>
        <v/>
      </c>
      <c r="AV1009" s="5">
        <f>IF(O1009&lt;=1.35,"1.35 and under",IF(O1009&lt;=1.42,"1.36-1.42",IF(O1009&lt;=1.45,"1.43-1.45",IF(O1009&lt;1.49,"1.46-1.48",IF(O1009&lt;=1.49,"1.49","Above 1.49")))))</f>
        <v/>
      </c>
      <c r="AW1009" s="5">
        <f>IF(AE1009="","",IF(AE1009&lt;60,"Under 60",IF(AE1009&lt;90,"60-89",IF(AE1009&lt;120,"90-119",IF(AE1009&lt;150,"120-149","150+")))))</f>
        <v/>
      </c>
      <c r="AX1009" s="5">
        <f>IF(AP1009="","No revenue data",IF(AP1009&lt;0.15,"Under 0.15x",IF(AP1009&lt;0.3,"0.15-0.30x",IF(AP1009&lt;0.5,"0.30-0.50x",IF(AP1009&lt;1,"0.50-1.00x","1.00x+")))))</f>
        <v/>
      </c>
      <c r="AY1009" s="5">
        <f>IF(J1009="","No SIC",IFERROR(VLOOKUP(J1009,Ref!$A$4:$C$67,2,FALSE()),"Unclassified"))</f>
        <v/>
      </c>
      <c r="AZ1009" s="5">
        <f>IF(E1009="","",TEXT(E1009,"YYYY")&amp;"-Q"&amp;ROUNDUP(MONTH(E1009)/3,0))</f>
        <v/>
      </c>
      <c r="BA1009" s="5">
        <f>IF(E1009="","",TEXT(E1009,"YYYY-MM"))</f>
        <v/>
      </c>
      <c r="BB1009" s="5">
        <f>IF(E1009="","",TEXT(E1009,"YYYY"))</f>
        <v/>
      </c>
      <c r="BC1009" s="92">
        <f>IF($E1009="","",NETWORKDAYS($E1009,Controls!$B$9,Ref!$F$4:$F$47))</f>
        <v/>
      </c>
      <c r="BD1009" s="92">
        <f>IF(OR($AH1009=1,$AJ1009=1),1,0)</f>
        <v/>
      </c>
      <c r="BE1009" s="95">
        <f>IF(OR($BD1009=1,AND($AE1009&lt;&gt;"",$BC1009&gt;=Controls!$B$10*$AE1009)),1,0)</f>
        <v/>
      </c>
    </row>
    <row r="1010" ht="15.75" customHeight="1" s="79">
      <c r="A1010" s="5" t="inlineStr">
        <is>
          <t>5674186914</t>
        </is>
      </c>
      <c r="B1010" s="5" t="inlineStr">
        <is>
          <t>Holliday Empowerment LLC</t>
        </is>
      </c>
      <c r="C1010" s="5" t="inlineStr">
        <is>
          <t>Holliday Empowerment LLC</t>
        </is>
      </c>
      <c r="D1010" s="5" t="inlineStr">
        <is>
          <t>Open</t>
        </is>
      </c>
      <c r="E1010" s="16" t="n">
        <v>46211</v>
      </c>
      <c r="F1010" s="16" t="n">
        <v>46248</v>
      </c>
      <c r="G1010" s="17" t="n">
        <v>3</v>
      </c>
      <c r="H1010" s="5" t="inlineStr">
        <is>
          <t>8748</t>
        </is>
      </c>
      <c r="I1010" s="5" t="inlineStr">
        <is>
          <t>Other Management Consulting Services</t>
        </is>
      </c>
      <c r="J1010" s="5" t="inlineStr">
        <is>
          <t>87</t>
        </is>
      </c>
      <c r="K1010" s="5" t="n">
        <v>7392</v>
      </c>
      <c r="L1010" s="5" t="inlineStr">
        <is>
          <t>GA</t>
        </is>
      </c>
      <c r="M1010" s="5" t="inlineStr">
        <is>
          <t>PMF</t>
        </is>
      </c>
      <c r="N1010" s="5" t="inlineStr">
        <is>
          <t>New Deal</t>
        </is>
      </c>
      <c r="O1010" s="19" t="n">
        <v>1.41</v>
      </c>
      <c r="P1010" s="20" t="n">
        <v>14000</v>
      </c>
      <c r="Q1010" s="20" t="n">
        <v>1400</v>
      </c>
      <c r="R1010" s="20" t="n">
        <v>19740</v>
      </c>
      <c r="S1010" s="20" t="n">
        <v>4486.4</v>
      </c>
      <c r="T1010" s="20" t="n">
        <v>15253.6</v>
      </c>
      <c r="U1010" s="21" t="n">
        <v>0.227274569402229</v>
      </c>
      <c r="V1010" s="22" t="n">
        <v>22</v>
      </c>
      <c r="W1010" s="17" t="n">
        <v>5</v>
      </c>
      <c r="X1010" s="17" t="n">
        <v>0</v>
      </c>
      <c r="Y1010" s="20" t="n">
        <v>22320.52</v>
      </c>
      <c r="Z1010" s="21" t="n">
        <v>0.1608</v>
      </c>
      <c r="AA1010" s="16" t="n">
        <v>43646</v>
      </c>
      <c r="AB1010" s="5">
        <f>IF(V1010="","",IF(V1010&lt;12,"Months","Weeks"))</f>
        <v/>
      </c>
      <c r="AC1010" s="5">
        <f>IF(AB1010="","",IF(AB1010="Months","Daily","Weekly"))</f>
        <v/>
      </c>
      <c r="AD1010" s="17">
        <f>IF(V1010="","",IF(AC1010="Daily",V1010*Controls!$B$13,V1010))</f>
        <v/>
      </c>
      <c r="AE1010" s="17">
        <f>IF(V1010="","",IF(AC1010="Daily",V1010*Controls!$B$13,V1010*Controls!$B$12))</f>
        <v/>
      </c>
      <c r="AF1010" s="17">
        <f>IF(OR(E1010="",F1010=""),"",F1010-E1010)</f>
        <v/>
      </c>
      <c r="AG1010" s="17">
        <f>IF(OR(E1010="",F1010=""),"",NETWORKDAYS(E1010,F1010,Ref!$F$4:$F$47))</f>
        <v/>
      </c>
      <c r="AH1010" s="39">
        <f>IF(IFERROR(VLOOKUP(D1010,Controls!$A$25:$D$35,2,FALSE()),"No")="Yes",1,0)</f>
        <v/>
      </c>
      <c r="AI1010" s="39">
        <f>IF(IFERROR(VLOOKUP(D1010,Controls!$A$25:$D$35,3,FALSE()),"No")="Yes",1,0)</f>
        <v/>
      </c>
      <c r="AJ1010" s="39">
        <f>IF(IFERROR(VLOOKUP(D1010,Controls!$A$25:$D$35,4,FALSE()),"No")="Yes",1,0)</f>
        <v/>
      </c>
      <c r="AK1010" s="96">
        <f>IF(AND($E1010&gt;=Controls!$B$5,$E1010&lt;=Controls!$B$6,OR(Controls!$E$9&lt;&gt;"Y",$BE1010=1)),1,0)</f>
        <v/>
      </c>
      <c r="AL1010" s="39">
        <f>1</f>
        <v/>
      </c>
      <c r="AM1010" s="20">
        <f>S1010-P1010</f>
        <v/>
      </c>
      <c r="AN1010" s="20">
        <f>IF(AH1010=1,MAX(0,P1010-S1010),0)</f>
        <v/>
      </c>
      <c r="AO1010" s="21">
        <f>IFERROR(S1010/P1010,"")</f>
        <v/>
      </c>
      <c r="AP1010" s="22">
        <f>IF(Y1010="","",P1010/Y1010)</f>
        <v/>
      </c>
      <c r="AQ1010" s="39">
        <f>IF(Y1010="",0,1)</f>
        <v/>
      </c>
      <c r="AR1010" s="39">
        <f>IF(S1010&lt;=0,1,0)</f>
        <v/>
      </c>
      <c r="AS1010" s="17">
        <f>IF(AH1010=1,AG1010,"")</f>
        <v/>
      </c>
      <c r="AT1010" s="17">
        <f>IF(AND(AH1010=0,AJ1010=1),AG1010,"")</f>
        <v/>
      </c>
      <c r="AU1010" s="5">
        <f>IF(P1010&lt;10000,"Under $10K",IF(P1010&lt;20000,"$10-20K",IF(P1010&lt;30000,"$20-30K",IF(P1010&lt;50000,"$30-50K",IF(P1010&lt;100000,"$50-100K","$100K+")))))</f>
        <v/>
      </c>
      <c r="AV1010" s="5">
        <f>IF(O1010&lt;=1.35,"1.35 and under",IF(O1010&lt;=1.42,"1.36-1.42",IF(O1010&lt;=1.45,"1.43-1.45",IF(O1010&lt;1.49,"1.46-1.48",IF(O1010&lt;=1.49,"1.49","Above 1.49")))))</f>
        <v/>
      </c>
      <c r="AW1010" s="5">
        <f>IF(AE1010="","",IF(AE1010&lt;60,"Under 60",IF(AE1010&lt;90,"60-89",IF(AE1010&lt;120,"90-119",IF(AE1010&lt;150,"120-149","150+")))))</f>
        <v/>
      </c>
      <c r="AX1010" s="5">
        <f>IF(AP1010="","No revenue data",IF(AP1010&lt;0.15,"Under 0.15x",IF(AP1010&lt;0.3,"0.15-0.30x",IF(AP1010&lt;0.5,"0.30-0.50x",IF(AP1010&lt;1,"0.50-1.00x","1.00x+")))))</f>
        <v/>
      </c>
      <c r="AY1010" s="5">
        <f>IF(J1010="","No SIC",IFERROR(VLOOKUP(J1010,Ref!$A$4:$C$67,2,FALSE()),"Unclassified"))</f>
        <v/>
      </c>
      <c r="AZ1010" s="5">
        <f>IF(E1010="","",TEXT(E1010,"YYYY")&amp;"-Q"&amp;ROUNDUP(MONTH(E1010)/3,0))</f>
        <v/>
      </c>
      <c r="BA1010" s="5">
        <f>IF(E1010="","",TEXT(E1010,"YYYY-MM"))</f>
        <v/>
      </c>
      <c r="BB1010" s="5">
        <f>IF(E1010="","",TEXT(E1010,"YYYY"))</f>
        <v/>
      </c>
      <c r="BC1010" s="92">
        <f>IF($E1010="","",NETWORKDAYS($E1010,Controls!$B$9,Ref!$F$4:$F$47))</f>
        <v/>
      </c>
      <c r="BD1010" s="92">
        <f>IF(OR($AH1010=1,$AJ1010=1),1,0)</f>
        <v/>
      </c>
      <c r="BE1010" s="95">
        <f>IF(OR($BD1010=1,AND($AE1010&lt;&gt;"",$BC1010&gt;=Controls!$B$10*$AE1010)),1,0)</f>
        <v/>
      </c>
    </row>
    <row r="1011" ht="15.75" customHeight="1" s="79">
      <c r="A1011" s="5" t="inlineStr">
        <is>
          <t>5674186935</t>
        </is>
      </c>
      <c r="B1011" s="5" t="inlineStr">
        <is>
          <t>Shift N2 Gear Auto LLC</t>
        </is>
      </c>
      <c r="C1011" s="5" t="inlineStr">
        <is>
          <t>Shift N2 Gear Auto LLC</t>
        </is>
      </c>
      <c r="D1011" s="5" t="inlineStr">
        <is>
          <t>Open</t>
        </is>
      </c>
      <c r="E1011" s="16" t="n">
        <v>46211</v>
      </c>
      <c r="F1011" s="16" t="n">
        <v>46253</v>
      </c>
      <c r="G1011" s="17" t="n">
        <v>3</v>
      </c>
      <c r="H1011" s="5" t="inlineStr">
        <is>
          <t>5511</t>
        </is>
      </c>
      <c r="I1011" s="5" t="inlineStr">
        <is>
          <t>New Car Dealers</t>
        </is>
      </c>
      <c r="J1011" s="5" t="inlineStr">
        <is>
          <t>55</t>
        </is>
      </c>
      <c r="K1011" s="5" t="n">
        <v>5511</v>
      </c>
      <c r="L1011" s="5" t="inlineStr">
        <is>
          <t>AR</t>
        </is>
      </c>
      <c r="M1011" s="5" t="inlineStr">
        <is>
          <t>ROK</t>
        </is>
      </c>
      <c r="N1011" s="5" t="inlineStr">
        <is>
          <t>New Deal</t>
        </is>
      </c>
      <c r="O1011" s="19" t="n">
        <v>1.42</v>
      </c>
      <c r="P1011" s="20" t="n">
        <v>30000</v>
      </c>
      <c r="Q1011" s="20" t="n">
        <v>3150</v>
      </c>
      <c r="R1011" s="20" t="n">
        <v>42600</v>
      </c>
      <c r="S1011" s="20" t="n">
        <v>16509.67</v>
      </c>
      <c r="T1011" s="20" t="n">
        <v>26090.33</v>
      </c>
      <c r="U1011" s="21" t="n">
        <v>0.387550938967136</v>
      </c>
      <c r="V1011" s="22" t="n">
        <v>2.623</v>
      </c>
      <c r="W1011" s="17" t="n">
        <v>0</v>
      </c>
      <c r="X1011" s="17" t="n">
        <v>0</v>
      </c>
      <c r="Y1011" s="20" t="n">
        <v>318631.45</v>
      </c>
      <c r="Z1011" s="21" t="n">
        <v>0.0351</v>
      </c>
      <c r="AA1011" s="16" t="n">
        <v>44368</v>
      </c>
      <c r="AB1011" s="5">
        <f>IF(V1011="","",IF(V1011&lt;12,"Months","Weeks"))</f>
        <v/>
      </c>
      <c r="AC1011" s="5">
        <f>IF(AB1011="","",IF(AB1011="Months","Daily","Weekly"))</f>
        <v/>
      </c>
      <c r="AD1011" s="17">
        <f>IF(V1011="","",IF(AC1011="Daily",V1011*Controls!$B$13,V1011))</f>
        <v/>
      </c>
      <c r="AE1011" s="17">
        <f>IF(V1011="","",IF(AC1011="Daily",V1011*Controls!$B$13,V1011*Controls!$B$12))</f>
        <v/>
      </c>
      <c r="AF1011" s="17">
        <f>IF(OR(E1011="",F1011=""),"",F1011-E1011)</f>
        <v/>
      </c>
      <c r="AG1011" s="17">
        <f>IF(OR(E1011="",F1011=""),"",NETWORKDAYS(E1011,F1011,Ref!$F$4:$F$47))</f>
        <v/>
      </c>
      <c r="AH1011" s="39">
        <f>IF(IFERROR(VLOOKUP(D1011,Controls!$A$25:$D$35,2,FALSE()),"No")="Yes",1,0)</f>
        <v/>
      </c>
      <c r="AI1011" s="39">
        <f>IF(IFERROR(VLOOKUP(D1011,Controls!$A$25:$D$35,3,FALSE()),"No")="Yes",1,0)</f>
        <v/>
      </c>
      <c r="AJ1011" s="39">
        <f>IF(IFERROR(VLOOKUP(D1011,Controls!$A$25:$D$35,4,FALSE()),"No")="Yes",1,0)</f>
        <v/>
      </c>
      <c r="AK1011" s="96">
        <f>IF(AND($E1011&gt;=Controls!$B$5,$E1011&lt;=Controls!$B$6,OR(Controls!$E$9&lt;&gt;"Y",$BE1011=1)),1,0)</f>
        <v/>
      </c>
      <c r="AL1011" s="39">
        <f>1</f>
        <v/>
      </c>
      <c r="AM1011" s="20">
        <f>S1011-P1011</f>
        <v/>
      </c>
      <c r="AN1011" s="20">
        <f>IF(AH1011=1,MAX(0,P1011-S1011),0)</f>
        <v/>
      </c>
      <c r="AO1011" s="21">
        <f>IFERROR(S1011/P1011,"")</f>
        <v/>
      </c>
      <c r="AP1011" s="22">
        <f>IF(Y1011="","",P1011/Y1011)</f>
        <v/>
      </c>
      <c r="AQ1011" s="39">
        <f>IF(Y1011="",0,1)</f>
        <v/>
      </c>
      <c r="AR1011" s="39">
        <f>IF(S1011&lt;=0,1,0)</f>
        <v/>
      </c>
      <c r="AS1011" s="17">
        <f>IF(AH1011=1,AG1011,"")</f>
        <v/>
      </c>
      <c r="AT1011" s="17">
        <f>IF(AND(AH1011=0,AJ1011=1),AG1011,"")</f>
        <v/>
      </c>
      <c r="AU1011" s="5">
        <f>IF(P1011&lt;10000,"Under $10K",IF(P1011&lt;20000,"$10-20K",IF(P1011&lt;30000,"$20-30K",IF(P1011&lt;50000,"$30-50K",IF(P1011&lt;100000,"$50-100K","$100K+")))))</f>
        <v/>
      </c>
      <c r="AV1011" s="5">
        <f>IF(O1011&lt;=1.35,"1.35 and under",IF(O1011&lt;=1.42,"1.36-1.42",IF(O1011&lt;=1.45,"1.43-1.45",IF(O1011&lt;1.49,"1.46-1.48",IF(O1011&lt;=1.49,"1.49","Above 1.49")))))</f>
        <v/>
      </c>
      <c r="AW1011" s="5">
        <f>IF(AE1011="","",IF(AE1011&lt;60,"Under 60",IF(AE1011&lt;90,"60-89",IF(AE1011&lt;120,"90-119",IF(AE1011&lt;150,"120-149","150+")))))</f>
        <v/>
      </c>
      <c r="AX1011" s="5">
        <f>IF(AP1011="","No revenue data",IF(AP1011&lt;0.15,"Under 0.15x",IF(AP1011&lt;0.3,"0.15-0.30x",IF(AP1011&lt;0.5,"0.30-0.50x",IF(AP1011&lt;1,"0.50-1.00x","1.00x+")))))</f>
        <v/>
      </c>
      <c r="AY1011" s="5">
        <f>IF(J1011="","No SIC",IFERROR(VLOOKUP(J1011,Ref!$A$4:$C$67,2,FALSE()),"Unclassified"))</f>
        <v/>
      </c>
      <c r="AZ1011" s="5">
        <f>IF(E1011="","",TEXT(E1011,"YYYY")&amp;"-Q"&amp;ROUNDUP(MONTH(E1011)/3,0))</f>
        <v/>
      </c>
      <c r="BA1011" s="5">
        <f>IF(E1011="","",TEXT(E1011,"YYYY-MM"))</f>
        <v/>
      </c>
      <c r="BB1011" s="5">
        <f>IF(E1011="","",TEXT(E1011,"YYYY"))</f>
        <v/>
      </c>
      <c r="BC1011" s="92">
        <f>IF($E1011="","",NETWORKDAYS($E1011,Controls!$B$9,Ref!$F$4:$F$47))</f>
        <v/>
      </c>
      <c r="BD1011" s="92">
        <f>IF(OR($AH1011=1,$AJ1011=1),1,0)</f>
        <v/>
      </c>
      <c r="BE1011" s="95">
        <f>IF(OR($BD1011=1,AND($AE1011&lt;&gt;"",$BC1011&gt;=Controls!$B$10*$AE1011)),1,0)</f>
        <v/>
      </c>
    </row>
    <row r="1012" ht="15.75" customHeight="1" s="79">
      <c r="A1012" s="5" t="inlineStr">
        <is>
          <t>5674186941</t>
        </is>
      </c>
      <c r="B1012" s="5" t="inlineStr">
        <is>
          <t>QuitYerPitchin LLC</t>
        </is>
      </c>
      <c r="C1012" s="5" t="inlineStr">
        <is>
          <t>QuitYerPitchin LLC</t>
        </is>
      </c>
      <c r="D1012" s="5" t="inlineStr">
        <is>
          <t>Open</t>
        </is>
      </c>
      <c r="E1012" s="16" t="n">
        <v>46211</v>
      </c>
      <c r="F1012" s="16" t="n">
        <v>46253</v>
      </c>
      <c r="G1012" s="17" t="n">
        <v>3</v>
      </c>
      <c r="H1012" s="5" t="inlineStr">
        <is>
          <t>7033</t>
        </is>
      </c>
      <c r="I1012" s="5" t="inlineStr">
        <is>
          <t>RV (Recreational Vehicle) Parks and Campgrounds</t>
        </is>
      </c>
      <c r="J1012" s="5" t="inlineStr">
        <is>
          <t>70</t>
        </is>
      </c>
      <c r="K1012" s="5" t="n">
        <v>7033</v>
      </c>
      <c r="L1012" s="5" t="inlineStr">
        <is>
          <t>TX</t>
        </is>
      </c>
      <c r="M1012" s="5" t="inlineStr">
        <is>
          <t>Fundwell</t>
        </is>
      </c>
      <c r="N1012" s="5" t="inlineStr">
        <is>
          <t>New Deal</t>
        </is>
      </c>
      <c r="O1012" s="19" t="n">
        <v>1.35</v>
      </c>
      <c r="P1012" s="20" t="n">
        <v>5000</v>
      </c>
      <c r="Q1012" s="20" t="n">
        <v>350</v>
      </c>
      <c r="R1012" s="20" t="n">
        <v>6750</v>
      </c>
      <c r="S1012" s="20" t="n">
        <v>1932.3</v>
      </c>
      <c r="T1012" s="20" t="n">
        <v>4817.7</v>
      </c>
      <c r="U1012" s="21" t="n">
        <v>0.286266666666667</v>
      </c>
      <c r="V1012" s="22" t="n">
        <v>3.443</v>
      </c>
      <c r="W1012" s="17" t="n">
        <v>0</v>
      </c>
      <c r="X1012" s="17" t="n">
        <v>0</v>
      </c>
      <c r="Y1012" s="20" t="n">
        <v>53671.43</v>
      </c>
      <c r="Z1012" s="21" t="n">
        <v>0.0252</v>
      </c>
      <c r="AA1012" s="16" t="n">
        <v>45976</v>
      </c>
      <c r="AB1012" s="5">
        <f>IF(V1012="","",IF(V1012&lt;12,"Months","Weeks"))</f>
        <v/>
      </c>
      <c r="AC1012" s="5">
        <f>IF(AB1012="","",IF(AB1012="Months","Daily","Weekly"))</f>
        <v/>
      </c>
      <c r="AD1012" s="17">
        <f>IF(V1012="","",IF(AC1012="Daily",V1012*Controls!$B$13,V1012))</f>
        <v/>
      </c>
      <c r="AE1012" s="17">
        <f>IF(V1012="","",IF(AC1012="Daily",V1012*Controls!$B$13,V1012*Controls!$B$12))</f>
        <v/>
      </c>
      <c r="AF1012" s="17">
        <f>IF(OR(E1012="",F1012=""),"",F1012-E1012)</f>
        <v/>
      </c>
      <c r="AG1012" s="17">
        <f>IF(OR(E1012="",F1012=""),"",NETWORKDAYS(E1012,F1012,Ref!$F$4:$F$47))</f>
        <v/>
      </c>
      <c r="AH1012" s="39">
        <f>IF(IFERROR(VLOOKUP(D1012,Controls!$A$25:$D$35,2,FALSE()),"No")="Yes",1,0)</f>
        <v/>
      </c>
      <c r="AI1012" s="39">
        <f>IF(IFERROR(VLOOKUP(D1012,Controls!$A$25:$D$35,3,FALSE()),"No")="Yes",1,0)</f>
        <v/>
      </c>
      <c r="AJ1012" s="39">
        <f>IF(IFERROR(VLOOKUP(D1012,Controls!$A$25:$D$35,4,FALSE()),"No")="Yes",1,0)</f>
        <v/>
      </c>
      <c r="AK1012" s="96">
        <f>IF(AND($E1012&gt;=Controls!$B$5,$E1012&lt;=Controls!$B$6,OR(Controls!$E$9&lt;&gt;"Y",$BE1012=1)),1,0)</f>
        <v/>
      </c>
      <c r="AL1012" s="39">
        <f>1</f>
        <v/>
      </c>
      <c r="AM1012" s="20">
        <f>S1012-P1012</f>
        <v/>
      </c>
      <c r="AN1012" s="20">
        <f>IF(AH1012=1,MAX(0,P1012-S1012),0)</f>
        <v/>
      </c>
      <c r="AO1012" s="21">
        <f>IFERROR(S1012/P1012,"")</f>
        <v/>
      </c>
      <c r="AP1012" s="22">
        <f>IF(Y1012="","",P1012/Y1012)</f>
        <v/>
      </c>
      <c r="AQ1012" s="39">
        <f>IF(Y1012="",0,1)</f>
        <v/>
      </c>
      <c r="AR1012" s="39">
        <f>IF(S1012&lt;=0,1,0)</f>
        <v/>
      </c>
      <c r="AS1012" s="17">
        <f>IF(AH1012=1,AG1012,"")</f>
        <v/>
      </c>
      <c r="AT1012" s="17">
        <f>IF(AND(AH1012=0,AJ1012=1),AG1012,"")</f>
        <v/>
      </c>
      <c r="AU1012" s="5">
        <f>IF(P1012&lt;10000,"Under $10K",IF(P1012&lt;20000,"$10-20K",IF(P1012&lt;30000,"$20-30K",IF(P1012&lt;50000,"$30-50K",IF(P1012&lt;100000,"$50-100K","$100K+")))))</f>
        <v/>
      </c>
      <c r="AV1012" s="5">
        <f>IF(O1012&lt;=1.35,"1.35 and under",IF(O1012&lt;=1.42,"1.36-1.42",IF(O1012&lt;=1.45,"1.43-1.45",IF(O1012&lt;1.49,"1.46-1.48",IF(O1012&lt;=1.49,"1.49","Above 1.49")))))</f>
        <v/>
      </c>
      <c r="AW1012" s="5">
        <f>IF(AE1012="","",IF(AE1012&lt;60,"Under 60",IF(AE1012&lt;90,"60-89",IF(AE1012&lt;120,"90-119",IF(AE1012&lt;150,"120-149","150+")))))</f>
        <v/>
      </c>
      <c r="AX1012" s="5">
        <f>IF(AP1012="","No revenue data",IF(AP1012&lt;0.15,"Under 0.15x",IF(AP1012&lt;0.3,"0.15-0.30x",IF(AP1012&lt;0.5,"0.30-0.50x",IF(AP1012&lt;1,"0.50-1.00x","1.00x+")))))</f>
        <v/>
      </c>
      <c r="AY1012" s="5">
        <f>IF(J1012="","No SIC",IFERROR(VLOOKUP(J1012,Ref!$A$4:$C$67,2,FALSE()),"Unclassified"))</f>
        <v/>
      </c>
      <c r="AZ1012" s="5">
        <f>IF(E1012="","",TEXT(E1012,"YYYY")&amp;"-Q"&amp;ROUNDUP(MONTH(E1012)/3,0))</f>
        <v/>
      </c>
      <c r="BA1012" s="5">
        <f>IF(E1012="","",TEXT(E1012,"YYYY-MM"))</f>
        <v/>
      </c>
      <c r="BB1012" s="5">
        <f>IF(E1012="","",TEXT(E1012,"YYYY"))</f>
        <v/>
      </c>
      <c r="BC1012" s="92">
        <f>IF($E1012="","",NETWORKDAYS($E1012,Controls!$B$9,Ref!$F$4:$F$47))</f>
        <v/>
      </c>
      <c r="BD1012" s="92">
        <f>IF(OR($AH1012=1,$AJ1012=1),1,0)</f>
        <v/>
      </c>
      <c r="BE1012" s="95">
        <f>IF(OR($BD1012=1,AND($AE1012&lt;&gt;"",$BC1012&gt;=Controls!$B$10*$AE1012)),1,0)</f>
        <v/>
      </c>
    </row>
    <row r="1013" ht="15.75" customHeight="1" s="79">
      <c r="A1013" s="5" t="inlineStr">
        <is>
          <t>5674186955</t>
        </is>
      </c>
      <c r="B1013" s="5" t="inlineStr">
        <is>
          <t>Highlander Transport Ak Llc</t>
        </is>
      </c>
      <c r="C1013" s="5" t="inlineStr">
        <is>
          <t>Highlander Transport Ak Llc</t>
        </is>
      </c>
      <c r="D1013" s="5" t="inlineStr">
        <is>
          <t>Open</t>
        </is>
      </c>
      <c r="E1013" s="16" t="n">
        <v>46211</v>
      </c>
      <c r="F1013" s="16" t="n">
        <v>46248</v>
      </c>
      <c r="G1013" s="17" t="n">
        <v>3</v>
      </c>
      <c r="H1013" s="5" t="inlineStr">
        <is>
          <t>1521</t>
        </is>
      </c>
      <c r="I1013" s="5" t="inlineStr">
        <is>
          <t>New Single-Family Housing Construction (Except For-Sale Builders)</t>
        </is>
      </c>
      <c r="J1013" s="5" t="inlineStr">
        <is>
          <t>15</t>
        </is>
      </c>
      <c r="K1013" s="5" t="n">
        <v>1520</v>
      </c>
      <c r="L1013" s="5" t="inlineStr">
        <is>
          <t>OR</t>
        </is>
      </c>
      <c r="M1013" s="5" t="inlineStr">
        <is>
          <t>PMF</t>
        </is>
      </c>
      <c r="N1013" s="5" t="inlineStr">
        <is>
          <t>New Deal</t>
        </is>
      </c>
      <c r="O1013" s="19" t="n">
        <v>1.34</v>
      </c>
      <c r="P1013" s="20" t="n">
        <v>35000</v>
      </c>
      <c r="Q1013" s="20" t="n">
        <v>2100</v>
      </c>
      <c r="R1013" s="20" t="n">
        <v>46900</v>
      </c>
      <c r="S1013" s="20" t="n">
        <v>8681</v>
      </c>
      <c r="T1013" s="20" t="n">
        <v>38219</v>
      </c>
      <c r="U1013" s="21" t="n">
        <v>0.185095948827292</v>
      </c>
      <c r="V1013" s="22" t="n">
        <v>27</v>
      </c>
      <c r="W1013" s="17" t="n">
        <v>5</v>
      </c>
      <c r="X1013" s="17" t="n">
        <v>0</v>
      </c>
      <c r="Y1013" s="20" t="n">
        <v>219079.1</v>
      </c>
      <c r="Z1013" s="21" t="n">
        <v>0.0317</v>
      </c>
      <c r="AA1013" s="16" t="n">
        <v>45292</v>
      </c>
      <c r="AB1013" s="5">
        <f>IF(V1013="","",IF(V1013&lt;12,"Months","Weeks"))</f>
        <v/>
      </c>
      <c r="AC1013" s="5">
        <f>IF(AB1013="","",IF(AB1013="Months","Daily","Weekly"))</f>
        <v/>
      </c>
      <c r="AD1013" s="17">
        <f>IF(V1013="","",IF(AC1013="Daily",V1013*Controls!$B$13,V1013))</f>
        <v/>
      </c>
      <c r="AE1013" s="17">
        <f>IF(V1013="","",IF(AC1013="Daily",V1013*Controls!$B$13,V1013*Controls!$B$12))</f>
        <v/>
      </c>
      <c r="AF1013" s="17">
        <f>IF(OR(E1013="",F1013=""),"",F1013-E1013)</f>
        <v/>
      </c>
      <c r="AG1013" s="17">
        <f>IF(OR(E1013="",F1013=""),"",NETWORKDAYS(E1013,F1013,Ref!$F$4:$F$47))</f>
        <v/>
      </c>
      <c r="AH1013" s="39">
        <f>IF(IFERROR(VLOOKUP(D1013,Controls!$A$25:$D$35,2,FALSE()),"No")="Yes",1,0)</f>
        <v/>
      </c>
      <c r="AI1013" s="39">
        <f>IF(IFERROR(VLOOKUP(D1013,Controls!$A$25:$D$35,3,FALSE()),"No")="Yes",1,0)</f>
        <v/>
      </c>
      <c r="AJ1013" s="39">
        <f>IF(IFERROR(VLOOKUP(D1013,Controls!$A$25:$D$35,4,FALSE()),"No")="Yes",1,0)</f>
        <v/>
      </c>
      <c r="AK1013" s="96">
        <f>IF(AND($E1013&gt;=Controls!$B$5,$E1013&lt;=Controls!$B$6,OR(Controls!$E$9&lt;&gt;"Y",$BE1013=1)),1,0)</f>
        <v/>
      </c>
      <c r="AL1013" s="39">
        <f>1</f>
        <v/>
      </c>
      <c r="AM1013" s="20">
        <f>S1013-P1013</f>
        <v/>
      </c>
      <c r="AN1013" s="20">
        <f>IF(AH1013=1,MAX(0,P1013-S1013),0)</f>
        <v/>
      </c>
      <c r="AO1013" s="21">
        <f>IFERROR(S1013/P1013,"")</f>
        <v/>
      </c>
      <c r="AP1013" s="22">
        <f>IF(Y1013="","",P1013/Y1013)</f>
        <v/>
      </c>
      <c r="AQ1013" s="39">
        <f>IF(Y1013="",0,1)</f>
        <v/>
      </c>
      <c r="AR1013" s="39">
        <f>IF(S1013&lt;=0,1,0)</f>
        <v/>
      </c>
      <c r="AS1013" s="17">
        <f>IF(AH1013=1,AG1013,"")</f>
        <v/>
      </c>
      <c r="AT1013" s="17">
        <f>IF(AND(AH1013=0,AJ1013=1),AG1013,"")</f>
        <v/>
      </c>
      <c r="AU1013" s="5">
        <f>IF(P1013&lt;10000,"Under $10K",IF(P1013&lt;20000,"$10-20K",IF(P1013&lt;30000,"$20-30K",IF(P1013&lt;50000,"$30-50K",IF(P1013&lt;100000,"$50-100K","$100K+")))))</f>
        <v/>
      </c>
      <c r="AV1013" s="5">
        <f>IF(O1013&lt;=1.35,"1.35 and under",IF(O1013&lt;=1.42,"1.36-1.42",IF(O1013&lt;=1.45,"1.43-1.45",IF(O1013&lt;1.49,"1.46-1.48",IF(O1013&lt;=1.49,"1.49","Above 1.49")))))</f>
        <v/>
      </c>
      <c r="AW1013" s="5">
        <f>IF(AE1013="","",IF(AE1013&lt;60,"Under 60",IF(AE1013&lt;90,"60-89",IF(AE1013&lt;120,"90-119",IF(AE1013&lt;150,"120-149","150+")))))</f>
        <v/>
      </c>
      <c r="AX1013" s="5">
        <f>IF(AP1013="","No revenue data",IF(AP1013&lt;0.15,"Under 0.15x",IF(AP1013&lt;0.3,"0.15-0.30x",IF(AP1013&lt;0.5,"0.30-0.50x",IF(AP1013&lt;1,"0.50-1.00x","1.00x+")))))</f>
        <v/>
      </c>
      <c r="AY1013" s="5">
        <f>IF(J1013="","No SIC",IFERROR(VLOOKUP(J1013,Ref!$A$4:$C$67,2,FALSE()),"Unclassified"))</f>
        <v/>
      </c>
      <c r="AZ1013" s="5">
        <f>IF(E1013="","",TEXT(E1013,"YYYY")&amp;"-Q"&amp;ROUNDUP(MONTH(E1013)/3,0))</f>
        <v/>
      </c>
      <c r="BA1013" s="5">
        <f>IF(E1013="","",TEXT(E1013,"YYYY-MM"))</f>
        <v/>
      </c>
      <c r="BB1013" s="5">
        <f>IF(E1013="","",TEXT(E1013,"YYYY"))</f>
        <v/>
      </c>
      <c r="BC1013" s="92">
        <f>IF($E1013="","",NETWORKDAYS($E1013,Controls!$B$9,Ref!$F$4:$F$47))</f>
        <v/>
      </c>
      <c r="BD1013" s="92">
        <f>IF(OR($AH1013=1,$AJ1013=1),1,0)</f>
        <v/>
      </c>
      <c r="BE1013" s="95">
        <f>IF(OR($BD1013=1,AND($AE1013&lt;&gt;"",$BC1013&gt;=Controls!$B$10*$AE1013)),1,0)</f>
        <v/>
      </c>
    </row>
    <row r="1014" ht="15.75" customHeight="1" s="79">
      <c r="A1014" s="5" t="inlineStr">
        <is>
          <t>5674186983</t>
        </is>
      </c>
      <c r="B1014" s="5" t="inlineStr">
        <is>
          <t>Cavalier Auto Transport</t>
        </is>
      </c>
      <c r="C1014" s="5" t="inlineStr">
        <is>
          <t>Cavalier Auto Transport</t>
        </is>
      </c>
      <c r="D1014" s="5" t="inlineStr">
        <is>
          <t>Open</t>
        </is>
      </c>
      <c r="E1014" s="16" t="n">
        <v>46212</v>
      </c>
      <c r="F1014" s="16" t="n">
        <v>46253</v>
      </c>
      <c r="G1014" s="17" t="n">
        <v>2</v>
      </c>
      <c r="H1014" s="5" t="inlineStr">
        <is>
          <t>3799</t>
        </is>
      </c>
      <c r="I1014" s="5" t="inlineStr">
        <is>
          <t>All Other Transportation Equipment Mfg.</t>
        </is>
      </c>
      <c r="J1014" s="5" t="inlineStr">
        <is>
          <t>37</t>
        </is>
      </c>
      <c r="K1014" s="5" t="n">
        <v>4789</v>
      </c>
      <c r="L1014" s="5" t="inlineStr">
        <is>
          <t>FL</t>
        </is>
      </c>
      <c r="M1014" s="5" t="inlineStr">
        <is>
          <t>Ballicci</t>
        </is>
      </c>
      <c r="N1014" s="5" t="inlineStr">
        <is>
          <t>New Deal</t>
        </is>
      </c>
      <c r="O1014" s="19" t="n">
        <v>1.4</v>
      </c>
      <c r="P1014" s="20" t="n">
        <v>35000</v>
      </c>
      <c r="Q1014" s="20" t="n">
        <v>3325</v>
      </c>
      <c r="R1014" s="20" t="n">
        <v>49000</v>
      </c>
      <c r="S1014" s="20" t="n">
        <v>10502.4</v>
      </c>
      <c r="T1014" s="20" t="n">
        <v>38497.6</v>
      </c>
      <c r="U1014" s="21" t="n">
        <v>0.214334693877551</v>
      </c>
      <c r="V1014" s="22" t="n">
        <v>4.59</v>
      </c>
      <c r="W1014" s="17" t="n">
        <v>0</v>
      </c>
      <c r="X1014" s="17" t="n">
        <v>0</v>
      </c>
      <c r="Y1014" s="20" t="n">
        <v>70757.37</v>
      </c>
      <c r="Z1014" s="21" t="n">
        <v>0.1039</v>
      </c>
      <c r="AA1014" s="16" t="n">
        <v>40918</v>
      </c>
      <c r="AB1014" s="5">
        <f>IF(V1014="","",IF(V1014&lt;12,"Months","Weeks"))</f>
        <v/>
      </c>
      <c r="AC1014" s="5">
        <f>IF(AB1014="","",IF(AB1014="Months","Daily","Weekly"))</f>
        <v/>
      </c>
      <c r="AD1014" s="17">
        <f>IF(V1014="","",IF(AC1014="Daily",V1014*Controls!$B$13,V1014))</f>
        <v/>
      </c>
      <c r="AE1014" s="17">
        <f>IF(V1014="","",IF(AC1014="Daily",V1014*Controls!$B$13,V1014*Controls!$B$12))</f>
        <v/>
      </c>
      <c r="AF1014" s="17">
        <f>IF(OR(E1014="",F1014=""),"",F1014-E1014)</f>
        <v/>
      </c>
      <c r="AG1014" s="17">
        <f>IF(OR(E1014="",F1014=""),"",NETWORKDAYS(E1014,F1014,Ref!$F$4:$F$47))</f>
        <v/>
      </c>
      <c r="AH1014" s="39">
        <f>IF(IFERROR(VLOOKUP(D1014,Controls!$A$25:$D$35,2,FALSE()),"No")="Yes",1,0)</f>
        <v/>
      </c>
      <c r="AI1014" s="39">
        <f>IF(IFERROR(VLOOKUP(D1014,Controls!$A$25:$D$35,3,FALSE()),"No")="Yes",1,0)</f>
        <v/>
      </c>
      <c r="AJ1014" s="39">
        <f>IF(IFERROR(VLOOKUP(D1014,Controls!$A$25:$D$35,4,FALSE()),"No")="Yes",1,0)</f>
        <v/>
      </c>
      <c r="AK1014" s="96">
        <f>IF(AND($E1014&gt;=Controls!$B$5,$E1014&lt;=Controls!$B$6,OR(Controls!$E$9&lt;&gt;"Y",$BE1014=1)),1,0)</f>
        <v/>
      </c>
      <c r="AL1014" s="39">
        <f>1</f>
        <v/>
      </c>
      <c r="AM1014" s="20">
        <f>S1014-P1014</f>
        <v/>
      </c>
      <c r="AN1014" s="20">
        <f>IF(AH1014=1,MAX(0,P1014-S1014),0)</f>
        <v/>
      </c>
      <c r="AO1014" s="21">
        <f>IFERROR(S1014/P1014,"")</f>
        <v/>
      </c>
      <c r="AP1014" s="22">
        <f>IF(Y1014="","",P1014/Y1014)</f>
        <v/>
      </c>
      <c r="AQ1014" s="39">
        <f>IF(Y1014="",0,1)</f>
        <v/>
      </c>
      <c r="AR1014" s="39">
        <f>IF(S1014&lt;=0,1,0)</f>
        <v/>
      </c>
      <c r="AS1014" s="17">
        <f>IF(AH1014=1,AG1014,"")</f>
        <v/>
      </c>
      <c r="AT1014" s="17">
        <f>IF(AND(AH1014=0,AJ1014=1),AG1014,"")</f>
        <v/>
      </c>
      <c r="AU1014" s="5">
        <f>IF(P1014&lt;10000,"Under $10K",IF(P1014&lt;20000,"$10-20K",IF(P1014&lt;30000,"$20-30K",IF(P1014&lt;50000,"$30-50K",IF(P1014&lt;100000,"$50-100K","$100K+")))))</f>
        <v/>
      </c>
      <c r="AV1014" s="5">
        <f>IF(O1014&lt;=1.35,"1.35 and under",IF(O1014&lt;=1.42,"1.36-1.42",IF(O1014&lt;=1.45,"1.43-1.45",IF(O1014&lt;1.49,"1.46-1.48",IF(O1014&lt;=1.49,"1.49","Above 1.49")))))</f>
        <v/>
      </c>
      <c r="AW1014" s="5">
        <f>IF(AE1014="","",IF(AE1014&lt;60,"Under 60",IF(AE1014&lt;90,"60-89",IF(AE1014&lt;120,"90-119",IF(AE1014&lt;150,"120-149","150+")))))</f>
        <v/>
      </c>
      <c r="AX1014" s="5">
        <f>IF(AP1014="","No revenue data",IF(AP1014&lt;0.15,"Under 0.15x",IF(AP1014&lt;0.3,"0.15-0.30x",IF(AP1014&lt;0.5,"0.30-0.50x",IF(AP1014&lt;1,"0.50-1.00x","1.00x+")))))</f>
        <v/>
      </c>
      <c r="AY1014" s="5">
        <f>IF(J1014="","No SIC",IFERROR(VLOOKUP(J1014,Ref!$A$4:$C$67,2,FALSE()),"Unclassified"))</f>
        <v/>
      </c>
      <c r="AZ1014" s="5">
        <f>IF(E1014="","",TEXT(E1014,"YYYY")&amp;"-Q"&amp;ROUNDUP(MONTH(E1014)/3,0))</f>
        <v/>
      </c>
      <c r="BA1014" s="5">
        <f>IF(E1014="","",TEXT(E1014,"YYYY-MM"))</f>
        <v/>
      </c>
      <c r="BB1014" s="5">
        <f>IF(E1014="","",TEXT(E1014,"YYYY"))</f>
        <v/>
      </c>
      <c r="BC1014" s="92">
        <f>IF($E1014="","",NETWORKDAYS($E1014,Controls!$B$9,Ref!$F$4:$F$47))</f>
        <v/>
      </c>
      <c r="BD1014" s="92">
        <f>IF(OR($AH1014=1,$AJ1014=1),1,0)</f>
        <v/>
      </c>
      <c r="BE1014" s="95">
        <f>IF(OR($BD1014=1,AND($AE1014&lt;&gt;"",$BC1014&gt;=Controls!$B$10*$AE1014)),1,0)</f>
        <v/>
      </c>
    </row>
    <row r="1015" ht="15.75" customHeight="1" s="79">
      <c r="A1015" s="5" t="inlineStr">
        <is>
          <t>5674186987</t>
        </is>
      </c>
      <c r="B1015" s="5" t="inlineStr">
        <is>
          <t>Bailey's Auto Crushing &amp; Recycling</t>
        </is>
      </c>
      <c r="C1015" s="5" t="inlineStr">
        <is>
          <t>ROBERT M BAILEY</t>
        </is>
      </c>
      <c r="D1015" s="5" t="inlineStr">
        <is>
          <t>Open</t>
        </is>
      </c>
      <c r="E1015" s="16" t="n">
        <v>46212</v>
      </c>
      <c r="F1015" s="16" t="n">
        <v>46253</v>
      </c>
      <c r="G1015" s="17" t="n">
        <v>2</v>
      </c>
      <c r="H1015" s="5" t="inlineStr">
        <is>
          <t>5093</t>
        </is>
      </c>
      <c r="I1015" s="5" t="inlineStr">
        <is>
          <t>Recyclable Material Merchant Wholesalers</t>
        </is>
      </c>
      <c r="J1015" s="5" t="inlineStr">
        <is>
          <t>50</t>
        </is>
      </c>
      <c r="K1015" s="5" t="n">
        <v>5999</v>
      </c>
      <c r="L1015" s="5" t="inlineStr">
        <is>
          <t>TX</t>
        </is>
      </c>
      <c r="M1015" s="5" t="inlineStr">
        <is>
          <t>Kelly Kapital</t>
        </is>
      </c>
      <c r="N1015" s="5" t="inlineStr">
        <is>
          <t>New Deal</t>
        </is>
      </c>
      <c r="O1015" s="19" t="n">
        <v>1.38</v>
      </c>
      <c r="P1015" s="20" t="n">
        <v>165000</v>
      </c>
      <c r="Q1015" s="20" t="n">
        <v>16500</v>
      </c>
      <c r="R1015" s="20" t="n">
        <v>227700</v>
      </c>
      <c r="S1015" s="20" t="n">
        <v>34105.56</v>
      </c>
      <c r="T1015" s="20" t="n">
        <v>193594.44</v>
      </c>
      <c r="U1015" s="21" t="n">
        <v>0.149782872200264</v>
      </c>
      <c r="V1015" s="22" t="n">
        <v>40</v>
      </c>
      <c r="W1015" s="17" t="n">
        <v>0</v>
      </c>
      <c r="X1015" s="17" t="n">
        <v>0</v>
      </c>
      <c r="Y1015" s="20" t="n">
        <v>1306773.74</v>
      </c>
      <c r="Z1015" s="21" t="n">
        <v>0.0174</v>
      </c>
      <c r="AA1015" s="16" t="n">
        <v>43619</v>
      </c>
      <c r="AB1015" s="5">
        <f>IF(V1015="","",IF(V1015&lt;12,"Months","Weeks"))</f>
        <v/>
      </c>
      <c r="AC1015" s="5">
        <f>IF(AB1015="","",IF(AB1015="Months","Daily","Weekly"))</f>
        <v/>
      </c>
      <c r="AD1015" s="17">
        <f>IF(V1015="","",IF(AC1015="Daily",V1015*Controls!$B$13,V1015))</f>
        <v/>
      </c>
      <c r="AE1015" s="17">
        <f>IF(V1015="","",IF(AC1015="Daily",V1015*Controls!$B$13,V1015*Controls!$B$12))</f>
        <v/>
      </c>
      <c r="AF1015" s="17">
        <f>IF(OR(E1015="",F1015=""),"",F1015-E1015)</f>
        <v/>
      </c>
      <c r="AG1015" s="17">
        <f>IF(OR(E1015="",F1015=""),"",NETWORKDAYS(E1015,F1015,Ref!$F$4:$F$47))</f>
        <v/>
      </c>
      <c r="AH1015" s="39">
        <f>IF(IFERROR(VLOOKUP(D1015,Controls!$A$25:$D$35,2,FALSE()),"No")="Yes",1,0)</f>
        <v/>
      </c>
      <c r="AI1015" s="39">
        <f>IF(IFERROR(VLOOKUP(D1015,Controls!$A$25:$D$35,3,FALSE()),"No")="Yes",1,0)</f>
        <v/>
      </c>
      <c r="AJ1015" s="39">
        <f>IF(IFERROR(VLOOKUP(D1015,Controls!$A$25:$D$35,4,FALSE()),"No")="Yes",1,0)</f>
        <v/>
      </c>
      <c r="AK1015" s="96">
        <f>IF(AND($E1015&gt;=Controls!$B$5,$E1015&lt;=Controls!$B$6,OR(Controls!$E$9&lt;&gt;"Y",$BE1015=1)),1,0)</f>
        <v/>
      </c>
      <c r="AL1015" s="39">
        <f>1</f>
        <v/>
      </c>
      <c r="AM1015" s="20">
        <f>S1015-P1015</f>
        <v/>
      </c>
      <c r="AN1015" s="20">
        <f>IF(AH1015=1,MAX(0,P1015-S1015),0)</f>
        <v/>
      </c>
      <c r="AO1015" s="21">
        <f>IFERROR(S1015/P1015,"")</f>
        <v/>
      </c>
      <c r="AP1015" s="22">
        <f>IF(Y1015="","",P1015/Y1015)</f>
        <v/>
      </c>
      <c r="AQ1015" s="39">
        <f>IF(Y1015="",0,1)</f>
        <v/>
      </c>
      <c r="AR1015" s="39">
        <f>IF(S1015&lt;=0,1,0)</f>
        <v/>
      </c>
      <c r="AS1015" s="17">
        <f>IF(AH1015=1,AG1015,"")</f>
        <v/>
      </c>
      <c r="AT1015" s="17">
        <f>IF(AND(AH1015=0,AJ1015=1),AG1015,"")</f>
        <v/>
      </c>
      <c r="AU1015" s="5">
        <f>IF(P1015&lt;10000,"Under $10K",IF(P1015&lt;20000,"$10-20K",IF(P1015&lt;30000,"$20-30K",IF(P1015&lt;50000,"$30-50K",IF(P1015&lt;100000,"$50-100K","$100K+")))))</f>
        <v/>
      </c>
      <c r="AV1015" s="5">
        <f>IF(O1015&lt;=1.35,"1.35 and under",IF(O1015&lt;=1.42,"1.36-1.42",IF(O1015&lt;=1.45,"1.43-1.45",IF(O1015&lt;1.49,"1.46-1.48",IF(O1015&lt;=1.49,"1.49","Above 1.49")))))</f>
        <v/>
      </c>
      <c r="AW1015" s="5">
        <f>IF(AE1015="","",IF(AE1015&lt;60,"Under 60",IF(AE1015&lt;90,"60-89",IF(AE1015&lt;120,"90-119",IF(AE1015&lt;150,"120-149","150+")))))</f>
        <v/>
      </c>
      <c r="AX1015" s="5">
        <f>IF(AP1015="","No revenue data",IF(AP1015&lt;0.15,"Under 0.15x",IF(AP1015&lt;0.3,"0.15-0.30x",IF(AP1015&lt;0.5,"0.30-0.50x",IF(AP1015&lt;1,"0.50-1.00x","1.00x+")))))</f>
        <v/>
      </c>
      <c r="AY1015" s="5">
        <f>IF(J1015="","No SIC",IFERROR(VLOOKUP(J1015,Ref!$A$4:$C$67,2,FALSE()),"Unclassified"))</f>
        <v/>
      </c>
      <c r="AZ1015" s="5">
        <f>IF(E1015="","",TEXT(E1015,"YYYY")&amp;"-Q"&amp;ROUNDUP(MONTH(E1015)/3,0))</f>
        <v/>
      </c>
      <c r="BA1015" s="5">
        <f>IF(E1015="","",TEXT(E1015,"YYYY-MM"))</f>
        <v/>
      </c>
      <c r="BB1015" s="5">
        <f>IF(E1015="","",TEXT(E1015,"YYYY"))</f>
        <v/>
      </c>
      <c r="BC1015" s="92">
        <f>IF($E1015="","",NETWORKDAYS($E1015,Controls!$B$9,Ref!$F$4:$F$47))</f>
        <v/>
      </c>
      <c r="BD1015" s="92">
        <f>IF(OR($AH1015=1,$AJ1015=1),1,0)</f>
        <v/>
      </c>
      <c r="BE1015" s="95">
        <f>IF(OR($BD1015=1,AND($AE1015&lt;&gt;"",$BC1015&gt;=Controls!$B$10*$AE1015)),1,0)</f>
        <v/>
      </c>
    </row>
    <row r="1016" ht="15.75" customHeight="1" s="79">
      <c r="A1016" s="5" t="inlineStr">
        <is>
          <t>5674187021</t>
        </is>
      </c>
      <c r="B1016" s="5" t="inlineStr">
        <is>
          <t>Hd Builders And Construction LLC</t>
        </is>
      </c>
      <c r="C1016" s="5" t="inlineStr">
        <is>
          <t>Hd Builders And Construction LLC</t>
        </is>
      </c>
      <c r="D1016" s="5" t="inlineStr">
        <is>
          <t>Open</t>
        </is>
      </c>
      <c r="E1016" s="16" t="n">
        <v>46212</v>
      </c>
      <c r="F1016" s="16" t="n">
        <v>46253</v>
      </c>
      <c r="G1016" s="17" t="n">
        <v>3</v>
      </c>
      <c r="H1016" s="5" t="inlineStr">
        <is>
          <t>1521</t>
        </is>
      </c>
      <c r="I1016" s="5" t="inlineStr">
        <is>
          <t>New Single-Family Housing Construction (Except For-Sale Builders)</t>
        </is>
      </c>
      <c r="J1016" s="5" t="inlineStr">
        <is>
          <t>15</t>
        </is>
      </c>
      <c r="K1016" s="5" t="n">
        <v>1520</v>
      </c>
      <c r="L1016" s="5" t="inlineStr">
        <is>
          <t>NM</t>
        </is>
      </c>
      <c r="M1016" s="5" t="inlineStr">
        <is>
          <t>AVON ADVANCE</t>
        </is>
      </c>
      <c r="N1016" s="5" t="inlineStr">
        <is>
          <t>Renewal</t>
        </is>
      </c>
      <c r="O1016" s="19" t="n">
        <v>1.49</v>
      </c>
      <c r="P1016" s="20" t="n">
        <v>30000</v>
      </c>
      <c r="Q1016" s="20" t="n">
        <v>4200</v>
      </c>
      <c r="R1016" s="20" t="n">
        <v>44700</v>
      </c>
      <c r="S1016" s="20" t="n">
        <v>10799.31</v>
      </c>
      <c r="T1016" s="20" t="n">
        <v>33900.69</v>
      </c>
      <c r="U1016" s="21" t="n">
        <v>0.241595302013423</v>
      </c>
      <c r="V1016" s="22" t="n">
        <v>3.934</v>
      </c>
      <c r="W1016" s="17" t="n">
        <v>0</v>
      </c>
      <c r="X1016" s="17" t="n">
        <v>0</v>
      </c>
      <c r="Y1016" s="20" t="n">
        <v>50226.03</v>
      </c>
      <c r="Z1016" s="21" t="n">
        <v>0.1557</v>
      </c>
      <c r="AA1016" s="16" t="n">
        <v>44627</v>
      </c>
      <c r="AB1016" s="5">
        <f>IF(V1016="","",IF(V1016&lt;12,"Months","Weeks"))</f>
        <v/>
      </c>
      <c r="AC1016" s="5">
        <f>IF(AB1016="","",IF(AB1016="Months","Daily","Weekly"))</f>
        <v/>
      </c>
      <c r="AD1016" s="17">
        <f>IF(V1016="","",IF(AC1016="Daily",V1016*Controls!$B$13,V1016))</f>
        <v/>
      </c>
      <c r="AE1016" s="17">
        <f>IF(V1016="","",IF(AC1016="Daily",V1016*Controls!$B$13,V1016*Controls!$B$12))</f>
        <v/>
      </c>
      <c r="AF1016" s="17">
        <f>IF(OR(E1016="",F1016=""),"",F1016-E1016)</f>
        <v/>
      </c>
      <c r="AG1016" s="17">
        <f>IF(OR(E1016="",F1016=""),"",NETWORKDAYS(E1016,F1016,Ref!$F$4:$F$47))</f>
        <v/>
      </c>
      <c r="AH1016" s="39">
        <f>IF(IFERROR(VLOOKUP(D1016,Controls!$A$25:$D$35,2,FALSE()),"No")="Yes",1,0)</f>
        <v/>
      </c>
      <c r="AI1016" s="39">
        <f>IF(IFERROR(VLOOKUP(D1016,Controls!$A$25:$D$35,3,FALSE()),"No")="Yes",1,0)</f>
        <v/>
      </c>
      <c r="AJ1016" s="39">
        <f>IF(IFERROR(VLOOKUP(D1016,Controls!$A$25:$D$35,4,FALSE()),"No")="Yes",1,0)</f>
        <v/>
      </c>
      <c r="AK1016" s="96">
        <f>IF(AND($E1016&gt;=Controls!$B$5,$E1016&lt;=Controls!$B$6,OR(Controls!$E$9&lt;&gt;"Y",$BE1016=1)),1,0)</f>
        <v/>
      </c>
      <c r="AL1016" s="39">
        <f>1</f>
        <v/>
      </c>
      <c r="AM1016" s="20">
        <f>S1016-P1016</f>
        <v/>
      </c>
      <c r="AN1016" s="20">
        <f>IF(AH1016=1,MAX(0,P1016-S1016),0)</f>
        <v/>
      </c>
      <c r="AO1016" s="21">
        <f>IFERROR(S1016/P1016,"")</f>
        <v/>
      </c>
      <c r="AP1016" s="22">
        <f>IF(Y1016="","",P1016/Y1016)</f>
        <v/>
      </c>
      <c r="AQ1016" s="39">
        <f>IF(Y1016="",0,1)</f>
        <v/>
      </c>
      <c r="AR1016" s="39">
        <f>IF(S1016&lt;=0,1,0)</f>
        <v/>
      </c>
      <c r="AS1016" s="17">
        <f>IF(AH1016=1,AG1016,"")</f>
        <v/>
      </c>
      <c r="AT1016" s="17">
        <f>IF(AND(AH1016=0,AJ1016=1),AG1016,"")</f>
        <v/>
      </c>
      <c r="AU1016" s="5">
        <f>IF(P1016&lt;10000,"Under $10K",IF(P1016&lt;20000,"$10-20K",IF(P1016&lt;30000,"$20-30K",IF(P1016&lt;50000,"$30-50K",IF(P1016&lt;100000,"$50-100K","$100K+")))))</f>
        <v/>
      </c>
      <c r="AV1016" s="5">
        <f>IF(O1016&lt;=1.35,"1.35 and under",IF(O1016&lt;=1.42,"1.36-1.42",IF(O1016&lt;=1.45,"1.43-1.45",IF(O1016&lt;1.49,"1.46-1.48",IF(O1016&lt;=1.49,"1.49","Above 1.49")))))</f>
        <v/>
      </c>
      <c r="AW1016" s="5">
        <f>IF(AE1016="","",IF(AE1016&lt;60,"Under 60",IF(AE1016&lt;90,"60-89",IF(AE1016&lt;120,"90-119",IF(AE1016&lt;150,"120-149","150+")))))</f>
        <v/>
      </c>
      <c r="AX1016" s="5">
        <f>IF(AP1016="","No revenue data",IF(AP1016&lt;0.15,"Under 0.15x",IF(AP1016&lt;0.3,"0.15-0.30x",IF(AP1016&lt;0.5,"0.30-0.50x",IF(AP1016&lt;1,"0.50-1.00x","1.00x+")))))</f>
        <v/>
      </c>
      <c r="AY1016" s="5">
        <f>IF(J1016="","No SIC",IFERROR(VLOOKUP(J1016,Ref!$A$4:$C$67,2,FALSE()),"Unclassified"))</f>
        <v/>
      </c>
      <c r="AZ1016" s="5">
        <f>IF(E1016="","",TEXT(E1016,"YYYY")&amp;"-Q"&amp;ROUNDUP(MONTH(E1016)/3,0))</f>
        <v/>
      </c>
      <c r="BA1016" s="5">
        <f>IF(E1016="","",TEXT(E1016,"YYYY-MM"))</f>
        <v/>
      </c>
      <c r="BB1016" s="5">
        <f>IF(E1016="","",TEXT(E1016,"YYYY"))</f>
        <v/>
      </c>
      <c r="BC1016" s="92">
        <f>IF($E1016="","",NETWORKDAYS($E1016,Controls!$B$9,Ref!$F$4:$F$47))</f>
        <v/>
      </c>
      <c r="BD1016" s="92">
        <f>IF(OR($AH1016=1,$AJ1016=1),1,0)</f>
        <v/>
      </c>
      <c r="BE1016" s="95">
        <f>IF(OR($BD1016=1,AND($AE1016&lt;&gt;"",$BC1016&gt;=Controls!$B$10*$AE1016)),1,0)</f>
        <v/>
      </c>
    </row>
    <row r="1017" ht="15.75" customHeight="1" s="79">
      <c r="A1017" s="5" t="inlineStr">
        <is>
          <t>5674187028</t>
        </is>
      </c>
      <c r="B1017" s="5" t="inlineStr">
        <is>
          <t>Sofi foods and meat</t>
        </is>
      </c>
      <c r="C1017" s="5" t="inlineStr">
        <is>
          <t>Sofi foods and meat inc</t>
        </is>
      </c>
      <c r="D1017" s="5" t="inlineStr">
        <is>
          <t>Legal</t>
        </is>
      </c>
      <c r="E1017" s="16" t="n">
        <v>46212</v>
      </c>
      <c r="F1017" s="16" t="n">
        <v>46225</v>
      </c>
      <c r="G1017" s="17" t="n">
        <v>2</v>
      </c>
      <c r="H1017" s="5" t="inlineStr">
        <is>
          <t>5147</t>
        </is>
      </c>
      <c r="I1017" s="5" t="inlineStr">
        <is>
          <t>Meat and Meat Product Merchant Wholesalers</t>
        </is>
      </c>
      <c r="J1017" s="5" t="inlineStr">
        <is>
          <t>51</t>
        </is>
      </c>
      <c r="K1017" s="5" t="n">
        <v>5131</v>
      </c>
      <c r="L1017" s="5" t="inlineStr">
        <is>
          <t>IL</t>
        </is>
      </c>
      <c r="M1017" s="5" t="inlineStr">
        <is>
          <t>Fundible</t>
        </is>
      </c>
      <c r="N1017" s="5" t="inlineStr">
        <is>
          <t>New Deal</t>
        </is>
      </c>
      <c r="O1017" s="19" t="n">
        <v>1.49</v>
      </c>
      <c r="P1017" s="20" t="n">
        <v>25000</v>
      </c>
      <c r="Q1017" s="20" t="n">
        <v>0</v>
      </c>
      <c r="R1017" s="20" t="n">
        <v>37250</v>
      </c>
      <c r="S1017" s="20" t="n">
        <v>1862.16</v>
      </c>
      <c r="T1017" s="20" t="n">
        <v>35387.84</v>
      </c>
      <c r="U1017" s="21" t="n">
        <v>0.0499908724832215</v>
      </c>
      <c r="V1017" s="22" t="n">
        <v>20</v>
      </c>
      <c r="W1017" s="17" t="n">
        <v>35</v>
      </c>
      <c r="X1017" s="17" t="n">
        <v>1</v>
      </c>
      <c r="Y1017" s="20" t="n">
        <v>235066.65</v>
      </c>
      <c r="Z1017" s="21" t="n">
        <v>0.0177</v>
      </c>
      <c r="AA1017" s="16" t="n">
        <v>45748</v>
      </c>
      <c r="AB1017" s="5">
        <f>IF(V1017="","",IF(V1017&lt;12,"Months","Weeks"))</f>
        <v/>
      </c>
      <c r="AC1017" s="5">
        <f>IF(AB1017="","",IF(AB1017="Months","Daily","Weekly"))</f>
        <v/>
      </c>
      <c r="AD1017" s="17">
        <f>IF(V1017="","",IF(AC1017="Daily",V1017*Controls!$B$13,V1017))</f>
        <v/>
      </c>
      <c r="AE1017" s="17">
        <f>IF(V1017="","",IF(AC1017="Daily",V1017*Controls!$B$13,V1017*Controls!$B$12))</f>
        <v/>
      </c>
      <c r="AF1017" s="17">
        <f>IF(OR(E1017="",F1017=""),"",F1017-E1017)</f>
        <v/>
      </c>
      <c r="AG1017" s="17">
        <f>IF(OR(E1017="",F1017=""),"",NETWORKDAYS(E1017,F1017,Ref!$F$4:$F$47))</f>
        <v/>
      </c>
      <c r="AH1017" s="39">
        <f>IF(IFERROR(VLOOKUP(D1017,Controls!$A$25:$D$35,2,FALSE()),"No")="Yes",1,0)</f>
        <v/>
      </c>
      <c r="AI1017" s="39">
        <f>IF(IFERROR(VLOOKUP(D1017,Controls!$A$25:$D$35,3,FALSE()),"No")="Yes",1,0)</f>
        <v/>
      </c>
      <c r="AJ1017" s="39">
        <f>IF(IFERROR(VLOOKUP(D1017,Controls!$A$25:$D$35,4,FALSE()),"No")="Yes",1,0)</f>
        <v/>
      </c>
      <c r="AK1017" s="96">
        <f>IF(AND($E1017&gt;=Controls!$B$5,$E1017&lt;=Controls!$B$6,OR(Controls!$E$9&lt;&gt;"Y",$BE1017=1)),1,0)</f>
        <v/>
      </c>
      <c r="AL1017" s="39">
        <f>1</f>
        <v/>
      </c>
      <c r="AM1017" s="20">
        <f>S1017-P1017</f>
        <v/>
      </c>
      <c r="AN1017" s="20">
        <f>IF(AH1017=1,MAX(0,P1017-S1017),0)</f>
        <v/>
      </c>
      <c r="AO1017" s="21">
        <f>IFERROR(S1017/P1017,"")</f>
        <v/>
      </c>
      <c r="AP1017" s="22">
        <f>IF(Y1017="","",P1017/Y1017)</f>
        <v/>
      </c>
      <c r="AQ1017" s="39">
        <f>IF(Y1017="",0,1)</f>
        <v/>
      </c>
      <c r="AR1017" s="39">
        <f>IF(S1017&lt;=0,1,0)</f>
        <v/>
      </c>
      <c r="AS1017" s="17">
        <f>IF(AH1017=1,AG1017,"")</f>
        <v/>
      </c>
      <c r="AT1017" s="17">
        <f>IF(AND(AH1017=0,AJ1017=1),AG1017,"")</f>
        <v/>
      </c>
      <c r="AU1017" s="5">
        <f>IF(P1017&lt;10000,"Under $10K",IF(P1017&lt;20000,"$10-20K",IF(P1017&lt;30000,"$20-30K",IF(P1017&lt;50000,"$30-50K",IF(P1017&lt;100000,"$50-100K","$100K+")))))</f>
        <v/>
      </c>
      <c r="AV1017" s="5">
        <f>IF(O1017&lt;=1.35,"1.35 and under",IF(O1017&lt;=1.42,"1.36-1.42",IF(O1017&lt;=1.45,"1.43-1.45",IF(O1017&lt;1.49,"1.46-1.48",IF(O1017&lt;=1.49,"1.49","Above 1.49")))))</f>
        <v/>
      </c>
      <c r="AW1017" s="5">
        <f>IF(AE1017="","",IF(AE1017&lt;60,"Under 60",IF(AE1017&lt;90,"60-89",IF(AE1017&lt;120,"90-119",IF(AE1017&lt;150,"120-149","150+")))))</f>
        <v/>
      </c>
      <c r="AX1017" s="5">
        <f>IF(AP1017="","No revenue data",IF(AP1017&lt;0.15,"Under 0.15x",IF(AP1017&lt;0.3,"0.15-0.30x",IF(AP1017&lt;0.5,"0.30-0.50x",IF(AP1017&lt;1,"0.50-1.00x","1.00x+")))))</f>
        <v/>
      </c>
      <c r="AY1017" s="5">
        <f>IF(J1017="","No SIC",IFERROR(VLOOKUP(J1017,Ref!$A$4:$C$67,2,FALSE()),"Unclassified"))</f>
        <v/>
      </c>
      <c r="AZ1017" s="5">
        <f>IF(E1017="","",TEXT(E1017,"YYYY")&amp;"-Q"&amp;ROUNDUP(MONTH(E1017)/3,0))</f>
        <v/>
      </c>
      <c r="BA1017" s="5">
        <f>IF(E1017="","",TEXT(E1017,"YYYY-MM"))</f>
        <v/>
      </c>
      <c r="BB1017" s="5">
        <f>IF(E1017="","",TEXT(E1017,"YYYY"))</f>
        <v/>
      </c>
      <c r="BC1017" s="92">
        <f>IF($E1017="","",NETWORKDAYS($E1017,Controls!$B$9,Ref!$F$4:$F$47))</f>
        <v/>
      </c>
      <c r="BD1017" s="92">
        <f>IF(OR($AH1017=1,$AJ1017=1),1,0)</f>
        <v/>
      </c>
      <c r="BE1017" s="95">
        <f>IF(OR($BD1017=1,AND($AE1017&lt;&gt;"",$BC1017&gt;=Controls!$B$10*$AE1017)),1,0)</f>
        <v/>
      </c>
    </row>
    <row r="1018" ht="15.75" customHeight="1" s="79">
      <c r="A1018" s="5" t="inlineStr">
        <is>
          <t>5674187072</t>
        </is>
      </c>
      <c r="B1018" s="5" t="inlineStr">
        <is>
          <t>EASTERN VIRGINIA CAREER COLLEGE, EVCC</t>
        </is>
      </c>
      <c r="C1018" s="5" t="inlineStr">
        <is>
          <t>TEMACC LLC</t>
        </is>
      </c>
      <c r="D1018" s="5" t="inlineStr">
        <is>
          <t>Open</t>
        </is>
      </c>
      <c r="E1018" s="16" t="n">
        <v>46213</v>
      </c>
      <c r="F1018" s="16" t="n">
        <v>46247</v>
      </c>
      <c r="G1018" s="17" t="n">
        <v>3</v>
      </c>
      <c r="H1018" s="5" t="inlineStr">
        <is>
          <t>8299</t>
        </is>
      </c>
      <c r="I1018" s="5" t="inlineStr">
        <is>
          <t>Professional and Management Development Training</t>
        </is>
      </c>
      <c r="J1018" s="5" t="inlineStr">
        <is>
          <t>82</t>
        </is>
      </c>
      <c r="K1018" s="5" t="n">
        <v>8299</v>
      </c>
      <c r="L1018" s="5" t="inlineStr">
        <is>
          <t>NY</t>
        </is>
      </c>
      <c r="M1018" s="5" t="inlineStr">
        <is>
          <t>PMF</t>
        </is>
      </c>
      <c r="N1018" s="5" t="inlineStr">
        <is>
          <t>New Deal</t>
        </is>
      </c>
      <c r="O1018" s="19" t="n">
        <v>1.45</v>
      </c>
      <c r="P1018" s="20" t="n">
        <v>225000</v>
      </c>
      <c r="Q1018" s="20" t="n">
        <v>27000</v>
      </c>
      <c r="R1018" s="20" t="n">
        <v>326250</v>
      </c>
      <c r="S1018" s="20" t="n">
        <v>47891.95</v>
      </c>
      <c r="T1018" s="20" t="n">
        <v>278358.05</v>
      </c>
      <c r="U1018" s="21" t="n">
        <v>0.146795249042146</v>
      </c>
      <c r="V1018" s="22" t="n">
        <v>34</v>
      </c>
      <c r="W1018" s="17" t="n">
        <v>6</v>
      </c>
      <c r="X1018" s="17" t="n">
        <v>0</v>
      </c>
      <c r="Y1018" s="20" t="n">
        <v>1658595.82</v>
      </c>
      <c r="Z1018" s="21" t="n">
        <v>0.0231</v>
      </c>
      <c r="AA1018" s="16" t="n">
        <v>35492</v>
      </c>
      <c r="AB1018" s="5">
        <f>IF(V1018="","",IF(V1018&lt;12,"Months","Weeks"))</f>
        <v/>
      </c>
      <c r="AC1018" s="5">
        <f>IF(AB1018="","",IF(AB1018="Months","Daily","Weekly"))</f>
        <v/>
      </c>
      <c r="AD1018" s="17">
        <f>IF(V1018="","",IF(AC1018="Daily",V1018*Controls!$B$13,V1018))</f>
        <v/>
      </c>
      <c r="AE1018" s="17">
        <f>IF(V1018="","",IF(AC1018="Daily",V1018*Controls!$B$13,V1018*Controls!$B$12))</f>
        <v/>
      </c>
      <c r="AF1018" s="17">
        <f>IF(OR(E1018="",F1018=""),"",F1018-E1018)</f>
        <v/>
      </c>
      <c r="AG1018" s="17">
        <f>IF(OR(E1018="",F1018=""),"",NETWORKDAYS(E1018,F1018,Ref!$F$4:$F$47))</f>
        <v/>
      </c>
      <c r="AH1018" s="39">
        <f>IF(IFERROR(VLOOKUP(D1018,Controls!$A$25:$D$35,2,FALSE()),"No")="Yes",1,0)</f>
        <v/>
      </c>
      <c r="AI1018" s="39">
        <f>IF(IFERROR(VLOOKUP(D1018,Controls!$A$25:$D$35,3,FALSE()),"No")="Yes",1,0)</f>
        <v/>
      </c>
      <c r="AJ1018" s="39">
        <f>IF(IFERROR(VLOOKUP(D1018,Controls!$A$25:$D$35,4,FALSE()),"No")="Yes",1,0)</f>
        <v/>
      </c>
      <c r="AK1018" s="96">
        <f>IF(AND($E1018&gt;=Controls!$B$5,$E1018&lt;=Controls!$B$6,OR(Controls!$E$9&lt;&gt;"Y",$BE1018=1)),1,0)</f>
        <v/>
      </c>
      <c r="AL1018" s="39">
        <f>1</f>
        <v/>
      </c>
      <c r="AM1018" s="20">
        <f>S1018-P1018</f>
        <v/>
      </c>
      <c r="AN1018" s="20">
        <f>IF(AH1018=1,MAX(0,P1018-S1018),0)</f>
        <v/>
      </c>
      <c r="AO1018" s="21">
        <f>IFERROR(S1018/P1018,"")</f>
        <v/>
      </c>
      <c r="AP1018" s="22">
        <f>IF(Y1018="","",P1018/Y1018)</f>
        <v/>
      </c>
      <c r="AQ1018" s="39">
        <f>IF(Y1018="",0,1)</f>
        <v/>
      </c>
      <c r="AR1018" s="39">
        <f>IF(S1018&lt;=0,1,0)</f>
        <v/>
      </c>
      <c r="AS1018" s="17">
        <f>IF(AH1018=1,AG1018,"")</f>
        <v/>
      </c>
      <c r="AT1018" s="17">
        <f>IF(AND(AH1018=0,AJ1018=1),AG1018,"")</f>
        <v/>
      </c>
      <c r="AU1018" s="5">
        <f>IF(P1018&lt;10000,"Under $10K",IF(P1018&lt;20000,"$10-20K",IF(P1018&lt;30000,"$20-30K",IF(P1018&lt;50000,"$30-50K",IF(P1018&lt;100000,"$50-100K","$100K+")))))</f>
        <v/>
      </c>
      <c r="AV1018" s="5">
        <f>IF(O1018&lt;=1.35,"1.35 and under",IF(O1018&lt;=1.42,"1.36-1.42",IF(O1018&lt;=1.45,"1.43-1.45",IF(O1018&lt;1.49,"1.46-1.48",IF(O1018&lt;=1.49,"1.49","Above 1.49")))))</f>
        <v/>
      </c>
      <c r="AW1018" s="5">
        <f>IF(AE1018="","",IF(AE1018&lt;60,"Under 60",IF(AE1018&lt;90,"60-89",IF(AE1018&lt;120,"90-119",IF(AE1018&lt;150,"120-149","150+")))))</f>
        <v/>
      </c>
      <c r="AX1018" s="5">
        <f>IF(AP1018="","No revenue data",IF(AP1018&lt;0.15,"Under 0.15x",IF(AP1018&lt;0.3,"0.15-0.30x",IF(AP1018&lt;0.5,"0.30-0.50x",IF(AP1018&lt;1,"0.50-1.00x","1.00x+")))))</f>
        <v/>
      </c>
      <c r="AY1018" s="5">
        <f>IF(J1018="","No SIC",IFERROR(VLOOKUP(J1018,Ref!$A$4:$C$67,2,FALSE()),"Unclassified"))</f>
        <v/>
      </c>
      <c r="AZ1018" s="5">
        <f>IF(E1018="","",TEXT(E1018,"YYYY")&amp;"-Q"&amp;ROUNDUP(MONTH(E1018)/3,0))</f>
        <v/>
      </c>
      <c r="BA1018" s="5">
        <f>IF(E1018="","",TEXT(E1018,"YYYY-MM"))</f>
        <v/>
      </c>
      <c r="BB1018" s="5">
        <f>IF(E1018="","",TEXT(E1018,"YYYY"))</f>
        <v/>
      </c>
      <c r="BC1018" s="92">
        <f>IF($E1018="","",NETWORKDAYS($E1018,Controls!$B$9,Ref!$F$4:$F$47))</f>
        <v/>
      </c>
      <c r="BD1018" s="92">
        <f>IF(OR($AH1018=1,$AJ1018=1),1,0)</f>
        <v/>
      </c>
      <c r="BE1018" s="95">
        <f>IF(OR($BD1018=1,AND($AE1018&lt;&gt;"",$BC1018&gt;=Controls!$B$10*$AE1018)),1,0)</f>
        <v/>
      </c>
    </row>
    <row r="1019" ht="15.75" customHeight="1" s="79">
      <c r="A1019" s="5" t="inlineStr">
        <is>
          <t>5674187085</t>
        </is>
      </c>
      <c r="B1019" s="5" t="inlineStr">
        <is>
          <t>WEBBER INTERNATIONAL UNIVERSITY</t>
        </is>
      </c>
      <c r="C1019" s="5" t="inlineStr">
        <is>
          <t>WEBBER INTERNATIONAL UNIVERSITY INC</t>
        </is>
      </c>
      <c r="D1019" s="5" t="inlineStr">
        <is>
          <t>Closed</t>
        </is>
      </c>
      <c r="E1019" s="16" t="n">
        <v>46213</v>
      </c>
      <c r="F1019" s="16" t="n">
        <v>46246</v>
      </c>
      <c r="G1019" s="17" t="n">
        <v>3</v>
      </c>
      <c r="H1019" s="5" t="inlineStr">
        <is>
          <t>8299</t>
        </is>
      </c>
      <c r="I1019" s="5" t="inlineStr">
        <is>
          <t>Professional and Management Development Training</t>
        </is>
      </c>
      <c r="J1019" s="5" t="inlineStr">
        <is>
          <t>82</t>
        </is>
      </c>
      <c r="K1019" s="5" t="n">
        <v>8299</v>
      </c>
      <c r="L1019" s="5" t="inlineStr">
        <is>
          <t>FL</t>
        </is>
      </c>
      <c r="M1019" s="5" t="inlineStr">
        <is>
          <t>United Secured Capital 8</t>
        </is>
      </c>
      <c r="N1019" s="5" t="inlineStr">
        <is>
          <t>New Deal</t>
        </is>
      </c>
      <c r="O1019" s="19" t="n">
        <v>1.2460608</v>
      </c>
      <c r="P1019" s="20" t="n">
        <v>150000</v>
      </c>
      <c r="Q1019" s="20" t="n">
        <v>21000</v>
      </c>
      <c r="R1019" s="20" t="n">
        <v>186909.12</v>
      </c>
      <c r="S1019" s="20" t="n">
        <v>186909.12</v>
      </c>
      <c r="T1019" s="20" t="n">
        <v>0</v>
      </c>
      <c r="U1019" s="21" t="n">
        <v>1</v>
      </c>
      <c r="V1019" s="22" t="n">
        <v>32</v>
      </c>
      <c r="W1019" s="17" t="n">
        <v>7</v>
      </c>
      <c r="X1019" s="17" t="n">
        <v>0</v>
      </c>
      <c r="Y1019" s="20" t="n">
        <v>760957.2</v>
      </c>
      <c r="Z1019" s="21" t="n">
        <v>0.0167</v>
      </c>
      <c r="AA1019" s="16" t="n">
        <v>43101</v>
      </c>
      <c r="AB1019" s="5">
        <f>IF(V1019="","",IF(V1019&lt;12,"Months","Weeks"))</f>
        <v/>
      </c>
      <c r="AC1019" s="5">
        <f>IF(AB1019="","",IF(AB1019="Months","Daily","Weekly"))</f>
        <v/>
      </c>
      <c r="AD1019" s="17">
        <f>IF(V1019="","",IF(AC1019="Daily",V1019*Controls!$B$13,V1019))</f>
        <v/>
      </c>
      <c r="AE1019" s="17">
        <f>IF(V1019="","",IF(AC1019="Daily",V1019*Controls!$B$13,V1019*Controls!$B$12))</f>
        <v/>
      </c>
      <c r="AF1019" s="17">
        <f>IF(OR(E1019="",F1019=""),"",F1019-E1019)</f>
        <v/>
      </c>
      <c r="AG1019" s="17">
        <f>IF(OR(E1019="",F1019=""),"",NETWORKDAYS(E1019,F1019,Ref!$F$4:$F$47))</f>
        <v/>
      </c>
      <c r="AH1019" s="39">
        <f>IF(IFERROR(VLOOKUP(D1019,Controls!$A$25:$D$35,2,FALSE()),"No")="Yes",1,0)</f>
        <v/>
      </c>
      <c r="AI1019" s="39">
        <f>IF(IFERROR(VLOOKUP(D1019,Controls!$A$25:$D$35,3,FALSE()),"No")="Yes",1,0)</f>
        <v/>
      </c>
      <c r="AJ1019" s="39">
        <f>IF(IFERROR(VLOOKUP(D1019,Controls!$A$25:$D$35,4,FALSE()),"No")="Yes",1,0)</f>
        <v/>
      </c>
      <c r="AK1019" s="96">
        <f>IF(AND($E1019&gt;=Controls!$B$5,$E1019&lt;=Controls!$B$6,OR(Controls!$E$9&lt;&gt;"Y",$BE1019=1)),1,0)</f>
        <v/>
      </c>
      <c r="AL1019" s="39">
        <f>1</f>
        <v/>
      </c>
      <c r="AM1019" s="20">
        <f>S1019-P1019</f>
        <v/>
      </c>
      <c r="AN1019" s="20">
        <f>IF(AH1019=1,MAX(0,P1019-S1019),0)</f>
        <v/>
      </c>
      <c r="AO1019" s="21">
        <f>IFERROR(S1019/P1019,"")</f>
        <v/>
      </c>
      <c r="AP1019" s="22">
        <f>IF(Y1019="","",P1019/Y1019)</f>
        <v/>
      </c>
      <c r="AQ1019" s="39">
        <f>IF(Y1019="",0,1)</f>
        <v/>
      </c>
      <c r="AR1019" s="39">
        <f>IF(S1019&lt;=0,1,0)</f>
        <v/>
      </c>
      <c r="AS1019" s="17">
        <f>IF(AH1019=1,AG1019,"")</f>
        <v/>
      </c>
      <c r="AT1019" s="17">
        <f>IF(AND(AH1019=0,AJ1019=1),AG1019,"")</f>
        <v/>
      </c>
      <c r="AU1019" s="5">
        <f>IF(P1019&lt;10000,"Under $10K",IF(P1019&lt;20000,"$10-20K",IF(P1019&lt;30000,"$20-30K",IF(P1019&lt;50000,"$30-50K",IF(P1019&lt;100000,"$50-100K","$100K+")))))</f>
        <v/>
      </c>
      <c r="AV1019" s="5">
        <f>IF(O1019&lt;=1.35,"1.35 and under",IF(O1019&lt;=1.42,"1.36-1.42",IF(O1019&lt;=1.45,"1.43-1.45",IF(O1019&lt;1.49,"1.46-1.48",IF(O1019&lt;=1.49,"1.49","Above 1.49")))))</f>
        <v/>
      </c>
      <c r="AW1019" s="5">
        <f>IF(AE1019="","",IF(AE1019&lt;60,"Under 60",IF(AE1019&lt;90,"60-89",IF(AE1019&lt;120,"90-119",IF(AE1019&lt;150,"120-149","150+")))))</f>
        <v/>
      </c>
      <c r="AX1019" s="5">
        <f>IF(AP1019="","No revenue data",IF(AP1019&lt;0.15,"Under 0.15x",IF(AP1019&lt;0.3,"0.15-0.30x",IF(AP1019&lt;0.5,"0.30-0.50x",IF(AP1019&lt;1,"0.50-1.00x","1.00x+")))))</f>
        <v/>
      </c>
      <c r="AY1019" s="5">
        <f>IF(J1019="","No SIC",IFERROR(VLOOKUP(J1019,Ref!$A$4:$C$67,2,FALSE()),"Unclassified"))</f>
        <v/>
      </c>
      <c r="AZ1019" s="5">
        <f>IF(E1019="","",TEXT(E1019,"YYYY")&amp;"-Q"&amp;ROUNDUP(MONTH(E1019)/3,0))</f>
        <v/>
      </c>
      <c r="BA1019" s="5">
        <f>IF(E1019="","",TEXT(E1019,"YYYY-MM"))</f>
        <v/>
      </c>
      <c r="BB1019" s="5">
        <f>IF(E1019="","",TEXT(E1019,"YYYY"))</f>
        <v/>
      </c>
      <c r="BC1019" s="92">
        <f>IF($E1019="","",NETWORKDAYS($E1019,Controls!$B$9,Ref!$F$4:$F$47))</f>
        <v/>
      </c>
      <c r="BD1019" s="92">
        <f>IF(OR($AH1019=1,$AJ1019=1),1,0)</f>
        <v/>
      </c>
      <c r="BE1019" s="95">
        <f>IF(OR($BD1019=1,AND($AE1019&lt;&gt;"",$BC1019&gt;=Controls!$B$10*$AE1019)),1,0)</f>
        <v/>
      </c>
    </row>
    <row r="1020" ht="15.75" customHeight="1" s="79">
      <c r="A1020" s="5" t="inlineStr">
        <is>
          <t>5674187100</t>
        </is>
      </c>
      <c r="B1020" s="5" t="inlineStr">
        <is>
          <t>Obys Auto Restoration LLC</t>
        </is>
      </c>
      <c r="C1020" s="5" t="inlineStr">
        <is>
          <t>Obys Auto Restoration LLC</t>
        </is>
      </c>
      <c r="D1020" s="5" t="inlineStr">
        <is>
          <t>Open</t>
        </is>
      </c>
      <c r="E1020" s="16" t="n">
        <v>46213</v>
      </c>
      <c r="F1020" s="16" t="n">
        <v>46248</v>
      </c>
      <c r="G1020" s="17" t="n">
        <v>3</v>
      </c>
      <c r="H1020" s="5" t="inlineStr">
        <is>
          <t>7538</t>
        </is>
      </c>
      <c r="I1020" s="5" t="inlineStr">
        <is>
          <t>General Automotive Repair</t>
        </is>
      </c>
      <c r="J1020" s="5" t="inlineStr">
        <is>
          <t>75</t>
        </is>
      </c>
      <c r="K1020" s="5" t="n">
        <v>7538</v>
      </c>
      <c r="L1020" s="5" t="inlineStr">
        <is>
          <t>WI</t>
        </is>
      </c>
      <c r="M1020" s="5" t="inlineStr">
        <is>
          <t>United Secured Capital 8</t>
        </is>
      </c>
      <c r="N1020" s="5" t="inlineStr">
        <is>
          <t>Renewal</t>
        </is>
      </c>
      <c r="O1020" s="19" t="n">
        <v>1.49</v>
      </c>
      <c r="P1020" s="20" t="n">
        <v>40000</v>
      </c>
      <c r="Q1020" s="20" t="n">
        <v>5600</v>
      </c>
      <c r="R1020" s="20" t="n">
        <v>59600</v>
      </c>
      <c r="S1020" s="20" t="n">
        <v>8278.1</v>
      </c>
      <c r="T1020" s="20" t="n">
        <v>51321.9</v>
      </c>
      <c r="U1020" s="21" t="n">
        <v>0.138894295302013</v>
      </c>
      <c r="V1020" s="22" t="n">
        <v>36</v>
      </c>
      <c r="W1020" s="17" t="n">
        <v>5</v>
      </c>
      <c r="X1020" s="17" t="n">
        <v>0</v>
      </c>
      <c r="Y1020" s="20" t="n">
        <v>44329</v>
      </c>
      <c r="Z1020" s="21" t="n">
        <v>0.1835</v>
      </c>
      <c r="AA1020" s="16" t="n">
        <v>45812</v>
      </c>
      <c r="AB1020" s="5">
        <f>IF(V1020="","",IF(V1020&lt;12,"Months","Weeks"))</f>
        <v/>
      </c>
      <c r="AC1020" s="5">
        <f>IF(AB1020="","",IF(AB1020="Months","Daily","Weekly"))</f>
        <v/>
      </c>
      <c r="AD1020" s="17">
        <f>IF(V1020="","",IF(AC1020="Daily",V1020*Controls!$B$13,V1020))</f>
        <v/>
      </c>
      <c r="AE1020" s="17">
        <f>IF(V1020="","",IF(AC1020="Daily",V1020*Controls!$B$13,V1020*Controls!$B$12))</f>
        <v/>
      </c>
      <c r="AF1020" s="17">
        <f>IF(OR(E1020="",F1020=""),"",F1020-E1020)</f>
        <v/>
      </c>
      <c r="AG1020" s="17">
        <f>IF(OR(E1020="",F1020=""),"",NETWORKDAYS(E1020,F1020,Ref!$F$4:$F$47))</f>
        <v/>
      </c>
      <c r="AH1020" s="39">
        <f>IF(IFERROR(VLOOKUP(D1020,Controls!$A$25:$D$35,2,FALSE()),"No")="Yes",1,0)</f>
        <v/>
      </c>
      <c r="AI1020" s="39">
        <f>IF(IFERROR(VLOOKUP(D1020,Controls!$A$25:$D$35,3,FALSE()),"No")="Yes",1,0)</f>
        <v/>
      </c>
      <c r="AJ1020" s="39">
        <f>IF(IFERROR(VLOOKUP(D1020,Controls!$A$25:$D$35,4,FALSE()),"No")="Yes",1,0)</f>
        <v/>
      </c>
      <c r="AK1020" s="96">
        <f>IF(AND($E1020&gt;=Controls!$B$5,$E1020&lt;=Controls!$B$6,OR(Controls!$E$9&lt;&gt;"Y",$BE1020=1)),1,0)</f>
        <v/>
      </c>
      <c r="AL1020" s="39">
        <f>1</f>
        <v/>
      </c>
      <c r="AM1020" s="20">
        <f>S1020-P1020</f>
        <v/>
      </c>
      <c r="AN1020" s="20">
        <f>IF(AH1020=1,MAX(0,P1020-S1020),0)</f>
        <v/>
      </c>
      <c r="AO1020" s="21">
        <f>IFERROR(S1020/P1020,"")</f>
        <v/>
      </c>
      <c r="AP1020" s="22">
        <f>IF(Y1020="","",P1020/Y1020)</f>
        <v/>
      </c>
      <c r="AQ1020" s="39">
        <f>IF(Y1020="",0,1)</f>
        <v/>
      </c>
      <c r="AR1020" s="39">
        <f>IF(S1020&lt;=0,1,0)</f>
        <v/>
      </c>
      <c r="AS1020" s="17">
        <f>IF(AH1020=1,AG1020,"")</f>
        <v/>
      </c>
      <c r="AT1020" s="17">
        <f>IF(AND(AH1020=0,AJ1020=1),AG1020,"")</f>
        <v/>
      </c>
      <c r="AU1020" s="5">
        <f>IF(P1020&lt;10000,"Under $10K",IF(P1020&lt;20000,"$10-20K",IF(P1020&lt;30000,"$20-30K",IF(P1020&lt;50000,"$30-50K",IF(P1020&lt;100000,"$50-100K","$100K+")))))</f>
        <v/>
      </c>
      <c r="AV1020" s="5">
        <f>IF(O1020&lt;=1.35,"1.35 and under",IF(O1020&lt;=1.42,"1.36-1.42",IF(O1020&lt;=1.45,"1.43-1.45",IF(O1020&lt;1.49,"1.46-1.48",IF(O1020&lt;=1.49,"1.49","Above 1.49")))))</f>
        <v/>
      </c>
      <c r="AW1020" s="5">
        <f>IF(AE1020="","",IF(AE1020&lt;60,"Under 60",IF(AE1020&lt;90,"60-89",IF(AE1020&lt;120,"90-119",IF(AE1020&lt;150,"120-149","150+")))))</f>
        <v/>
      </c>
      <c r="AX1020" s="5">
        <f>IF(AP1020="","No revenue data",IF(AP1020&lt;0.15,"Under 0.15x",IF(AP1020&lt;0.3,"0.15-0.30x",IF(AP1020&lt;0.5,"0.30-0.50x",IF(AP1020&lt;1,"0.50-1.00x","1.00x+")))))</f>
        <v/>
      </c>
      <c r="AY1020" s="5">
        <f>IF(J1020="","No SIC",IFERROR(VLOOKUP(J1020,Ref!$A$4:$C$67,2,FALSE()),"Unclassified"))</f>
        <v/>
      </c>
      <c r="AZ1020" s="5">
        <f>IF(E1020="","",TEXT(E1020,"YYYY")&amp;"-Q"&amp;ROUNDUP(MONTH(E1020)/3,0))</f>
        <v/>
      </c>
      <c r="BA1020" s="5">
        <f>IF(E1020="","",TEXT(E1020,"YYYY-MM"))</f>
        <v/>
      </c>
      <c r="BB1020" s="5">
        <f>IF(E1020="","",TEXT(E1020,"YYYY"))</f>
        <v/>
      </c>
      <c r="BC1020" s="92">
        <f>IF($E1020="","",NETWORKDAYS($E1020,Controls!$B$9,Ref!$F$4:$F$47))</f>
        <v/>
      </c>
      <c r="BD1020" s="92">
        <f>IF(OR($AH1020=1,$AJ1020=1),1,0)</f>
        <v/>
      </c>
      <c r="BE1020" s="95">
        <f>IF(OR($BD1020=1,AND($AE1020&lt;&gt;"",$BC1020&gt;=Controls!$B$10*$AE1020)),1,0)</f>
        <v/>
      </c>
    </row>
    <row r="1021" ht="15.75" customHeight="1" s="79">
      <c r="A1021" s="5" t="inlineStr">
        <is>
          <t>5674187103</t>
        </is>
      </c>
      <c r="B1021" s="5" t="inlineStr">
        <is>
          <t>Ark Solutions</t>
        </is>
      </c>
      <c r="C1021" s="5" t="inlineStr">
        <is>
          <t>Ark Solutions LLC</t>
        </is>
      </c>
      <c r="D1021" s="5" t="inlineStr">
        <is>
          <t>Lowered Payments</t>
        </is>
      </c>
      <c r="E1021" s="16" t="n">
        <v>46213</v>
      </c>
      <c r="F1021" s="16" t="n">
        <v>46253</v>
      </c>
      <c r="G1021" s="17" t="n">
        <v>3</v>
      </c>
      <c r="H1021" s="5" t="inlineStr">
        <is>
          <t>5734</t>
        </is>
      </c>
      <c r="I1021" s="5" t="inlineStr">
        <is>
          <t>Electronics Stores</t>
        </is>
      </c>
      <c r="J1021" s="5" t="inlineStr">
        <is>
          <t>57</t>
        </is>
      </c>
      <c r="K1021" s="5" t="n">
        <v>5734</v>
      </c>
      <c r="L1021" s="5" t="inlineStr">
        <is>
          <t>MS</t>
        </is>
      </c>
      <c r="M1021" s="5" t="inlineStr">
        <is>
          <t>Wisco Capital</t>
        </is>
      </c>
      <c r="N1021" s="5" t="inlineStr">
        <is>
          <t>New Deal</t>
        </is>
      </c>
      <c r="O1021" s="19" t="n">
        <v>1.49</v>
      </c>
      <c r="P1021" s="20" t="n">
        <v>10000</v>
      </c>
      <c r="Q1021" s="20" t="n">
        <v>0</v>
      </c>
      <c r="R1021" s="20" t="n">
        <v>14900</v>
      </c>
      <c r="S1021" s="20" t="n">
        <v>965.55</v>
      </c>
      <c r="T1021" s="20" t="n">
        <v>13934.45</v>
      </c>
      <c r="U1021" s="21" t="n">
        <v>0.0648020134228188</v>
      </c>
      <c r="V1021" s="22" t="n">
        <v>2.951</v>
      </c>
      <c r="W1021" s="17" t="n">
        <v>0</v>
      </c>
      <c r="X1021" s="17" t="n">
        <v>19</v>
      </c>
      <c r="Y1021" s="20" t="n">
        <v>23002.23</v>
      </c>
      <c r="Z1021" s="21" t="n">
        <v>0.1511</v>
      </c>
      <c r="AA1021" s="16" t="n">
        <v>45858</v>
      </c>
      <c r="AB1021" s="5">
        <f>IF(V1021="","",IF(V1021&lt;12,"Months","Weeks"))</f>
        <v/>
      </c>
      <c r="AC1021" s="5">
        <f>IF(AB1021="","",IF(AB1021="Months","Daily","Weekly"))</f>
        <v/>
      </c>
      <c r="AD1021" s="17">
        <f>IF(V1021="","",IF(AC1021="Daily",V1021*Controls!$B$13,V1021))</f>
        <v/>
      </c>
      <c r="AE1021" s="17">
        <f>IF(V1021="","",IF(AC1021="Daily",V1021*Controls!$B$13,V1021*Controls!$B$12))</f>
        <v/>
      </c>
      <c r="AF1021" s="17">
        <f>IF(OR(E1021="",F1021=""),"",F1021-E1021)</f>
        <v/>
      </c>
      <c r="AG1021" s="17">
        <f>IF(OR(E1021="",F1021=""),"",NETWORKDAYS(E1021,F1021,Ref!$F$4:$F$47))</f>
        <v/>
      </c>
      <c r="AH1021" s="39">
        <f>IF(IFERROR(VLOOKUP(D1021,Controls!$A$25:$D$35,2,FALSE()),"No")="Yes",1,0)</f>
        <v/>
      </c>
      <c r="AI1021" s="39">
        <f>IF(IFERROR(VLOOKUP(D1021,Controls!$A$25:$D$35,3,FALSE()),"No")="Yes",1,0)</f>
        <v/>
      </c>
      <c r="AJ1021" s="39">
        <f>IF(IFERROR(VLOOKUP(D1021,Controls!$A$25:$D$35,4,FALSE()),"No")="Yes",1,0)</f>
        <v/>
      </c>
      <c r="AK1021" s="96">
        <f>IF(AND($E1021&gt;=Controls!$B$5,$E1021&lt;=Controls!$B$6,OR(Controls!$E$9&lt;&gt;"Y",$BE1021=1)),1,0)</f>
        <v/>
      </c>
      <c r="AL1021" s="39">
        <f>1</f>
        <v/>
      </c>
      <c r="AM1021" s="20">
        <f>S1021-P1021</f>
        <v/>
      </c>
      <c r="AN1021" s="20">
        <f>IF(AH1021=1,MAX(0,P1021-S1021),0)</f>
        <v/>
      </c>
      <c r="AO1021" s="21">
        <f>IFERROR(S1021/P1021,"")</f>
        <v/>
      </c>
      <c r="AP1021" s="22">
        <f>IF(Y1021="","",P1021/Y1021)</f>
        <v/>
      </c>
      <c r="AQ1021" s="39">
        <f>IF(Y1021="",0,1)</f>
        <v/>
      </c>
      <c r="AR1021" s="39">
        <f>IF(S1021&lt;=0,1,0)</f>
        <v/>
      </c>
      <c r="AS1021" s="17">
        <f>IF(AH1021=1,AG1021,"")</f>
        <v/>
      </c>
      <c r="AT1021" s="17">
        <f>IF(AND(AH1021=0,AJ1021=1),AG1021,"")</f>
        <v/>
      </c>
      <c r="AU1021" s="5">
        <f>IF(P1021&lt;10000,"Under $10K",IF(P1021&lt;20000,"$10-20K",IF(P1021&lt;30000,"$20-30K",IF(P1021&lt;50000,"$30-50K",IF(P1021&lt;100000,"$50-100K","$100K+")))))</f>
        <v/>
      </c>
      <c r="AV1021" s="5">
        <f>IF(O1021&lt;=1.35,"1.35 and under",IF(O1021&lt;=1.42,"1.36-1.42",IF(O1021&lt;=1.45,"1.43-1.45",IF(O1021&lt;1.49,"1.46-1.48",IF(O1021&lt;=1.49,"1.49","Above 1.49")))))</f>
        <v/>
      </c>
      <c r="AW1021" s="5">
        <f>IF(AE1021="","",IF(AE1021&lt;60,"Under 60",IF(AE1021&lt;90,"60-89",IF(AE1021&lt;120,"90-119",IF(AE1021&lt;150,"120-149","150+")))))</f>
        <v/>
      </c>
      <c r="AX1021" s="5">
        <f>IF(AP1021="","No revenue data",IF(AP1021&lt;0.15,"Under 0.15x",IF(AP1021&lt;0.3,"0.15-0.30x",IF(AP1021&lt;0.5,"0.30-0.50x",IF(AP1021&lt;1,"0.50-1.00x","1.00x+")))))</f>
        <v/>
      </c>
      <c r="AY1021" s="5">
        <f>IF(J1021="","No SIC",IFERROR(VLOOKUP(J1021,Ref!$A$4:$C$67,2,FALSE()),"Unclassified"))</f>
        <v/>
      </c>
      <c r="AZ1021" s="5">
        <f>IF(E1021="","",TEXT(E1021,"YYYY")&amp;"-Q"&amp;ROUNDUP(MONTH(E1021)/3,0))</f>
        <v/>
      </c>
      <c r="BA1021" s="5">
        <f>IF(E1021="","",TEXT(E1021,"YYYY-MM"))</f>
        <v/>
      </c>
      <c r="BB1021" s="5">
        <f>IF(E1021="","",TEXT(E1021,"YYYY"))</f>
        <v/>
      </c>
      <c r="BC1021" s="92">
        <f>IF($E1021="","",NETWORKDAYS($E1021,Controls!$B$9,Ref!$F$4:$F$47))</f>
        <v/>
      </c>
      <c r="BD1021" s="92">
        <f>IF(OR($AH1021=1,$AJ1021=1),1,0)</f>
        <v/>
      </c>
      <c r="BE1021" s="95">
        <f>IF(OR($BD1021=1,AND($AE1021&lt;&gt;"",$BC1021&gt;=Controls!$B$10*$AE1021)),1,0)</f>
        <v/>
      </c>
    </row>
    <row r="1022" ht="15.75" customHeight="1" s="79">
      <c r="A1022" s="5" t="inlineStr">
        <is>
          <t>5674187104</t>
        </is>
      </c>
      <c r="B1022" s="5" t="inlineStr">
        <is>
          <t>SASQUATCH PROVISIONS LLC</t>
        </is>
      </c>
      <c r="C1022" s="5" t="inlineStr">
        <is>
          <t>SASQUATCH PROVISIONS LLC</t>
        </is>
      </c>
      <c r="D1022" s="5" t="inlineStr">
        <is>
          <t>Open</t>
        </is>
      </c>
      <c r="E1022" s="16" t="n">
        <v>46213</v>
      </c>
      <c r="F1022" s="16" t="n">
        <v>46253</v>
      </c>
      <c r="G1022" s="17" t="n">
        <v>3</v>
      </c>
      <c r="H1022" s="5" t="inlineStr">
        <is>
          <t>5999</t>
        </is>
      </c>
      <c r="I1022" s="5" t="inlineStr">
        <is>
          <t>All Other Misc. Store Retailers (Except Tobacco Stores)</t>
        </is>
      </c>
      <c r="J1022" s="5" t="inlineStr">
        <is>
          <t>59</t>
        </is>
      </c>
      <c r="K1022" s="5" t="n">
        <v>5999</v>
      </c>
      <c r="L1022" s="5" t="inlineStr">
        <is>
          <t>WA</t>
        </is>
      </c>
      <c r="M1022" s="5" t="inlineStr">
        <is>
          <t>Fundwell</t>
        </is>
      </c>
      <c r="N1022" s="5" t="inlineStr">
        <is>
          <t>New Deal</t>
        </is>
      </c>
      <c r="O1022" s="19" t="n">
        <v>1.36</v>
      </c>
      <c r="P1022" s="20" t="n">
        <v>15000</v>
      </c>
      <c r="Q1022" s="20" t="n">
        <v>1125</v>
      </c>
      <c r="R1022" s="20" t="n">
        <v>20400</v>
      </c>
      <c r="S1022" s="20" t="n">
        <v>4845</v>
      </c>
      <c r="T1022" s="20" t="n">
        <v>15555</v>
      </c>
      <c r="U1022" s="21" t="n">
        <v>0.2375</v>
      </c>
      <c r="V1022" s="22" t="n">
        <v>2.623</v>
      </c>
      <c r="W1022" s="17" t="n">
        <v>0</v>
      </c>
      <c r="X1022" s="17" t="n">
        <v>9</v>
      </c>
      <c r="Y1022" s="20" t="n">
        <v>5734.32</v>
      </c>
      <c r="Z1022" s="21" t="n">
        <v>0.282</v>
      </c>
      <c r="AA1022" s="16" t="n">
        <v>44165</v>
      </c>
      <c r="AB1022" s="5">
        <f>IF(V1022="","",IF(V1022&lt;12,"Months","Weeks"))</f>
        <v/>
      </c>
      <c r="AC1022" s="5">
        <f>IF(AB1022="","",IF(AB1022="Months","Daily","Weekly"))</f>
        <v/>
      </c>
      <c r="AD1022" s="17">
        <f>IF(V1022="","",IF(AC1022="Daily",V1022*Controls!$B$13,V1022))</f>
        <v/>
      </c>
      <c r="AE1022" s="17">
        <f>IF(V1022="","",IF(AC1022="Daily",V1022*Controls!$B$13,V1022*Controls!$B$12))</f>
        <v/>
      </c>
      <c r="AF1022" s="17">
        <f>IF(OR(E1022="",F1022=""),"",F1022-E1022)</f>
        <v/>
      </c>
      <c r="AG1022" s="17">
        <f>IF(OR(E1022="",F1022=""),"",NETWORKDAYS(E1022,F1022,Ref!$F$4:$F$47))</f>
        <v/>
      </c>
      <c r="AH1022" s="39">
        <f>IF(IFERROR(VLOOKUP(D1022,Controls!$A$25:$D$35,2,FALSE()),"No")="Yes",1,0)</f>
        <v/>
      </c>
      <c r="AI1022" s="39">
        <f>IF(IFERROR(VLOOKUP(D1022,Controls!$A$25:$D$35,3,FALSE()),"No")="Yes",1,0)</f>
        <v/>
      </c>
      <c r="AJ1022" s="39">
        <f>IF(IFERROR(VLOOKUP(D1022,Controls!$A$25:$D$35,4,FALSE()),"No")="Yes",1,0)</f>
        <v/>
      </c>
      <c r="AK1022" s="96">
        <f>IF(AND($E1022&gt;=Controls!$B$5,$E1022&lt;=Controls!$B$6,OR(Controls!$E$9&lt;&gt;"Y",$BE1022=1)),1,0)</f>
        <v/>
      </c>
      <c r="AL1022" s="39">
        <f>1</f>
        <v/>
      </c>
      <c r="AM1022" s="20">
        <f>S1022-P1022</f>
        <v/>
      </c>
      <c r="AN1022" s="20">
        <f>IF(AH1022=1,MAX(0,P1022-S1022),0)</f>
        <v/>
      </c>
      <c r="AO1022" s="21">
        <f>IFERROR(S1022/P1022,"")</f>
        <v/>
      </c>
      <c r="AP1022" s="22">
        <f>IF(Y1022="","",P1022/Y1022)</f>
        <v/>
      </c>
      <c r="AQ1022" s="39">
        <f>IF(Y1022="",0,1)</f>
        <v/>
      </c>
      <c r="AR1022" s="39">
        <f>IF(S1022&lt;=0,1,0)</f>
        <v/>
      </c>
      <c r="AS1022" s="17">
        <f>IF(AH1022=1,AG1022,"")</f>
        <v/>
      </c>
      <c r="AT1022" s="17">
        <f>IF(AND(AH1022=0,AJ1022=1),AG1022,"")</f>
        <v/>
      </c>
      <c r="AU1022" s="5">
        <f>IF(P1022&lt;10000,"Under $10K",IF(P1022&lt;20000,"$10-20K",IF(P1022&lt;30000,"$20-30K",IF(P1022&lt;50000,"$30-50K",IF(P1022&lt;100000,"$50-100K","$100K+")))))</f>
        <v/>
      </c>
      <c r="AV1022" s="5">
        <f>IF(O1022&lt;=1.35,"1.35 and under",IF(O1022&lt;=1.42,"1.36-1.42",IF(O1022&lt;=1.45,"1.43-1.45",IF(O1022&lt;1.49,"1.46-1.48",IF(O1022&lt;=1.49,"1.49","Above 1.49")))))</f>
        <v/>
      </c>
      <c r="AW1022" s="5">
        <f>IF(AE1022="","",IF(AE1022&lt;60,"Under 60",IF(AE1022&lt;90,"60-89",IF(AE1022&lt;120,"90-119",IF(AE1022&lt;150,"120-149","150+")))))</f>
        <v/>
      </c>
      <c r="AX1022" s="5">
        <f>IF(AP1022="","No revenue data",IF(AP1022&lt;0.15,"Under 0.15x",IF(AP1022&lt;0.3,"0.15-0.30x",IF(AP1022&lt;0.5,"0.30-0.50x",IF(AP1022&lt;1,"0.50-1.00x","1.00x+")))))</f>
        <v/>
      </c>
      <c r="AY1022" s="5">
        <f>IF(J1022="","No SIC",IFERROR(VLOOKUP(J1022,Ref!$A$4:$C$67,2,FALSE()),"Unclassified"))</f>
        <v/>
      </c>
      <c r="AZ1022" s="5">
        <f>IF(E1022="","",TEXT(E1022,"YYYY")&amp;"-Q"&amp;ROUNDUP(MONTH(E1022)/3,0))</f>
        <v/>
      </c>
      <c r="BA1022" s="5">
        <f>IF(E1022="","",TEXT(E1022,"YYYY-MM"))</f>
        <v/>
      </c>
      <c r="BB1022" s="5">
        <f>IF(E1022="","",TEXT(E1022,"YYYY"))</f>
        <v/>
      </c>
      <c r="BC1022" s="92">
        <f>IF($E1022="","",NETWORKDAYS($E1022,Controls!$B$9,Ref!$F$4:$F$47))</f>
        <v/>
      </c>
      <c r="BD1022" s="92">
        <f>IF(OR($AH1022=1,$AJ1022=1),1,0)</f>
        <v/>
      </c>
      <c r="BE1022" s="95">
        <f>IF(OR($BD1022=1,AND($AE1022&lt;&gt;"",$BC1022&gt;=Controls!$B$10*$AE1022)),1,0)</f>
        <v/>
      </c>
    </row>
    <row r="1023" ht="15.75" customHeight="1" s="79">
      <c r="A1023" s="5" t="inlineStr">
        <is>
          <t>5674187105</t>
        </is>
      </c>
      <c r="B1023" s="5" t="inlineStr">
        <is>
          <t>SUMMIT EXERCISES AND TRAINING, SUMMITET</t>
        </is>
      </c>
      <c r="C1023" s="5" t="inlineStr">
        <is>
          <t>Summit Exercises and Training LLC</t>
        </is>
      </c>
      <c r="D1023" s="5" t="inlineStr">
        <is>
          <t>Closed</t>
        </is>
      </c>
      <c r="E1023" s="16" t="n">
        <v>46213</v>
      </c>
      <c r="F1023" s="16" t="n">
        <v>46252</v>
      </c>
      <c r="G1023" s="17" t="n">
        <v>4</v>
      </c>
      <c r="H1023" s="5" t="inlineStr">
        <is>
          <t>9711</t>
        </is>
      </c>
      <c r="I1023" s="5" t="inlineStr">
        <is>
          <t>National Security</t>
        </is>
      </c>
      <c r="J1023" s="5" t="inlineStr">
        <is>
          <t>97</t>
        </is>
      </c>
      <c r="K1023" s="5" t="n">
        <v>7393</v>
      </c>
      <c r="L1023" s="5" t="inlineStr">
        <is>
          <t>FL</t>
        </is>
      </c>
      <c r="M1023" s="5" t="inlineStr">
        <is>
          <t>PMF</t>
        </is>
      </c>
      <c r="N1023" s="5" t="inlineStr">
        <is>
          <t>New Deal</t>
        </is>
      </c>
      <c r="O1023" s="19" t="n">
        <v>1.41145813</v>
      </c>
      <c r="P1023" s="20" t="n">
        <v>160000</v>
      </c>
      <c r="Q1023" s="20" t="n">
        <v>22400</v>
      </c>
      <c r="R1023" s="20" t="n">
        <v>225833.3008</v>
      </c>
      <c r="S1023" s="20" t="n">
        <v>225833.3</v>
      </c>
      <c r="T1023" s="20" t="n">
        <v>0.000800000008894131</v>
      </c>
      <c r="U1023" s="21" t="n">
        <v>0.999999996457564</v>
      </c>
      <c r="V1023" s="22" t="n">
        <v>26</v>
      </c>
      <c r="W1023" s="17" t="n">
        <v>1</v>
      </c>
      <c r="X1023" s="17" t="n">
        <v>0</v>
      </c>
      <c r="Y1023" s="20" t="n">
        <v>850734.34</v>
      </c>
      <c r="Z1023" s="21" t="n">
        <v>0.0431</v>
      </c>
      <c r="AA1023" s="16" t="n">
        <v>41609</v>
      </c>
      <c r="AB1023" s="5">
        <f>IF(V1023="","",IF(V1023&lt;12,"Months","Weeks"))</f>
        <v/>
      </c>
      <c r="AC1023" s="5">
        <f>IF(AB1023="","",IF(AB1023="Months","Daily","Weekly"))</f>
        <v/>
      </c>
      <c r="AD1023" s="17">
        <f>IF(V1023="","",IF(AC1023="Daily",V1023*Controls!$B$13,V1023))</f>
        <v/>
      </c>
      <c r="AE1023" s="17">
        <f>IF(V1023="","",IF(AC1023="Daily",V1023*Controls!$B$13,V1023*Controls!$B$12))</f>
        <v/>
      </c>
      <c r="AF1023" s="17">
        <f>IF(OR(E1023="",F1023=""),"",F1023-E1023)</f>
        <v/>
      </c>
      <c r="AG1023" s="17">
        <f>IF(OR(E1023="",F1023=""),"",NETWORKDAYS(E1023,F1023,Ref!$F$4:$F$47))</f>
        <v/>
      </c>
      <c r="AH1023" s="39">
        <f>IF(IFERROR(VLOOKUP(D1023,Controls!$A$25:$D$35,2,FALSE()),"No")="Yes",1,0)</f>
        <v/>
      </c>
      <c r="AI1023" s="39">
        <f>IF(IFERROR(VLOOKUP(D1023,Controls!$A$25:$D$35,3,FALSE()),"No")="Yes",1,0)</f>
        <v/>
      </c>
      <c r="AJ1023" s="39">
        <f>IF(IFERROR(VLOOKUP(D1023,Controls!$A$25:$D$35,4,FALSE()),"No")="Yes",1,0)</f>
        <v/>
      </c>
      <c r="AK1023" s="96">
        <f>IF(AND($E1023&gt;=Controls!$B$5,$E1023&lt;=Controls!$B$6,OR(Controls!$E$9&lt;&gt;"Y",$BE1023=1)),1,0)</f>
        <v/>
      </c>
      <c r="AL1023" s="39">
        <f>1</f>
        <v/>
      </c>
      <c r="AM1023" s="20">
        <f>S1023-P1023</f>
        <v/>
      </c>
      <c r="AN1023" s="20">
        <f>IF(AH1023=1,MAX(0,P1023-S1023),0)</f>
        <v/>
      </c>
      <c r="AO1023" s="21">
        <f>IFERROR(S1023/P1023,"")</f>
        <v/>
      </c>
      <c r="AP1023" s="22">
        <f>IF(Y1023="","",P1023/Y1023)</f>
        <v/>
      </c>
      <c r="AQ1023" s="39">
        <f>IF(Y1023="",0,1)</f>
        <v/>
      </c>
      <c r="AR1023" s="39">
        <f>IF(S1023&lt;=0,1,0)</f>
        <v/>
      </c>
      <c r="AS1023" s="17">
        <f>IF(AH1023=1,AG1023,"")</f>
        <v/>
      </c>
      <c r="AT1023" s="17">
        <f>IF(AND(AH1023=0,AJ1023=1),AG1023,"")</f>
        <v/>
      </c>
      <c r="AU1023" s="5">
        <f>IF(P1023&lt;10000,"Under $10K",IF(P1023&lt;20000,"$10-20K",IF(P1023&lt;30000,"$20-30K",IF(P1023&lt;50000,"$30-50K",IF(P1023&lt;100000,"$50-100K","$100K+")))))</f>
        <v/>
      </c>
      <c r="AV1023" s="5">
        <f>IF(O1023&lt;=1.35,"1.35 and under",IF(O1023&lt;=1.42,"1.36-1.42",IF(O1023&lt;=1.45,"1.43-1.45",IF(O1023&lt;1.49,"1.46-1.48",IF(O1023&lt;=1.49,"1.49","Above 1.49")))))</f>
        <v/>
      </c>
      <c r="AW1023" s="5">
        <f>IF(AE1023="","",IF(AE1023&lt;60,"Under 60",IF(AE1023&lt;90,"60-89",IF(AE1023&lt;120,"90-119",IF(AE1023&lt;150,"120-149","150+")))))</f>
        <v/>
      </c>
      <c r="AX1023" s="5">
        <f>IF(AP1023="","No revenue data",IF(AP1023&lt;0.15,"Under 0.15x",IF(AP1023&lt;0.3,"0.15-0.30x",IF(AP1023&lt;0.5,"0.30-0.50x",IF(AP1023&lt;1,"0.50-1.00x","1.00x+")))))</f>
        <v/>
      </c>
      <c r="AY1023" s="5">
        <f>IF(J1023="","No SIC",IFERROR(VLOOKUP(J1023,Ref!$A$4:$C$67,2,FALSE()),"Unclassified"))</f>
        <v/>
      </c>
      <c r="AZ1023" s="5">
        <f>IF(E1023="","",TEXT(E1023,"YYYY")&amp;"-Q"&amp;ROUNDUP(MONTH(E1023)/3,0))</f>
        <v/>
      </c>
      <c r="BA1023" s="5">
        <f>IF(E1023="","",TEXT(E1023,"YYYY-MM"))</f>
        <v/>
      </c>
      <c r="BB1023" s="5">
        <f>IF(E1023="","",TEXT(E1023,"YYYY"))</f>
        <v/>
      </c>
      <c r="BC1023" s="92">
        <f>IF($E1023="","",NETWORKDAYS($E1023,Controls!$B$9,Ref!$F$4:$F$47))</f>
        <v/>
      </c>
      <c r="BD1023" s="92">
        <f>IF(OR($AH1023=1,$AJ1023=1),1,0)</f>
        <v/>
      </c>
      <c r="BE1023" s="95">
        <f>IF(OR($BD1023=1,AND($AE1023&lt;&gt;"",$BC1023&gt;=Controls!$B$10*$AE1023)),1,0)</f>
        <v/>
      </c>
    </row>
    <row r="1024" ht="15.75" customHeight="1" s="79">
      <c r="A1024" s="5" t="inlineStr">
        <is>
          <t>5674187132</t>
        </is>
      </c>
      <c r="B1024" s="5" t="inlineStr">
        <is>
          <t>A Plus Commercial Tire Service</t>
        </is>
      </c>
      <c r="C1024" s="5" t="inlineStr">
        <is>
          <t>A Plus Commercial Tire Service</t>
        </is>
      </c>
      <c r="D1024" s="5" t="inlineStr">
        <is>
          <t>Open</t>
        </is>
      </c>
      <c r="E1024" s="16" t="n">
        <v>46213</v>
      </c>
      <c r="F1024" s="16" t="n">
        <v>46247</v>
      </c>
      <c r="G1024" s="17" t="n">
        <v>4</v>
      </c>
      <c r="H1024" s="5" t="inlineStr">
        <is>
          <t>7538</t>
        </is>
      </c>
      <c r="I1024" s="5" t="inlineStr">
        <is>
          <t>General Automotive Repair</t>
        </is>
      </c>
      <c r="J1024" s="5" t="inlineStr">
        <is>
          <t>75</t>
        </is>
      </c>
      <c r="K1024" s="5" t="n">
        <v>7538</v>
      </c>
      <c r="L1024" s="5" t="inlineStr">
        <is>
          <t>GA</t>
        </is>
      </c>
      <c r="M1024" s="5" t="inlineStr">
        <is>
          <t>United Secured Capital 8</t>
        </is>
      </c>
      <c r="N1024" s="5" t="inlineStr">
        <is>
          <t>New Deal</t>
        </is>
      </c>
      <c r="O1024" s="19" t="n">
        <v>1.49</v>
      </c>
      <c r="P1024" s="20" t="n">
        <v>40000</v>
      </c>
      <c r="Q1024" s="20" t="n">
        <v>6000</v>
      </c>
      <c r="R1024" s="20" t="n">
        <v>59600</v>
      </c>
      <c r="S1024" s="20" t="n">
        <v>12416.75</v>
      </c>
      <c r="T1024" s="20" t="n">
        <v>47183.25</v>
      </c>
      <c r="U1024" s="21" t="n">
        <v>0.208334731543624</v>
      </c>
      <c r="V1024" s="22" t="n">
        <v>24</v>
      </c>
      <c r="W1024" s="17" t="n">
        <v>6</v>
      </c>
      <c r="X1024" s="17" t="n">
        <v>0</v>
      </c>
      <c r="Y1024" s="20" t="n">
        <v>110294.91</v>
      </c>
      <c r="Z1024" s="21" t="n">
        <v>0.0897</v>
      </c>
      <c r="AA1024" s="16" t="n">
        <v>42583</v>
      </c>
      <c r="AB1024" s="5">
        <f>IF(V1024="","",IF(V1024&lt;12,"Months","Weeks"))</f>
        <v/>
      </c>
      <c r="AC1024" s="5">
        <f>IF(AB1024="","",IF(AB1024="Months","Daily","Weekly"))</f>
        <v/>
      </c>
      <c r="AD1024" s="17">
        <f>IF(V1024="","",IF(AC1024="Daily",V1024*Controls!$B$13,V1024))</f>
        <v/>
      </c>
      <c r="AE1024" s="17">
        <f>IF(V1024="","",IF(AC1024="Daily",V1024*Controls!$B$13,V1024*Controls!$B$12))</f>
        <v/>
      </c>
      <c r="AF1024" s="17">
        <f>IF(OR(E1024="",F1024=""),"",F1024-E1024)</f>
        <v/>
      </c>
      <c r="AG1024" s="17">
        <f>IF(OR(E1024="",F1024=""),"",NETWORKDAYS(E1024,F1024,Ref!$F$4:$F$47))</f>
        <v/>
      </c>
      <c r="AH1024" s="39">
        <f>IF(IFERROR(VLOOKUP(D1024,Controls!$A$25:$D$35,2,FALSE()),"No")="Yes",1,0)</f>
        <v/>
      </c>
      <c r="AI1024" s="39">
        <f>IF(IFERROR(VLOOKUP(D1024,Controls!$A$25:$D$35,3,FALSE()),"No")="Yes",1,0)</f>
        <v/>
      </c>
      <c r="AJ1024" s="39">
        <f>IF(IFERROR(VLOOKUP(D1024,Controls!$A$25:$D$35,4,FALSE()),"No")="Yes",1,0)</f>
        <v/>
      </c>
      <c r="AK1024" s="96">
        <f>IF(AND($E1024&gt;=Controls!$B$5,$E1024&lt;=Controls!$B$6,OR(Controls!$E$9&lt;&gt;"Y",$BE1024=1)),1,0)</f>
        <v/>
      </c>
      <c r="AL1024" s="39">
        <f>1</f>
        <v/>
      </c>
      <c r="AM1024" s="20">
        <f>S1024-P1024</f>
        <v/>
      </c>
      <c r="AN1024" s="20">
        <f>IF(AH1024=1,MAX(0,P1024-S1024),0)</f>
        <v/>
      </c>
      <c r="AO1024" s="21">
        <f>IFERROR(S1024/P1024,"")</f>
        <v/>
      </c>
      <c r="AP1024" s="22">
        <f>IF(Y1024="","",P1024/Y1024)</f>
        <v/>
      </c>
      <c r="AQ1024" s="39">
        <f>IF(Y1024="",0,1)</f>
        <v/>
      </c>
      <c r="AR1024" s="39">
        <f>IF(S1024&lt;=0,1,0)</f>
        <v/>
      </c>
      <c r="AS1024" s="17">
        <f>IF(AH1024=1,AG1024,"")</f>
        <v/>
      </c>
      <c r="AT1024" s="17">
        <f>IF(AND(AH1024=0,AJ1024=1),AG1024,"")</f>
        <v/>
      </c>
      <c r="AU1024" s="5">
        <f>IF(P1024&lt;10000,"Under $10K",IF(P1024&lt;20000,"$10-20K",IF(P1024&lt;30000,"$20-30K",IF(P1024&lt;50000,"$30-50K",IF(P1024&lt;100000,"$50-100K","$100K+")))))</f>
        <v/>
      </c>
      <c r="AV1024" s="5">
        <f>IF(O1024&lt;=1.35,"1.35 and under",IF(O1024&lt;=1.42,"1.36-1.42",IF(O1024&lt;=1.45,"1.43-1.45",IF(O1024&lt;1.49,"1.46-1.48",IF(O1024&lt;=1.49,"1.49","Above 1.49")))))</f>
        <v/>
      </c>
      <c r="AW1024" s="5">
        <f>IF(AE1024="","",IF(AE1024&lt;60,"Under 60",IF(AE1024&lt;90,"60-89",IF(AE1024&lt;120,"90-119",IF(AE1024&lt;150,"120-149","150+")))))</f>
        <v/>
      </c>
      <c r="AX1024" s="5">
        <f>IF(AP1024="","No revenue data",IF(AP1024&lt;0.15,"Under 0.15x",IF(AP1024&lt;0.3,"0.15-0.30x",IF(AP1024&lt;0.5,"0.30-0.50x",IF(AP1024&lt;1,"0.50-1.00x","1.00x+")))))</f>
        <v/>
      </c>
      <c r="AY1024" s="5">
        <f>IF(J1024="","No SIC",IFERROR(VLOOKUP(J1024,Ref!$A$4:$C$67,2,FALSE()),"Unclassified"))</f>
        <v/>
      </c>
      <c r="AZ1024" s="5">
        <f>IF(E1024="","",TEXT(E1024,"YYYY")&amp;"-Q"&amp;ROUNDUP(MONTH(E1024)/3,0))</f>
        <v/>
      </c>
      <c r="BA1024" s="5">
        <f>IF(E1024="","",TEXT(E1024,"YYYY-MM"))</f>
        <v/>
      </c>
      <c r="BB1024" s="5">
        <f>IF(E1024="","",TEXT(E1024,"YYYY"))</f>
        <v/>
      </c>
      <c r="BC1024" s="92">
        <f>IF($E1024="","",NETWORKDAYS($E1024,Controls!$B$9,Ref!$F$4:$F$47))</f>
        <v/>
      </c>
      <c r="BD1024" s="92">
        <f>IF(OR($AH1024=1,$AJ1024=1),1,0)</f>
        <v/>
      </c>
      <c r="BE1024" s="95">
        <f>IF(OR($BD1024=1,AND($AE1024&lt;&gt;"",$BC1024&gt;=Controls!$B$10*$AE1024)),1,0)</f>
        <v/>
      </c>
    </row>
    <row r="1025" ht="15.75" customHeight="1" s="79">
      <c r="A1025" s="5" t="inlineStr">
        <is>
          <t>5674187138</t>
        </is>
      </c>
      <c r="B1025" s="5" t="inlineStr">
        <is>
          <t>National Food Equipment LLC</t>
        </is>
      </c>
      <c r="C1025" s="5" t="inlineStr">
        <is>
          <t>National Food Equipment LLC</t>
        </is>
      </c>
      <c r="D1025" s="5" t="inlineStr">
        <is>
          <t>Open</t>
        </is>
      </c>
      <c r="E1025" s="16" t="n">
        <v>46213</v>
      </c>
      <c r="F1025" s="16" t="n">
        <v>46253</v>
      </c>
      <c r="G1025" s="17" t="n">
        <v>5</v>
      </c>
      <c r="H1025" s="5" t="inlineStr">
        <is>
          <t>3556</t>
        </is>
      </c>
      <c r="I1025" s="5" t="inlineStr">
        <is>
          <t>Food Product Machinery Mfg.</t>
        </is>
      </c>
      <c r="J1025" s="5" t="inlineStr">
        <is>
          <t>35</t>
        </is>
      </c>
      <c r="K1025" s="5" t="n">
        <v>5499</v>
      </c>
      <c r="L1025" s="5" t="inlineStr">
        <is>
          <t>CA</t>
        </is>
      </c>
      <c r="M1025" s="5" t="inlineStr">
        <is>
          <t>AVON ADVANCE</t>
        </is>
      </c>
      <c r="N1025" s="5" t="inlineStr">
        <is>
          <t>Renewal</t>
        </is>
      </c>
      <c r="O1025" s="19" t="n">
        <v>1.49</v>
      </c>
      <c r="P1025" s="20" t="n">
        <v>30000</v>
      </c>
      <c r="Q1025" s="20" t="n">
        <v>4200</v>
      </c>
      <c r="R1025" s="20" t="n">
        <v>44700</v>
      </c>
      <c r="S1025" s="20" t="n">
        <v>9628.459999999999</v>
      </c>
      <c r="T1025" s="20" t="n">
        <v>35071.54</v>
      </c>
      <c r="U1025" s="21" t="n">
        <v>0.215401789709172</v>
      </c>
      <c r="V1025" s="22" t="n">
        <v>4.262</v>
      </c>
      <c r="W1025" s="17" t="n">
        <v>0</v>
      </c>
      <c r="X1025" s="17" t="n">
        <v>0</v>
      </c>
      <c r="Y1025" s="20" t="n">
        <v>39426.6</v>
      </c>
      <c r="Z1025" s="21" t="n">
        <v>0.282</v>
      </c>
      <c r="AA1025" s="16" t="n">
        <v>42370</v>
      </c>
      <c r="AB1025" s="5">
        <f>IF(V1025="","",IF(V1025&lt;12,"Months","Weeks"))</f>
        <v/>
      </c>
      <c r="AC1025" s="5">
        <f>IF(AB1025="","",IF(AB1025="Months","Daily","Weekly"))</f>
        <v/>
      </c>
      <c r="AD1025" s="17">
        <f>IF(V1025="","",IF(AC1025="Daily",V1025*Controls!$B$13,V1025))</f>
        <v/>
      </c>
      <c r="AE1025" s="17">
        <f>IF(V1025="","",IF(AC1025="Daily",V1025*Controls!$B$13,V1025*Controls!$B$12))</f>
        <v/>
      </c>
      <c r="AF1025" s="17">
        <f>IF(OR(E1025="",F1025=""),"",F1025-E1025)</f>
        <v/>
      </c>
      <c r="AG1025" s="17">
        <f>IF(OR(E1025="",F1025=""),"",NETWORKDAYS(E1025,F1025,Ref!$F$4:$F$47))</f>
        <v/>
      </c>
      <c r="AH1025" s="39">
        <f>IF(IFERROR(VLOOKUP(D1025,Controls!$A$25:$D$35,2,FALSE()),"No")="Yes",1,0)</f>
        <v/>
      </c>
      <c r="AI1025" s="39">
        <f>IF(IFERROR(VLOOKUP(D1025,Controls!$A$25:$D$35,3,FALSE()),"No")="Yes",1,0)</f>
        <v/>
      </c>
      <c r="AJ1025" s="39">
        <f>IF(IFERROR(VLOOKUP(D1025,Controls!$A$25:$D$35,4,FALSE()),"No")="Yes",1,0)</f>
        <v/>
      </c>
      <c r="AK1025" s="96">
        <f>IF(AND($E1025&gt;=Controls!$B$5,$E1025&lt;=Controls!$B$6,OR(Controls!$E$9&lt;&gt;"Y",$BE1025=1)),1,0)</f>
        <v/>
      </c>
      <c r="AL1025" s="39">
        <f>1</f>
        <v/>
      </c>
      <c r="AM1025" s="20">
        <f>S1025-P1025</f>
        <v/>
      </c>
      <c r="AN1025" s="20">
        <f>IF(AH1025=1,MAX(0,P1025-S1025),0)</f>
        <v/>
      </c>
      <c r="AO1025" s="21">
        <f>IFERROR(S1025/P1025,"")</f>
        <v/>
      </c>
      <c r="AP1025" s="22">
        <f>IF(Y1025="","",P1025/Y1025)</f>
        <v/>
      </c>
      <c r="AQ1025" s="39">
        <f>IF(Y1025="",0,1)</f>
        <v/>
      </c>
      <c r="AR1025" s="39">
        <f>IF(S1025&lt;=0,1,0)</f>
        <v/>
      </c>
      <c r="AS1025" s="17">
        <f>IF(AH1025=1,AG1025,"")</f>
        <v/>
      </c>
      <c r="AT1025" s="17">
        <f>IF(AND(AH1025=0,AJ1025=1),AG1025,"")</f>
        <v/>
      </c>
      <c r="AU1025" s="5">
        <f>IF(P1025&lt;10000,"Under $10K",IF(P1025&lt;20000,"$10-20K",IF(P1025&lt;30000,"$20-30K",IF(P1025&lt;50000,"$30-50K",IF(P1025&lt;100000,"$50-100K","$100K+")))))</f>
        <v/>
      </c>
      <c r="AV1025" s="5">
        <f>IF(O1025&lt;=1.35,"1.35 and under",IF(O1025&lt;=1.42,"1.36-1.42",IF(O1025&lt;=1.45,"1.43-1.45",IF(O1025&lt;1.49,"1.46-1.48",IF(O1025&lt;=1.49,"1.49","Above 1.49")))))</f>
        <v/>
      </c>
      <c r="AW1025" s="5">
        <f>IF(AE1025="","",IF(AE1025&lt;60,"Under 60",IF(AE1025&lt;90,"60-89",IF(AE1025&lt;120,"90-119",IF(AE1025&lt;150,"120-149","150+")))))</f>
        <v/>
      </c>
      <c r="AX1025" s="5">
        <f>IF(AP1025="","No revenue data",IF(AP1025&lt;0.15,"Under 0.15x",IF(AP1025&lt;0.3,"0.15-0.30x",IF(AP1025&lt;0.5,"0.30-0.50x",IF(AP1025&lt;1,"0.50-1.00x","1.00x+")))))</f>
        <v/>
      </c>
      <c r="AY1025" s="5">
        <f>IF(J1025="","No SIC",IFERROR(VLOOKUP(J1025,Ref!$A$4:$C$67,2,FALSE()),"Unclassified"))</f>
        <v/>
      </c>
      <c r="AZ1025" s="5">
        <f>IF(E1025="","",TEXT(E1025,"YYYY")&amp;"-Q"&amp;ROUNDUP(MONTH(E1025)/3,0))</f>
        <v/>
      </c>
      <c r="BA1025" s="5">
        <f>IF(E1025="","",TEXT(E1025,"YYYY-MM"))</f>
        <v/>
      </c>
      <c r="BB1025" s="5">
        <f>IF(E1025="","",TEXT(E1025,"YYYY"))</f>
        <v/>
      </c>
      <c r="BC1025" s="92">
        <f>IF($E1025="","",NETWORKDAYS($E1025,Controls!$B$9,Ref!$F$4:$F$47))</f>
        <v/>
      </c>
      <c r="BD1025" s="92">
        <f>IF(OR($AH1025=1,$AJ1025=1),1,0)</f>
        <v/>
      </c>
      <c r="BE1025" s="95">
        <f>IF(OR($BD1025=1,AND($AE1025&lt;&gt;"",$BC1025&gt;=Controls!$B$10*$AE1025)),1,0)</f>
        <v/>
      </c>
    </row>
    <row r="1026" ht="15.75" customHeight="1" s="79">
      <c r="A1026" s="5" t="inlineStr">
        <is>
          <t>5674187198</t>
        </is>
      </c>
      <c r="B1026" s="5" t="inlineStr">
        <is>
          <t>LOS JIMADORES TEX MEX &amp; TEQUILA FACTORY</t>
        </is>
      </c>
      <c r="C1026" s="5" t="inlineStr">
        <is>
          <t>LOS JIMADORES TEX MEX &amp; TEQUILA FACTORY</t>
        </is>
      </c>
      <c r="D1026" s="5" t="inlineStr">
        <is>
          <t>Open</t>
        </is>
      </c>
      <c r="E1026" s="16" t="n">
        <v>46216</v>
      </c>
      <c r="F1026" s="16" t="n">
        <v>46253</v>
      </c>
      <c r="G1026" s="17" t="n">
        <v>3</v>
      </c>
      <c r="H1026" s="5" t="inlineStr">
        <is>
          <t>5812</t>
        </is>
      </c>
      <c r="I1026" s="5" t="inlineStr">
        <is>
          <t>Full-Service Restaurants</t>
        </is>
      </c>
      <c r="J1026" s="5" t="inlineStr">
        <is>
          <t>58</t>
        </is>
      </c>
      <c r="K1026" s="5" t="n">
        <v>5812</v>
      </c>
      <c r="L1026" s="5" t="inlineStr">
        <is>
          <t>TX</t>
        </is>
      </c>
      <c r="M1026" s="5" t="inlineStr">
        <is>
          <t>Westwood</t>
        </is>
      </c>
      <c r="N1026" s="5" t="inlineStr">
        <is>
          <t>Renewal</t>
        </is>
      </c>
      <c r="O1026" s="19" t="n">
        <v>1.36</v>
      </c>
      <c r="P1026" s="20" t="n">
        <v>35000</v>
      </c>
      <c r="Q1026" s="20" t="n">
        <v>2975</v>
      </c>
      <c r="R1026" s="20" t="n">
        <v>47600</v>
      </c>
      <c r="S1026" s="20" t="n">
        <v>9123.41</v>
      </c>
      <c r="T1026" s="20" t="n">
        <v>38476.59</v>
      </c>
      <c r="U1026" s="21" t="n">
        <v>0.191668277310924</v>
      </c>
      <c r="V1026" s="22" t="n">
        <v>3.934</v>
      </c>
      <c r="W1026" s="17" t="n">
        <v>0</v>
      </c>
      <c r="X1026" s="17" t="n">
        <v>2</v>
      </c>
      <c r="Y1026" s="20" t="n">
        <v>99573.09</v>
      </c>
      <c r="Z1026" s="21" t="n">
        <v>0.0883</v>
      </c>
      <c r="AA1026" s="16" t="n">
        <v>40625</v>
      </c>
      <c r="AB1026" s="5">
        <f>IF(V1026="","",IF(V1026&lt;12,"Months","Weeks"))</f>
        <v/>
      </c>
      <c r="AC1026" s="5">
        <f>IF(AB1026="","",IF(AB1026="Months","Daily","Weekly"))</f>
        <v/>
      </c>
      <c r="AD1026" s="17">
        <f>IF(V1026="","",IF(AC1026="Daily",V1026*Controls!$B$13,V1026))</f>
        <v/>
      </c>
      <c r="AE1026" s="17">
        <f>IF(V1026="","",IF(AC1026="Daily",V1026*Controls!$B$13,V1026*Controls!$B$12))</f>
        <v/>
      </c>
      <c r="AF1026" s="17">
        <f>IF(OR(E1026="",F1026=""),"",F1026-E1026)</f>
        <v/>
      </c>
      <c r="AG1026" s="17">
        <f>IF(OR(E1026="",F1026=""),"",NETWORKDAYS(E1026,F1026,Ref!$F$4:$F$47))</f>
        <v/>
      </c>
      <c r="AH1026" s="39">
        <f>IF(IFERROR(VLOOKUP(D1026,Controls!$A$25:$D$35,2,FALSE()),"No")="Yes",1,0)</f>
        <v/>
      </c>
      <c r="AI1026" s="39">
        <f>IF(IFERROR(VLOOKUP(D1026,Controls!$A$25:$D$35,3,FALSE()),"No")="Yes",1,0)</f>
        <v/>
      </c>
      <c r="AJ1026" s="39">
        <f>IF(IFERROR(VLOOKUP(D1026,Controls!$A$25:$D$35,4,FALSE()),"No")="Yes",1,0)</f>
        <v/>
      </c>
      <c r="AK1026" s="96">
        <f>IF(AND($E1026&gt;=Controls!$B$5,$E1026&lt;=Controls!$B$6,OR(Controls!$E$9&lt;&gt;"Y",$BE1026=1)),1,0)</f>
        <v/>
      </c>
      <c r="AL1026" s="39">
        <f>1</f>
        <v/>
      </c>
      <c r="AM1026" s="20">
        <f>S1026-P1026</f>
        <v/>
      </c>
      <c r="AN1026" s="20">
        <f>IF(AH1026=1,MAX(0,P1026-S1026),0)</f>
        <v/>
      </c>
      <c r="AO1026" s="21">
        <f>IFERROR(S1026/P1026,"")</f>
        <v/>
      </c>
      <c r="AP1026" s="22">
        <f>IF(Y1026="","",P1026/Y1026)</f>
        <v/>
      </c>
      <c r="AQ1026" s="39">
        <f>IF(Y1026="",0,1)</f>
        <v/>
      </c>
      <c r="AR1026" s="39">
        <f>IF(S1026&lt;=0,1,0)</f>
        <v/>
      </c>
      <c r="AS1026" s="17">
        <f>IF(AH1026=1,AG1026,"")</f>
        <v/>
      </c>
      <c r="AT1026" s="17">
        <f>IF(AND(AH1026=0,AJ1026=1),AG1026,"")</f>
        <v/>
      </c>
      <c r="AU1026" s="5">
        <f>IF(P1026&lt;10000,"Under $10K",IF(P1026&lt;20000,"$10-20K",IF(P1026&lt;30000,"$20-30K",IF(P1026&lt;50000,"$30-50K",IF(P1026&lt;100000,"$50-100K","$100K+")))))</f>
        <v/>
      </c>
      <c r="AV1026" s="5">
        <f>IF(O1026&lt;=1.35,"1.35 and under",IF(O1026&lt;=1.42,"1.36-1.42",IF(O1026&lt;=1.45,"1.43-1.45",IF(O1026&lt;1.49,"1.46-1.48",IF(O1026&lt;=1.49,"1.49","Above 1.49")))))</f>
        <v/>
      </c>
      <c r="AW1026" s="5">
        <f>IF(AE1026="","",IF(AE1026&lt;60,"Under 60",IF(AE1026&lt;90,"60-89",IF(AE1026&lt;120,"90-119",IF(AE1026&lt;150,"120-149","150+")))))</f>
        <v/>
      </c>
      <c r="AX1026" s="5">
        <f>IF(AP1026="","No revenue data",IF(AP1026&lt;0.15,"Under 0.15x",IF(AP1026&lt;0.3,"0.15-0.30x",IF(AP1026&lt;0.5,"0.30-0.50x",IF(AP1026&lt;1,"0.50-1.00x","1.00x+")))))</f>
        <v/>
      </c>
      <c r="AY1026" s="5">
        <f>IF(J1026="","No SIC",IFERROR(VLOOKUP(J1026,Ref!$A$4:$C$67,2,FALSE()),"Unclassified"))</f>
        <v/>
      </c>
      <c r="AZ1026" s="5">
        <f>IF(E1026="","",TEXT(E1026,"YYYY")&amp;"-Q"&amp;ROUNDUP(MONTH(E1026)/3,0))</f>
        <v/>
      </c>
      <c r="BA1026" s="5">
        <f>IF(E1026="","",TEXT(E1026,"YYYY-MM"))</f>
        <v/>
      </c>
      <c r="BB1026" s="5">
        <f>IF(E1026="","",TEXT(E1026,"YYYY"))</f>
        <v/>
      </c>
      <c r="BC1026" s="92">
        <f>IF($E1026="","",NETWORKDAYS($E1026,Controls!$B$9,Ref!$F$4:$F$47))</f>
        <v/>
      </c>
      <c r="BD1026" s="92">
        <f>IF(OR($AH1026=1,$AJ1026=1),1,0)</f>
        <v/>
      </c>
      <c r="BE1026" s="95">
        <f>IF(OR($BD1026=1,AND($AE1026&lt;&gt;"",$BC1026&gt;=Controls!$B$10*$AE1026)),1,0)</f>
        <v/>
      </c>
    </row>
    <row r="1027" ht="15.75" customHeight="1" s="79">
      <c r="A1027" s="5" t="inlineStr">
        <is>
          <t>5674187202</t>
        </is>
      </c>
      <c r="B1027" s="5" t="inlineStr">
        <is>
          <t>1Numerica Solutions JCSN Accounting Services</t>
        </is>
      </c>
      <c r="C1027" s="5" t="inlineStr">
        <is>
          <t>JCSN Corp</t>
        </is>
      </c>
      <c r="D1027" s="5" t="inlineStr">
        <is>
          <t>Open</t>
        </is>
      </c>
      <c r="E1027" s="16" t="n">
        <v>46216</v>
      </c>
      <c r="F1027" s="16" t="n">
        <v>46248</v>
      </c>
      <c r="G1027" s="17" t="n">
        <v>4</v>
      </c>
      <c r="H1027" s="5" t="inlineStr">
        <is>
          <t>8721</t>
        </is>
      </c>
      <c r="I1027" s="5" t="inlineStr">
        <is>
          <t>Offices of Certified Public Accountants</t>
        </is>
      </c>
      <c r="J1027" s="5" t="inlineStr">
        <is>
          <t>87</t>
        </is>
      </c>
      <c r="K1027" s="5" t="n">
        <v>8931</v>
      </c>
      <c r="L1027" s="5" t="inlineStr">
        <is>
          <t>CA</t>
        </is>
      </c>
      <c r="M1027" s="5" t="inlineStr">
        <is>
          <t>The Funding Family</t>
        </is>
      </c>
      <c r="N1027" s="5" t="inlineStr">
        <is>
          <t>Renewal</t>
        </is>
      </c>
      <c r="O1027" s="19" t="n">
        <v>1.49</v>
      </c>
      <c r="P1027" s="20" t="n">
        <v>45000</v>
      </c>
      <c r="Q1027" s="20" t="n">
        <v>6300</v>
      </c>
      <c r="R1027" s="20" t="n">
        <v>67050</v>
      </c>
      <c r="S1027" s="20" t="n">
        <v>10481.9</v>
      </c>
      <c r="T1027" s="20" t="n">
        <v>56568.1</v>
      </c>
      <c r="U1027" s="21" t="n">
        <v>0.156329604772558</v>
      </c>
      <c r="V1027" s="22" t="n">
        <v>32</v>
      </c>
      <c r="W1027" s="17" t="n">
        <v>5</v>
      </c>
      <c r="X1027" s="17" t="n">
        <v>0</v>
      </c>
      <c r="Y1027" s="20" t="n">
        <v>227249.49</v>
      </c>
      <c r="Z1027" s="21" t="n">
        <v>0.0369</v>
      </c>
      <c r="AA1027" s="16" t="n">
        <v>44410</v>
      </c>
      <c r="AB1027" s="5">
        <f>IF(V1027="","",IF(V1027&lt;12,"Months","Weeks"))</f>
        <v/>
      </c>
      <c r="AC1027" s="5">
        <f>IF(AB1027="","",IF(AB1027="Months","Daily","Weekly"))</f>
        <v/>
      </c>
      <c r="AD1027" s="17">
        <f>IF(V1027="","",IF(AC1027="Daily",V1027*Controls!$B$13,V1027))</f>
        <v/>
      </c>
      <c r="AE1027" s="17">
        <f>IF(V1027="","",IF(AC1027="Daily",V1027*Controls!$B$13,V1027*Controls!$B$12))</f>
        <v/>
      </c>
      <c r="AF1027" s="17">
        <f>IF(OR(E1027="",F1027=""),"",F1027-E1027)</f>
        <v/>
      </c>
      <c r="AG1027" s="17">
        <f>IF(OR(E1027="",F1027=""),"",NETWORKDAYS(E1027,F1027,Ref!$F$4:$F$47))</f>
        <v/>
      </c>
      <c r="AH1027" s="39">
        <f>IF(IFERROR(VLOOKUP(D1027,Controls!$A$25:$D$35,2,FALSE()),"No")="Yes",1,0)</f>
        <v/>
      </c>
      <c r="AI1027" s="39">
        <f>IF(IFERROR(VLOOKUP(D1027,Controls!$A$25:$D$35,3,FALSE()),"No")="Yes",1,0)</f>
        <v/>
      </c>
      <c r="AJ1027" s="39">
        <f>IF(IFERROR(VLOOKUP(D1027,Controls!$A$25:$D$35,4,FALSE()),"No")="Yes",1,0)</f>
        <v/>
      </c>
      <c r="AK1027" s="96">
        <f>IF(AND($E1027&gt;=Controls!$B$5,$E1027&lt;=Controls!$B$6,OR(Controls!$E$9&lt;&gt;"Y",$BE1027=1)),1,0)</f>
        <v/>
      </c>
      <c r="AL1027" s="39">
        <f>1</f>
        <v/>
      </c>
      <c r="AM1027" s="20">
        <f>S1027-P1027</f>
        <v/>
      </c>
      <c r="AN1027" s="20">
        <f>IF(AH1027=1,MAX(0,P1027-S1027),0)</f>
        <v/>
      </c>
      <c r="AO1027" s="21">
        <f>IFERROR(S1027/P1027,"")</f>
        <v/>
      </c>
      <c r="AP1027" s="22">
        <f>IF(Y1027="","",P1027/Y1027)</f>
        <v/>
      </c>
      <c r="AQ1027" s="39">
        <f>IF(Y1027="",0,1)</f>
        <v/>
      </c>
      <c r="AR1027" s="39">
        <f>IF(S1027&lt;=0,1,0)</f>
        <v/>
      </c>
      <c r="AS1027" s="17">
        <f>IF(AH1027=1,AG1027,"")</f>
        <v/>
      </c>
      <c r="AT1027" s="17">
        <f>IF(AND(AH1027=0,AJ1027=1),AG1027,"")</f>
        <v/>
      </c>
      <c r="AU1027" s="5">
        <f>IF(P1027&lt;10000,"Under $10K",IF(P1027&lt;20000,"$10-20K",IF(P1027&lt;30000,"$20-30K",IF(P1027&lt;50000,"$30-50K",IF(P1027&lt;100000,"$50-100K","$100K+")))))</f>
        <v/>
      </c>
      <c r="AV1027" s="5">
        <f>IF(O1027&lt;=1.35,"1.35 and under",IF(O1027&lt;=1.42,"1.36-1.42",IF(O1027&lt;=1.45,"1.43-1.45",IF(O1027&lt;1.49,"1.46-1.48",IF(O1027&lt;=1.49,"1.49","Above 1.49")))))</f>
        <v/>
      </c>
      <c r="AW1027" s="5">
        <f>IF(AE1027="","",IF(AE1027&lt;60,"Under 60",IF(AE1027&lt;90,"60-89",IF(AE1027&lt;120,"90-119",IF(AE1027&lt;150,"120-149","150+")))))</f>
        <v/>
      </c>
      <c r="AX1027" s="5">
        <f>IF(AP1027="","No revenue data",IF(AP1027&lt;0.15,"Under 0.15x",IF(AP1027&lt;0.3,"0.15-0.30x",IF(AP1027&lt;0.5,"0.30-0.50x",IF(AP1027&lt;1,"0.50-1.00x","1.00x+")))))</f>
        <v/>
      </c>
      <c r="AY1027" s="5">
        <f>IF(J1027="","No SIC",IFERROR(VLOOKUP(J1027,Ref!$A$4:$C$67,2,FALSE()),"Unclassified"))</f>
        <v/>
      </c>
      <c r="AZ1027" s="5">
        <f>IF(E1027="","",TEXT(E1027,"YYYY")&amp;"-Q"&amp;ROUNDUP(MONTH(E1027)/3,0))</f>
        <v/>
      </c>
      <c r="BA1027" s="5">
        <f>IF(E1027="","",TEXT(E1027,"YYYY-MM"))</f>
        <v/>
      </c>
      <c r="BB1027" s="5">
        <f>IF(E1027="","",TEXT(E1027,"YYYY"))</f>
        <v/>
      </c>
      <c r="BC1027" s="92">
        <f>IF($E1027="","",NETWORKDAYS($E1027,Controls!$B$9,Ref!$F$4:$F$47))</f>
        <v/>
      </c>
      <c r="BD1027" s="92">
        <f>IF(OR($AH1027=1,$AJ1027=1),1,0)</f>
        <v/>
      </c>
      <c r="BE1027" s="95">
        <f>IF(OR($BD1027=1,AND($AE1027&lt;&gt;"",$BC1027&gt;=Controls!$B$10*$AE1027)),1,0)</f>
        <v/>
      </c>
    </row>
    <row r="1028" ht="15.75" customHeight="1" s="79">
      <c r="A1028" s="5" t="inlineStr">
        <is>
          <t>5674187210</t>
        </is>
      </c>
      <c r="B1028" s="5" t="inlineStr">
        <is>
          <t>SERENE SPACES LLC</t>
        </is>
      </c>
      <c r="C1028" s="5" t="inlineStr">
        <is>
          <t>SERENE SPACES LLC</t>
        </is>
      </c>
      <c r="D1028" s="5" t="inlineStr">
        <is>
          <t>In House Collection</t>
        </is>
      </c>
      <c r="E1028" s="16" t="n">
        <v>46216</v>
      </c>
      <c r="F1028" s="16" t="n">
        <v>46234</v>
      </c>
      <c r="G1028" s="17" t="n">
        <v>3</v>
      </c>
      <c r="H1028" s="5" t="inlineStr">
        <is>
          <t>6512</t>
        </is>
      </c>
      <c r="I1028" s="5" t="inlineStr">
        <is>
          <t>Lessors of Nonresidential Buildings (Except Miniwarehouses)</t>
        </is>
      </c>
      <c r="J1028" s="5" t="inlineStr">
        <is>
          <t>65</t>
        </is>
      </c>
      <c r="K1028" s="5" t="n">
        <v>6513</v>
      </c>
      <c r="L1028" s="5" t="inlineStr">
        <is>
          <t>IA</t>
        </is>
      </c>
      <c r="M1028" s="5" t="inlineStr">
        <is>
          <t>United Secured Capital 8</t>
        </is>
      </c>
      <c r="N1028" s="5" t="inlineStr">
        <is>
          <t>New Deal</t>
        </is>
      </c>
      <c r="O1028" s="19" t="n">
        <v>1.49</v>
      </c>
      <c r="P1028" s="20" t="n">
        <v>20000</v>
      </c>
      <c r="Q1028" s="20" t="n">
        <v>0</v>
      </c>
      <c r="R1028" s="20" t="n">
        <v>29800</v>
      </c>
      <c r="S1028" s="20" t="n">
        <v>0</v>
      </c>
      <c r="T1028" s="20" t="n">
        <v>29800</v>
      </c>
      <c r="U1028" s="21" t="n">
        <v>0</v>
      </c>
      <c r="V1028" s="22" t="n">
        <v>20</v>
      </c>
      <c r="W1028" s="17" t="n">
        <v>37</v>
      </c>
      <c r="X1028" s="17" t="n">
        <v>3</v>
      </c>
      <c r="Y1028" s="20" t="n">
        <v>48000</v>
      </c>
      <c r="Z1028" s="21" t="n">
        <v>0.0596</v>
      </c>
      <c r="AA1028" s="16" t="n">
        <v>43324</v>
      </c>
      <c r="AB1028" s="5">
        <f>IF(V1028="","",IF(V1028&lt;12,"Months","Weeks"))</f>
        <v/>
      </c>
      <c r="AC1028" s="5">
        <f>IF(AB1028="","",IF(AB1028="Months","Daily","Weekly"))</f>
        <v/>
      </c>
      <c r="AD1028" s="17">
        <f>IF(V1028="","",IF(AC1028="Daily",V1028*Controls!$B$13,V1028))</f>
        <v/>
      </c>
      <c r="AE1028" s="17">
        <f>IF(V1028="","",IF(AC1028="Daily",V1028*Controls!$B$13,V1028*Controls!$B$12))</f>
        <v/>
      </c>
      <c r="AF1028" s="17">
        <f>IF(OR(E1028="",F1028=""),"",F1028-E1028)</f>
        <v/>
      </c>
      <c r="AG1028" s="17">
        <f>IF(OR(E1028="",F1028=""),"",NETWORKDAYS(E1028,F1028,Ref!$F$4:$F$47))</f>
        <v/>
      </c>
      <c r="AH1028" s="39">
        <f>IF(IFERROR(VLOOKUP(D1028,Controls!$A$25:$D$35,2,FALSE()),"No")="Yes",1,0)</f>
        <v/>
      </c>
      <c r="AI1028" s="39">
        <f>IF(IFERROR(VLOOKUP(D1028,Controls!$A$25:$D$35,3,FALSE()),"No")="Yes",1,0)</f>
        <v/>
      </c>
      <c r="AJ1028" s="39">
        <f>IF(IFERROR(VLOOKUP(D1028,Controls!$A$25:$D$35,4,FALSE()),"No")="Yes",1,0)</f>
        <v/>
      </c>
      <c r="AK1028" s="96">
        <f>IF(AND($E1028&gt;=Controls!$B$5,$E1028&lt;=Controls!$B$6,OR(Controls!$E$9&lt;&gt;"Y",$BE1028=1)),1,0)</f>
        <v/>
      </c>
      <c r="AL1028" s="39">
        <f>1</f>
        <v/>
      </c>
      <c r="AM1028" s="20">
        <f>S1028-P1028</f>
        <v/>
      </c>
      <c r="AN1028" s="20">
        <f>IF(AH1028=1,MAX(0,P1028-S1028),0)</f>
        <v/>
      </c>
      <c r="AO1028" s="21">
        <f>IFERROR(S1028/P1028,"")</f>
        <v/>
      </c>
      <c r="AP1028" s="22">
        <f>IF(Y1028="","",P1028/Y1028)</f>
        <v/>
      </c>
      <c r="AQ1028" s="39">
        <f>IF(Y1028="",0,1)</f>
        <v/>
      </c>
      <c r="AR1028" s="39">
        <f>IF(S1028&lt;=0,1,0)</f>
        <v/>
      </c>
      <c r="AS1028" s="17">
        <f>IF(AH1028=1,AG1028,"")</f>
        <v/>
      </c>
      <c r="AT1028" s="17">
        <f>IF(AND(AH1028=0,AJ1028=1),AG1028,"")</f>
        <v/>
      </c>
      <c r="AU1028" s="5">
        <f>IF(P1028&lt;10000,"Under $10K",IF(P1028&lt;20000,"$10-20K",IF(P1028&lt;30000,"$20-30K",IF(P1028&lt;50000,"$30-50K",IF(P1028&lt;100000,"$50-100K","$100K+")))))</f>
        <v/>
      </c>
      <c r="AV1028" s="5">
        <f>IF(O1028&lt;=1.35,"1.35 and under",IF(O1028&lt;=1.42,"1.36-1.42",IF(O1028&lt;=1.45,"1.43-1.45",IF(O1028&lt;1.49,"1.46-1.48",IF(O1028&lt;=1.49,"1.49","Above 1.49")))))</f>
        <v/>
      </c>
      <c r="AW1028" s="5">
        <f>IF(AE1028="","",IF(AE1028&lt;60,"Under 60",IF(AE1028&lt;90,"60-89",IF(AE1028&lt;120,"90-119",IF(AE1028&lt;150,"120-149","150+")))))</f>
        <v/>
      </c>
      <c r="AX1028" s="5">
        <f>IF(AP1028="","No revenue data",IF(AP1028&lt;0.15,"Under 0.15x",IF(AP1028&lt;0.3,"0.15-0.30x",IF(AP1028&lt;0.5,"0.30-0.50x",IF(AP1028&lt;1,"0.50-1.00x","1.00x+")))))</f>
        <v/>
      </c>
      <c r="AY1028" s="5">
        <f>IF(J1028="","No SIC",IFERROR(VLOOKUP(J1028,Ref!$A$4:$C$67,2,FALSE()),"Unclassified"))</f>
        <v/>
      </c>
      <c r="AZ1028" s="5">
        <f>IF(E1028="","",TEXT(E1028,"YYYY")&amp;"-Q"&amp;ROUNDUP(MONTH(E1028)/3,0))</f>
        <v/>
      </c>
      <c r="BA1028" s="5">
        <f>IF(E1028="","",TEXT(E1028,"YYYY-MM"))</f>
        <v/>
      </c>
      <c r="BB1028" s="5">
        <f>IF(E1028="","",TEXT(E1028,"YYYY"))</f>
        <v/>
      </c>
      <c r="BC1028" s="92">
        <f>IF($E1028="","",NETWORKDAYS($E1028,Controls!$B$9,Ref!$F$4:$F$47))</f>
        <v/>
      </c>
      <c r="BD1028" s="92">
        <f>IF(OR($AH1028=1,$AJ1028=1),1,0)</f>
        <v/>
      </c>
      <c r="BE1028" s="95">
        <f>IF(OR($BD1028=1,AND($AE1028&lt;&gt;"",$BC1028&gt;=Controls!$B$10*$AE1028)),1,0)</f>
        <v/>
      </c>
    </row>
    <row r="1029" ht="15.75" customHeight="1" s="79">
      <c r="A1029" s="5" t="inlineStr">
        <is>
          <t>5674187211</t>
        </is>
      </c>
      <c r="B1029" s="5" t="inlineStr">
        <is>
          <t>BLULEO TRANSPORT LLC</t>
        </is>
      </c>
      <c r="C1029" s="5" t="inlineStr">
        <is>
          <t>BLULEO TRANSPORT LLC</t>
        </is>
      </c>
      <c r="D1029" s="5" t="inlineStr">
        <is>
          <t>Open</t>
        </is>
      </c>
      <c r="E1029" s="16" t="n">
        <v>46216</v>
      </c>
      <c r="F1029" s="16" t="n">
        <v>46248</v>
      </c>
      <c r="G1029" s="17" t="n">
        <v>4</v>
      </c>
      <c r="H1029" s="5" t="inlineStr">
        <is>
          <t>4212</t>
        </is>
      </c>
      <c r="I1029" s="5" t="inlineStr">
        <is>
          <t>General Freight Trucking, Local</t>
        </is>
      </c>
      <c r="J1029" s="5" t="inlineStr">
        <is>
          <t>42</t>
        </is>
      </c>
      <c r="K1029" s="5" t="n">
        <v>4214</v>
      </c>
      <c r="L1029" s="5" t="inlineStr">
        <is>
          <t>TX</t>
        </is>
      </c>
      <c r="M1029" s="5" t="inlineStr">
        <is>
          <t>United Secured Capital 8</t>
        </is>
      </c>
      <c r="N1029" s="5" t="inlineStr">
        <is>
          <t>Renewal</t>
        </is>
      </c>
      <c r="O1029" s="19" t="n">
        <v>1.49</v>
      </c>
      <c r="P1029" s="20" t="n">
        <v>35000</v>
      </c>
      <c r="Q1029" s="20" t="n">
        <v>4900</v>
      </c>
      <c r="R1029" s="20" t="n">
        <v>52150</v>
      </c>
      <c r="S1029" s="20" t="n">
        <v>8149.8</v>
      </c>
      <c r="T1029" s="20" t="n">
        <v>44000.2</v>
      </c>
      <c r="U1029" s="21" t="n">
        <v>0.156276126558006</v>
      </c>
      <c r="V1029" s="22" t="n">
        <v>32</v>
      </c>
      <c r="W1029" s="17" t="n">
        <v>5</v>
      </c>
      <c r="X1029" s="17" t="n">
        <v>0</v>
      </c>
      <c r="Y1029" s="20" t="n">
        <v>56970.35</v>
      </c>
      <c r="Z1029" s="21" t="n">
        <v>0.1419</v>
      </c>
      <c r="AA1029" s="16" t="n">
        <v>45185</v>
      </c>
      <c r="AB1029" s="5">
        <f>IF(V1029="","",IF(V1029&lt;12,"Months","Weeks"))</f>
        <v/>
      </c>
      <c r="AC1029" s="5">
        <f>IF(AB1029="","",IF(AB1029="Months","Daily","Weekly"))</f>
        <v/>
      </c>
      <c r="AD1029" s="17">
        <f>IF(V1029="","",IF(AC1029="Daily",V1029*Controls!$B$13,V1029))</f>
        <v/>
      </c>
      <c r="AE1029" s="17">
        <f>IF(V1029="","",IF(AC1029="Daily",V1029*Controls!$B$13,V1029*Controls!$B$12))</f>
        <v/>
      </c>
      <c r="AF1029" s="17">
        <f>IF(OR(E1029="",F1029=""),"",F1029-E1029)</f>
        <v/>
      </c>
      <c r="AG1029" s="17">
        <f>IF(OR(E1029="",F1029=""),"",NETWORKDAYS(E1029,F1029,Ref!$F$4:$F$47))</f>
        <v/>
      </c>
      <c r="AH1029" s="39">
        <f>IF(IFERROR(VLOOKUP(D1029,Controls!$A$25:$D$35,2,FALSE()),"No")="Yes",1,0)</f>
        <v/>
      </c>
      <c r="AI1029" s="39">
        <f>IF(IFERROR(VLOOKUP(D1029,Controls!$A$25:$D$35,3,FALSE()),"No")="Yes",1,0)</f>
        <v/>
      </c>
      <c r="AJ1029" s="39">
        <f>IF(IFERROR(VLOOKUP(D1029,Controls!$A$25:$D$35,4,FALSE()),"No")="Yes",1,0)</f>
        <v/>
      </c>
      <c r="AK1029" s="96">
        <f>IF(AND($E1029&gt;=Controls!$B$5,$E1029&lt;=Controls!$B$6,OR(Controls!$E$9&lt;&gt;"Y",$BE1029=1)),1,0)</f>
        <v/>
      </c>
      <c r="AL1029" s="39">
        <f>1</f>
        <v/>
      </c>
      <c r="AM1029" s="20">
        <f>S1029-P1029</f>
        <v/>
      </c>
      <c r="AN1029" s="20">
        <f>IF(AH1029=1,MAX(0,P1029-S1029),0)</f>
        <v/>
      </c>
      <c r="AO1029" s="21">
        <f>IFERROR(S1029/P1029,"")</f>
        <v/>
      </c>
      <c r="AP1029" s="22">
        <f>IF(Y1029="","",P1029/Y1029)</f>
        <v/>
      </c>
      <c r="AQ1029" s="39">
        <f>IF(Y1029="",0,1)</f>
        <v/>
      </c>
      <c r="AR1029" s="39">
        <f>IF(S1029&lt;=0,1,0)</f>
        <v/>
      </c>
      <c r="AS1029" s="17">
        <f>IF(AH1029=1,AG1029,"")</f>
        <v/>
      </c>
      <c r="AT1029" s="17">
        <f>IF(AND(AH1029=0,AJ1029=1),AG1029,"")</f>
        <v/>
      </c>
      <c r="AU1029" s="5">
        <f>IF(P1029&lt;10000,"Under $10K",IF(P1029&lt;20000,"$10-20K",IF(P1029&lt;30000,"$20-30K",IF(P1029&lt;50000,"$30-50K",IF(P1029&lt;100000,"$50-100K","$100K+")))))</f>
        <v/>
      </c>
      <c r="AV1029" s="5">
        <f>IF(O1029&lt;=1.35,"1.35 and under",IF(O1029&lt;=1.42,"1.36-1.42",IF(O1029&lt;=1.45,"1.43-1.45",IF(O1029&lt;1.49,"1.46-1.48",IF(O1029&lt;=1.49,"1.49","Above 1.49")))))</f>
        <v/>
      </c>
      <c r="AW1029" s="5">
        <f>IF(AE1029="","",IF(AE1029&lt;60,"Under 60",IF(AE1029&lt;90,"60-89",IF(AE1029&lt;120,"90-119",IF(AE1029&lt;150,"120-149","150+")))))</f>
        <v/>
      </c>
      <c r="AX1029" s="5">
        <f>IF(AP1029="","No revenue data",IF(AP1029&lt;0.15,"Under 0.15x",IF(AP1029&lt;0.3,"0.15-0.30x",IF(AP1029&lt;0.5,"0.30-0.50x",IF(AP1029&lt;1,"0.50-1.00x","1.00x+")))))</f>
        <v/>
      </c>
      <c r="AY1029" s="5">
        <f>IF(J1029="","No SIC",IFERROR(VLOOKUP(J1029,Ref!$A$4:$C$67,2,FALSE()),"Unclassified"))</f>
        <v/>
      </c>
      <c r="AZ1029" s="5">
        <f>IF(E1029="","",TEXT(E1029,"YYYY")&amp;"-Q"&amp;ROUNDUP(MONTH(E1029)/3,0))</f>
        <v/>
      </c>
      <c r="BA1029" s="5">
        <f>IF(E1029="","",TEXT(E1029,"YYYY-MM"))</f>
        <v/>
      </c>
      <c r="BB1029" s="5">
        <f>IF(E1029="","",TEXT(E1029,"YYYY"))</f>
        <v/>
      </c>
      <c r="BC1029" s="92">
        <f>IF($E1029="","",NETWORKDAYS($E1029,Controls!$B$9,Ref!$F$4:$F$47))</f>
        <v/>
      </c>
      <c r="BD1029" s="92">
        <f>IF(OR($AH1029=1,$AJ1029=1),1,0)</f>
        <v/>
      </c>
      <c r="BE1029" s="95">
        <f>IF(OR($BD1029=1,AND($AE1029&lt;&gt;"",$BC1029&gt;=Controls!$B$10*$AE1029)),1,0)</f>
        <v/>
      </c>
    </row>
    <row r="1030" ht="15.75" customHeight="1" s="79">
      <c r="A1030" s="5" t="inlineStr">
        <is>
          <t>5674187240</t>
        </is>
      </c>
      <c r="B1030" s="5" t="inlineStr">
        <is>
          <t>DV S GARAGE INC</t>
        </is>
      </c>
      <c r="C1030" s="5" t="inlineStr">
        <is>
          <t>DV S GARAGE INC</t>
        </is>
      </c>
      <c r="D1030" s="5" t="inlineStr">
        <is>
          <t>Open</t>
        </is>
      </c>
      <c r="E1030" s="16" t="n">
        <v>46217</v>
      </c>
      <c r="F1030" s="16" t="n">
        <v>46248</v>
      </c>
      <c r="G1030" s="17" t="n">
        <v>3</v>
      </c>
      <c r="H1030" s="5" t="inlineStr">
        <is>
          <t>7538</t>
        </is>
      </c>
      <c r="I1030" s="5" t="inlineStr">
        <is>
          <t>General Automotive Repair</t>
        </is>
      </c>
      <c r="J1030" s="5" t="inlineStr">
        <is>
          <t>75</t>
        </is>
      </c>
      <c r="K1030" s="5" t="n">
        <v>7538</v>
      </c>
      <c r="L1030" s="5" t="inlineStr">
        <is>
          <t>IL</t>
        </is>
      </c>
      <c r="M1030" s="5" t="inlineStr">
        <is>
          <t>level 3 funding</t>
        </is>
      </c>
      <c r="N1030" s="5" t="inlineStr">
        <is>
          <t>New Deal</t>
        </is>
      </c>
      <c r="O1030" s="19" t="n">
        <v>1.49</v>
      </c>
      <c r="P1030" s="20" t="n">
        <v>12000</v>
      </c>
      <c r="Q1030" s="20" t="n">
        <v>1680</v>
      </c>
      <c r="R1030" s="20" t="n">
        <v>17880</v>
      </c>
      <c r="S1030" s="20" t="n">
        <v>1986.68</v>
      </c>
      <c r="T1030" s="20" t="n">
        <v>15893.32</v>
      </c>
      <c r="U1030" s="21" t="n">
        <v>0.111111856823266</v>
      </c>
      <c r="V1030" s="22" t="n">
        <v>18</v>
      </c>
      <c r="W1030" s="17" t="n">
        <v>5</v>
      </c>
      <c r="X1030" s="17" t="n">
        <v>4</v>
      </c>
      <c r="Y1030" s="5" t="n"/>
      <c r="Z1030" s="21" t="n">
        <v>0.1525</v>
      </c>
      <c r="AA1030" s="16" t="n">
        <v>43424</v>
      </c>
      <c r="AB1030" s="5">
        <f>IF(V1030="","",IF(V1030&lt;12,"Months","Weeks"))</f>
        <v/>
      </c>
      <c r="AC1030" s="5">
        <f>IF(AB1030="","",IF(AB1030="Months","Daily","Weekly"))</f>
        <v/>
      </c>
      <c r="AD1030" s="17">
        <f>IF(V1030="","",IF(AC1030="Daily",V1030*Controls!$B$13,V1030))</f>
        <v/>
      </c>
      <c r="AE1030" s="17">
        <f>IF(V1030="","",IF(AC1030="Daily",V1030*Controls!$B$13,V1030*Controls!$B$12))</f>
        <v/>
      </c>
      <c r="AF1030" s="17">
        <f>IF(OR(E1030="",F1030=""),"",F1030-E1030)</f>
        <v/>
      </c>
      <c r="AG1030" s="17">
        <f>IF(OR(E1030="",F1030=""),"",NETWORKDAYS(E1030,F1030,Ref!$F$4:$F$47))</f>
        <v/>
      </c>
      <c r="AH1030" s="39">
        <f>IF(IFERROR(VLOOKUP(D1030,Controls!$A$25:$D$35,2,FALSE()),"No")="Yes",1,0)</f>
        <v/>
      </c>
      <c r="AI1030" s="39">
        <f>IF(IFERROR(VLOOKUP(D1030,Controls!$A$25:$D$35,3,FALSE()),"No")="Yes",1,0)</f>
        <v/>
      </c>
      <c r="AJ1030" s="39">
        <f>IF(IFERROR(VLOOKUP(D1030,Controls!$A$25:$D$35,4,FALSE()),"No")="Yes",1,0)</f>
        <v/>
      </c>
      <c r="AK1030" s="96">
        <f>IF(AND($E1030&gt;=Controls!$B$5,$E1030&lt;=Controls!$B$6,OR(Controls!$E$9&lt;&gt;"Y",$BE1030=1)),1,0)</f>
        <v/>
      </c>
      <c r="AL1030" s="39">
        <f>1</f>
        <v/>
      </c>
      <c r="AM1030" s="20">
        <f>S1030-P1030</f>
        <v/>
      </c>
      <c r="AN1030" s="20">
        <f>IF(AH1030=1,MAX(0,P1030-S1030),0)</f>
        <v/>
      </c>
      <c r="AO1030" s="21">
        <f>IFERROR(S1030/P1030,"")</f>
        <v/>
      </c>
      <c r="AP1030" s="22">
        <f>IF(Y1030="","",P1030/Y1030)</f>
        <v/>
      </c>
      <c r="AQ1030" s="39">
        <f>IF(Y1030="",0,1)</f>
        <v/>
      </c>
      <c r="AR1030" s="39">
        <f>IF(S1030&lt;=0,1,0)</f>
        <v/>
      </c>
      <c r="AS1030" s="17">
        <f>IF(AH1030=1,AG1030,"")</f>
        <v/>
      </c>
      <c r="AT1030" s="17">
        <f>IF(AND(AH1030=0,AJ1030=1),AG1030,"")</f>
        <v/>
      </c>
      <c r="AU1030" s="5">
        <f>IF(P1030&lt;10000,"Under $10K",IF(P1030&lt;20000,"$10-20K",IF(P1030&lt;30000,"$20-30K",IF(P1030&lt;50000,"$30-50K",IF(P1030&lt;100000,"$50-100K","$100K+")))))</f>
        <v/>
      </c>
      <c r="AV1030" s="5">
        <f>IF(O1030&lt;=1.35,"1.35 and under",IF(O1030&lt;=1.42,"1.36-1.42",IF(O1030&lt;=1.45,"1.43-1.45",IF(O1030&lt;1.49,"1.46-1.48",IF(O1030&lt;=1.49,"1.49","Above 1.49")))))</f>
        <v/>
      </c>
      <c r="AW1030" s="5">
        <f>IF(AE1030="","",IF(AE1030&lt;60,"Under 60",IF(AE1030&lt;90,"60-89",IF(AE1030&lt;120,"90-119",IF(AE1030&lt;150,"120-149","150+")))))</f>
        <v/>
      </c>
      <c r="AX1030" s="5">
        <f>IF(AP1030="","No revenue data",IF(AP1030&lt;0.15,"Under 0.15x",IF(AP1030&lt;0.3,"0.15-0.30x",IF(AP1030&lt;0.5,"0.30-0.50x",IF(AP1030&lt;1,"0.50-1.00x","1.00x+")))))</f>
        <v/>
      </c>
      <c r="AY1030" s="5">
        <f>IF(J1030="","No SIC",IFERROR(VLOOKUP(J1030,Ref!$A$4:$C$67,2,FALSE()),"Unclassified"))</f>
        <v/>
      </c>
      <c r="AZ1030" s="5">
        <f>IF(E1030="","",TEXT(E1030,"YYYY")&amp;"-Q"&amp;ROUNDUP(MONTH(E1030)/3,0))</f>
        <v/>
      </c>
      <c r="BA1030" s="5">
        <f>IF(E1030="","",TEXT(E1030,"YYYY-MM"))</f>
        <v/>
      </c>
      <c r="BB1030" s="5">
        <f>IF(E1030="","",TEXT(E1030,"YYYY"))</f>
        <v/>
      </c>
      <c r="BC1030" s="92">
        <f>IF($E1030="","",NETWORKDAYS($E1030,Controls!$B$9,Ref!$F$4:$F$47))</f>
        <v/>
      </c>
      <c r="BD1030" s="92">
        <f>IF(OR($AH1030=1,$AJ1030=1),1,0)</f>
        <v/>
      </c>
      <c r="BE1030" s="95">
        <f>IF(OR($BD1030=1,AND($AE1030&lt;&gt;"",$BC1030&gt;=Controls!$B$10*$AE1030)),1,0)</f>
        <v/>
      </c>
    </row>
    <row r="1031" ht="15.75" customHeight="1" s="79">
      <c r="A1031" s="5" t="inlineStr">
        <is>
          <t>5674187312</t>
        </is>
      </c>
      <c r="B1031" s="5" t="inlineStr">
        <is>
          <t>Hecto Group, LLC</t>
        </is>
      </c>
      <c r="C1031" s="5" t="inlineStr">
        <is>
          <t>Hecto Group, LLC</t>
        </is>
      </c>
      <c r="D1031" s="5" t="inlineStr">
        <is>
          <t>Open</t>
        </is>
      </c>
      <c r="E1031" s="16" t="n">
        <v>46218</v>
      </c>
      <c r="F1031" s="16" t="n">
        <v>46248</v>
      </c>
      <c r="G1031" s="17" t="n">
        <v>3</v>
      </c>
      <c r="H1031" s="5" t="inlineStr">
        <is>
          <t>8732</t>
        </is>
      </c>
      <c r="I1031" s="5" t="inlineStr">
        <is>
          <t>Research and Development in Biotechnology</t>
        </is>
      </c>
      <c r="J1031" s="5" t="inlineStr">
        <is>
          <t>87</t>
        </is>
      </c>
      <c r="K1031" s="5" t="n">
        <v>8734</v>
      </c>
      <c r="L1031" s="5" t="inlineStr">
        <is>
          <t>KS</t>
        </is>
      </c>
      <c r="M1031" s="5" t="inlineStr">
        <is>
          <t>Westwood</t>
        </is>
      </c>
      <c r="N1031" s="5" t="inlineStr">
        <is>
          <t>Renewal</t>
        </is>
      </c>
      <c r="O1031" s="19" t="n">
        <v>1.45</v>
      </c>
      <c r="P1031" s="20" t="n">
        <v>50000</v>
      </c>
      <c r="Q1031" s="20" t="n">
        <v>0</v>
      </c>
      <c r="R1031" s="20" t="n">
        <v>72500</v>
      </c>
      <c r="S1031" s="20" t="n">
        <v>0</v>
      </c>
      <c r="T1031" s="20" t="n">
        <v>72500</v>
      </c>
      <c r="U1031" s="21" t="n">
        <v>0</v>
      </c>
      <c r="V1031" s="22" t="n">
        <v>24</v>
      </c>
      <c r="W1031" s="17" t="n">
        <v>35</v>
      </c>
      <c r="X1031" s="17" t="n">
        <v>4</v>
      </c>
      <c r="Y1031" s="20" t="n">
        <v>123148.95</v>
      </c>
      <c r="Z1031" s="21" t="n">
        <v>0.1162</v>
      </c>
      <c r="AA1031" s="16" t="n">
        <v>40380</v>
      </c>
      <c r="AB1031" s="5">
        <f>IF(V1031="","",IF(V1031&lt;12,"Months","Weeks"))</f>
        <v/>
      </c>
      <c r="AC1031" s="5">
        <f>IF(AB1031="","",IF(AB1031="Months","Daily","Weekly"))</f>
        <v/>
      </c>
      <c r="AD1031" s="17">
        <f>IF(V1031="","",IF(AC1031="Daily",V1031*Controls!$B$13,V1031))</f>
        <v/>
      </c>
      <c r="AE1031" s="17">
        <f>IF(V1031="","",IF(AC1031="Daily",V1031*Controls!$B$13,V1031*Controls!$B$12))</f>
        <v/>
      </c>
      <c r="AF1031" s="17">
        <f>IF(OR(E1031="",F1031=""),"",F1031-E1031)</f>
        <v/>
      </c>
      <c r="AG1031" s="17">
        <f>IF(OR(E1031="",F1031=""),"",NETWORKDAYS(E1031,F1031,Ref!$F$4:$F$47))</f>
        <v/>
      </c>
      <c r="AH1031" s="39">
        <f>IF(IFERROR(VLOOKUP(D1031,Controls!$A$25:$D$35,2,FALSE()),"No")="Yes",1,0)</f>
        <v/>
      </c>
      <c r="AI1031" s="39">
        <f>IF(IFERROR(VLOOKUP(D1031,Controls!$A$25:$D$35,3,FALSE()),"No")="Yes",1,0)</f>
        <v/>
      </c>
      <c r="AJ1031" s="39">
        <f>IF(IFERROR(VLOOKUP(D1031,Controls!$A$25:$D$35,4,FALSE()),"No")="Yes",1,0)</f>
        <v/>
      </c>
      <c r="AK1031" s="96">
        <f>IF(AND($E1031&gt;=Controls!$B$5,$E1031&lt;=Controls!$B$6,OR(Controls!$E$9&lt;&gt;"Y",$BE1031=1)),1,0)</f>
        <v/>
      </c>
      <c r="AL1031" s="39">
        <f>1</f>
        <v/>
      </c>
      <c r="AM1031" s="20">
        <f>S1031-P1031</f>
        <v/>
      </c>
      <c r="AN1031" s="20">
        <f>IF(AH1031=1,MAX(0,P1031-S1031),0)</f>
        <v/>
      </c>
      <c r="AO1031" s="21">
        <f>IFERROR(S1031/P1031,"")</f>
        <v/>
      </c>
      <c r="AP1031" s="22">
        <f>IF(Y1031="","",P1031/Y1031)</f>
        <v/>
      </c>
      <c r="AQ1031" s="39">
        <f>IF(Y1031="",0,1)</f>
        <v/>
      </c>
      <c r="AR1031" s="39">
        <f>IF(S1031&lt;=0,1,0)</f>
        <v/>
      </c>
      <c r="AS1031" s="17">
        <f>IF(AH1031=1,AG1031,"")</f>
        <v/>
      </c>
      <c r="AT1031" s="17">
        <f>IF(AND(AH1031=0,AJ1031=1),AG1031,"")</f>
        <v/>
      </c>
      <c r="AU1031" s="5">
        <f>IF(P1031&lt;10000,"Under $10K",IF(P1031&lt;20000,"$10-20K",IF(P1031&lt;30000,"$20-30K",IF(P1031&lt;50000,"$30-50K",IF(P1031&lt;100000,"$50-100K","$100K+")))))</f>
        <v/>
      </c>
      <c r="AV1031" s="5">
        <f>IF(O1031&lt;=1.35,"1.35 and under",IF(O1031&lt;=1.42,"1.36-1.42",IF(O1031&lt;=1.45,"1.43-1.45",IF(O1031&lt;1.49,"1.46-1.48",IF(O1031&lt;=1.49,"1.49","Above 1.49")))))</f>
        <v/>
      </c>
      <c r="AW1031" s="5">
        <f>IF(AE1031="","",IF(AE1031&lt;60,"Under 60",IF(AE1031&lt;90,"60-89",IF(AE1031&lt;120,"90-119",IF(AE1031&lt;150,"120-149","150+")))))</f>
        <v/>
      </c>
      <c r="AX1031" s="5">
        <f>IF(AP1031="","No revenue data",IF(AP1031&lt;0.15,"Under 0.15x",IF(AP1031&lt;0.3,"0.15-0.30x",IF(AP1031&lt;0.5,"0.30-0.50x",IF(AP1031&lt;1,"0.50-1.00x","1.00x+")))))</f>
        <v/>
      </c>
      <c r="AY1031" s="5">
        <f>IF(J1031="","No SIC",IFERROR(VLOOKUP(J1031,Ref!$A$4:$C$67,2,FALSE()),"Unclassified"))</f>
        <v/>
      </c>
      <c r="AZ1031" s="5">
        <f>IF(E1031="","",TEXT(E1031,"YYYY")&amp;"-Q"&amp;ROUNDUP(MONTH(E1031)/3,0))</f>
        <v/>
      </c>
      <c r="BA1031" s="5">
        <f>IF(E1031="","",TEXT(E1031,"YYYY-MM"))</f>
        <v/>
      </c>
      <c r="BB1031" s="5">
        <f>IF(E1031="","",TEXT(E1031,"YYYY"))</f>
        <v/>
      </c>
      <c r="BC1031" s="92">
        <f>IF($E1031="","",NETWORKDAYS($E1031,Controls!$B$9,Ref!$F$4:$F$47))</f>
        <v/>
      </c>
      <c r="BD1031" s="92">
        <f>IF(OR($AH1031=1,$AJ1031=1),1,0)</f>
        <v/>
      </c>
      <c r="BE1031" s="95">
        <f>IF(OR($BD1031=1,AND($AE1031&lt;&gt;"",$BC1031&gt;=Controls!$B$10*$AE1031)),1,0)</f>
        <v/>
      </c>
    </row>
    <row r="1032" ht="15.75" customHeight="1" s="79">
      <c r="A1032" s="5" t="inlineStr">
        <is>
          <t>5674187332</t>
        </is>
      </c>
      <c r="B1032" s="5" t="inlineStr">
        <is>
          <t>1st Choice Realty, LLC</t>
        </is>
      </c>
      <c r="C1032" s="5" t="inlineStr">
        <is>
          <t>1st Choice Realty, LLC</t>
        </is>
      </c>
      <c r="D1032" s="5" t="inlineStr">
        <is>
          <t>Open</t>
        </is>
      </c>
      <c r="E1032" s="16" t="n">
        <v>46218</v>
      </c>
      <c r="F1032" s="16" t="n">
        <v>46248</v>
      </c>
      <c r="G1032" s="17" t="n">
        <v>3</v>
      </c>
      <c r="H1032" s="5" t="inlineStr">
        <is>
          <t>6531</t>
        </is>
      </c>
      <c r="I1032" s="5" t="inlineStr">
        <is>
          <t>Other Activities Related to Real Estate</t>
        </is>
      </c>
      <c r="J1032" s="5" t="inlineStr">
        <is>
          <t>65</t>
        </is>
      </c>
      <c r="K1032" s="5" t="n">
        <v>6513</v>
      </c>
      <c r="L1032" s="5" t="inlineStr">
        <is>
          <t>TX</t>
        </is>
      </c>
      <c r="M1032" s="5" t="inlineStr">
        <is>
          <t>Monarch funding Group</t>
        </is>
      </c>
      <c r="N1032" s="5" t="inlineStr">
        <is>
          <t>Renewal</t>
        </is>
      </c>
      <c r="O1032" s="19" t="n">
        <v>1.49</v>
      </c>
      <c r="P1032" s="20" t="n">
        <v>15000</v>
      </c>
      <c r="Q1032" s="20" t="n">
        <v>2100</v>
      </c>
      <c r="R1032" s="20" t="n">
        <v>22350</v>
      </c>
      <c r="S1032" s="20" t="n">
        <v>5591.56</v>
      </c>
      <c r="T1032" s="20" t="n">
        <v>16758.44</v>
      </c>
      <c r="U1032" s="21" t="n">
        <v>0.250181655480984</v>
      </c>
      <c r="V1032" s="22" t="n">
        <v>16</v>
      </c>
      <c r="W1032" s="17" t="n">
        <v>5</v>
      </c>
      <c r="X1032" s="17" t="n">
        <v>0</v>
      </c>
      <c r="Y1032" s="20" t="n">
        <v>96907.37</v>
      </c>
      <c r="Z1032" s="21" t="n">
        <v>0.0577</v>
      </c>
      <c r="AA1032" s="16" t="n">
        <v>44232</v>
      </c>
      <c r="AB1032" s="5">
        <f>IF(V1032="","",IF(V1032&lt;12,"Months","Weeks"))</f>
        <v/>
      </c>
      <c r="AC1032" s="5">
        <f>IF(AB1032="","",IF(AB1032="Months","Daily","Weekly"))</f>
        <v/>
      </c>
      <c r="AD1032" s="17">
        <f>IF(V1032="","",IF(AC1032="Daily",V1032*Controls!$B$13,V1032))</f>
        <v/>
      </c>
      <c r="AE1032" s="17">
        <f>IF(V1032="","",IF(AC1032="Daily",V1032*Controls!$B$13,V1032*Controls!$B$12))</f>
        <v/>
      </c>
      <c r="AF1032" s="17">
        <f>IF(OR(E1032="",F1032=""),"",F1032-E1032)</f>
        <v/>
      </c>
      <c r="AG1032" s="17">
        <f>IF(OR(E1032="",F1032=""),"",NETWORKDAYS(E1032,F1032,Ref!$F$4:$F$47))</f>
        <v/>
      </c>
      <c r="AH1032" s="39">
        <f>IF(IFERROR(VLOOKUP(D1032,Controls!$A$25:$D$35,2,FALSE()),"No")="Yes",1,0)</f>
        <v/>
      </c>
      <c r="AI1032" s="39">
        <f>IF(IFERROR(VLOOKUP(D1032,Controls!$A$25:$D$35,3,FALSE()),"No")="Yes",1,0)</f>
        <v/>
      </c>
      <c r="AJ1032" s="39">
        <f>IF(IFERROR(VLOOKUP(D1032,Controls!$A$25:$D$35,4,FALSE()),"No")="Yes",1,0)</f>
        <v/>
      </c>
      <c r="AK1032" s="96">
        <f>IF(AND($E1032&gt;=Controls!$B$5,$E1032&lt;=Controls!$B$6,OR(Controls!$E$9&lt;&gt;"Y",$BE1032=1)),1,0)</f>
        <v/>
      </c>
      <c r="AL1032" s="39">
        <f>1</f>
        <v/>
      </c>
      <c r="AM1032" s="20">
        <f>S1032-P1032</f>
        <v/>
      </c>
      <c r="AN1032" s="20">
        <f>IF(AH1032=1,MAX(0,P1032-S1032),0)</f>
        <v/>
      </c>
      <c r="AO1032" s="21">
        <f>IFERROR(S1032/P1032,"")</f>
        <v/>
      </c>
      <c r="AP1032" s="22">
        <f>IF(Y1032="","",P1032/Y1032)</f>
        <v/>
      </c>
      <c r="AQ1032" s="39">
        <f>IF(Y1032="",0,1)</f>
        <v/>
      </c>
      <c r="AR1032" s="39">
        <f>IF(S1032&lt;=0,1,0)</f>
        <v/>
      </c>
      <c r="AS1032" s="17">
        <f>IF(AH1032=1,AG1032,"")</f>
        <v/>
      </c>
      <c r="AT1032" s="17">
        <f>IF(AND(AH1032=0,AJ1032=1),AG1032,"")</f>
        <v/>
      </c>
      <c r="AU1032" s="5">
        <f>IF(P1032&lt;10000,"Under $10K",IF(P1032&lt;20000,"$10-20K",IF(P1032&lt;30000,"$20-30K",IF(P1032&lt;50000,"$30-50K",IF(P1032&lt;100000,"$50-100K","$100K+")))))</f>
        <v/>
      </c>
      <c r="AV1032" s="5">
        <f>IF(O1032&lt;=1.35,"1.35 and under",IF(O1032&lt;=1.42,"1.36-1.42",IF(O1032&lt;=1.45,"1.43-1.45",IF(O1032&lt;1.49,"1.46-1.48",IF(O1032&lt;=1.49,"1.49","Above 1.49")))))</f>
        <v/>
      </c>
      <c r="AW1032" s="5">
        <f>IF(AE1032="","",IF(AE1032&lt;60,"Under 60",IF(AE1032&lt;90,"60-89",IF(AE1032&lt;120,"90-119",IF(AE1032&lt;150,"120-149","150+")))))</f>
        <v/>
      </c>
      <c r="AX1032" s="5">
        <f>IF(AP1032="","No revenue data",IF(AP1032&lt;0.15,"Under 0.15x",IF(AP1032&lt;0.3,"0.15-0.30x",IF(AP1032&lt;0.5,"0.30-0.50x",IF(AP1032&lt;1,"0.50-1.00x","1.00x+")))))</f>
        <v/>
      </c>
      <c r="AY1032" s="5">
        <f>IF(J1032="","No SIC",IFERROR(VLOOKUP(J1032,Ref!$A$4:$C$67,2,FALSE()),"Unclassified"))</f>
        <v/>
      </c>
      <c r="AZ1032" s="5">
        <f>IF(E1032="","",TEXT(E1032,"YYYY")&amp;"-Q"&amp;ROUNDUP(MONTH(E1032)/3,0))</f>
        <v/>
      </c>
      <c r="BA1032" s="5">
        <f>IF(E1032="","",TEXT(E1032,"YYYY-MM"))</f>
        <v/>
      </c>
      <c r="BB1032" s="5">
        <f>IF(E1032="","",TEXT(E1032,"YYYY"))</f>
        <v/>
      </c>
      <c r="BC1032" s="92">
        <f>IF($E1032="","",NETWORKDAYS($E1032,Controls!$B$9,Ref!$F$4:$F$47))</f>
        <v/>
      </c>
      <c r="BD1032" s="92">
        <f>IF(OR($AH1032=1,$AJ1032=1),1,0)</f>
        <v/>
      </c>
      <c r="BE1032" s="95">
        <f>IF(OR($BD1032=1,AND($AE1032&lt;&gt;"",$BC1032&gt;=Controls!$B$10*$AE1032)),1,0)</f>
        <v/>
      </c>
    </row>
    <row r="1033" ht="15.75" customHeight="1" s="79">
      <c r="A1033" s="5" t="inlineStr">
        <is>
          <t>5674187367</t>
        </is>
      </c>
      <c r="B1033" s="5" t="inlineStr">
        <is>
          <t>CAPTAIN DYNAMIC SOLUTIONS</t>
        </is>
      </c>
      <c r="C1033" s="5" t="inlineStr">
        <is>
          <t>CAPTAIN DYNAMIC SOLUTIONS LLC</t>
        </is>
      </c>
      <c r="D1033" s="5" t="inlineStr">
        <is>
          <t>Open</t>
        </is>
      </c>
      <c r="E1033" s="16" t="n">
        <v>46218</v>
      </c>
      <c r="F1033" s="16" t="n">
        <v>46248</v>
      </c>
      <c r="G1033" s="17" t="n">
        <v>3</v>
      </c>
      <c r="H1033" s="5" t="inlineStr">
        <is>
          <t>1522</t>
        </is>
      </c>
      <c r="I1033" s="5" t="inlineStr">
        <is>
          <t>New Multifamily Housing Construction (Except For-Sale Builders)</t>
        </is>
      </c>
      <c r="J1033" s="5" t="inlineStr">
        <is>
          <t>15</t>
        </is>
      </c>
      <c r="K1033" s="5" t="n">
        <v>1520</v>
      </c>
      <c r="L1033" s="5" t="inlineStr">
        <is>
          <t>AL</t>
        </is>
      </c>
      <c r="M1033" s="5" t="inlineStr">
        <is>
          <t>PMF</t>
        </is>
      </c>
      <c r="N1033" s="5" t="inlineStr">
        <is>
          <t>New Deal</t>
        </is>
      </c>
      <c r="O1033" s="19" t="n">
        <v>1.49</v>
      </c>
      <c r="P1033" s="20" t="n">
        <v>50000</v>
      </c>
      <c r="Q1033" s="20" t="n">
        <v>7000</v>
      </c>
      <c r="R1033" s="20" t="n">
        <v>74500</v>
      </c>
      <c r="S1033" s="20" t="n">
        <v>7451.95</v>
      </c>
      <c r="T1033" s="20" t="n">
        <v>67048.05</v>
      </c>
      <c r="U1033" s="21" t="n">
        <v>0.100026174496644</v>
      </c>
      <c r="V1033" s="22" t="n">
        <v>22</v>
      </c>
      <c r="W1033" s="17" t="n">
        <v>7</v>
      </c>
      <c r="X1033" s="17" t="n">
        <v>1</v>
      </c>
      <c r="Y1033" s="20" t="n">
        <v>106266.58</v>
      </c>
      <c r="Z1033" s="21" t="n">
        <v>0.1275</v>
      </c>
      <c r="AA1033" s="16" t="n">
        <v>41275</v>
      </c>
      <c r="AB1033" s="5">
        <f>IF(V1033="","",IF(V1033&lt;12,"Months","Weeks"))</f>
        <v/>
      </c>
      <c r="AC1033" s="5">
        <f>IF(AB1033="","",IF(AB1033="Months","Daily","Weekly"))</f>
        <v/>
      </c>
      <c r="AD1033" s="17">
        <f>IF(V1033="","",IF(AC1033="Daily",V1033*Controls!$B$13,V1033))</f>
        <v/>
      </c>
      <c r="AE1033" s="17">
        <f>IF(V1033="","",IF(AC1033="Daily",V1033*Controls!$B$13,V1033*Controls!$B$12))</f>
        <v/>
      </c>
      <c r="AF1033" s="17">
        <f>IF(OR(E1033="",F1033=""),"",F1033-E1033)</f>
        <v/>
      </c>
      <c r="AG1033" s="17">
        <f>IF(OR(E1033="",F1033=""),"",NETWORKDAYS(E1033,F1033,Ref!$F$4:$F$47))</f>
        <v/>
      </c>
      <c r="AH1033" s="39">
        <f>IF(IFERROR(VLOOKUP(D1033,Controls!$A$25:$D$35,2,FALSE()),"No")="Yes",1,0)</f>
        <v/>
      </c>
      <c r="AI1033" s="39">
        <f>IF(IFERROR(VLOOKUP(D1033,Controls!$A$25:$D$35,3,FALSE()),"No")="Yes",1,0)</f>
        <v/>
      </c>
      <c r="AJ1033" s="39">
        <f>IF(IFERROR(VLOOKUP(D1033,Controls!$A$25:$D$35,4,FALSE()),"No")="Yes",1,0)</f>
        <v/>
      </c>
      <c r="AK1033" s="96">
        <f>IF(AND($E1033&gt;=Controls!$B$5,$E1033&lt;=Controls!$B$6,OR(Controls!$E$9&lt;&gt;"Y",$BE1033=1)),1,0)</f>
        <v/>
      </c>
      <c r="AL1033" s="39">
        <f>1</f>
        <v/>
      </c>
      <c r="AM1033" s="20">
        <f>S1033-P1033</f>
        <v/>
      </c>
      <c r="AN1033" s="20">
        <f>IF(AH1033=1,MAX(0,P1033-S1033),0)</f>
        <v/>
      </c>
      <c r="AO1033" s="21">
        <f>IFERROR(S1033/P1033,"")</f>
        <v/>
      </c>
      <c r="AP1033" s="22">
        <f>IF(Y1033="","",P1033/Y1033)</f>
        <v/>
      </c>
      <c r="AQ1033" s="39">
        <f>IF(Y1033="",0,1)</f>
        <v/>
      </c>
      <c r="AR1033" s="39">
        <f>IF(S1033&lt;=0,1,0)</f>
        <v/>
      </c>
      <c r="AS1033" s="17">
        <f>IF(AH1033=1,AG1033,"")</f>
        <v/>
      </c>
      <c r="AT1033" s="17">
        <f>IF(AND(AH1033=0,AJ1033=1),AG1033,"")</f>
        <v/>
      </c>
      <c r="AU1033" s="5">
        <f>IF(P1033&lt;10000,"Under $10K",IF(P1033&lt;20000,"$10-20K",IF(P1033&lt;30000,"$20-30K",IF(P1033&lt;50000,"$30-50K",IF(P1033&lt;100000,"$50-100K","$100K+")))))</f>
        <v/>
      </c>
      <c r="AV1033" s="5">
        <f>IF(O1033&lt;=1.35,"1.35 and under",IF(O1033&lt;=1.42,"1.36-1.42",IF(O1033&lt;=1.45,"1.43-1.45",IF(O1033&lt;1.49,"1.46-1.48",IF(O1033&lt;=1.49,"1.49","Above 1.49")))))</f>
        <v/>
      </c>
      <c r="AW1033" s="5">
        <f>IF(AE1033="","",IF(AE1033&lt;60,"Under 60",IF(AE1033&lt;90,"60-89",IF(AE1033&lt;120,"90-119",IF(AE1033&lt;150,"120-149","150+")))))</f>
        <v/>
      </c>
      <c r="AX1033" s="5">
        <f>IF(AP1033="","No revenue data",IF(AP1033&lt;0.15,"Under 0.15x",IF(AP1033&lt;0.3,"0.15-0.30x",IF(AP1033&lt;0.5,"0.30-0.50x",IF(AP1033&lt;1,"0.50-1.00x","1.00x+")))))</f>
        <v/>
      </c>
      <c r="AY1033" s="5">
        <f>IF(J1033="","No SIC",IFERROR(VLOOKUP(J1033,Ref!$A$4:$C$67,2,FALSE()),"Unclassified"))</f>
        <v/>
      </c>
      <c r="AZ1033" s="5">
        <f>IF(E1033="","",TEXT(E1033,"YYYY")&amp;"-Q"&amp;ROUNDUP(MONTH(E1033)/3,0))</f>
        <v/>
      </c>
      <c r="BA1033" s="5">
        <f>IF(E1033="","",TEXT(E1033,"YYYY-MM"))</f>
        <v/>
      </c>
      <c r="BB1033" s="5">
        <f>IF(E1033="","",TEXT(E1033,"YYYY"))</f>
        <v/>
      </c>
      <c r="BC1033" s="92">
        <f>IF($E1033="","",NETWORKDAYS($E1033,Controls!$B$9,Ref!$F$4:$F$47))</f>
        <v/>
      </c>
      <c r="BD1033" s="92">
        <f>IF(OR($AH1033=1,$AJ1033=1),1,0)</f>
        <v/>
      </c>
      <c r="BE1033" s="95">
        <f>IF(OR($BD1033=1,AND($AE1033&lt;&gt;"",$BC1033&gt;=Controls!$B$10*$AE1033)),1,0)</f>
        <v/>
      </c>
    </row>
    <row r="1034" ht="15.75" customHeight="1" s="79">
      <c r="A1034" s="5" t="inlineStr">
        <is>
          <t>5674187421</t>
        </is>
      </c>
      <c r="B1034" s="5" t="inlineStr">
        <is>
          <t>Nest Protection Plan</t>
        </is>
      </c>
      <c r="C1034" s="5" t="inlineStr">
        <is>
          <t>Miami Valley Environmental Services LLC</t>
        </is>
      </c>
      <c r="D1034" s="5" t="inlineStr">
        <is>
          <t>Open</t>
        </is>
      </c>
      <c r="E1034" s="16" t="n">
        <v>46219</v>
      </c>
      <c r="F1034" s="16" t="n">
        <v>46253</v>
      </c>
      <c r="G1034" s="17" t="n">
        <v>3</v>
      </c>
      <c r="H1034" s="5" t="inlineStr">
        <is>
          <t>8999</t>
        </is>
      </c>
      <c r="I1034" s="5" t="inlineStr">
        <is>
          <t>Environmental Consulting Services</t>
        </is>
      </c>
      <c r="J1034" s="5" t="inlineStr">
        <is>
          <t>89</t>
        </is>
      </c>
      <c r="K1034" s="5" t="n">
        <v>8999</v>
      </c>
      <c r="L1034" s="5" t="inlineStr">
        <is>
          <t>OH</t>
        </is>
      </c>
      <c r="M1034" s="5" t="inlineStr">
        <is>
          <t>Fundwell</t>
        </is>
      </c>
      <c r="N1034" s="5" t="inlineStr">
        <is>
          <t>Renewal</t>
        </is>
      </c>
      <c r="O1034" s="19" t="n">
        <v>1.43</v>
      </c>
      <c r="P1034" s="20" t="n">
        <v>30000</v>
      </c>
      <c r="Q1034" s="20" t="n">
        <v>3300</v>
      </c>
      <c r="R1034" s="20" t="n">
        <v>42900</v>
      </c>
      <c r="S1034" s="20" t="n">
        <v>7661.25</v>
      </c>
      <c r="T1034" s="20" t="n">
        <v>35238.75</v>
      </c>
      <c r="U1034" s="21" t="n">
        <v>0.178583916083916</v>
      </c>
      <c r="V1034" s="22" t="n">
        <v>4.59</v>
      </c>
      <c r="W1034" s="17" t="n">
        <v>0</v>
      </c>
      <c r="X1034" s="17" t="n">
        <v>0</v>
      </c>
      <c r="Y1034" s="20" t="n">
        <v>14934.99</v>
      </c>
      <c r="Z1034" s="21" t="n">
        <v>0.4309</v>
      </c>
      <c r="AA1034" s="16" t="n">
        <v>45524</v>
      </c>
      <c r="AB1034" s="5">
        <f>IF(V1034="","",IF(V1034&lt;12,"Months","Weeks"))</f>
        <v/>
      </c>
      <c r="AC1034" s="5">
        <f>IF(AB1034="","",IF(AB1034="Months","Daily","Weekly"))</f>
        <v/>
      </c>
      <c r="AD1034" s="17">
        <f>IF(V1034="","",IF(AC1034="Daily",V1034*Controls!$B$13,V1034))</f>
        <v/>
      </c>
      <c r="AE1034" s="17">
        <f>IF(V1034="","",IF(AC1034="Daily",V1034*Controls!$B$13,V1034*Controls!$B$12))</f>
        <v/>
      </c>
      <c r="AF1034" s="17">
        <f>IF(OR(E1034="",F1034=""),"",F1034-E1034)</f>
        <v/>
      </c>
      <c r="AG1034" s="17">
        <f>IF(OR(E1034="",F1034=""),"",NETWORKDAYS(E1034,F1034,Ref!$F$4:$F$47))</f>
        <v/>
      </c>
      <c r="AH1034" s="39">
        <f>IF(IFERROR(VLOOKUP(D1034,Controls!$A$25:$D$35,2,FALSE()),"No")="Yes",1,0)</f>
        <v/>
      </c>
      <c r="AI1034" s="39">
        <f>IF(IFERROR(VLOOKUP(D1034,Controls!$A$25:$D$35,3,FALSE()),"No")="Yes",1,0)</f>
        <v/>
      </c>
      <c r="AJ1034" s="39">
        <f>IF(IFERROR(VLOOKUP(D1034,Controls!$A$25:$D$35,4,FALSE()),"No")="Yes",1,0)</f>
        <v/>
      </c>
      <c r="AK1034" s="96">
        <f>IF(AND($E1034&gt;=Controls!$B$5,$E1034&lt;=Controls!$B$6,OR(Controls!$E$9&lt;&gt;"Y",$BE1034=1)),1,0)</f>
        <v/>
      </c>
      <c r="AL1034" s="39">
        <f>1</f>
        <v/>
      </c>
      <c r="AM1034" s="20">
        <f>S1034-P1034</f>
        <v/>
      </c>
      <c r="AN1034" s="20">
        <f>IF(AH1034=1,MAX(0,P1034-S1034),0)</f>
        <v/>
      </c>
      <c r="AO1034" s="21">
        <f>IFERROR(S1034/P1034,"")</f>
        <v/>
      </c>
      <c r="AP1034" s="22">
        <f>IF(Y1034="","",P1034/Y1034)</f>
        <v/>
      </c>
      <c r="AQ1034" s="39">
        <f>IF(Y1034="",0,1)</f>
        <v/>
      </c>
      <c r="AR1034" s="39">
        <f>IF(S1034&lt;=0,1,0)</f>
        <v/>
      </c>
      <c r="AS1034" s="17">
        <f>IF(AH1034=1,AG1034,"")</f>
        <v/>
      </c>
      <c r="AT1034" s="17">
        <f>IF(AND(AH1034=0,AJ1034=1),AG1034,"")</f>
        <v/>
      </c>
      <c r="AU1034" s="5">
        <f>IF(P1034&lt;10000,"Under $10K",IF(P1034&lt;20000,"$10-20K",IF(P1034&lt;30000,"$20-30K",IF(P1034&lt;50000,"$30-50K",IF(P1034&lt;100000,"$50-100K","$100K+")))))</f>
        <v/>
      </c>
      <c r="AV1034" s="5">
        <f>IF(O1034&lt;=1.35,"1.35 and under",IF(O1034&lt;=1.42,"1.36-1.42",IF(O1034&lt;=1.45,"1.43-1.45",IF(O1034&lt;1.49,"1.46-1.48",IF(O1034&lt;=1.49,"1.49","Above 1.49")))))</f>
        <v/>
      </c>
      <c r="AW1034" s="5">
        <f>IF(AE1034="","",IF(AE1034&lt;60,"Under 60",IF(AE1034&lt;90,"60-89",IF(AE1034&lt;120,"90-119",IF(AE1034&lt;150,"120-149","150+")))))</f>
        <v/>
      </c>
      <c r="AX1034" s="5">
        <f>IF(AP1034="","No revenue data",IF(AP1034&lt;0.15,"Under 0.15x",IF(AP1034&lt;0.3,"0.15-0.30x",IF(AP1034&lt;0.5,"0.30-0.50x",IF(AP1034&lt;1,"0.50-1.00x","1.00x+")))))</f>
        <v/>
      </c>
      <c r="AY1034" s="5">
        <f>IF(J1034="","No SIC",IFERROR(VLOOKUP(J1034,Ref!$A$4:$C$67,2,FALSE()),"Unclassified"))</f>
        <v/>
      </c>
      <c r="AZ1034" s="5">
        <f>IF(E1034="","",TEXT(E1034,"YYYY")&amp;"-Q"&amp;ROUNDUP(MONTH(E1034)/3,0))</f>
        <v/>
      </c>
      <c r="BA1034" s="5">
        <f>IF(E1034="","",TEXT(E1034,"YYYY-MM"))</f>
        <v/>
      </c>
      <c r="BB1034" s="5">
        <f>IF(E1034="","",TEXT(E1034,"YYYY"))</f>
        <v/>
      </c>
      <c r="BC1034" s="92">
        <f>IF($E1034="","",NETWORKDAYS($E1034,Controls!$B$9,Ref!$F$4:$F$47))</f>
        <v/>
      </c>
      <c r="BD1034" s="92">
        <f>IF(OR($AH1034=1,$AJ1034=1),1,0)</f>
        <v/>
      </c>
      <c r="BE1034" s="95">
        <f>IF(OR($BD1034=1,AND($AE1034&lt;&gt;"",$BC1034&gt;=Controls!$B$10*$AE1034)),1,0)</f>
        <v/>
      </c>
    </row>
    <row r="1035" ht="15.75" customHeight="1" s="79">
      <c r="A1035" s="5" t="inlineStr">
        <is>
          <t>5674187506</t>
        </is>
      </c>
      <c r="B1035" s="5" t="inlineStr">
        <is>
          <t>THE VINEYARD CAMP AND RETREAT CENTER</t>
        </is>
      </c>
      <c r="C1035" s="5" t="inlineStr">
        <is>
          <t>The Vineyard Camp and Retreat Ce nter Inc</t>
        </is>
      </c>
      <c r="D1035" s="5" t="inlineStr">
        <is>
          <t>Open</t>
        </is>
      </c>
      <c r="E1035" s="16" t="n">
        <v>46220</v>
      </c>
      <c r="F1035" s="16" t="n">
        <v>46253</v>
      </c>
      <c r="G1035" s="17" t="n">
        <v>4</v>
      </c>
      <c r="H1035" s="5" t="inlineStr">
        <is>
          <t>7032</t>
        </is>
      </c>
      <c r="I1035" s="5" t="inlineStr">
        <is>
          <t>Recreational and Vacation Camps (Except Campgrounds)</t>
        </is>
      </c>
      <c r="J1035" s="5" t="inlineStr">
        <is>
          <t>70</t>
        </is>
      </c>
      <c r="K1035" s="5" t="n">
        <v>7032</v>
      </c>
      <c r="L1035" s="5" t="inlineStr">
        <is>
          <t>NC</t>
        </is>
      </c>
      <c r="M1035" s="5" t="inlineStr">
        <is>
          <t>PMF</t>
        </is>
      </c>
      <c r="N1035" s="5" t="inlineStr">
        <is>
          <t>New Deal</t>
        </is>
      </c>
      <c r="O1035" s="19" t="n">
        <v>1.49</v>
      </c>
      <c r="P1035" s="20" t="n">
        <v>15000</v>
      </c>
      <c r="Q1035" s="20" t="n">
        <v>2100</v>
      </c>
      <c r="R1035" s="20" t="n">
        <v>22350</v>
      </c>
      <c r="S1035" s="20" t="n">
        <v>7708.3</v>
      </c>
      <c r="T1035" s="20" t="n">
        <v>14641.7</v>
      </c>
      <c r="U1035" s="21" t="n">
        <v>0.344890380313199</v>
      </c>
      <c r="V1035" s="22" t="n">
        <v>15</v>
      </c>
      <c r="W1035" s="17" t="n">
        <v>0</v>
      </c>
      <c r="X1035" s="17" t="n">
        <v>0</v>
      </c>
      <c r="Y1035" s="20" t="n">
        <v>101183.29</v>
      </c>
      <c r="Z1035" s="21" t="n">
        <v>0.2035</v>
      </c>
      <c r="AA1035" s="16" t="n">
        <v>30841</v>
      </c>
      <c r="AB1035" s="5">
        <f>IF(V1035="","",IF(V1035&lt;12,"Months","Weeks"))</f>
        <v/>
      </c>
      <c r="AC1035" s="5">
        <f>IF(AB1035="","",IF(AB1035="Months","Daily","Weekly"))</f>
        <v/>
      </c>
      <c r="AD1035" s="17">
        <f>IF(V1035="","",IF(AC1035="Daily",V1035*Controls!$B$13,V1035))</f>
        <v/>
      </c>
      <c r="AE1035" s="17">
        <f>IF(V1035="","",IF(AC1035="Daily",V1035*Controls!$B$13,V1035*Controls!$B$12))</f>
        <v/>
      </c>
      <c r="AF1035" s="17">
        <f>IF(OR(E1035="",F1035=""),"",F1035-E1035)</f>
        <v/>
      </c>
      <c r="AG1035" s="17">
        <f>IF(OR(E1035="",F1035=""),"",NETWORKDAYS(E1035,F1035,Ref!$F$4:$F$47))</f>
        <v/>
      </c>
      <c r="AH1035" s="39">
        <f>IF(IFERROR(VLOOKUP(D1035,Controls!$A$25:$D$35,2,FALSE()),"No")="Yes",1,0)</f>
        <v/>
      </c>
      <c r="AI1035" s="39">
        <f>IF(IFERROR(VLOOKUP(D1035,Controls!$A$25:$D$35,3,FALSE()),"No")="Yes",1,0)</f>
        <v/>
      </c>
      <c r="AJ1035" s="39">
        <f>IF(IFERROR(VLOOKUP(D1035,Controls!$A$25:$D$35,4,FALSE()),"No")="Yes",1,0)</f>
        <v/>
      </c>
      <c r="AK1035" s="96">
        <f>IF(AND($E1035&gt;=Controls!$B$5,$E1035&lt;=Controls!$B$6,OR(Controls!$E$9&lt;&gt;"Y",$BE1035=1)),1,0)</f>
        <v/>
      </c>
      <c r="AL1035" s="39">
        <f>1</f>
        <v/>
      </c>
      <c r="AM1035" s="20">
        <f>S1035-P1035</f>
        <v/>
      </c>
      <c r="AN1035" s="20">
        <f>IF(AH1035=1,MAX(0,P1035-S1035),0)</f>
        <v/>
      </c>
      <c r="AO1035" s="21">
        <f>IFERROR(S1035/P1035,"")</f>
        <v/>
      </c>
      <c r="AP1035" s="22">
        <f>IF(Y1035="","",P1035/Y1035)</f>
        <v/>
      </c>
      <c r="AQ1035" s="39">
        <f>IF(Y1035="",0,1)</f>
        <v/>
      </c>
      <c r="AR1035" s="39">
        <f>IF(S1035&lt;=0,1,0)</f>
        <v/>
      </c>
      <c r="AS1035" s="17">
        <f>IF(AH1035=1,AG1035,"")</f>
        <v/>
      </c>
      <c r="AT1035" s="17">
        <f>IF(AND(AH1035=0,AJ1035=1),AG1035,"")</f>
        <v/>
      </c>
      <c r="AU1035" s="5">
        <f>IF(P1035&lt;10000,"Under $10K",IF(P1035&lt;20000,"$10-20K",IF(P1035&lt;30000,"$20-30K",IF(P1035&lt;50000,"$30-50K",IF(P1035&lt;100000,"$50-100K","$100K+")))))</f>
        <v/>
      </c>
      <c r="AV1035" s="5">
        <f>IF(O1035&lt;=1.35,"1.35 and under",IF(O1035&lt;=1.42,"1.36-1.42",IF(O1035&lt;=1.45,"1.43-1.45",IF(O1035&lt;1.49,"1.46-1.48",IF(O1035&lt;=1.49,"1.49","Above 1.49")))))</f>
        <v/>
      </c>
      <c r="AW1035" s="5">
        <f>IF(AE1035="","",IF(AE1035&lt;60,"Under 60",IF(AE1035&lt;90,"60-89",IF(AE1035&lt;120,"90-119",IF(AE1035&lt;150,"120-149","150+")))))</f>
        <v/>
      </c>
      <c r="AX1035" s="5">
        <f>IF(AP1035="","No revenue data",IF(AP1035&lt;0.15,"Under 0.15x",IF(AP1035&lt;0.3,"0.15-0.30x",IF(AP1035&lt;0.5,"0.30-0.50x",IF(AP1035&lt;1,"0.50-1.00x","1.00x+")))))</f>
        <v/>
      </c>
      <c r="AY1035" s="5">
        <f>IF(J1035="","No SIC",IFERROR(VLOOKUP(J1035,Ref!$A$4:$C$67,2,FALSE()),"Unclassified"))</f>
        <v/>
      </c>
      <c r="AZ1035" s="5">
        <f>IF(E1035="","",TEXT(E1035,"YYYY")&amp;"-Q"&amp;ROUNDUP(MONTH(E1035)/3,0))</f>
        <v/>
      </c>
      <c r="BA1035" s="5">
        <f>IF(E1035="","",TEXT(E1035,"YYYY-MM"))</f>
        <v/>
      </c>
      <c r="BB1035" s="5">
        <f>IF(E1035="","",TEXT(E1035,"YYYY"))</f>
        <v/>
      </c>
      <c r="BC1035" s="92">
        <f>IF($E1035="","",NETWORKDAYS($E1035,Controls!$B$9,Ref!$F$4:$F$47))</f>
        <v/>
      </c>
      <c r="BD1035" s="92">
        <f>IF(OR($AH1035=1,$AJ1035=1),1,0)</f>
        <v/>
      </c>
      <c r="BE1035" s="95">
        <f>IF(OR($BD1035=1,AND($AE1035&lt;&gt;"",$BC1035&gt;=Controls!$B$10*$AE1035)),1,0)</f>
        <v/>
      </c>
    </row>
    <row r="1036" ht="15.75" customHeight="1" s="79">
      <c r="A1036" s="5" t="inlineStr">
        <is>
          <t>5674187540</t>
        </is>
      </c>
      <c r="B1036" s="5" t="inlineStr">
        <is>
          <t>DRTX Facility Maintenance, LLC</t>
        </is>
      </c>
      <c r="C1036" s="5" t="inlineStr">
        <is>
          <t>DRTX Facility Maintenance, LLC</t>
        </is>
      </c>
      <c r="D1036" s="5" t="inlineStr">
        <is>
          <t>Open</t>
        </is>
      </c>
      <c r="E1036" s="16" t="n">
        <v>46220</v>
      </c>
      <c r="F1036" s="16" t="n">
        <v>46253</v>
      </c>
      <c r="G1036" s="17" t="n">
        <v>3</v>
      </c>
      <c r="H1036" s="5" t="inlineStr">
        <is>
          <t>1521</t>
        </is>
      </c>
      <c r="I1036" s="5" t="inlineStr">
        <is>
          <t>Residential Remodelers</t>
        </is>
      </c>
      <c r="J1036" s="5" t="inlineStr">
        <is>
          <t>15</t>
        </is>
      </c>
      <c r="K1036" s="5" t="n">
        <v>1520</v>
      </c>
      <c r="L1036" s="5" t="inlineStr">
        <is>
          <t>TX</t>
        </is>
      </c>
      <c r="M1036" s="5" t="inlineStr">
        <is>
          <t>SNB CAPITAL 18 LLC</t>
        </is>
      </c>
      <c r="N1036" s="5" t="inlineStr">
        <is>
          <t>Renewal</t>
        </is>
      </c>
      <c r="O1036" s="19" t="n">
        <v>1.49</v>
      </c>
      <c r="P1036" s="20" t="n">
        <v>16000</v>
      </c>
      <c r="Q1036" s="20" t="n">
        <v>2240</v>
      </c>
      <c r="R1036" s="20" t="n">
        <v>23840</v>
      </c>
      <c r="S1036" s="20" t="n">
        <v>5406.88</v>
      </c>
      <c r="T1036" s="20" t="n">
        <v>18433.12</v>
      </c>
      <c r="U1036" s="21" t="n">
        <v>0.226798657718121</v>
      </c>
      <c r="V1036" s="22" t="n">
        <v>3.934</v>
      </c>
      <c r="W1036" s="17" t="n">
        <v>0</v>
      </c>
      <c r="X1036" s="17" t="n">
        <v>0</v>
      </c>
      <c r="Y1036" s="20" t="n">
        <v>51341.83</v>
      </c>
      <c r="Z1036" s="21" t="n">
        <v>0.0813</v>
      </c>
      <c r="AA1036" s="16" t="n">
        <v>39965</v>
      </c>
      <c r="AB1036" s="5">
        <f>IF(V1036="","",IF(V1036&lt;12,"Months","Weeks"))</f>
        <v/>
      </c>
      <c r="AC1036" s="5">
        <f>IF(AB1036="","",IF(AB1036="Months","Daily","Weekly"))</f>
        <v/>
      </c>
      <c r="AD1036" s="17">
        <f>IF(V1036="","",IF(AC1036="Daily",V1036*Controls!$B$13,V1036))</f>
        <v/>
      </c>
      <c r="AE1036" s="17">
        <f>IF(V1036="","",IF(AC1036="Daily",V1036*Controls!$B$13,V1036*Controls!$B$12))</f>
        <v/>
      </c>
      <c r="AF1036" s="17">
        <f>IF(OR(E1036="",F1036=""),"",F1036-E1036)</f>
        <v/>
      </c>
      <c r="AG1036" s="17">
        <f>IF(OR(E1036="",F1036=""),"",NETWORKDAYS(E1036,F1036,Ref!$F$4:$F$47))</f>
        <v/>
      </c>
      <c r="AH1036" s="39">
        <f>IF(IFERROR(VLOOKUP(D1036,Controls!$A$25:$D$35,2,FALSE()),"No")="Yes",1,0)</f>
        <v/>
      </c>
      <c r="AI1036" s="39">
        <f>IF(IFERROR(VLOOKUP(D1036,Controls!$A$25:$D$35,3,FALSE()),"No")="Yes",1,0)</f>
        <v/>
      </c>
      <c r="AJ1036" s="39">
        <f>IF(IFERROR(VLOOKUP(D1036,Controls!$A$25:$D$35,4,FALSE()),"No")="Yes",1,0)</f>
        <v/>
      </c>
      <c r="AK1036" s="96">
        <f>IF(AND($E1036&gt;=Controls!$B$5,$E1036&lt;=Controls!$B$6,OR(Controls!$E$9&lt;&gt;"Y",$BE1036=1)),1,0)</f>
        <v/>
      </c>
      <c r="AL1036" s="39">
        <f>1</f>
        <v/>
      </c>
      <c r="AM1036" s="20">
        <f>S1036-P1036</f>
        <v/>
      </c>
      <c r="AN1036" s="20">
        <f>IF(AH1036=1,MAX(0,P1036-S1036),0)</f>
        <v/>
      </c>
      <c r="AO1036" s="21">
        <f>IFERROR(S1036/P1036,"")</f>
        <v/>
      </c>
      <c r="AP1036" s="22">
        <f>IF(Y1036="","",P1036/Y1036)</f>
        <v/>
      </c>
      <c r="AQ1036" s="39">
        <f>IF(Y1036="",0,1)</f>
        <v/>
      </c>
      <c r="AR1036" s="39">
        <f>IF(S1036&lt;=0,1,0)</f>
        <v/>
      </c>
      <c r="AS1036" s="17">
        <f>IF(AH1036=1,AG1036,"")</f>
        <v/>
      </c>
      <c r="AT1036" s="17">
        <f>IF(AND(AH1036=0,AJ1036=1),AG1036,"")</f>
        <v/>
      </c>
      <c r="AU1036" s="5">
        <f>IF(P1036&lt;10000,"Under $10K",IF(P1036&lt;20000,"$10-20K",IF(P1036&lt;30000,"$20-30K",IF(P1036&lt;50000,"$30-50K",IF(P1036&lt;100000,"$50-100K","$100K+")))))</f>
        <v/>
      </c>
      <c r="AV1036" s="5">
        <f>IF(O1036&lt;=1.35,"1.35 and under",IF(O1036&lt;=1.42,"1.36-1.42",IF(O1036&lt;=1.45,"1.43-1.45",IF(O1036&lt;1.49,"1.46-1.48",IF(O1036&lt;=1.49,"1.49","Above 1.49")))))</f>
        <v/>
      </c>
      <c r="AW1036" s="5">
        <f>IF(AE1036="","",IF(AE1036&lt;60,"Under 60",IF(AE1036&lt;90,"60-89",IF(AE1036&lt;120,"90-119",IF(AE1036&lt;150,"120-149","150+")))))</f>
        <v/>
      </c>
      <c r="AX1036" s="5">
        <f>IF(AP1036="","No revenue data",IF(AP1036&lt;0.15,"Under 0.15x",IF(AP1036&lt;0.3,"0.15-0.30x",IF(AP1036&lt;0.5,"0.30-0.50x",IF(AP1036&lt;1,"0.50-1.00x","1.00x+")))))</f>
        <v/>
      </c>
      <c r="AY1036" s="5">
        <f>IF(J1036="","No SIC",IFERROR(VLOOKUP(J1036,Ref!$A$4:$C$67,2,FALSE()),"Unclassified"))</f>
        <v/>
      </c>
      <c r="AZ1036" s="5">
        <f>IF(E1036="","",TEXT(E1036,"YYYY")&amp;"-Q"&amp;ROUNDUP(MONTH(E1036)/3,0))</f>
        <v/>
      </c>
      <c r="BA1036" s="5">
        <f>IF(E1036="","",TEXT(E1036,"YYYY-MM"))</f>
        <v/>
      </c>
      <c r="BB1036" s="5">
        <f>IF(E1036="","",TEXT(E1036,"YYYY"))</f>
        <v/>
      </c>
      <c r="BC1036" s="92">
        <f>IF($E1036="","",NETWORKDAYS($E1036,Controls!$B$9,Ref!$F$4:$F$47))</f>
        <v/>
      </c>
      <c r="BD1036" s="92">
        <f>IF(OR($AH1036=1,$AJ1036=1),1,0)</f>
        <v/>
      </c>
      <c r="BE1036" s="95">
        <f>IF(OR($BD1036=1,AND($AE1036&lt;&gt;"",$BC1036&gt;=Controls!$B$10*$AE1036)),1,0)</f>
        <v/>
      </c>
    </row>
    <row r="1037" ht="15.75" customHeight="1" s="79">
      <c r="A1037" s="5" t="inlineStr">
        <is>
          <t>5674187579</t>
        </is>
      </c>
      <c r="B1037" s="5" t="inlineStr">
        <is>
          <t>John Hebert MD</t>
        </is>
      </c>
      <c r="C1037" s="5" t="inlineStr">
        <is>
          <t>John Hebert MD</t>
        </is>
      </c>
      <c r="D1037" s="5" t="inlineStr">
        <is>
          <t>Open</t>
        </is>
      </c>
      <c r="E1037" s="16" t="n">
        <v>46223</v>
      </c>
      <c r="F1037" s="16" t="n">
        <v>46253</v>
      </c>
      <c r="G1037" s="17" t="n">
        <v>3</v>
      </c>
      <c r="H1037" s="5" t="inlineStr">
        <is>
          <t>8011</t>
        </is>
      </c>
      <c r="I1037" s="5" t="inlineStr">
        <is>
          <t>Offices of Physicians (Except Mental Health Specialists)</t>
        </is>
      </c>
      <c r="J1037" s="5" t="inlineStr">
        <is>
          <t>80</t>
        </is>
      </c>
      <c r="K1037" s="5" t="n">
        <v>8011</v>
      </c>
      <c r="L1037" s="5" t="inlineStr">
        <is>
          <t>LA</t>
        </is>
      </c>
      <c r="M1037" s="5" t="inlineStr">
        <is>
          <t>United Secured Capital 8</t>
        </is>
      </c>
      <c r="N1037" s="5" t="inlineStr">
        <is>
          <t>Renewal</t>
        </is>
      </c>
      <c r="O1037" s="19" t="n">
        <v>1.49</v>
      </c>
      <c r="P1037" s="20" t="n">
        <v>25000</v>
      </c>
      <c r="Q1037" s="20" t="n">
        <v>3500</v>
      </c>
      <c r="R1037" s="20" t="n">
        <v>37250</v>
      </c>
      <c r="S1037" s="20" t="n">
        <v>6827.92</v>
      </c>
      <c r="T1037" s="20" t="n">
        <v>30422.08</v>
      </c>
      <c r="U1037" s="21" t="n">
        <v>0.183299865771812</v>
      </c>
      <c r="V1037" s="22" t="n">
        <v>3.934</v>
      </c>
      <c r="W1037" s="17" t="n">
        <v>0</v>
      </c>
      <c r="X1037" s="17" t="n">
        <v>0</v>
      </c>
      <c r="Y1037" s="20" t="n">
        <v>28362.13</v>
      </c>
      <c r="Z1037" s="21" t="n">
        <v>0.2298</v>
      </c>
      <c r="AA1037" s="5" t="n"/>
      <c r="AB1037" s="5">
        <f>IF(V1037="","",IF(V1037&lt;12,"Months","Weeks"))</f>
        <v/>
      </c>
      <c r="AC1037" s="5">
        <f>IF(AB1037="","",IF(AB1037="Months","Daily","Weekly"))</f>
        <v/>
      </c>
      <c r="AD1037" s="17">
        <f>IF(V1037="","",IF(AC1037="Daily",V1037*Controls!$B$13,V1037))</f>
        <v/>
      </c>
      <c r="AE1037" s="17">
        <f>IF(V1037="","",IF(AC1037="Daily",V1037*Controls!$B$13,V1037*Controls!$B$12))</f>
        <v/>
      </c>
      <c r="AF1037" s="17">
        <f>IF(OR(E1037="",F1037=""),"",F1037-E1037)</f>
        <v/>
      </c>
      <c r="AG1037" s="17">
        <f>IF(OR(E1037="",F1037=""),"",NETWORKDAYS(E1037,F1037,Ref!$F$4:$F$47))</f>
        <v/>
      </c>
      <c r="AH1037" s="39">
        <f>IF(IFERROR(VLOOKUP(D1037,Controls!$A$25:$D$35,2,FALSE()),"No")="Yes",1,0)</f>
        <v/>
      </c>
      <c r="AI1037" s="39">
        <f>IF(IFERROR(VLOOKUP(D1037,Controls!$A$25:$D$35,3,FALSE()),"No")="Yes",1,0)</f>
        <v/>
      </c>
      <c r="AJ1037" s="39">
        <f>IF(IFERROR(VLOOKUP(D1037,Controls!$A$25:$D$35,4,FALSE()),"No")="Yes",1,0)</f>
        <v/>
      </c>
      <c r="AK1037" s="96">
        <f>IF(AND($E1037&gt;=Controls!$B$5,$E1037&lt;=Controls!$B$6,OR(Controls!$E$9&lt;&gt;"Y",$BE1037=1)),1,0)</f>
        <v/>
      </c>
      <c r="AL1037" s="39">
        <f>1</f>
        <v/>
      </c>
      <c r="AM1037" s="20">
        <f>S1037-P1037</f>
        <v/>
      </c>
      <c r="AN1037" s="20">
        <f>IF(AH1037=1,MAX(0,P1037-S1037),0)</f>
        <v/>
      </c>
      <c r="AO1037" s="21">
        <f>IFERROR(S1037/P1037,"")</f>
        <v/>
      </c>
      <c r="AP1037" s="22">
        <f>IF(Y1037="","",P1037/Y1037)</f>
        <v/>
      </c>
      <c r="AQ1037" s="39">
        <f>IF(Y1037="",0,1)</f>
        <v/>
      </c>
      <c r="AR1037" s="39">
        <f>IF(S1037&lt;=0,1,0)</f>
        <v/>
      </c>
      <c r="AS1037" s="17">
        <f>IF(AH1037=1,AG1037,"")</f>
        <v/>
      </c>
      <c r="AT1037" s="17">
        <f>IF(AND(AH1037=0,AJ1037=1),AG1037,"")</f>
        <v/>
      </c>
      <c r="AU1037" s="5">
        <f>IF(P1037&lt;10000,"Under $10K",IF(P1037&lt;20000,"$10-20K",IF(P1037&lt;30000,"$20-30K",IF(P1037&lt;50000,"$30-50K",IF(P1037&lt;100000,"$50-100K","$100K+")))))</f>
        <v/>
      </c>
      <c r="AV1037" s="5">
        <f>IF(O1037&lt;=1.35,"1.35 and under",IF(O1037&lt;=1.42,"1.36-1.42",IF(O1037&lt;=1.45,"1.43-1.45",IF(O1037&lt;1.49,"1.46-1.48",IF(O1037&lt;=1.49,"1.49","Above 1.49")))))</f>
        <v/>
      </c>
      <c r="AW1037" s="5">
        <f>IF(AE1037="","",IF(AE1037&lt;60,"Under 60",IF(AE1037&lt;90,"60-89",IF(AE1037&lt;120,"90-119",IF(AE1037&lt;150,"120-149","150+")))))</f>
        <v/>
      </c>
      <c r="AX1037" s="5">
        <f>IF(AP1037="","No revenue data",IF(AP1037&lt;0.15,"Under 0.15x",IF(AP1037&lt;0.3,"0.15-0.30x",IF(AP1037&lt;0.5,"0.30-0.50x",IF(AP1037&lt;1,"0.50-1.00x","1.00x+")))))</f>
        <v/>
      </c>
      <c r="AY1037" s="5">
        <f>IF(J1037="","No SIC",IFERROR(VLOOKUP(J1037,Ref!$A$4:$C$67,2,FALSE()),"Unclassified"))</f>
        <v/>
      </c>
      <c r="AZ1037" s="5">
        <f>IF(E1037="","",TEXT(E1037,"YYYY")&amp;"-Q"&amp;ROUNDUP(MONTH(E1037)/3,0))</f>
        <v/>
      </c>
      <c r="BA1037" s="5">
        <f>IF(E1037="","",TEXT(E1037,"YYYY-MM"))</f>
        <v/>
      </c>
      <c r="BB1037" s="5">
        <f>IF(E1037="","",TEXT(E1037,"YYYY"))</f>
        <v/>
      </c>
      <c r="BC1037" s="92">
        <f>IF($E1037="","",NETWORKDAYS($E1037,Controls!$B$9,Ref!$F$4:$F$47))</f>
        <v/>
      </c>
      <c r="BD1037" s="92">
        <f>IF(OR($AH1037=1,$AJ1037=1),1,0)</f>
        <v/>
      </c>
      <c r="BE1037" s="95">
        <f>IF(OR($BD1037=1,AND($AE1037&lt;&gt;"",$BC1037&gt;=Controls!$B$10*$AE1037)),1,0)</f>
        <v/>
      </c>
    </row>
    <row r="1038" ht="15.75" customHeight="1" s="79">
      <c r="A1038" s="5" t="inlineStr">
        <is>
          <t>5674187704</t>
        </is>
      </c>
      <c r="B1038" s="5" t="inlineStr">
        <is>
          <t>YUGO TRANS</t>
        </is>
      </c>
      <c r="C1038" s="5" t="inlineStr">
        <is>
          <t>yugo trans ltd</t>
        </is>
      </c>
      <c r="D1038" s="5" t="inlineStr">
        <is>
          <t>Open</t>
        </is>
      </c>
      <c r="E1038" s="16" t="n">
        <v>46224</v>
      </c>
      <c r="F1038" s="16" t="n">
        <v>46253</v>
      </c>
      <c r="G1038" s="17" t="n">
        <v>3</v>
      </c>
      <c r="H1038" s="5" t="inlineStr">
        <is>
          <t>4212</t>
        </is>
      </c>
      <c r="I1038" s="5" t="inlineStr">
        <is>
          <t>Specialized Freight (Except Used Goods) Trucking, Local</t>
        </is>
      </c>
      <c r="J1038" s="5" t="inlineStr">
        <is>
          <t>42</t>
        </is>
      </c>
      <c r="K1038" s="5" t="n">
        <v>4214</v>
      </c>
      <c r="L1038" s="5" t="inlineStr">
        <is>
          <t>IL</t>
        </is>
      </c>
      <c r="M1038" s="5" t="inlineStr">
        <is>
          <t>Hero Advance Group</t>
        </is>
      </c>
      <c r="N1038" s="5" t="inlineStr">
        <is>
          <t>Renewal</t>
        </is>
      </c>
      <c r="O1038" s="19" t="n">
        <v>1.4</v>
      </c>
      <c r="P1038" s="20" t="n">
        <v>95000</v>
      </c>
      <c r="Q1038" s="20" t="n">
        <v>8075</v>
      </c>
      <c r="R1038" s="20" t="n">
        <v>133000</v>
      </c>
      <c r="S1038" s="20" t="n">
        <v>15277.5</v>
      </c>
      <c r="T1038" s="20" t="n">
        <v>117722.5</v>
      </c>
      <c r="U1038" s="21" t="n">
        <v>0.114868421052632</v>
      </c>
      <c r="V1038" s="22" t="n">
        <v>6</v>
      </c>
      <c r="W1038" s="17" t="n">
        <v>0</v>
      </c>
      <c r="X1038" s="17" t="n">
        <v>0</v>
      </c>
      <c r="Y1038" s="20" t="n">
        <v>367587.56</v>
      </c>
      <c r="Z1038" s="21" t="n">
        <v>0.0476</v>
      </c>
      <c r="AA1038" s="5" t="n"/>
      <c r="AB1038" s="5">
        <f>IF(V1038="","",IF(V1038&lt;12,"Months","Weeks"))</f>
        <v/>
      </c>
      <c r="AC1038" s="5">
        <f>IF(AB1038="","",IF(AB1038="Months","Daily","Weekly"))</f>
        <v/>
      </c>
      <c r="AD1038" s="17">
        <f>IF(V1038="","",IF(AC1038="Daily",V1038*Controls!$B$13,V1038))</f>
        <v/>
      </c>
      <c r="AE1038" s="17">
        <f>IF(V1038="","",IF(AC1038="Daily",V1038*Controls!$B$13,V1038*Controls!$B$12))</f>
        <v/>
      </c>
      <c r="AF1038" s="17">
        <f>IF(OR(E1038="",F1038=""),"",F1038-E1038)</f>
        <v/>
      </c>
      <c r="AG1038" s="17">
        <f>IF(OR(E1038="",F1038=""),"",NETWORKDAYS(E1038,F1038,Ref!$F$4:$F$47))</f>
        <v/>
      </c>
      <c r="AH1038" s="39">
        <f>IF(IFERROR(VLOOKUP(D1038,Controls!$A$25:$D$35,2,FALSE()),"No")="Yes",1,0)</f>
        <v/>
      </c>
      <c r="AI1038" s="39">
        <f>IF(IFERROR(VLOOKUP(D1038,Controls!$A$25:$D$35,3,FALSE()),"No")="Yes",1,0)</f>
        <v/>
      </c>
      <c r="AJ1038" s="39">
        <f>IF(IFERROR(VLOOKUP(D1038,Controls!$A$25:$D$35,4,FALSE()),"No")="Yes",1,0)</f>
        <v/>
      </c>
      <c r="AK1038" s="96">
        <f>IF(AND($E1038&gt;=Controls!$B$5,$E1038&lt;=Controls!$B$6,OR(Controls!$E$9&lt;&gt;"Y",$BE1038=1)),1,0)</f>
        <v/>
      </c>
      <c r="AL1038" s="39">
        <f>1</f>
        <v/>
      </c>
      <c r="AM1038" s="20">
        <f>S1038-P1038</f>
        <v/>
      </c>
      <c r="AN1038" s="20">
        <f>IF(AH1038=1,MAX(0,P1038-S1038),0)</f>
        <v/>
      </c>
      <c r="AO1038" s="21">
        <f>IFERROR(S1038/P1038,"")</f>
        <v/>
      </c>
      <c r="AP1038" s="22">
        <f>IF(Y1038="","",P1038/Y1038)</f>
        <v/>
      </c>
      <c r="AQ1038" s="39">
        <f>IF(Y1038="",0,1)</f>
        <v/>
      </c>
      <c r="AR1038" s="39">
        <f>IF(S1038&lt;=0,1,0)</f>
        <v/>
      </c>
      <c r="AS1038" s="17">
        <f>IF(AH1038=1,AG1038,"")</f>
        <v/>
      </c>
      <c r="AT1038" s="17">
        <f>IF(AND(AH1038=0,AJ1038=1),AG1038,"")</f>
        <v/>
      </c>
      <c r="AU1038" s="5">
        <f>IF(P1038&lt;10000,"Under $10K",IF(P1038&lt;20000,"$10-20K",IF(P1038&lt;30000,"$20-30K",IF(P1038&lt;50000,"$30-50K",IF(P1038&lt;100000,"$50-100K","$100K+")))))</f>
        <v/>
      </c>
      <c r="AV1038" s="5">
        <f>IF(O1038&lt;=1.35,"1.35 and under",IF(O1038&lt;=1.42,"1.36-1.42",IF(O1038&lt;=1.45,"1.43-1.45",IF(O1038&lt;1.49,"1.46-1.48",IF(O1038&lt;=1.49,"1.49","Above 1.49")))))</f>
        <v/>
      </c>
      <c r="AW1038" s="5">
        <f>IF(AE1038="","",IF(AE1038&lt;60,"Under 60",IF(AE1038&lt;90,"60-89",IF(AE1038&lt;120,"90-119",IF(AE1038&lt;150,"120-149","150+")))))</f>
        <v/>
      </c>
      <c r="AX1038" s="5">
        <f>IF(AP1038="","No revenue data",IF(AP1038&lt;0.15,"Under 0.15x",IF(AP1038&lt;0.3,"0.15-0.30x",IF(AP1038&lt;0.5,"0.30-0.50x",IF(AP1038&lt;1,"0.50-1.00x","1.00x+")))))</f>
        <v/>
      </c>
      <c r="AY1038" s="5">
        <f>IF(J1038="","No SIC",IFERROR(VLOOKUP(J1038,Ref!$A$4:$C$67,2,FALSE()),"Unclassified"))</f>
        <v/>
      </c>
      <c r="AZ1038" s="5">
        <f>IF(E1038="","",TEXT(E1038,"YYYY")&amp;"-Q"&amp;ROUNDUP(MONTH(E1038)/3,0))</f>
        <v/>
      </c>
      <c r="BA1038" s="5">
        <f>IF(E1038="","",TEXT(E1038,"YYYY-MM"))</f>
        <v/>
      </c>
      <c r="BB1038" s="5">
        <f>IF(E1038="","",TEXT(E1038,"YYYY"))</f>
        <v/>
      </c>
      <c r="BC1038" s="92">
        <f>IF($E1038="","",NETWORKDAYS($E1038,Controls!$B$9,Ref!$F$4:$F$47))</f>
        <v/>
      </c>
      <c r="BD1038" s="92">
        <f>IF(OR($AH1038=1,$AJ1038=1),1,0)</f>
        <v/>
      </c>
      <c r="BE1038" s="95">
        <f>IF(OR($BD1038=1,AND($AE1038&lt;&gt;"",$BC1038&gt;=Controls!$B$10*$AE1038)),1,0)</f>
        <v/>
      </c>
    </row>
    <row r="1039" ht="15.75" customHeight="1" s="79">
      <c r="A1039" s="5" t="inlineStr">
        <is>
          <t>5674187744</t>
        </is>
      </c>
      <c r="B1039" s="5" t="inlineStr">
        <is>
          <t>DBA EL TACO LOCO AL VAPOR</t>
        </is>
      </c>
      <c r="C1039" s="5" t="inlineStr">
        <is>
          <t>DBA EL TACO LOCO AL VAPOR</t>
        </is>
      </c>
      <c r="D1039" s="5" t="inlineStr">
        <is>
          <t>Open</t>
        </is>
      </c>
      <c r="E1039" s="16" t="n">
        <v>46225</v>
      </c>
      <c r="F1039" s="16" t="n">
        <v>46248</v>
      </c>
      <c r="G1039" s="17" t="n">
        <v>3</v>
      </c>
      <c r="H1039" s="5" t="inlineStr">
        <is>
          <t>5812</t>
        </is>
      </c>
      <c r="I1039" s="5" t="inlineStr">
        <is>
          <t>Full-Service Restaurants</t>
        </is>
      </c>
      <c r="J1039" s="5" t="inlineStr">
        <is>
          <t>58</t>
        </is>
      </c>
      <c r="K1039" s="5" t="n">
        <v>5812</v>
      </c>
      <c r="L1039" s="5" t="inlineStr">
        <is>
          <t>TX</t>
        </is>
      </c>
      <c r="M1039" s="5" t="inlineStr">
        <is>
          <t>Westwood</t>
        </is>
      </c>
      <c r="N1039" s="5" t="inlineStr">
        <is>
          <t>Renewal</t>
        </is>
      </c>
      <c r="O1039" s="19" t="n">
        <v>1.49</v>
      </c>
      <c r="P1039" s="20" t="n">
        <v>35000</v>
      </c>
      <c r="Q1039" s="20" t="n">
        <v>4900</v>
      </c>
      <c r="R1039" s="20" t="n">
        <v>52150</v>
      </c>
      <c r="S1039" s="20" t="n">
        <v>5216.25</v>
      </c>
      <c r="T1039" s="20" t="n">
        <v>46933.75</v>
      </c>
      <c r="U1039" s="21" t="n">
        <v>0.100023969319271</v>
      </c>
      <c r="V1039" s="22" t="n">
        <v>30</v>
      </c>
      <c r="W1039" s="17" t="n">
        <v>5</v>
      </c>
      <c r="X1039" s="17" t="n">
        <v>0</v>
      </c>
      <c r="Y1039" s="20" t="n">
        <v>42000</v>
      </c>
      <c r="Z1039" s="21" t="n">
        <v>0.1391</v>
      </c>
      <c r="AA1039" s="16" t="n">
        <v>44977</v>
      </c>
      <c r="AB1039" s="5">
        <f>IF(V1039="","",IF(V1039&lt;12,"Months","Weeks"))</f>
        <v/>
      </c>
      <c r="AC1039" s="5">
        <f>IF(AB1039="","",IF(AB1039="Months","Daily","Weekly"))</f>
        <v/>
      </c>
      <c r="AD1039" s="17">
        <f>IF(V1039="","",IF(AC1039="Daily",V1039*Controls!$B$13,V1039))</f>
        <v/>
      </c>
      <c r="AE1039" s="17">
        <f>IF(V1039="","",IF(AC1039="Daily",V1039*Controls!$B$13,V1039*Controls!$B$12))</f>
        <v/>
      </c>
      <c r="AF1039" s="17">
        <f>IF(OR(E1039="",F1039=""),"",F1039-E1039)</f>
        <v/>
      </c>
      <c r="AG1039" s="17">
        <f>IF(OR(E1039="",F1039=""),"",NETWORKDAYS(E1039,F1039,Ref!$F$4:$F$47))</f>
        <v/>
      </c>
      <c r="AH1039" s="39">
        <f>IF(IFERROR(VLOOKUP(D1039,Controls!$A$25:$D$35,2,FALSE()),"No")="Yes",1,0)</f>
        <v/>
      </c>
      <c r="AI1039" s="39">
        <f>IF(IFERROR(VLOOKUP(D1039,Controls!$A$25:$D$35,3,FALSE()),"No")="Yes",1,0)</f>
        <v/>
      </c>
      <c r="AJ1039" s="39">
        <f>IF(IFERROR(VLOOKUP(D1039,Controls!$A$25:$D$35,4,FALSE()),"No")="Yes",1,0)</f>
        <v/>
      </c>
      <c r="AK1039" s="96">
        <f>IF(AND($E1039&gt;=Controls!$B$5,$E1039&lt;=Controls!$B$6,OR(Controls!$E$9&lt;&gt;"Y",$BE1039=1)),1,0)</f>
        <v/>
      </c>
      <c r="AL1039" s="39">
        <f>1</f>
        <v/>
      </c>
      <c r="AM1039" s="20">
        <f>S1039-P1039</f>
        <v/>
      </c>
      <c r="AN1039" s="20">
        <f>IF(AH1039=1,MAX(0,P1039-S1039),0)</f>
        <v/>
      </c>
      <c r="AO1039" s="21">
        <f>IFERROR(S1039/P1039,"")</f>
        <v/>
      </c>
      <c r="AP1039" s="22">
        <f>IF(Y1039="","",P1039/Y1039)</f>
        <v/>
      </c>
      <c r="AQ1039" s="39">
        <f>IF(Y1039="",0,1)</f>
        <v/>
      </c>
      <c r="AR1039" s="39">
        <f>IF(S1039&lt;=0,1,0)</f>
        <v/>
      </c>
      <c r="AS1039" s="17">
        <f>IF(AH1039=1,AG1039,"")</f>
        <v/>
      </c>
      <c r="AT1039" s="17">
        <f>IF(AND(AH1039=0,AJ1039=1),AG1039,"")</f>
        <v/>
      </c>
      <c r="AU1039" s="5">
        <f>IF(P1039&lt;10000,"Under $10K",IF(P1039&lt;20000,"$10-20K",IF(P1039&lt;30000,"$20-30K",IF(P1039&lt;50000,"$30-50K",IF(P1039&lt;100000,"$50-100K","$100K+")))))</f>
        <v/>
      </c>
      <c r="AV1039" s="5">
        <f>IF(O1039&lt;=1.35,"1.35 and under",IF(O1039&lt;=1.42,"1.36-1.42",IF(O1039&lt;=1.45,"1.43-1.45",IF(O1039&lt;1.49,"1.46-1.48",IF(O1039&lt;=1.49,"1.49","Above 1.49")))))</f>
        <v/>
      </c>
      <c r="AW1039" s="5">
        <f>IF(AE1039="","",IF(AE1039&lt;60,"Under 60",IF(AE1039&lt;90,"60-89",IF(AE1039&lt;120,"90-119",IF(AE1039&lt;150,"120-149","150+")))))</f>
        <v/>
      </c>
      <c r="AX1039" s="5">
        <f>IF(AP1039="","No revenue data",IF(AP1039&lt;0.15,"Under 0.15x",IF(AP1039&lt;0.3,"0.15-0.30x",IF(AP1039&lt;0.5,"0.30-0.50x",IF(AP1039&lt;1,"0.50-1.00x","1.00x+")))))</f>
        <v/>
      </c>
      <c r="AY1039" s="5">
        <f>IF(J1039="","No SIC",IFERROR(VLOOKUP(J1039,Ref!$A$4:$C$67,2,FALSE()),"Unclassified"))</f>
        <v/>
      </c>
      <c r="AZ1039" s="5">
        <f>IF(E1039="","",TEXT(E1039,"YYYY")&amp;"-Q"&amp;ROUNDUP(MONTH(E1039)/3,0))</f>
        <v/>
      </c>
      <c r="BA1039" s="5">
        <f>IF(E1039="","",TEXT(E1039,"YYYY-MM"))</f>
        <v/>
      </c>
      <c r="BB1039" s="5">
        <f>IF(E1039="","",TEXT(E1039,"YYYY"))</f>
        <v/>
      </c>
      <c r="BC1039" s="92">
        <f>IF($E1039="","",NETWORKDAYS($E1039,Controls!$B$9,Ref!$F$4:$F$47))</f>
        <v/>
      </c>
      <c r="BD1039" s="92">
        <f>IF(OR($AH1039=1,$AJ1039=1),1,0)</f>
        <v/>
      </c>
      <c r="BE1039" s="95">
        <f>IF(OR($BD1039=1,AND($AE1039&lt;&gt;"",$BC1039&gt;=Controls!$B$10*$AE1039)),1,0)</f>
        <v/>
      </c>
    </row>
    <row r="1040" ht="15.75" customHeight="1" s="79">
      <c r="A1040" s="5" t="inlineStr">
        <is>
          <t>5674187748</t>
        </is>
      </c>
      <c r="B1040" s="5" t="inlineStr">
        <is>
          <t>HELPING HEARTS RES FACILITIES 1 DBA HELPING HEARTS RESIDENTIAL</t>
        </is>
      </c>
      <c r="C1040" s="5" t="inlineStr">
        <is>
          <t>Helping Hearts Residential Facilities I, LLC</t>
        </is>
      </c>
      <c r="D1040" s="5" t="inlineStr">
        <is>
          <t>Open</t>
        </is>
      </c>
      <c r="E1040" s="16" t="n">
        <v>46225</v>
      </c>
      <c r="F1040" s="16" t="n">
        <v>46253</v>
      </c>
      <c r="G1040" s="17" t="n">
        <v>4</v>
      </c>
      <c r="H1040" s="5" t="inlineStr">
        <is>
          <t>9511</t>
        </is>
      </c>
      <c r="I1040" s="5" t="inlineStr">
        <is>
          <t>Administration of Air and Water Resource and Solid Waste Management Programs</t>
        </is>
      </c>
      <c r="J1040" s="5" t="inlineStr">
        <is>
          <t>95</t>
        </is>
      </c>
      <c r="K1040" s="5" t="n">
        <v>7392</v>
      </c>
      <c r="L1040" s="5" t="inlineStr">
        <is>
          <t>AZ</t>
        </is>
      </c>
      <c r="M1040" s="5" t="inlineStr">
        <is>
          <t>FundFlex</t>
        </is>
      </c>
      <c r="N1040" s="5" t="inlineStr">
        <is>
          <t>New Deal</t>
        </is>
      </c>
      <c r="O1040" s="19" t="n">
        <v>1.49</v>
      </c>
      <c r="P1040" s="20" t="n">
        <v>150000</v>
      </c>
      <c r="Q1040" s="20" t="n">
        <v>21000</v>
      </c>
      <c r="R1040" s="20" t="n">
        <v>223500</v>
      </c>
      <c r="S1040" s="20" t="n">
        <v>26316.8</v>
      </c>
      <c r="T1040" s="20" t="n">
        <v>197183.2</v>
      </c>
      <c r="U1040" s="21" t="n">
        <v>0.117748545861298</v>
      </c>
      <c r="V1040" s="22" t="n">
        <v>34</v>
      </c>
      <c r="W1040" s="17" t="n">
        <v>0</v>
      </c>
      <c r="X1040" s="17" t="n">
        <v>0</v>
      </c>
      <c r="Y1040" s="20" t="n">
        <v>631372.54</v>
      </c>
      <c r="Z1040" s="21" t="n">
        <v>0.0346</v>
      </c>
      <c r="AA1040" s="16" t="n">
        <v>39338</v>
      </c>
      <c r="AB1040" s="5">
        <f>IF(V1040="","",IF(V1040&lt;12,"Months","Weeks"))</f>
        <v/>
      </c>
      <c r="AC1040" s="5">
        <f>IF(AB1040="","",IF(AB1040="Months","Daily","Weekly"))</f>
        <v/>
      </c>
      <c r="AD1040" s="17">
        <f>IF(V1040="","",IF(AC1040="Daily",V1040*Controls!$B$13,V1040))</f>
        <v/>
      </c>
      <c r="AE1040" s="17">
        <f>IF(V1040="","",IF(AC1040="Daily",V1040*Controls!$B$13,V1040*Controls!$B$12))</f>
        <v/>
      </c>
      <c r="AF1040" s="17">
        <f>IF(OR(E1040="",F1040=""),"",F1040-E1040)</f>
        <v/>
      </c>
      <c r="AG1040" s="17">
        <f>IF(OR(E1040="",F1040=""),"",NETWORKDAYS(E1040,F1040,Ref!$F$4:$F$47))</f>
        <v/>
      </c>
      <c r="AH1040" s="39">
        <f>IF(IFERROR(VLOOKUP(D1040,Controls!$A$25:$D$35,2,FALSE()),"No")="Yes",1,0)</f>
        <v/>
      </c>
      <c r="AI1040" s="39">
        <f>IF(IFERROR(VLOOKUP(D1040,Controls!$A$25:$D$35,3,FALSE()),"No")="Yes",1,0)</f>
        <v/>
      </c>
      <c r="AJ1040" s="39">
        <f>IF(IFERROR(VLOOKUP(D1040,Controls!$A$25:$D$35,4,FALSE()),"No")="Yes",1,0)</f>
        <v/>
      </c>
      <c r="AK1040" s="96">
        <f>IF(AND($E1040&gt;=Controls!$B$5,$E1040&lt;=Controls!$B$6,OR(Controls!$E$9&lt;&gt;"Y",$BE1040=1)),1,0)</f>
        <v/>
      </c>
      <c r="AL1040" s="39">
        <f>1</f>
        <v/>
      </c>
      <c r="AM1040" s="20">
        <f>S1040-P1040</f>
        <v/>
      </c>
      <c r="AN1040" s="20">
        <f>IF(AH1040=1,MAX(0,P1040-S1040),0)</f>
        <v/>
      </c>
      <c r="AO1040" s="21">
        <f>IFERROR(S1040/P1040,"")</f>
        <v/>
      </c>
      <c r="AP1040" s="22">
        <f>IF(Y1040="","",P1040/Y1040)</f>
        <v/>
      </c>
      <c r="AQ1040" s="39">
        <f>IF(Y1040="",0,1)</f>
        <v/>
      </c>
      <c r="AR1040" s="39">
        <f>IF(S1040&lt;=0,1,0)</f>
        <v/>
      </c>
      <c r="AS1040" s="17">
        <f>IF(AH1040=1,AG1040,"")</f>
        <v/>
      </c>
      <c r="AT1040" s="17">
        <f>IF(AND(AH1040=0,AJ1040=1),AG1040,"")</f>
        <v/>
      </c>
      <c r="AU1040" s="5">
        <f>IF(P1040&lt;10000,"Under $10K",IF(P1040&lt;20000,"$10-20K",IF(P1040&lt;30000,"$20-30K",IF(P1040&lt;50000,"$30-50K",IF(P1040&lt;100000,"$50-100K","$100K+")))))</f>
        <v/>
      </c>
      <c r="AV1040" s="5">
        <f>IF(O1040&lt;=1.35,"1.35 and under",IF(O1040&lt;=1.42,"1.36-1.42",IF(O1040&lt;=1.45,"1.43-1.45",IF(O1040&lt;1.49,"1.46-1.48",IF(O1040&lt;=1.49,"1.49","Above 1.49")))))</f>
        <v/>
      </c>
      <c r="AW1040" s="5">
        <f>IF(AE1040="","",IF(AE1040&lt;60,"Under 60",IF(AE1040&lt;90,"60-89",IF(AE1040&lt;120,"90-119",IF(AE1040&lt;150,"120-149","150+")))))</f>
        <v/>
      </c>
      <c r="AX1040" s="5">
        <f>IF(AP1040="","No revenue data",IF(AP1040&lt;0.15,"Under 0.15x",IF(AP1040&lt;0.3,"0.15-0.30x",IF(AP1040&lt;0.5,"0.30-0.50x",IF(AP1040&lt;1,"0.50-1.00x","1.00x+")))))</f>
        <v/>
      </c>
      <c r="AY1040" s="5">
        <f>IF(J1040="","No SIC",IFERROR(VLOOKUP(J1040,Ref!$A$4:$C$67,2,FALSE()),"Unclassified"))</f>
        <v/>
      </c>
      <c r="AZ1040" s="5">
        <f>IF(E1040="","",TEXT(E1040,"YYYY")&amp;"-Q"&amp;ROUNDUP(MONTH(E1040)/3,0))</f>
        <v/>
      </c>
      <c r="BA1040" s="5">
        <f>IF(E1040="","",TEXT(E1040,"YYYY-MM"))</f>
        <v/>
      </c>
      <c r="BB1040" s="5">
        <f>IF(E1040="","",TEXT(E1040,"YYYY"))</f>
        <v/>
      </c>
      <c r="BC1040" s="92">
        <f>IF($E1040="","",NETWORKDAYS($E1040,Controls!$B$9,Ref!$F$4:$F$47))</f>
        <v/>
      </c>
      <c r="BD1040" s="92">
        <f>IF(OR($AH1040=1,$AJ1040=1),1,0)</f>
        <v/>
      </c>
      <c r="BE1040" s="95">
        <f>IF(OR($BD1040=1,AND($AE1040&lt;&gt;"",$BC1040&gt;=Controls!$B$10*$AE1040)),1,0)</f>
        <v/>
      </c>
    </row>
    <row r="1041" ht="15.75" customHeight="1" s="79">
      <c r="A1041" s="5" t="inlineStr">
        <is>
          <t>5674187753</t>
        </is>
      </c>
      <c r="B1041" s="5" t="inlineStr">
        <is>
          <t>Jojos italian diner llc</t>
        </is>
      </c>
      <c r="C1041" s="5" t="inlineStr">
        <is>
          <t>Jojos italian diner llc</t>
        </is>
      </c>
      <c r="D1041" s="5" t="inlineStr">
        <is>
          <t>Legal</t>
        </is>
      </c>
      <c r="E1041" s="16" t="n">
        <v>46020</v>
      </c>
      <c r="F1041" s="16" t="n">
        <v>46020</v>
      </c>
      <c r="G1041" s="5" t="n"/>
      <c r="H1041" s="5" t="inlineStr">
        <is>
          <t>2091</t>
        </is>
      </c>
      <c r="I1041" s="5" t="inlineStr">
        <is>
          <t>Seafood Product Preparation and Packaging</t>
        </is>
      </c>
      <c r="J1041" s="5" t="inlineStr">
        <is>
          <t>20</t>
        </is>
      </c>
      <c r="K1041" s="5" t="n">
        <v>5812</v>
      </c>
      <c r="L1041" s="5" t="inlineStr">
        <is>
          <t>FL</t>
        </is>
      </c>
      <c r="M1041" s="5" t="inlineStr">
        <is>
          <t>Platform Funding</t>
        </is>
      </c>
      <c r="N1041" s="5" t="inlineStr">
        <is>
          <t>New Deal</t>
        </is>
      </c>
      <c r="O1041" s="19" t="n">
        <v>1.46</v>
      </c>
      <c r="P1041" s="20" t="n">
        <v>11000</v>
      </c>
      <c r="Q1041" s="20" t="n">
        <v>1375</v>
      </c>
      <c r="R1041" s="20" t="n">
        <v>16060</v>
      </c>
      <c r="S1041" s="20" t="n">
        <v>0</v>
      </c>
      <c r="T1041" s="20" t="n">
        <v>16060</v>
      </c>
      <c r="U1041" s="21" t="n">
        <v>0</v>
      </c>
      <c r="V1041" s="22" t="n">
        <v>3.279</v>
      </c>
      <c r="W1041" s="17" t="n">
        <v>233</v>
      </c>
      <c r="X1041" s="17" t="n">
        <v>0</v>
      </c>
      <c r="Y1041" s="5" t="n"/>
      <c r="Z1041" s="21" t="n">
        <v>0.055</v>
      </c>
      <c r="AA1041" s="16" t="n">
        <v>43844</v>
      </c>
      <c r="AB1041" s="5">
        <f>IF(V1041="","",IF(V1041&lt;12,"Months","Weeks"))</f>
        <v/>
      </c>
      <c r="AC1041" s="5">
        <f>IF(AB1041="","",IF(AB1041="Months","Daily","Weekly"))</f>
        <v/>
      </c>
      <c r="AD1041" s="17">
        <f>IF(V1041="","",IF(AC1041="Daily",V1041*Controls!$B$13,V1041))</f>
        <v/>
      </c>
      <c r="AE1041" s="17">
        <f>IF(V1041="","",IF(AC1041="Daily",V1041*Controls!$B$13,V1041*Controls!$B$12))</f>
        <v/>
      </c>
      <c r="AF1041" s="17">
        <f>IF(OR(E1041="",F1041=""),"",F1041-E1041)</f>
        <v/>
      </c>
      <c r="AG1041" s="17">
        <f>IF(OR(E1041="",F1041=""),"",NETWORKDAYS(E1041,F1041,Ref!$F$4:$F$47))</f>
        <v/>
      </c>
      <c r="AH1041" s="39">
        <f>IF(IFERROR(VLOOKUP(D1041,Controls!$A$25:$D$35,2,FALSE()),"No")="Yes",1,0)</f>
        <v/>
      </c>
      <c r="AI1041" s="39">
        <f>IF(IFERROR(VLOOKUP(D1041,Controls!$A$25:$D$35,3,FALSE()),"No")="Yes",1,0)</f>
        <v/>
      </c>
      <c r="AJ1041" s="39">
        <f>IF(IFERROR(VLOOKUP(D1041,Controls!$A$25:$D$35,4,FALSE()),"No")="Yes",1,0)</f>
        <v/>
      </c>
      <c r="AK1041" s="96">
        <f>IF(AND($E1041&gt;=Controls!$B$5,$E1041&lt;=Controls!$B$6,OR(Controls!$E$9&lt;&gt;"Y",$BE1041=1)),1,0)</f>
        <v/>
      </c>
      <c r="AL1041" s="39">
        <f>1</f>
        <v/>
      </c>
      <c r="AM1041" s="20">
        <f>S1041-P1041</f>
        <v/>
      </c>
      <c r="AN1041" s="20">
        <f>IF(AH1041=1,MAX(0,P1041-S1041),0)</f>
        <v/>
      </c>
      <c r="AO1041" s="21">
        <f>IFERROR(S1041/P1041,"")</f>
        <v/>
      </c>
      <c r="AP1041" s="22">
        <f>IF(Y1041="","",P1041/Y1041)</f>
        <v/>
      </c>
      <c r="AQ1041" s="39">
        <f>IF(Y1041="",0,1)</f>
        <v/>
      </c>
      <c r="AR1041" s="39">
        <f>IF(S1041&lt;=0,1,0)</f>
        <v/>
      </c>
      <c r="AS1041" s="17">
        <f>IF(AH1041=1,AG1041,"")</f>
        <v/>
      </c>
      <c r="AT1041" s="17">
        <f>IF(AND(AH1041=0,AJ1041=1),AG1041,"")</f>
        <v/>
      </c>
      <c r="AU1041" s="5">
        <f>IF(P1041&lt;10000,"Under $10K",IF(P1041&lt;20000,"$10-20K",IF(P1041&lt;30000,"$20-30K",IF(P1041&lt;50000,"$30-50K",IF(P1041&lt;100000,"$50-100K","$100K+")))))</f>
        <v/>
      </c>
      <c r="AV1041" s="5">
        <f>IF(O1041&lt;=1.35,"1.35 and under",IF(O1041&lt;=1.42,"1.36-1.42",IF(O1041&lt;=1.45,"1.43-1.45",IF(O1041&lt;1.49,"1.46-1.48",IF(O1041&lt;=1.49,"1.49","Above 1.49")))))</f>
        <v/>
      </c>
      <c r="AW1041" s="5">
        <f>IF(AE1041="","",IF(AE1041&lt;60,"Under 60",IF(AE1041&lt;90,"60-89",IF(AE1041&lt;120,"90-119",IF(AE1041&lt;150,"120-149","150+")))))</f>
        <v/>
      </c>
      <c r="AX1041" s="5">
        <f>IF(AP1041="","No revenue data",IF(AP1041&lt;0.15,"Under 0.15x",IF(AP1041&lt;0.3,"0.15-0.30x",IF(AP1041&lt;0.5,"0.30-0.50x",IF(AP1041&lt;1,"0.50-1.00x","1.00x+")))))</f>
        <v/>
      </c>
      <c r="AY1041" s="5">
        <f>IF(J1041="","No SIC",IFERROR(VLOOKUP(J1041,Ref!$A$4:$C$67,2,FALSE()),"Unclassified"))</f>
        <v/>
      </c>
      <c r="AZ1041" s="5">
        <f>IF(E1041="","",TEXT(E1041,"YYYY")&amp;"-Q"&amp;ROUNDUP(MONTH(E1041)/3,0))</f>
        <v/>
      </c>
      <c r="BA1041" s="5">
        <f>IF(E1041="","",TEXT(E1041,"YYYY-MM"))</f>
        <v/>
      </c>
      <c r="BB1041" s="5">
        <f>IF(E1041="","",TEXT(E1041,"YYYY"))</f>
        <v/>
      </c>
      <c r="BC1041" s="92">
        <f>IF($E1041="","",NETWORKDAYS($E1041,Controls!$B$9,Ref!$F$4:$F$47))</f>
        <v/>
      </c>
      <c r="BD1041" s="92">
        <f>IF(OR($AH1041=1,$AJ1041=1),1,0)</f>
        <v/>
      </c>
      <c r="BE1041" s="95">
        <f>IF(OR($BD1041=1,AND($AE1041&lt;&gt;"",$BC1041&gt;=Controls!$B$10*$AE1041)),1,0)</f>
        <v/>
      </c>
    </row>
    <row r="1042" ht="15.75" customHeight="1" s="79">
      <c r="A1042" s="5" t="inlineStr">
        <is>
          <t>5674187783</t>
        </is>
      </c>
      <c r="B1042" s="5" t="inlineStr">
        <is>
          <t>4 EVER TRUCKING 2 LLC</t>
        </is>
      </c>
      <c r="C1042" s="5" t="inlineStr">
        <is>
          <t>4 EVER TRUCKING 2 LLC</t>
        </is>
      </c>
      <c r="D1042" s="5" t="inlineStr">
        <is>
          <t>Open</t>
        </is>
      </c>
      <c r="E1042" s="16" t="n">
        <v>46225</v>
      </c>
      <c r="F1042" s="16" t="n">
        <v>46253</v>
      </c>
      <c r="G1042" s="17" t="n">
        <v>3</v>
      </c>
      <c r="H1042" s="5" t="inlineStr">
        <is>
          <t>4212</t>
        </is>
      </c>
      <c r="I1042" s="5" t="inlineStr">
        <is>
          <t>Specialized Freight (Except Used Goods) Trucking, Local</t>
        </is>
      </c>
      <c r="J1042" s="5" t="inlineStr">
        <is>
          <t>42</t>
        </is>
      </c>
      <c r="K1042" s="5" t="n">
        <v>4214</v>
      </c>
      <c r="L1042" s="5" t="inlineStr">
        <is>
          <t>MS</t>
        </is>
      </c>
      <c r="M1042" s="5" t="inlineStr">
        <is>
          <t>DIRECT CAPITAL SOURCE, INC.</t>
        </is>
      </c>
      <c r="N1042" s="5" t="inlineStr">
        <is>
          <t>Renewal</t>
        </is>
      </c>
      <c r="O1042" s="19" t="n">
        <v>1.49</v>
      </c>
      <c r="P1042" s="20" t="n">
        <v>15000</v>
      </c>
      <c r="Q1042" s="20" t="n">
        <v>2100</v>
      </c>
      <c r="R1042" s="20" t="n">
        <v>22350</v>
      </c>
      <c r="S1042" s="20" t="n">
        <v>5028.48</v>
      </c>
      <c r="T1042" s="20" t="n">
        <v>17321.52</v>
      </c>
      <c r="U1042" s="21" t="n">
        <v>0.224987919463087</v>
      </c>
      <c r="V1042" s="22" t="n">
        <v>2.623</v>
      </c>
      <c r="W1042" s="17" t="n">
        <v>0</v>
      </c>
      <c r="X1042" s="17" t="n">
        <v>1</v>
      </c>
      <c r="Y1042" s="20" t="n">
        <v>37897</v>
      </c>
      <c r="Z1042" s="21" t="n">
        <v>0.1548</v>
      </c>
      <c r="AA1042" s="16" t="n">
        <v>44256</v>
      </c>
      <c r="AB1042" s="5">
        <f>IF(V1042="","",IF(V1042&lt;12,"Months","Weeks"))</f>
        <v/>
      </c>
      <c r="AC1042" s="5">
        <f>IF(AB1042="","",IF(AB1042="Months","Daily","Weekly"))</f>
        <v/>
      </c>
      <c r="AD1042" s="17">
        <f>IF(V1042="","",IF(AC1042="Daily",V1042*Controls!$B$13,V1042))</f>
        <v/>
      </c>
      <c r="AE1042" s="17">
        <f>IF(V1042="","",IF(AC1042="Daily",V1042*Controls!$B$13,V1042*Controls!$B$12))</f>
        <v/>
      </c>
      <c r="AF1042" s="17">
        <f>IF(OR(E1042="",F1042=""),"",F1042-E1042)</f>
        <v/>
      </c>
      <c r="AG1042" s="17">
        <f>IF(OR(E1042="",F1042=""),"",NETWORKDAYS(E1042,F1042,Ref!$F$4:$F$47))</f>
        <v/>
      </c>
      <c r="AH1042" s="39">
        <f>IF(IFERROR(VLOOKUP(D1042,Controls!$A$25:$D$35,2,FALSE()),"No")="Yes",1,0)</f>
        <v/>
      </c>
      <c r="AI1042" s="39">
        <f>IF(IFERROR(VLOOKUP(D1042,Controls!$A$25:$D$35,3,FALSE()),"No")="Yes",1,0)</f>
        <v/>
      </c>
      <c r="AJ1042" s="39">
        <f>IF(IFERROR(VLOOKUP(D1042,Controls!$A$25:$D$35,4,FALSE()),"No")="Yes",1,0)</f>
        <v/>
      </c>
      <c r="AK1042" s="96">
        <f>IF(AND($E1042&gt;=Controls!$B$5,$E1042&lt;=Controls!$B$6,OR(Controls!$E$9&lt;&gt;"Y",$BE1042=1)),1,0)</f>
        <v/>
      </c>
      <c r="AL1042" s="39">
        <f>1</f>
        <v/>
      </c>
      <c r="AM1042" s="20">
        <f>S1042-P1042</f>
        <v/>
      </c>
      <c r="AN1042" s="20">
        <f>IF(AH1042=1,MAX(0,P1042-S1042),0)</f>
        <v/>
      </c>
      <c r="AO1042" s="21">
        <f>IFERROR(S1042/P1042,"")</f>
        <v/>
      </c>
      <c r="AP1042" s="22">
        <f>IF(Y1042="","",P1042/Y1042)</f>
        <v/>
      </c>
      <c r="AQ1042" s="39">
        <f>IF(Y1042="",0,1)</f>
        <v/>
      </c>
      <c r="AR1042" s="39">
        <f>IF(S1042&lt;=0,1,0)</f>
        <v/>
      </c>
      <c r="AS1042" s="17">
        <f>IF(AH1042=1,AG1042,"")</f>
        <v/>
      </c>
      <c r="AT1042" s="17">
        <f>IF(AND(AH1042=0,AJ1042=1),AG1042,"")</f>
        <v/>
      </c>
      <c r="AU1042" s="5">
        <f>IF(P1042&lt;10000,"Under $10K",IF(P1042&lt;20000,"$10-20K",IF(P1042&lt;30000,"$20-30K",IF(P1042&lt;50000,"$30-50K",IF(P1042&lt;100000,"$50-100K","$100K+")))))</f>
        <v/>
      </c>
      <c r="AV1042" s="5">
        <f>IF(O1042&lt;=1.35,"1.35 and under",IF(O1042&lt;=1.42,"1.36-1.42",IF(O1042&lt;=1.45,"1.43-1.45",IF(O1042&lt;1.49,"1.46-1.48",IF(O1042&lt;=1.49,"1.49","Above 1.49")))))</f>
        <v/>
      </c>
      <c r="AW1042" s="5">
        <f>IF(AE1042="","",IF(AE1042&lt;60,"Under 60",IF(AE1042&lt;90,"60-89",IF(AE1042&lt;120,"90-119",IF(AE1042&lt;150,"120-149","150+")))))</f>
        <v/>
      </c>
      <c r="AX1042" s="5">
        <f>IF(AP1042="","No revenue data",IF(AP1042&lt;0.15,"Under 0.15x",IF(AP1042&lt;0.3,"0.15-0.30x",IF(AP1042&lt;0.5,"0.30-0.50x",IF(AP1042&lt;1,"0.50-1.00x","1.00x+")))))</f>
        <v/>
      </c>
      <c r="AY1042" s="5">
        <f>IF(J1042="","No SIC",IFERROR(VLOOKUP(J1042,Ref!$A$4:$C$67,2,FALSE()),"Unclassified"))</f>
        <v/>
      </c>
      <c r="AZ1042" s="5">
        <f>IF(E1042="","",TEXT(E1042,"YYYY")&amp;"-Q"&amp;ROUNDUP(MONTH(E1042)/3,0))</f>
        <v/>
      </c>
      <c r="BA1042" s="5">
        <f>IF(E1042="","",TEXT(E1042,"YYYY-MM"))</f>
        <v/>
      </c>
      <c r="BB1042" s="5">
        <f>IF(E1042="","",TEXT(E1042,"YYYY"))</f>
        <v/>
      </c>
      <c r="BC1042" s="92">
        <f>IF($E1042="","",NETWORKDAYS($E1042,Controls!$B$9,Ref!$F$4:$F$47))</f>
        <v/>
      </c>
      <c r="BD1042" s="92">
        <f>IF(OR($AH1042=1,$AJ1042=1),1,0)</f>
        <v/>
      </c>
      <c r="BE1042" s="95">
        <f>IF(OR($BD1042=1,AND($AE1042&lt;&gt;"",$BC1042&gt;=Controls!$B$10*$AE1042)),1,0)</f>
        <v/>
      </c>
    </row>
    <row r="1043" ht="15.75" customHeight="1" s="79">
      <c r="A1043" s="5" t="inlineStr">
        <is>
          <t>5674187792</t>
        </is>
      </c>
      <c r="B1043" s="5" t="inlineStr">
        <is>
          <t>REVUP COLLISION &amp; AUTO REPAIR</t>
        </is>
      </c>
      <c r="C1043" s="5" t="inlineStr">
        <is>
          <t>REVUP ENTERPRISES LLC</t>
        </is>
      </c>
      <c r="D1043" s="5" t="inlineStr">
        <is>
          <t>Open</t>
        </is>
      </c>
      <c r="E1043" s="16" t="n">
        <v>46225</v>
      </c>
      <c r="F1043" s="16" t="n">
        <v>46253</v>
      </c>
      <c r="G1043" s="17" t="n">
        <v>3</v>
      </c>
      <c r="H1043" s="5" t="inlineStr">
        <is>
          <t>7538</t>
        </is>
      </c>
      <c r="I1043" s="5" t="inlineStr">
        <is>
          <t>General Automotive Repair</t>
        </is>
      </c>
      <c r="J1043" s="5" t="inlineStr">
        <is>
          <t>75</t>
        </is>
      </c>
      <c r="K1043" s="5" t="n">
        <v>7538</v>
      </c>
      <c r="L1043" s="5" t="inlineStr">
        <is>
          <t>TX</t>
        </is>
      </c>
      <c r="M1043" s="5" t="inlineStr">
        <is>
          <t>PMF</t>
        </is>
      </c>
      <c r="N1043" s="5" t="inlineStr">
        <is>
          <t>Renewal</t>
        </is>
      </c>
      <c r="O1043" s="19" t="n">
        <v>1.49</v>
      </c>
      <c r="P1043" s="20" t="n">
        <v>35000</v>
      </c>
      <c r="Q1043" s="20" t="n">
        <v>4900</v>
      </c>
      <c r="R1043" s="20" t="n">
        <v>52150</v>
      </c>
      <c r="S1043" s="20" t="n">
        <v>11584.6</v>
      </c>
      <c r="T1043" s="20" t="n">
        <v>40565.4</v>
      </c>
      <c r="U1043" s="21" t="n">
        <v>0.222139980824545</v>
      </c>
      <c r="V1043" s="22" t="n">
        <v>2.951</v>
      </c>
      <c r="W1043" s="17" t="n">
        <v>0</v>
      </c>
      <c r="X1043" s="17" t="n">
        <v>0</v>
      </c>
      <c r="Y1043" s="20" t="n">
        <v>117980.29</v>
      </c>
      <c r="Z1043" s="21" t="n">
        <v>0.1031</v>
      </c>
      <c r="AA1043" s="16" t="n">
        <v>45465</v>
      </c>
      <c r="AB1043" s="5">
        <f>IF(V1043="","",IF(V1043&lt;12,"Months","Weeks"))</f>
        <v/>
      </c>
      <c r="AC1043" s="5">
        <f>IF(AB1043="","",IF(AB1043="Months","Daily","Weekly"))</f>
        <v/>
      </c>
      <c r="AD1043" s="17">
        <f>IF(V1043="","",IF(AC1043="Daily",V1043*Controls!$B$13,V1043))</f>
        <v/>
      </c>
      <c r="AE1043" s="17">
        <f>IF(V1043="","",IF(AC1043="Daily",V1043*Controls!$B$13,V1043*Controls!$B$12))</f>
        <v/>
      </c>
      <c r="AF1043" s="17">
        <f>IF(OR(E1043="",F1043=""),"",F1043-E1043)</f>
        <v/>
      </c>
      <c r="AG1043" s="17">
        <f>IF(OR(E1043="",F1043=""),"",NETWORKDAYS(E1043,F1043,Ref!$F$4:$F$47))</f>
        <v/>
      </c>
      <c r="AH1043" s="39">
        <f>IF(IFERROR(VLOOKUP(D1043,Controls!$A$25:$D$35,2,FALSE()),"No")="Yes",1,0)</f>
        <v/>
      </c>
      <c r="AI1043" s="39">
        <f>IF(IFERROR(VLOOKUP(D1043,Controls!$A$25:$D$35,3,FALSE()),"No")="Yes",1,0)</f>
        <v/>
      </c>
      <c r="AJ1043" s="39">
        <f>IF(IFERROR(VLOOKUP(D1043,Controls!$A$25:$D$35,4,FALSE()),"No")="Yes",1,0)</f>
        <v/>
      </c>
      <c r="AK1043" s="96">
        <f>IF(AND($E1043&gt;=Controls!$B$5,$E1043&lt;=Controls!$B$6,OR(Controls!$E$9&lt;&gt;"Y",$BE1043=1)),1,0)</f>
        <v/>
      </c>
      <c r="AL1043" s="39">
        <f>1</f>
        <v/>
      </c>
      <c r="AM1043" s="20">
        <f>S1043-P1043</f>
        <v/>
      </c>
      <c r="AN1043" s="20">
        <f>IF(AH1043=1,MAX(0,P1043-S1043),0)</f>
        <v/>
      </c>
      <c r="AO1043" s="21">
        <f>IFERROR(S1043/P1043,"")</f>
        <v/>
      </c>
      <c r="AP1043" s="22">
        <f>IF(Y1043="","",P1043/Y1043)</f>
        <v/>
      </c>
      <c r="AQ1043" s="39">
        <f>IF(Y1043="",0,1)</f>
        <v/>
      </c>
      <c r="AR1043" s="39">
        <f>IF(S1043&lt;=0,1,0)</f>
        <v/>
      </c>
      <c r="AS1043" s="17">
        <f>IF(AH1043=1,AG1043,"")</f>
        <v/>
      </c>
      <c r="AT1043" s="17">
        <f>IF(AND(AH1043=0,AJ1043=1),AG1043,"")</f>
        <v/>
      </c>
      <c r="AU1043" s="5">
        <f>IF(P1043&lt;10000,"Under $10K",IF(P1043&lt;20000,"$10-20K",IF(P1043&lt;30000,"$20-30K",IF(P1043&lt;50000,"$30-50K",IF(P1043&lt;100000,"$50-100K","$100K+")))))</f>
        <v/>
      </c>
      <c r="AV1043" s="5">
        <f>IF(O1043&lt;=1.35,"1.35 and under",IF(O1043&lt;=1.42,"1.36-1.42",IF(O1043&lt;=1.45,"1.43-1.45",IF(O1043&lt;1.49,"1.46-1.48",IF(O1043&lt;=1.49,"1.49","Above 1.49")))))</f>
        <v/>
      </c>
      <c r="AW1043" s="5">
        <f>IF(AE1043="","",IF(AE1043&lt;60,"Under 60",IF(AE1043&lt;90,"60-89",IF(AE1043&lt;120,"90-119",IF(AE1043&lt;150,"120-149","150+")))))</f>
        <v/>
      </c>
      <c r="AX1043" s="5">
        <f>IF(AP1043="","No revenue data",IF(AP1043&lt;0.15,"Under 0.15x",IF(AP1043&lt;0.3,"0.15-0.30x",IF(AP1043&lt;0.5,"0.30-0.50x",IF(AP1043&lt;1,"0.50-1.00x","1.00x+")))))</f>
        <v/>
      </c>
      <c r="AY1043" s="5">
        <f>IF(J1043="","No SIC",IFERROR(VLOOKUP(J1043,Ref!$A$4:$C$67,2,FALSE()),"Unclassified"))</f>
        <v/>
      </c>
      <c r="AZ1043" s="5">
        <f>IF(E1043="","",TEXT(E1043,"YYYY")&amp;"-Q"&amp;ROUNDUP(MONTH(E1043)/3,0))</f>
        <v/>
      </c>
      <c r="BA1043" s="5">
        <f>IF(E1043="","",TEXT(E1043,"YYYY-MM"))</f>
        <v/>
      </c>
      <c r="BB1043" s="5">
        <f>IF(E1043="","",TEXT(E1043,"YYYY"))</f>
        <v/>
      </c>
      <c r="BC1043" s="92">
        <f>IF($E1043="","",NETWORKDAYS($E1043,Controls!$B$9,Ref!$F$4:$F$47))</f>
        <v/>
      </c>
      <c r="BD1043" s="92">
        <f>IF(OR($AH1043=1,$AJ1043=1),1,0)</f>
        <v/>
      </c>
      <c r="BE1043" s="95">
        <f>IF(OR($BD1043=1,AND($AE1043&lt;&gt;"",$BC1043&gt;=Controls!$B$10*$AE1043)),1,0)</f>
        <v/>
      </c>
    </row>
    <row r="1044" ht="15.75" customHeight="1" s="79">
      <c r="A1044" s="5" t="inlineStr">
        <is>
          <t>5674187859</t>
        </is>
      </c>
      <c r="B1044" s="5" t="inlineStr">
        <is>
          <t>ARES COMFORT SYSTEMS, LLC MARIA APARICIO SOLE MBR</t>
        </is>
      </c>
      <c r="C1044" s="5" t="inlineStr">
        <is>
          <t>Ares Comfort Systems, LLC</t>
        </is>
      </c>
      <c r="D1044" s="5" t="inlineStr">
        <is>
          <t>Open</t>
        </is>
      </c>
      <c r="E1044" s="16" t="n">
        <v>46226</v>
      </c>
      <c r="F1044" s="16" t="n">
        <v>46253</v>
      </c>
      <c r="G1044" s="17" t="n">
        <v>3</v>
      </c>
      <c r="H1044" s="5" t="inlineStr">
        <is>
          <t>5075</t>
        </is>
      </c>
      <c r="I1044" s="5" t="inlineStr">
        <is>
          <t>Warm Air Heating and Air-Conditioning Equipment and Supplies Merchant Wholesalers</t>
        </is>
      </c>
      <c r="J1044" s="5" t="inlineStr">
        <is>
          <t>50</t>
        </is>
      </c>
      <c r="K1044" s="5" t="n">
        <v>5074</v>
      </c>
      <c r="L1044" s="5" t="inlineStr">
        <is>
          <t>WA</t>
        </is>
      </c>
      <c r="M1044" s="5" t="inlineStr">
        <is>
          <t>Vanguard Equities</t>
        </is>
      </c>
      <c r="N1044" s="5" t="inlineStr">
        <is>
          <t>New Deal</t>
        </is>
      </c>
      <c r="O1044" s="19" t="n">
        <v>1.45</v>
      </c>
      <c r="P1044" s="20" t="n">
        <v>30000</v>
      </c>
      <c r="Q1044" s="20" t="n">
        <v>3600</v>
      </c>
      <c r="R1044" s="20" t="n">
        <v>43500</v>
      </c>
      <c r="S1044" s="20" t="n">
        <v>7833.42</v>
      </c>
      <c r="T1044" s="20" t="n">
        <v>35666.58</v>
      </c>
      <c r="U1044" s="21" t="n">
        <v>0.180078620689655</v>
      </c>
      <c r="V1044" s="22" t="n">
        <v>3.279</v>
      </c>
      <c r="W1044" s="17" t="n">
        <v>0</v>
      </c>
      <c r="X1044" s="17" t="n">
        <v>0</v>
      </c>
      <c r="Y1044" s="20" t="n">
        <v>242412.73</v>
      </c>
      <c r="Z1044" s="21" t="n">
        <v>0.0377</v>
      </c>
      <c r="AA1044" s="16" t="n">
        <v>45323</v>
      </c>
      <c r="AB1044" s="5">
        <f>IF(V1044="","",IF(V1044&lt;12,"Months","Weeks"))</f>
        <v/>
      </c>
      <c r="AC1044" s="5">
        <f>IF(AB1044="","",IF(AB1044="Months","Daily","Weekly"))</f>
        <v/>
      </c>
      <c r="AD1044" s="17">
        <f>IF(V1044="","",IF(AC1044="Daily",V1044*Controls!$B$13,V1044))</f>
        <v/>
      </c>
      <c r="AE1044" s="17">
        <f>IF(V1044="","",IF(AC1044="Daily",V1044*Controls!$B$13,V1044*Controls!$B$12))</f>
        <v/>
      </c>
      <c r="AF1044" s="17">
        <f>IF(OR(E1044="",F1044=""),"",F1044-E1044)</f>
        <v/>
      </c>
      <c r="AG1044" s="17">
        <f>IF(OR(E1044="",F1044=""),"",NETWORKDAYS(E1044,F1044,Ref!$F$4:$F$47))</f>
        <v/>
      </c>
      <c r="AH1044" s="39">
        <f>IF(IFERROR(VLOOKUP(D1044,Controls!$A$25:$D$35,2,FALSE()),"No")="Yes",1,0)</f>
        <v/>
      </c>
      <c r="AI1044" s="39">
        <f>IF(IFERROR(VLOOKUP(D1044,Controls!$A$25:$D$35,3,FALSE()),"No")="Yes",1,0)</f>
        <v/>
      </c>
      <c r="AJ1044" s="39">
        <f>IF(IFERROR(VLOOKUP(D1044,Controls!$A$25:$D$35,4,FALSE()),"No")="Yes",1,0)</f>
        <v/>
      </c>
      <c r="AK1044" s="96">
        <f>IF(AND($E1044&gt;=Controls!$B$5,$E1044&lt;=Controls!$B$6,OR(Controls!$E$9&lt;&gt;"Y",$BE1044=1)),1,0)</f>
        <v/>
      </c>
      <c r="AL1044" s="39">
        <f>1</f>
        <v/>
      </c>
      <c r="AM1044" s="20">
        <f>S1044-P1044</f>
        <v/>
      </c>
      <c r="AN1044" s="20">
        <f>IF(AH1044=1,MAX(0,P1044-S1044),0)</f>
        <v/>
      </c>
      <c r="AO1044" s="21">
        <f>IFERROR(S1044/P1044,"")</f>
        <v/>
      </c>
      <c r="AP1044" s="22">
        <f>IF(Y1044="","",P1044/Y1044)</f>
        <v/>
      </c>
      <c r="AQ1044" s="39">
        <f>IF(Y1044="",0,1)</f>
        <v/>
      </c>
      <c r="AR1044" s="39">
        <f>IF(S1044&lt;=0,1,0)</f>
        <v/>
      </c>
      <c r="AS1044" s="17">
        <f>IF(AH1044=1,AG1044,"")</f>
        <v/>
      </c>
      <c r="AT1044" s="17">
        <f>IF(AND(AH1044=0,AJ1044=1),AG1044,"")</f>
        <v/>
      </c>
      <c r="AU1044" s="5">
        <f>IF(P1044&lt;10000,"Under $10K",IF(P1044&lt;20000,"$10-20K",IF(P1044&lt;30000,"$20-30K",IF(P1044&lt;50000,"$30-50K",IF(P1044&lt;100000,"$50-100K","$100K+")))))</f>
        <v/>
      </c>
      <c r="AV1044" s="5">
        <f>IF(O1044&lt;=1.35,"1.35 and under",IF(O1044&lt;=1.42,"1.36-1.42",IF(O1044&lt;=1.45,"1.43-1.45",IF(O1044&lt;1.49,"1.46-1.48",IF(O1044&lt;=1.49,"1.49","Above 1.49")))))</f>
        <v/>
      </c>
      <c r="AW1044" s="5">
        <f>IF(AE1044="","",IF(AE1044&lt;60,"Under 60",IF(AE1044&lt;90,"60-89",IF(AE1044&lt;120,"90-119",IF(AE1044&lt;150,"120-149","150+")))))</f>
        <v/>
      </c>
      <c r="AX1044" s="5">
        <f>IF(AP1044="","No revenue data",IF(AP1044&lt;0.15,"Under 0.15x",IF(AP1044&lt;0.3,"0.15-0.30x",IF(AP1044&lt;0.5,"0.30-0.50x",IF(AP1044&lt;1,"0.50-1.00x","1.00x+")))))</f>
        <v/>
      </c>
      <c r="AY1044" s="5">
        <f>IF(J1044="","No SIC",IFERROR(VLOOKUP(J1044,Ref!$A$4:$C$67,2,FALSE()),"Unclassified"))</f>
        <v/>
      </c>
      <c r="AZ1044" s="5">
        <f>IF(E1044="","",TEXT(E1044,"YYYY")&amp;"-Q"&amp;ROUNDUP(MONTH(E1044)/3,0))</f>
        <v/>
      </c>
      <c r="BA1044" s="5">
        <f>IF(E1044="","",TEXT(E1044,"YYYY-MM"))</f>
        <v/>
      </c>
      <c r="BB1044" s="5">
        <f>IF(E1044="","",TEXT(E1044,"YYYY"))</f>
        <v/>
      </c>
      <c r="BC1044" s="92">
        <f>IF($E1044="","",NETWORKDAYS($E1044,Controls!$B$9,Ref!$F$4:$F$47))</f>
        <v/>
      </c>
      <c r="BD1044" s="92">
        <f>IF(OR($AH1044=1,$AJ1044=1),1,0)</f>
        <v/>
      </c>
      <c r="BE1044" s="95">
        <f>IF(OR($BD1044=1,AND($AE1044&lt;&gt;"",$BC1044&gt;=Controls!$B$10*$AE1044)),1,0)</f>
        <v/>
      </c>
    </row>
    <row r="1045" ht="15.75" customHeight="1" s="79">
      <c r="A1045" s="5" t="inlineStr">
        <is>
          <t>5674187915</t>
        </is>
      </c>
      <c r="B1045" s="5" t="inlineStr">
        <is>
          <t>Paxton Ranches LLC</t>
        </is>
      </c>
      <c r="C1045" s="5" t="inlineStr">
        <is>
          <t>Paxton Ranches LLC</t>
        </is>
      </c>
      <c r="D1045" s="5" t="inlineStr">
        <is>
          <t>Open</t>
        </is>
      </c>
      <c r="E1045" s="16" t="n">
        <v>46227</v>
      </c>
      <c r="F1045" s="16" t="n">
        <v>46248</v>
      </c>
      <c r="G1045" s="17" t="n">
        <v>3</v>
      </c>
      <c r="H1045" s="5" t="inlineStr">
        <is>
          <t>0212</t>
        </is>
      </c>
      <c r="I1045" s="5" t="inlineStr">
        <is>
          <t>Beef Cattle Ranching and Farming</t>
        </is>
      </c>
      <c r="J1045" s="5" t="inlineStr">
        <is>
          <t>02</t>
        </is>
      </c>
      <c r="K1045" s="5" t="n">
        <v>763</v>
      </c>
      <c r="L1045" s="5" t="inlineStr">
        <is>
          <t>SD</t>
        </is>
      </c>
      <c r="M1045" s="5" t="inlineStr">
        <is>
          <t>cavala funding</t>
        </is>
      </c>
      <c r="N1045" s="5" t="inlineStr">
        <is>
          <t>New Deal</t>
        </is>
      </c>
      <c r="O1045" s="19" t="n">
        <v>1.49</v>
      </c>
      <c r="P1045" s="20" t="n">
        <v>10000</v>
      </c>
      <c r="Q1045" s="20" t="n">
        <v>1400</v>
      </c>
      <c r="R1045" s="20" t="n">
        <v>14900</v>
      </c>
      <c r="S1045" s="20" t="n">
        <v>2241</v>
      </c>
      <c r="T1045" s="20" t="n">
        <v>12659</v>
      </c>
      <c r="U1045" s="21" t="n">
        <v>0.150402684563758</v>
      </c>
      <c r="V1045" s="22" t="n">
        <v>20</v>
      </c>
      <c r="W1045" s="17" t="n">
        <v>5</v>
      </c>
      <c r="X1045" s="17" t="n">
        <v>0</v>
      </c>
      <c r="Y1045" s="20" t="n">
        <v>28839.01</v>
      </c>
      <c r="Z1045" s="21" t="n">
        <v>0.1033</v>
      </c>
      <c r="AA1045" s="16" t="n">
        <v>36897</v>
      </c>
      <c r="AB1045" s="5">
        <f>IF(V1045="","",IF(V1045&lt;12,"Months","Weeks"))</f>
        <v/>
      </c>
      <c r="AC1045" s="5">
        <f>IF(AB1045="","",IF(AB1045="Months","Daily","Weekly"))</f>
        <v/>
      </c>
      <c r="AD1045" s="17">
        <f>IF(V1045="","",IF(AC1045="Daily",V1045*Controls!$B$13,V1045))</f>
        <v/>
      </c>
      <c r="AE1045" s="17">
        <f>IF(V1045="","",IF(AC1045="Daily",V1045*Controls!$B$13,V1045*Controls!$B$12))</f>
        <v/>
      </c>
      <c r="AF1045" s="17">
        <f>IF(OR(E1045="",F1045=""),"",F1045-E1045)</f>
        <v/>
      </c>
      <c r="AG1045" s="17">
        <f>IF(OR(E1045="",F1045=""),"",NETWORKDAYS(E1045,F1045,Ref!$F$4:$F$47))</f>
        <v/>
      </c>
      <c r="AH1045" s="39">
        <f>IF(IFERROR(VLOOKUP(D1045,Controls!$A$25:$D$35,2,FALSE()),"No")="Yes",1,0)</f>
        <v/>
      </c>
      <c r="AI1045" s="39">
        <f>IF(IFERROR(VLOOKUP(D1045,Controls!$A$25:$D$35,3,FALSE()),"No")="Yes",1,0)</f>
        <v/>
      </c>
      <c r="AJ1045" s="39">
        <f>IF(IFERROR(VLOOKUP(D1045,Controls!$A$25:$D$35,4,FALSE()),"No")="Yes",1,0)</f>
        <v/>
      </c>
      <c r="AK1045" s="96">
        <f>IF(AND($E1045&gt;=Controls!$B$5,$E1045&lt;=Controls!$B$6,OR(Controls!$E$9&lt;&gt;"Y",$BE1045=1)),1,0)</f>
        <v/>
      </c>
      <c r="AL1045" s="39">
        <f>1</f>
        <v/>
      </c>
      <c r="AM1045" s="20">
        <f>S1045-P1045</f>
        <v/>
      </c>
      <c r="AN1045" s="20">
        <f>IF(AH1045=1,MAX(0,P1045-S1045),0)</f>
        <v/>
      </c>
      <c r="AO1045" s="21">
        <f>IFERROR(S1045/P1045,"")</f>
        <v/>
      </c>
      <c r="AP1045" s="22">
        <f>IF(Y1045="","",P1045/Y1045)</f>
        <v/>
      </c>
      <c r="AQ1045" s="39">
        <f>IF(Y1045="",0,1)</f>
        <v/>
      </c>
      <c r="AR1045" s="39">
        <f>IF(S1045&lt;=0,1,0)</f>
        <v/>
      </c>
      <c r="AS1045" s="17">
        <f>IF(AH1045=1,AG1045,"")</f>
        <v/>
      </c>
      <c r="AT1045" s="17">
        <f>IF(AND(AH1045=0,AJ1045=1),AG1045,"")</f>
        <v/>
      </c>
      <c r="AU1045" s="5">
        <f>IF(P1045&lt;10000,"Under $10K",IF(P1045&lt;20000,"$10-20K",IF(P1045&lt;30000,"$20-30K",IF(P1045&lt;50000,"$30-50K",IF(P1045&lt;100000,"$50-100K","$100K+")))))</f>
        <v/>
      </c>
      <c r="AV1045" s="5">
        <f>IF(O1045&lt;=1.35,"1.35 and under",IF(O1045&lt;=1.42,"1.36-1.42",IF(O1045&lt;=1.45,"1.43-1.45",IF(O1045&lt;1.49,"1.46-1.48",IF(O1045&lt;=1.49,"1.49","Above 1.49")))))</f>
        <v/>
      </c>
      <c r="AW1045" s="5">
        <f>IF(AE1045="","",IF(AE1045&lt;60,"Under 60",IF(AE1045&lt;90,"60-89",IF(AE1045&lt;120,"90-119",IF(AE1045&lt;150,"120-149","150+")))))</f>
        <v/>
      </c>
      <c r="AX1045" s="5">
        <f>IF(AP1045="","No revenue data",IF(AP1045&lt;0.15,"Under 0.15x",IF(AP1045&lt;0.3,"0.15-0.30x",IF(AP1045&lt;0.5,"0.30-0.50x",IF(AP1045&lt;1,"0.50-1.00x","1.00x+")))))</f>
        <v/>
      </c>
      <c r="AY1045" s="5">
        <f>IF(J1045="","No SIC",IFERROR(VLOOKUP(J1045,Ref!$A$4:$C$67,2,FALSE()),"Unclassified"))</f>
        <v/>
      </c>
      <c r="AZ1045" s="5">
        <f>IF(E1045="","",TEXT(E1045,"YYYY")&amp;"-Q"&amp;ROUNDUP(MONTH(E1045)/3,0))</f>
        <v/>
      </c>
      <c r="BA1045" s="5">
        <f>IF(E1045="","",TEXT(E1045,"YYYY-MM"))</f>
        <v/>
      </c>
      <c r="BB1045" s="5">
        <f>IF(E1045="","",TEXT(E1045,"YYYY"))</f>
        <v/>
      </c>
      <c r="BC1045" s="92">
        <f>IF($E1045="","",NETWORKDAYS($E1045,Controls!$B$9,Ref!$F$4:$F$47))</f>
        <v/>
      </c>
      <c r="BD1045" s="92">
        <f>IF(OR($AH1045=1,$AJ1045=1),1,0)</f>
        <v/>
      </c>
      <c r="BE1045" s="95">
        <f>IF(OR($BD1045=1,AND($AE1045&lt;&gt;"",$BC1045&gt;=Controls!$B$10*$AE1045)),1,0)</f>
        <v/>
      </c>
    </row>
    <row r="1046" ht="15.75" customHeight="1" s="79">
      <c r="A1046" s="5" t="inlineStr">
        <is>
          <t>5674187997</t>
        </is>
      </c>
      <c r="B1046" s="5" t="inlineStr">
        <is>
          <t>LEGACY BARN DOORS INC.</t>
        </is>
      </c>
      <c r="C1046" s="5" t="inlineStr">
        <is>
          <t>LEGACY BARN DOORS INC.</t>
        </is>
      </c>
      <c r="D1046" s="5" t="inlineStr">
        <is>
          <t>Open</t>
        </is>
      </c>
      <c r="E1046" s="16" t="n">
        <v>46230</v>
      </c>
      <c r="F1046" s="16" t="n">
        <v>46248</v>
      </c>
      <c r="G1046" s="17" t="n">
        <v>3</v>
      </c>
      <c r="H1046" s="5" t="inlineStr">
        <is>
          <t>6221</t>
        </is>
      </c>
      <c r="I1046" s="5" t="inlineStr">
        <is>
          <t>Commodity Contracts Brokerage</t>
        </is>
      </c>
      <c r="J1046" s="5" t="inlineStr">
        <is>
          <t>62</t>
        </is>
      </c>
      <c r="K1046" s="5" t="n">
        <v>6211</v>
      </c>
      <c r="L1046" s="5" t="inlineStr">
        <is>
          <t>TX</t>
        </is>
      </c>
      <c r="M1046" s="5" t="inlineStr">
        <is>
          <t>United Secured Capital 8</t>
        </is>
      </c>
      <c r="N1046" s="5" t="inlineStr">
        <is>
          <t>Renewal</t>
        </is>
      </c>
      <c r="O1046" s="19" t="n">
        <v>1.49</v>
      </c>
      <c r="P1046" s="20" t="n">
        <v>40000</v>
      </c>
      <c r="Q1046" s="20" t="n">
        <v>5600</v>
      </c>
      <c r="R1046" s="20" t="n">
        <v>59600</v>
      </c>
      <c r="S1046" s="20" t="n">
        <v>3974.34</v>
      </c>
      <c r="T1046" s="20" t="n">
        <v>55625.66</v>
      </c>
      <c r="U1046" s="21" t="n">
        <v>0.0666835570469799</v>
      </c>
      <c r="V1046" s="22" t="n">
        <v>30</v>
      </c>
      <c r="W1046" s="17" t="n">
        <v>5</v>
      </c>
      <c r="X1046" s="17" t="n">
        <v>0</v>
      </c>
      <c r="Y1046" s="20" t="n">
        <v>45291.67</v>
      </c>
      <c r="Z1046" s="21" t="n">
        <v>0.1755</v>
      </c>
      <c r="AA1046" s="16" t="n">
        <v>44427</v>
      </c>
      <c r="AB1046" s="5">
        <f>IF(V1046="","",IF(V1046&lt;12,"Months","Weeks"))</f>
        <v/>
      </c>
      <c r="AC1046" s="5">
        <f>IF(AB1046="","",IF(AB1046="Months","Daily","Weekly"))</f>
        <v/>
      </c>
      <c r="AD1046" s="17">
        <f>IF(V1046="","",IF(AC1046="Daily",V1046*Controls!$B$13,V1046))</f>
        <v/>
      </c>
      <c r="AE1046" s="17">
        <f>IF(V1046="","",IF(AC1046="Daily",V1046*Controls!$B$13,V1046*Controls!$B$12))</f>
        <v/>
      </c>
      <c r="AF1046" s="17">
        <f>IF(OR(E1046="",F1046=""),"",F1046-E1046)</f>
        <v/>
      </c>
      <c r="AG1046" s="17">
        <f>IF(OR(E1046="",F1046=""),"",NETWORKDAYS(E1046,F1046,Ref!$F$4:$F$47))</f>
        <v/>
      </c>
      <c r="AH1046" s="39">
        <f>IF(IFERROR(VLOOKUP(D1046,Controls!$A$25:$D$35,2,FALSE()),"No")="Yes",1,0)</f>
        <v/>
      </c>
      <c r="AI1046" s="39">
        <f>IF(IFERROR(VLOOKUP(D1046,Controls!$A$25:$D$35,3,FALSE()),"No")="Yes",1,0)</f>
        <v/>
      </c>
      <c r="AJ1046" s="39">
        <f>IF(IFERROR(VLOOKUP(D1046,Controls!$A$25:$D$35,4,FALSE()),"No")="Yes",1,0)</f>
        <v/>
      </c>
      <c r="AK1046" s="96">
        <f>IF(AND($E1046&gt;=Controls!$B$5,$E1046&lt;=Controls!$B$6,OR(Controls!$E$9&lt;&gt;"Y",$BE1046=1)),1,0)</f>
        <v/>
      </c>
      <c r="AL1046" s="39">
        <f>1</f>
        <v/>
      </c>
      <c r="AM1046" s="20">
        <f>S1046-P1046</f>
        <v/>
      </c>
      <c r="AN1046" s="20">
        <f>IF(AH1046=1,MAX(0,P1046-S1046),0)</f>
        <v/>
      </c>
      <c r="AO1046" s="21">
        <f>IFERROR(S1046/P1046,"")</f>
        <v/>
      </c>
      <c r="AP1046" s="22">
        <f>IF(Y1046="","",P1046/Y1046)</f>
        <v/>
      </c>
      <c r="AQ1046" s="39">
        <f>IF(Y1046="",0,1)</f>
        <v/>
      </c>
      <c r="AR1046" s="39">
        <f>IF(S1046&lt;=0,1,0)</f>
        <v/>
      </c>
      <c r="AS1046" s="17">
        <f>IF(AH1046=1,AG1046,"")</f>
        <v/>
      </c>
      <c r="AT1046" s="17">
        <f>IF(AND(AH1046=0,AJ1046=1),AG1046,"")</f>
        <v/>
      </c>
      <c r="AU1046" s="5">
        <f>IF(P1046&lt;10000,"Under $10K",IF(P1046&lt;20000,"$10-20K",IF(P1046&lt;30000,"$20-30K",IF(P1046&lt;50000,"$30-50K",IF(P1046&lt;100000,"$50-100K","$100K+")))))</f>
        <v/>
      </c>
      <c r="AV1046" s="5">
        <f>IF(O1046&lt;=1.35,"1.35 and under",IF(O1046&lt;=1.42,"1.36-1.42",IF(O1046&lt;=1.45,"1.43-1.45",IF(O1046&lt;1.49,"1.46-1.48",IF(O1046&lt;=1.49,"1.49","Above 1.49")))))</f>
        <v/>
      </c>
      <c r="AW1046" s="5">
        <f>IF(AE1046="","",IF(AE1046&lt;60,"Under 60",IF(AE1046&lt;90,"60-89",IF(AE1046&lt;120,"90-119",IF(AE1046&lt;150,"120-149","150+")))))</f>
        <v/>
      </c>
      <c r="AX1046" s="5">
        <f>IF(AP1046="","No revenue data",IF(AP1046&lt;0.15,"Under 0.15x",IF(AP1046&lt;0.3,"0.15-0.30x",IF(AP1046&lt;0.5,"0.30-0.50x",IF(AP1046&lt;1,"0.50-1.00x","1.00x+")))))</f>
        <v/>
      </c>
      <c r="AY1046" s="5">
        <f>IF(J1046="","No SIC",IFERROR(VLOOKUP(J1046,Ref!$A$4:$C$67,2,FALSE()),"Unclassified"))</f>
        <v/>
      </c>
      <c r="AZ1046" s="5">
        <f>IF(E1046="","",TEXT(E1046,"YYYY")&amp;"-Q"&amp;ROUNDUP(MONTH(E1046)/3,0))</f>
        <v/>
      </c>
      <c r="BA1046" s="5">
        <f>IF(E1046="","",TEXT(E1046,"YYYY-MM"))</f>
        <v/>
      </c>
      <c r="BB1046" s="5">
        <f>IF(E1046="","",TEXT(E1046,"YYYY"))</f>
        <v/>
      </c>
      <c r="BC1046" s="92">
        <f>IF($E1046="","",NETWORKDAYS($E1046,Controls!$B$9,Ref!$F$4:$F$47))</f>
        <v/>
      </c>
      <c r="BD1046" s="92">
        <f>IF(OR($AH1046=1,$AJ1046=1),1,0)</f>
        <v/>
      </c>
      <c r="BE1046" s="95">
        <f>IF(OR($BD1046=1,AND($AE1046&lt;&gt;"",$BC1046&gt;=Controls!$B$10*$AE1046)),1,0)</f>
        <v/>
      </c>
    </row>
    <row r="1047" ht="15.75" customHeight="1" s="79">
      <c r="A1047" s="5" t="inlineStr">
        <is>
          <t>5674188006</t>
        </is>
      </c>
      <c r="B1047" s="5" t="inlineStr">
        <is>
          <t>Scottsdale Supplies</t>
        </is>
      </c>
      <c r="C1047" s="5" t="inlineStr">
        <is>
          <t>Scottsdale Supplies</t>
        </is>
      </c>
      <c r="D1047" s="5" t="inlineStr">
        <is>
          <t>Open</t>
        </is>
      </c>
      <c r="E1047" s="16" t="n">
        <v>46230</v>
      </c>
      <c r="F1047" s="16" t="n">
        <v>46248</v>
      </c>
      <c r="G1047" s="17" t="n">
        <v>3</v>
      </c>
      <c r="H1047" s="5" t="inlineStr">
        <is>
          <t>5085</t>
        </is>
      </c>
      <c r="I1047" s="5" t="inlineStr">
        <is>
          <t>Industrial Supplies Merchant Wholesalers</t>
        </is>
      </c>
      <c r="J1047" s="5" t="inlineStr">
        <is>
          <t>50</t>
        </is>
      </c>
      <c r="K1047" s="5" t="n">
        <v>5085</v>
      </c>
      <c r="L1047" s="5" t="inlineStr">
        <is>
          <t>AZ</t>
        </is>
      </c>
      <c r="M1047" s="5" t="inlineStr">
        <is>
          <t>Credibly</t>
        </is>
      </c>
      <c r="N1047" s="5" t="inlineStr">
        <is>
          <t>New Deal</t>
        </is>
      </c>
      <c r="O1047" s="19" t="n">
        <v>1.447</v>
      </c>
      <c r="P1047" s="20" t="n">
        <v>35000</v>
      </c>
      <c r="Q1047" s="20" t="n">
        <v>4025</v>
      </c>
      <c r="R1047" s="20" t="n">
        <v>50645</v>
      </c>
      <c r="S1047" s="20" t="n">
        <v>5065.17</v>
      </c>
      <c r="T1047" s="20" t="n">
        <v>45579.83</v>
      </c>
      <c r="U1047" s="21" t="n">
        <v>0.100013229341495</v>
      </c>
      <c r="V1047" s="22" t="n">
        <v>30</v>
      </c>
      <c r="W1047" s="17" t="n">
        <v>5</v>
      </c>
      <c r="X1047" s="17" t="n">
        <v>1</v>
      </c>
      <c r="Y1047" s="20" t="n">
        <v>105211.24</v>
      </c>
      <c r="Z1047" s="21" t="n">
        <v>0.06419999999999999</v>
      </c>
      <c r="AA1047" s="16" t="n">
        <v>45100</v>
      </c>
      <c r="AB1047" s="5">
        <f>IF(V1047="","",IF(V1047&lt;12,"Months","Weeks"))</f>
        <v/>
      </c>
      <c r="AC1047" s="5">
        <f>IF(AB1047="","",IF(AB1047="Months","Daily","Weekly"))</f>
        <v/>
      </c>
      <c r="AD1047" s="17">
        <f>IF(V1047="","",IF(AC1047="Daily",V1047*Controls!$B$13,V1047))</f>
        <v/>
      </c>
      <c r="AE1047" s="17">
        <f>IF(V1047="","",IF(AC1047="Daily",V1047*Controls!$B$13,V1047*Controls!$B$12))</f>
        <v/>
      </c>
      <c r="AF1047" s="17">
        <f>IF(OR(E1047="",F1047=""),"",F1047-E1047)</f>
        <v/>
      </c>
      <c r="AG1047" s="17">
        <f>IF(OR(E1047="",F1047=""),"",NETWORKDAYS(E1047,F1047,Ref!$F$4:$F$47))</f>
        <v/>
      </c>
      <c r="AH1047" s="39">
        <f>IF(IFERROR(VLOOKUP(D1047,Controls!$A$25:$D$35,2,FALSE()),"No")="Yes",1,0)</f>
        <v/>
      </c>
      <c r="AI1047" s="39">
        <f>IF(IFERROR(VLOOKUP(D1047,Controls!$A$25:$D$35,3,FALSE()),"No")="Yes",1,0)</f>
        <v/>
      </c>
      <c r="AJ1047" s="39">
        <f>IF(IFERROR(VLOOKUP(D1047,Controls!$A$25:$D$35,4,FALSE()),"No")="Yes",1,0)</f>
        <v/>
      </c>
      <c r="AK1047" s="96">
        <f>IF(AND($E1047&gt;=Controls!$B$5,$E1047&lt;=Controls!$B$6,OR(Controls!$E$9&lt;&gt;"Y",$BE1047=1)),1,0)</f>
        <v/>
      </c>
      <c r="AL1047" s="39">
        <f>1</f>
        <v/>
      </c>
      <c r="AM1047" s="20">
        <f>S1047-P1047</f>
        <v/>
      </c>
      <c r="AN1047" s="20">
        <f>IF(AH1047=1,MAX(0,P1047-S1047),0)</f>
        <v/>
      </c>
      <c r="AO1047" s="21">
        <f>IFERROR(S1047/P1047,"")</f>
        <v/>
      </c>
      <c r="AP1047" s="22">
        <f>IF(Y1047="","",P1047/Y1047)</f>
        <v/>
      </c>
      <c r="AQ1047" s="39">
        <f>IF(Y1047="",0,1)</f>
        <v/>
      </c>
      <c r="AR1047" s="39">
        <f>IF(S1047&lt;=0,1,0)</f>
        <v/>
      </c>
      <c r="AS1047" s="17">
        <f>IF(AH1047=1,AG1047,"")</f>
        <v/>
      </c>
      <c r="AT1047" s="17">
        <f>IF(AND(AH1047=0,AJ1047=1),AG1047,"")</f>
        <v/>
      </c>
      <c r="AU1047" s="5">
        <f>IF(P1047&lt;10000,"Under $10K",IF(P1047&lt;20000,"$10-20K",IF(P1047&lt;30000,"$20-30K",IF(P1047&lt;50000,"$30-50K",IF(P1047&lt;100000,"$50-100K","$100K+")))))</f>
        <v/>
      </c>
      <c r="AV1047" s="5">
        <f>IF(O1047&lt;=1.35,"1.35 and under",IF(O1047&lt;=1.42,"1.36-1.42",IF(O1047&lt;=1.45,"1.43-1.45",IF(O1047&lt;1.49,"1.46-1.48",IF(O1047&lt;=1.49,"1.49","Above 1.49")))))</f>
        <v/>
      </c>
      <c r="AW1047" s="5">
        <f>IF(AE1047="","",IF(AE1047&lt;60,"Under 60",IF(AE1047&lt;90,"60-89",IF(AE1047&lt;120,"90-119",IF(AE1047&lt;150,"120-149","150+")))))</f>
        <v/>
      </c>
      <c r="AX1047" s="5">
        <f>IF(AP1047="","No revenue data",IF(AP1047&lt;0.15,"Under 0.15x",IF(AP1047&lt;0.3,"0.15-0.30x",IF(AP1047&lt;0.5,"0.30-0.50x",IF(AP1047&lt;1,"0.50-1.00x","1.00x+")))))</f>
        <v/>
      </c>
      <c r="AY1047" s="5">
        <f>IF(J1047="","No SIC",IFERROR(VLOOKUP(J1047,Ref!$A$4:$C$67,2,FALSE()),"Unclassified"))</f>
        <v/>
      </c>
      <c r="AZ1047" s="5">
        <f>IF(E1047="","",TEXT(E1047,"YYYY")&amp;"-Q"&amp;ROUNDUP(MONTH(E1047)/3,0))</f>
        <v/>
      </c>
      <c r="BA1047" s="5">
        <f>IF(E1047="","",TEXT(E1047,"YYYY-MM"))</f>
        <v/>
      </c>
      <c r="BB1047" s="5">
        <f>IF(E1047="","",TEXT(E1047,"YYYY"))</f>
        <v/>
      </c>
      <c r="BC1047" s="92">
        <f>IF($E1047="","",NETWORKDAYS($E1047,Controls!$B$9,Ref!$F$4:$F$47))</f>
        <v/>
      </c>
      <c r="BD1047" s="92">
        <f>IF(OR($AH1047=1,$AJ1047=1),1,0)</f>
        <v/>
      </c>
      <c r="BE1047" s="95">
        <f>IF(OR($BD1047=1,AND($AE1047&lt;&gt;"",$BC1047&gt;=Controls!$B$10*$AE1047)),1,0)</f>
        <v/>
      </c>
    </row>
    <row r="1048" ht="15.75" customHeight="1" s="79">
      <c r="A1048" s="5" t="inlineStr">
        <is>
          <t>5674188015</t>
        </is>
      </c>
      <c r="B1048" s="5" t="inlineStr">
        <is>
          <t>JACK N MARK TRADING</t>
        </is>
      </c>
      <c r="C1048" s="5" t="inlineStr">
        <is>
          <t>JACK N MARK TRADING</t>
        </is>
      </c>
      <c r="D1048" s="5" t="inlineStr">
        <is>
          <t>Open</t>
        </is>
      </c>
      <c r="E1048" s="16" t="n">
        <v>46230</v>
      </c>
      <c r="F1048" s="16" t="n">
        <v>46248</v>
      </c>
      <c r="G1048" s="17" t="n">
        <v>3</v>
      </c>
      <c r="H1048" s="5" t="inlineStr">
        <is>
          <t>5399</t>
        </is>
      </c>
      <c r="I1048" s="5" t="inlineStr">
        <is>
          <t>All Other General Merchandise Stores</t>
        </is>
      </c>
      <c r="J1048" s="5" t="inlineStr">
        <is>
          <t>53</t>
        </is>
      </c>
      <c r="K1048" s="5" t="n">
        <v>5399</v>
      </c>
      <c r="L1048" s="5" t="inlineStr">
        <is>
          <t>CA</t>
        </is>
      </c>
      <c r="M1048" s="5" t="inlineStr">
        <is>
          <t>United Secured Capital 8</t>
        </is>
      </c>
      <c r="N1048" s="5" t="inlineStr">
        <is>
          <t>Renewal</t>
        </is>
      </c>
      <c r="O1048" s="19" t="n">
        <v>1.49</v>
      </c>
      <c r="P1048" s="20" t="n">
        <v>45000</v>
      </c>
      <c r="Q1048" s="20" t="n">
        <v>6300</v>
      </c>
      <c r="R1048" s="20" t="n">
        <v>67050</v>
      </c>
      <c r="S1048" s="20" t="n">
        <v>7179.87</v>
      </c>
      <c r="T1048" s="20" t="n">
        <v>59870.13</v>
      </c>
      <c r="U1048" s="21" t="n">
        <v>0.107082326621924</v>
      </c>
      <c r="V1048" s="22" t="n">
        <v>28</v>
      </c>
      <c r="W1048" s="17" t="n">
        <v>5</v>
      </c>
      <c r="X1048" s="17" t="n">
        <v>0</v>
      </c>
      <c r="Y1048" s="20" t="n">
        <v>296382.23</v>
      </c>
      <c r="Z1048" s="21" t="n">
        <v>0.0323</v>
      </c>
      <c r="AA1048" s="16" t="n">
        <v>45547</v>
      </c>
      <c r="AB1048" s="5">
        <f>IF(V1048="","",IF(V1048&lt;12,"Months","Weeks"))</f>
        <v/>
      </c>
      <c r="AC1048" s="5">
        <f>IF(AB1048="","",IF(AB1048="Months","Daily","Weekly"))</f>
        <v/>
      </c>
      <c r="AD1048" s="17">
        <f>IF(V1048="","",IF(AC1048="Daily",V1048*Controls!$B$13,V1048))</f>
        <v/>
      </c>
      <c r="AE1048" s="17">
        <f>IF(V1048="","",IF(AC1048="Daily",V1048*Controls!$B$13,V1048*Controls!$B$12))</f>
        <v/>
      </c>
      <c r="AF1048" s="17">
        <f>IF(OR(E1048="",F1048=""),"",F1048-E1048)</f>
        <v/>
      </c>
      <c r="AG1048" s="17">
        <f>IF(OR(E1048="",F1048=""),"",NETWORKDAYS(E1048,F1048,Ref!$F$4:$F$47))</f>
        <v/>
      </c>
      <c r="AH1048" s="39">
        <f>IF(IFERROR(VLOOKUP(D1048,Controls!$A$25:$D$35,2,FALSE()),"No")="Yes",1,0)</f>
        <v/>
      </c>
      <c r="AI1048" s="39">
        <f>IF(IFERROR(VLOOKUP(D1048,Controls!$A$25:$D$35,3,FALSE()),"No")="Yes",1,0)</f>
        <v/>
      </c>
      <c r="AJ1048" s="39">
        <f>IF(IFERROR(VLOOKUP(D1048,Controls!$A$25:$D$35,4,FALSE()),"No")="Yes",1,0)</f>
        <v/>
      </c>
      <c r="AK1048" s="96">
        <f>IF(AND($E1048&gt;=Controls!$B$5,$E1048&lt;=Controls!$B$6,OR(Controls!$E$9&lt;&gt;"Y",$BE1048=1)),1,0)</f>
        <v/>
      </c>
      <c r="AL1048" s="39">
        <f>1</f>
        <v/>
      </c>
      <c r="AM1048" s="20">
        <f>S1048-P1048</f>
        <v/>
      </c>
      <c r="AN1048" s="20">
        <f>IF(AH1048=1,MAX(0,P1048-S1048),0)</f>
        <v/>
      </c>
      <c r="AO1048" s="21">
        <f>IFERROR(S1048/P1048,"")</f>
        <v/>
      </c>
      <c r="AP1048" s="22">
        <f>IF(Y1048="","",P1048/Y1048)</f>
        <v/>
      </c>
      <c r="AQ1048" s="39">
        <f>IF(Y1048="",0,1)</f>
        <v/>
      </c>
      <c r="AR1048" s="39">
        <f>IF(S1048&lt;=0,1,0)</f>
        <v/>
      </c>
      <c r="AS1048" s="17">
        <f>IF(AH1048=1,AG1048,"")</f>
        <v/>
      </c>
      <c r="AT1048" s="17">
        <f>IF(AND(AH1048=0,AJ1048=1),AG1048,"")</f>
        <v/>
      </c>
      <c r="AU1048" s="5">
        <f>IF(P1048&lt;10000,"Under $10K",IF(P1048&lt;20000,"$10-20K",IF(P1048&lt;30000,"$20-30K",IF(P1048&lt;50000,"$30-50K",IF(P1048&lt;100000,"$50-100K","$100K+")))))</f>
        <v/>
      </c>
      <c r="AV1048" s="5">
        <f>IF(O1048&lt;=1.35,"1.35 and under",IF(O1048&lt;=1.42,"1.36-1.42",IF(O1048&lt;=1.45,"1.43-1.45",IF(O1048&lt;1.49,"1.46-1.48",IF(O1048&lt;=1.49,"1.49","Above 1.49")))))</f>
        <v/>
      </c>
      <c r="AW1048" s="5">
        <f>IF(AE1048="","",IF(AE1048&lt;60,"Under 60",IF(AE1048&lt;90,"60-89",IF(AE1048&lt;120,"90-119",IF(AE1048&lt;150,"120-149","150+")))))</f>
        <v/>
      </c>
      <c r="AX1048" s="5">
        <f>IF(AP1048="","No revenue data",IF(AP1048&lt;0.15,"Under 0.15x",IF(AP1048&lt;0.3,"0.15-0.30x",IF(AP1048&lt;0.5,"0.30-0.50x",IF(AP1048&lt;1,"0.50-1.00x","1.00x+")))))</f>
        <v/>
      </c>
      <c r="AY1048" s="5">
        <f>IF(J1048="","No SIC",IFERROR(VLOOKUP(J1048,Ref!$A$4:$C$67,2,FALSE()),"Unclassified"))</f>
        <v/>
      </c>
      <c r="AZ1048" s="5">
        <f>IF(E1048="","",TEXT(E1048,"YYYY")&amp;"-Q"&amp;ROUNDUP(MONTH(E1048)/3,0))</f>
        <v/>
      </c>
      <c r="BA1048" s="5">
        <f>IF(E1048="","",TEXT(E1048,"YYYY-MM"))</f>
        <v/>
      </c>
      <c r="BB1048" s="5">
        <f>IF(E1048="","",TEXT(E1048,"YYYY"))</f>
        <v/>
      </c>
      <c r="BC1048" s="92">
        <f>IF($E1048="","",NETWORKDAYS($E1048,Controls!$B$9,Ref!$F$4:$F$47))</f>
        <v/>
      </c>
      <c r="BD1048" s="92">
        <f>IF(OR($AH1048=1,$AJ1048=1),1,0)</f>
        <v/>
      </c>
      <c r="BE1048" s="95">
        <f>IF(OR($BD1048=1,AND($AE1048&lt;&gt;"",$BC1048&gt;=Controls!$B$10*$AE1048)),1,0)</f>
        <v/>
      </c>
    </row>
    <row r="1049" ht="15.75" customHeight="1" s="79">
      <c r="A1049" s="5" t="inlineStr">
        <is>
          <t>5674188027</t>
        </is>
      </c>
      <c r="B1049" s="5" t="inlineStr">
        <is>
          <t>MT Repair Quick Solution Inc.</t>
        </is>
      </c>
      <c r="C1049" s="5" t="inlineStr">
        <is>
          <t>MT Repair Quick Solution Inc.</t>
        </is>
      </c>
      <c r="D1049" s="5" t="inlineStr">
        <is>
          <t>Open</t>
        </is>
      </c>
      <c r="E1049" s="16" t="n">
        <v>46230</v>
      </c>
      <c r="F1049" s="16" t="n">
        <v>46253</v>
      </c>
      <c r="G1049" s="17" t="n">
        <v>3</v>
      </c>
      <c r="H1049" s="5" t="inlineStr">
        <is>
          <t>7538</t>
        </is>
      </c>
      <c r="I1049" s="5" t="inlineStr">
        <is>
          <t>General Automotive Repair</t>
        </is>
      </c>
      <c r="J1049" s="5" t="inlineStr">
        <is>
          <t>75</t>
        </is>
      </c>
      <c r="K1049" s="5" t="n">
        <v>7538</v>
      </c>
      <c r="L1049" s="5" t="inlineStr">
        <is>
          <t>MA</t>
        </is>
      </c>
      <c r="M1049" s="5" t="inlineStr">
        <is>
          <t>Triumph Cap Fund</t>
        </is>
      </c>
      <c r="N1049" s="5" t="inlineStr">
        <is>
          <t>New Deal</t>
        </is>
      </c>
      <c r="O1049" s="19" t="n">
        <v>1.35</v>
      </c>
      <c r="P1049" s="20" t="n">
        <v>15000</v>
      </c>
      <c r="Q1049" s="20" t="n">
        <v>1050</v>
      </c>
      <c r="R1049" s="20" t="n">
        <v>20250</v>
      </c>
      <c r="S1049" s="20" t="n">
        <v>3332.98</v>
      </c>
      <c r="T1049" s="20" t="n">
        <v>16917.02</v>
      </c>
      <c r="U1049" s="21" t="n">
        <v>0.164591604938272</v>
      </c>
      <c r="V1049" s="22" t="n">
        <v>2.787</v>
      </c>
      <c r="W1049" s="17" t="n">
        <v>0</v>
      </c>
      <c r="X1049" s="17" t="n">
        <v>0</v>
      </c>
      <c r="Y1049" s="20" t="n">
        <v>71218.75</v>
      </c>
      <c r="Z1049" s="21" t="n">
        <v>0.0702</v>
      </c>
      <c r="AA1049" s="16" t="n">
        <v>45036</v>
      </c>
      <c r="AB1049" s="5">
        <f>IF(V1049="","",IF(V1049&lt;12,"Months","Weeks"))</f>
        <v/>
      </c>
      <c r="AC1049" s="5">
        <f>IF(AB1049="","",IF(AB1049="Months","Daily","Weekly"))</f>
        <v/>
      </c>
      <c r="AD1049" s="17">
        <f>IF(V1049="","",IF(AC1049="Daily",V1049*Controls!$B$13,V1049))</f>
        <v/>
      </c>
      <c r="AE1049" s="17">
        <f>IF(V1049="","",IF(AC1049="Daily",V1049*Controls!$B$13,V1049*Controls!$B$12))</f>
        <v/>
      </c>
      <c r="AF1049" s="17">
        <f>IF(OR(E1049="",F1049=""),"",F1049-E1049)</f>
        <v/>
      </c>
      <c r="AG1049" s="17">
        <f>IF(OR(E1049="",F1049=""),"",NETWORKDAYS(E1049,F1049,Ref!$F$4:$F$47))</f>
        <v/>
      </c>
      <c r="AH1049" s="39">
        <f>IF(IFERROR(VLOOKUP(D1049,Controls!$A$25:$D$35,2,FALSE()),"No")="Yes",1,0)</f>
        <v/>
      </c>
      <c r="AI1049" s="39">
        <f>IF(IFERROR(VLOOKUP(D1049,Controls!$A$25:$D$35,3,FALSE()),"No")="Yes",1,0)</f>
        <v/>
      </c>
      <c r="AJ1049" s="39">
        <f>IF(IFERROR(VLOOKUP(D1049,Controls!$A$25:$D$35,4,FALSE()),"No")="Yes",1,0)</f>
        <v/>
      </c>
      <c r="AK1049" s="96">
        <f>IF(AND($E1049&gt;=Controls!$B$5,$E1049&lt;=Controls!$B$6,OR(Controls!$E$9&lt;&gt;"Y",$BE1049=1)),1,0)</f>
        <v/>
      </c>
      <c r="AL1049" s="39">
        <f>1</f>
        <v/>
      </c>
      <c r="AM1049" s="20">
        <f>S1049-P1049</f>
        <v/>
      </c>
      <c r="AN1049" s="20">
        <f>IF(AH1049=1,MAX(0,P1049-S1049),0)</f>
        <v/>
      </c>
      <c r="AO1049" s="21">
        <f>IFERROR(S1049/P1049,"")</f>
        <v/>
      </c>
      <c r="AP1049" s="22">
        <f>IF(Y1049="","",P1049/Y1049)</f>
        <v/>
      </c>
      <c r="AQ1049" s="39">
        <f>IF(Y1049="",0,1)</f>
        <v/>
      </c>
      <c r="AR1049" s="39">
        <f>IF(S1049&lt;=0,1,0)</f>
        <v/>
      </c>
      <c r="AS1049" s="17">
        <f>IF(AH1049=1,AG1049,"")</f>
        <v/>
      </c>
      <c r="AT1049" s="17">
        <f>IF(AND(AH1049=0,AJ1049=1),AG1049,"")</f>
        <v/>
      </c>
      <c r="AU1049" s="5">
        <f>IF(P1049&lt;10000,"Under $10K",IF(P1049&lt;20000,"$10-20K",IF(P1049&lt;30000,"$20-30K",IF(P1049&lt;50000,"$30-50K",IF(P1049&lt;100000,"$50-100K","$100K+")))))</f>
        <v/>
      </c>
      <c r="AV1049" s="5">
        <f>IF(O1049&lt;=1.35,"1.35 and under",IF(O1049&lt;=1.42,"1.36-1.42",IF(O1049&lt;=1.45,"1.43-1.45",IF(O1049&lt;1.49,"1.46-1.48",IF(O1049&lt;=1.49,"1.49","Above 1.49")))))</f>
        <v/>
      </c>
      <c r="AW1049" s="5">
        <f>IF(AE1049="","",IF(AE1049&lt;60,"Under 60",IF(AE1049&lt;90,"60-89",IF(AE1049&lt;120,"90-119",IF(AE1049&lt;150,"120-149","150+")))))</f>
        <v/>
      </c>
      <c r="AX1049" s="5">
        <f>IF(AP1049="","No revenue data",IF(AP1049&lt;0.15,"Under 0.15x",IF(AP1049&lt;0.3,"0.15-0.30x",IF(AP1049&lt;0.5,"0.30-0.50x",IF(AP1049&lt;1,"0.50-1.00x","1.00x+")))))</f>
        <v/>
      </c>
      <c r="AY1049" s="5">
        <f>IF(J1049="","No SIC",IFERROR(VLOOKUP(J1049,Ref!$A$4:$C$67,2,FALSE()),"Unclassified"))</f>
        <v/>
      </c>
      <c r="AZ1049" s="5">
        <f>IF(E1049="","",TEXT(E1049,"YYYY")&amp;"-Q"&amp;ROUNDUP(MONTH(E1049)/3,0))</f>
        <v/>
      </c>
      <c r="BA1049" s="5">
        <f>IF(E1049="","",TEXT(E1049,"YYYY-MM"))</f>
        <v/>
      </c>
      <c r="BB1049" s="5">
        <f>IF(E1049="","",TEXT(E1049,"YYYY"))</f>
        <v/>
      </c>
      <c r="BC1049" s="92">
        <f>IF($E1049="","",NETWORKDAYS($E1049,Controls!$B$9,Ref!$F$4:$F$47))</f>
        <v/>
      </c>
      <c r="BD1049" s="92">
        <f>IF(OR($AH1049=1,$AJ1049=1),1,0)</f>
        <v/>
      </c>
      <c r="BE1049" s="95">
        <f>IF(OR($BD1049=1,AND($AE1049&lt;&gt;"",$BC1049&gt;=Controls!$B$10*$AE1049)),1,0)</f>
        <v/>
      </c>
    </row>
    <row r="1050" ht="15.75" customHeight="1" s="79">
      <c r="A1050" s="5" t="inlineStr">
        <is>
          <t>5674188054</t>
        </is>
      </c>
      <c r="B1050" s="5" t="inlineStr">
        <is>
          <t>Map and Map</t>
        </is>
      </c>
      <c r="C1050" s="5" t="inlineStr">
        <is>
          <t>Map and Map</t>
        </is>
      </c>
      <c r="D1050" s="5" t="inlineStr">
        <is>
          <t>Open</t>
        </is>
      </c>
      <c r="E1050" s="16" t="n">
        <v>46231</v>
      </c>
      <c r="F1050" s="16" t="n">
        <v>46248</v>
      </c>
      <c r="G1050" s="17" t="n">
        <v>3</v>
      </c>
      <c r="H1050" s="5" t="inlineStr">
        <is>
          <t>5399</t>
        </is>
      </c>
      <c r="I1050" s="5" t="inlineStr">
        <is>
          <t>All Other General Merchandise Stores</t>
        </is>
      </c>
      <c r="J1050" s="5" t="inlineStr">
        <is>
          <t>53</t>
        </is>
      </c>
      <c r="K1050" s="5" t="n">
        <v>5399</v>
      </c>
      <c r="L1050" s="5" t="inlineStr">
        <is>
          <t>TX</t>
        </is>
      </c>
      <c r="M1050" s="5" t="inlineStr">
        <is>
          <t>PMF</t>
        </is>
      </c>
      <c r="N1050" s="5" t="inlineStr">
        <is>
          <t>Renewal</t>
        </is>
      </c>
      <c r="O1050" s="19" t="n">
        <v>1.46</v>
      </c>
      <c r="P1050" s="20" t="n">
        <v>17000</v>
      </c>
      <c r="Q1050" s="20" t="n">
        <v>2125</v>
      </c>
      <c r="R1050" s="20" t="n">
        <v>24820</v>
      </c>
      <c r="S1050" s="20" t="n">
        <v>3723.63</v>
      </c>
      <c r="T1050" s="20" t="n">
        <v>21096.37</v>
      </c>
      <c r="U1050" s="21" t="n">
        <v>0.150025382755842</v>
      </c>
      <c r="V1050" s="22" t="n">
        <v>20</v>
      </c>
      <c r="W1050" s="17" t="n">
        <v>5</v>
      </c>
      <c r="X1050" s="17" t="n">
        <v>0</v>
      </c>
      <c r="Y1050" s="20" t="n">
        <v>19491.45</v>
      </c>
      <c r="Z1050" s="21" t="n">
        <v>0.2574</v>
      </c>
      <c r="AA1050" s="16" t="n">
        <v>44356</v>
      </c>
      <c r="AB1050" s="5">
        <f>IF(V1050="","",IF(V1050&lt;12,"Months","Weeks"))</f>
        <v/>
      </c>
      <c r="AC1050" s="5">
        <f>IF(AB1050="","",IF(AB1050="Months","Daily","Weekly"))</f>
        <v/>
      </c>
      <c r="AD1050" s="17">
        <f>IF(V1050="","",IF(AC1050="Daily",V1050*Controls!$B$13,V1050))</f>
        <v/>
      </c>
      <c r="AE1050" s="17">
        <f>IF(V1050="","",IF(AC1050="Daily",V1050*Controls!$B$13,V1050*Controls!$B$12))</f>
        <v/>
      </c>
      <c r="AF1050" s="17">
        <f>IF(OR(E1050="",F1050=""),"",F1050-E1050)</f>
        <v/>
      </c>
      <c r="AG1050" s="17">
        <f>IF(OR(E1050="",F1050=""),"",NETWORKDAYS(E1050,F1050,Ref!$F$4:$F$47))</f>
        <v/>
      </c>
      <c r="AH1050" s="39">
        <f>IF(IFERROR(VLOOKUP(D1050,Controls!$A$25:$D$35,2,FALSE()),"No")="Yes",1,0)</f>
        <v/>
      </c>
      <c r="AI1050" s="39">
        <f>IF(IFERROR(VLOOKUP(D1050,Controls!$A$25:$D$35,3,FALSE()),"No")="Yes",1,0)</f>
        <v/>
      </c>
      <c r="AJ1050" s="39">
        <f>IF(IFERROR(VLOOKUP(D1050,Controls!$A$25:$D$35,4,FALSE()),"No")="Yes",1,0)</f>
        <v/>
      </c>
      <c r="AK1050" s="96">
        <f>IF(AND($E1050&gt;=Controls!$B$5,$E1050&lt;=Controls!$B$6,OR(Controls!$E$9&lt;&gt;"Y",$BE1050=1)),1,0)</f>
        <v/>
      </c>
      <c r="AL1050" s="39">
        <f>1</f>
        <v/>
      </c>
      <c r="AM1050" s="20">
        <f>S1050-P1050</f>
        <v/>
      </c>
      <c r="AN1050" s="20">
        <f>IF(AH1050=1,MAX(0,P1050-S1050),0)</f>
        <v/>
      </c>
      <c r="AO1050" s="21">
        <f>IFERROR(S1050/P1050,"")</f>
        <v/>
      </c>
      <c r="AP1050" s="22">
        <f>IF(Y1050="","",P1050/Y1050)</f>
        <v/>
      </c>
      <c r="AQ1050" s="39">
        <f>IF(Y1050="",0,1)</f>
        <v/>
      </c>
      <c r="AR1050" s="39">
        <f>IF(S1050&lt;=0,1,0)</f>
        <v/>
      </c>
      <c r="AS1050" s="17">
        <f>IF(AH1050=1,AG1050,"")</f>
        <v/>
      </c>
      <c r="AT1050" s="17">
        <f>IF(AND(AH1050=0,AJ1050=1),AG1050,"")</f>
        <v/>
      </c>
      <c r="AU1050" s="5">
        <f>IF(P1050&lt;10000,"Under $10K",IF(P1050&lt;20000,"$10-20K",IF(P1050&lt;30000,"$20-30K",IF(P1050&lt;50000,"$30-50K",IF(P1050&lt;100000,"$50-100K","$100K+")))))</f>
        <v/>
      </c>
      <c r="AV1050" s="5">
        <f>IF(O1050&lt;=1.35,"1.35 and under",IF(O1050&lt;=1.42,"1.36-1.42",IF(O1050&lt;=1.45,"1.43-1.45",IF(O1050&lt;1.49,"1.46-1.48",IF(O1050&lt;=1.49,"1.49","Above 1.49")))))</f>
        <v/>
      </c>
      <c r="AW1050" s="5">
        <f>IF(AE1050="","",IF(AE1050&lt;60,"Under 60",IF(AE1050&lt;90,"60-89",IF(AE1050&lt;120,"90-119",IF(AE1050&lt;150,"120-149","150+")))))</f>
        <v/>
      </c>
      <c r="AX1050" s="5">
        <f>IF(AP1050="","No revenue data",IF(AP1050&lt;0.15,"Under 0.15x",IF(AP1050&lt;0.3,"0.15-0.30x",IF(AP1050&lt;0.5,"0.30-0.50x",IF(AP1050&lt;1,"0.50-1.00x","1.00x+")))))</f>
        <v/>
      </c>
      <c r="AY1050" s="5">
        <f>IF(J1050="","No SIC",IFERROR(VLOOKUP(J1050,Ref!$A$4:$C$67,2,FALSE()),"Unclassified"))</f>
        <v/>
      </c>
      <c r="AZ1050" s="5">
        <f>IF(E1050="","",TEXT(E1050,"YYYY")&amp;"-Q"&amp;ROUNDUP(MONTH(E1050)/3,0))</f>
        <v/>
      </c>
      <c r="BA1050" s="5">
        <f>IF(E1050="","",TEXT(E1050,"YYYY-MM"))</f>
        <v/>
      </c>
      <c r="BB1050" s="5">
        <f>IF(E1050="","",TEXT(E1050,"YYYY"))</f>
        <v/>
      </c>
      <c r="BC1050" s="92">
        <f>IF($E1050="","",NETWORKDAYS($E1050,Controls!$B$9,Ref!$F$4:$F$47))</f>
        <v/>
      </c>
      <c r="BD1050" s="92">
        <f>IF(OR($AH1050=1,$AJ1050=1),1,0)</f>
        <v/>
      </c>
      <c r="BE1050" s="95">
        <f>IF(OR($BD1050=1,AND($AE1050&lt;&gt;"",$BC1050&gt;=Controls!$B$10*$AE1050)),1,0)</f>
        <v/>
      </c>
    </row>
    <row r="1051" ht="15.75" customHeight="1" s="79">
      <c r="A1051" s="5" t="inlineStr">
        <is>
          <t>5674188066</t>
        </is>
      </c>
      <c r="B1051" s="5" t="inlineStr">
        <is>
          <t>KNIGHT MAINTENANCE LLC</t>
        </is>
      </c>
      <c r="C1051" s="5" t="inlineStr">
        <is>
          <t>KNIGHT MAINTENANCE LLC</t>
        </is>
      </c>
      <c r="D1051" s="5" t="inlineStr">
        <is>
          <t>Open</t>
        </is>
      </c>
      <c r="E1051" s="16" t="n">
        <v>46231</v>
      </c>
      <c r="F1051" s="16" t="n">
        <v>46253</v>
      </c>
      <c r="G1051" s="17" t="n">
        <v>3</v>
      </c>
      <c r="H1051" s="5" t="inlineStr">
        <is>
          <t>7349</t>
        </is>
      </c>
      <c r="I1051" s="5" t="inlineStr">
        <is>
          <t>Other Services to Buildings and Dwellings</t>
        </is>
      </c>
      <c r="J1051" s="5" t="inlineStr">
        <is>
          <t>73</t>
        </is>
      </c>
      <c r="K1051" s="5" t="n">
        <v>7349</v>
      </c>
      <c r="L1051" s="5" t="inlineStr">
        <is>
          <t>NJ</t>
        </is>
      </c>
      <c r="M1051" s="5" t="inlineStr">
        <is>
          <t>Triumph Cap Fund</t>
        </is>
      </c>
      <c r="N1051" s="5" t="inlineStr">
        <is>
          <t>Renewal</t>
        </is>
      </c>
      <c r="O1051" s="19" t="n">
        <v>1.49</v>
      </c>
      <c r="P1051" s="20" t="n">
        <v>35000</v>
      </c>
      <c r="Q1051" s="20" t="n">
        <v>4900</v>
      </c>
      <c r="R1051" s="20" t="n">
        <v>52150</v>
      </c>
      <c r="S1051" s="20" t="n">
        <v>6016.8</v>
      </c>
      <c r="T1051" s="20" t="n">
        <v>46133.2</v>
      </c>
      <c r="U1051" s="21" t="n">
        <v>0.115374880153404</v>
      </c>
      <c r="V1051" s="22" t="n">
        <v>4.262</v>
      </c>
      <c r="W1051" s="17" t="n">
        <v>0</v>
      </c>
      <c r="X1051" s="17" t="n">
        <v>1</v>
      </c>
      <c r="Y1051" s="20" t="n">
        <v>56609.08</v>
      </c>
      <c r="Z1051" s="21" t="n">
        <v>0.1488</v>
      </c>
      <c r="AA1051" s="16" t="n">
        <v>42223</v>
      </c>
      <c r="AB1051" s="5">
        <f>IF(V1051="","",IF(V1051&lt;12,"Months","Weeks"))</f>
        <v/>
      </c>
      <c r="AC1051" s="5">
        <f>IF(AB1051="","",IF(AB1051="Months","Daily","Weekly"))</f>
        <v/>
      </c>
      <c r="AD1051" s="17">
        <f>IF(V1051="","",IF(AC1051="Daily",V1051*Controls!$B$13,V1051))</f>
        <v/>
      </c>
      <c r="AE1051" s="17">
        <f>IF(V1051="","",IF(AC1051="Daily",V1051*Controls!$B$13,V1051*Controls!$B$12))</f>
        <v/>
      </c>
      <c r="AF1051" s="17">
        <f>IF(OR(E1051="",F1051=""),"",F1051-E1051)</f>
        <v/>
      </c>
      <c r="AG1051" s="17">
        <f>IF(OR(E1051="",F1051=""),"",NETWORKDAYS(E1051,F1051,Ref!$F$4:$F$47))</f>
        <v/>
      </c>
      <c r="AH1051" s="39">
        <f>IF(IFERROR(VLOOKUP(D1051,Controls!$A$25:$D$35,2,FALSE()),"No")="Yes",1,0)</f>
        <v/>
      </c>
      <c r="AI1051" s="39">
        <f>IF(IFERROR(VLOOKUP(D1051,Controls!$A$25:$D$35,3,FALSE()),"No")="Yes",1,0)</f>
        <v/>
      </c>
      <c r="AJ1051" s="39">
        <f>IF(IFERROR(VLOOKUP(D1051,Controls!$A$25:$D$35,4,FALSE()),"No")="Yes",1,0)</f>
        <v/>
      </c>
      <c r="AK1051" s="96">
        <f>IF(AND($E1051&gt;=Controls!$B$5,$E1051&lt;=Controls!$B$6,OR(Controls!$E$9&lt;&gt;"Y",$BE1051=1)),1,0)</f>
        <v/>
      </c>
      <c r="AL1051" s="39">
        <f>1</f>
        <v/>
      </c>
      <c r="AM1051" s="20">
        <f>S1051-P1051</f>
        <v/>
      </c>
      <c r="AN1051" s="20">
        <f>IF(AH1051=1,MAX(0,P1051-S1051),0)</f>
        <v/>
      </c>
      <c r="AO1051" s="21">
        <f>IFERROR(S1051/P1051,"")</f>
        <v/>
      </c>
      <c r="AP1051" s="22">
        <f>IF(Y1051="","",P1051/Y1051)</f>
        <v/>
      </c>
      <c r="AQ1051" s="39">
        <f>IF(Y1051="",0,1)</f>
        <v/>
      </c>
      <c r="AR1051" s="39">
        <f>IF(S1051&lt;=0,1,0)</f>
        <v/>
      </c>
      <c r="AS1051" s="17">
        <f>IF(AH1051=1,AG1051,"")</f>
        <v/>
      </c>
      <c r="AT1051" s="17">
        <f>IF(AND(AH1051=0,AJ1051=1),AG1051,"")</f>
        <v/>
      </c>
      <c r="AU1051" s="5">
        <f>IF(P1051&lt;10000,"Under $10K",IF(P1051&lt;20000,"$10-20K",IF(P1051&lt;30000,"$20-30K",IF(P1051&lt;50000,"$30-50K",IF(P1051&lt;100000,"$50-100K","$100K+")))))</f>
        <v/>
      </c>
      <c r="AV1051" s="5">
        <f>IF(O1051&lt;=1.35,"1.35 and under",IF(O1051&lt;=1.42,"1.36-1.42",IF(O1051&lt;=1.45,"1.43-1.45",IF(O1051&lt;1.49,"1.46-1.48",IF(O1051&lt;=1.49,"1.49","Above 1.49")))))</f>
        <v/>
      </c>
      <c r="AW1051" s="5">
        <f>IF(AE1051="","",IF(AE1051&lt;60,"Under 60",IF(AE1051&lt;90,"60-89",IF(AE1051&lt;120,"90-119",IF(AE1051&lt;150,"120-149","150+")))))</f>
        <v/>
      </c>
      <c r="AX1051" s="5">
        <f>IF(AP1051="","No revenue data",IF(AP1051&lt;0.15,"Under 0.15x",IF(AP1051&lt;0.3,"0.15-0.30x",IF(AP1051&lt;0.5,"0.30-0.50x",IF(AP1051&lt;1,"0.50-1.00x","1.00x+")))))</f>
        <v/>
      </c>
      <c r="AY1051" s="5">
        <f>IF(J1051="","No SIC",IFERROR(VLOOKUP(J1051,Ref!$A$4:$C$67,2,FALSE()),"Unclassified"))</f>
        <v/>
      </c>
      <c r="AZ1051" s="5">
        <f>IF(E1051="","",TEXT(E1051,"YYYY")&amp;"-Q"&amp;ROUNDUP(MONTH(E1051)/3,0))</f>
        <v/>
      </c>
      <c r="BA1051" s="5">
        <f>IF(E1051="","",TEXT(E1051,"YYYY-MM"))</f>
        <v/>
      </c>
      <c r="BB1051" s="5">
        <f>IF(E1051="","",TEXT(E1051,"YYYY"))</f>
        <v/>
      </c>
      <c r="BC1051" s="92">
        <f>IF($E1051="","",NETWORKDAYS($E1051,Controls!$B$9,Ref!$F$4:$F$47))</f>
        <v/>
      </c>
      <c r="BD1051" s="92">
        <f>IF(OR($AH1051=1,$AJ1051=1),1,0)</f>
        <v/>
      </c>
      <c r="BE1051" s="95">
        <f>IF(OR($BD1051=1,AND($AE1051&lt;&gt;"",$BC1051&gt;=Controls!$B$10*$AE1051)),1,0)</f>
        <v/>
      </c>
    </row>
    <row r="1052" ht="15.75" customHeight="1" s="79">
      <c r="A1052" s="5" t="inlineStr">
        <is>
          <t>5674188067</t>
        </is>
      </c>
      <c r="B1052" s="5" t="inlineStr">
        <is>
          <t>RACING STABLES</t>
        </is>
      </c>
      <c r="C1052" s="5" t="inlineStr">
        <is>
          <t>JOHN ROACH</t>
        </is>
      </c>
      <c r="D1052" s="5" t="inlineStr">
        <is>
          <t>Open</t>
        </is>
      </c>
      <c r="E1052" s="16" t="n">
        <v>46231</v>
      </c>
      <c r="F1052" s="16" t="n">
        <v>46253</v>
      </c>
      <c r="G1052" s="17" t="n">
        <v>3</v>
      </c>
      <c r="H1052" s="5" t="inlineStr">
        <is>
          <t>7948</t>
        </is>
      </c>
      <c r="I1052" s="5" t="inlineStr">
        <is>
          <t>Racetracks</t>
        </is>
      </c>
      <c r="J1052" s="5" t="inlineStr">
        <is>
          <t>79</t>
        </is>
      </c>
      <c r="K1052" s="5" t="n">
        <v>7941</v>
      </c>
      <c r="L1052" s="5" t="inlineStr">
        <is>
          <t>NC</t>
        </is>
      </c>
      <c r="M1052" s="5" t="inlineStr">
        <is>
          <t>Westwood</t>
        </is>
      </c>
      <c r="N1052" s="5" t="inlineStr">
        <is>
          <t>New Deal</t>
        </is>
      </c>
      <c r="O1052" s="19" t="n">
        <v>1.49</v>
      </c>
      <c r="P1052" s="20" t="n">
        <v>20000</v>
      </c>
      <c r="Q1052" s="20" t="n">
        <v>2800</v>
      </c>
      <c r="R1052" s="20" t="n">
        <v>29800</v>
      </c>
      <c r="S1052" s="20" t="n">
        <v>4635.54</v>
      </c>
      <c r="T1052" s="20" t="n">
        <v>25164.46</v>
      </c>
      <c r="U1052" s="21" t="n">
        <v>0.155555033557047</v>
      </c>
      <c r="V1052" s="22" t="n">
        <v>2.951</v>
      </c>
      <c r="W1052" s="17" t="n">
        <v>0</v>
      </c>
      <c r="X1052" s="17" t="n">
        <v>0</v>
      </c>
      <c r="Y1052" s="20" t="n">
        <v>25516.76</v>
      </c>
      <c r="Z1052" s="21" t="n">
        <v>0.2725</v>
      </c>
      <c r="AA1052" s="16" t="n">
        <v>37147</v>
      </c>
      <c r="AB1052" s="5">
        <f>IF(V1052="","",IF(V1052&lt;12,"Months","Weeks"))</f>
        <v/>
      </c>
      <c r="AC1052" s="5">
        <f>IF(AB1052="","",IF(AB1052="Months","Daily","Weekly"))</f>
        <v/>
      </c>
      <c r="AD1052" s="17">
        <f>IF(V1052="","",IF(AC1052="Daily",V1052*Controls!$B$13,V1052))</f>
        <v/>
      </c>
      <c r="AE1052" s="17">
        <f>IF(V1052="","",IF(AC1052="Daily",V1052*Controls!$B$13,V1052*Controls!$B$12))</f>
        <v/>
      </c>
      <c r="AF1052" s="17">
        <f>IF(OR(E1052="",F1052=""),"",F1052-E1052)</f>
        <v/>
      </c>
      <c r="AG1052" s="17">
        <f>IF(OR(E1052="",F1052=""),"",NETWORKDAYS(E1052,F1052,Ref!$F$4:$F$47))</f>
        <v/>
      </c>
      <c r="AH1052" s="39">
        <f>IF(IFERROR(VLOOKUP(D1052,Controls!$A$25:$D$35,2,FALSE()),"No")="Yes",1,0)</f>
        <v/>
      </c>
      <c r="AI1052" s="39">
        <f>IF(IFERROR(VLOOKUP(D1052,Controls!$A$25:$D$35,3,FALSE()),"No")="Yes",1,0)</f>
        <v/>
      </c>
      <c r="AJ1052" s="39">
        <f>IF(IFERROR(VLOOKUP(D1052,Controls!$A$25:$D$35,4,FALSE()),"No")="Yes",1,0)</f>
        <v/>
      </c>
      <c r="AK1052" s="96">
        <f>IF(AND($E1052&gt;=Controls!$B$5,$E1052&lt;=Controls!$B$6,OR(Controls!$E$9&lt;&gt;"Y",$BE1052=1)),1,0)</f>
        <v/>
      </c>
      <c r="AL1052" s="39">
        <f>1</f>
        <v/>
      </c>
      <c r="AM1052" s="20">
        <f>S1052-P1052</f>
        <v/>
      </c>
      <c r="AN1052" s="20">
        <f>IF(AH1052=1,MAX(0,P1052-S1052),0)</f>
        <v/>
      </c>
      <c r="AO1052" s="21">
        <f>IFERROR(S1052/P1052,"")</f>
        <v/>
      </c>
      <c r="AP1052" s="22">
        <f>IF(Y1052="","",P1052/Y1052)</f>
        <v/>
      </c>
      <c r="AQ1052" s="39">
        <f>IF(Y1052="",0,1)</f>
        <v/>
      </c>
      <c r="AR1052" s="39">
        <f>IF(S1052&lt;=0,1,0)</f>
        <v/>
      </c>
      <c r="AS1052" s="17">
        <f>IF(AH1052=1,AG1052,"")</f>
        <v/>
      </c>
      <c r="AT1052" s="17">
        <f>IF(AND(AH1052=0,AJ1052=1),AG1052,"")</f>
        <v/>
      </c>
      <c r="AU1052" s="5">
        <f>IF(P1052&lt;10000,"Under $10K",IF(P1052&lt;20000,"$10-20K",IF(P1052&lt;30000,"$20-30K",IF(P1052&lt;50000,"$30-50K",IF(P1052&lt;100000,"$50-100K","$100K+")))))</f>
        <v/>
      </c>
      <c r="AV1052" s="5">
        <f>IF(O1052&lt;=1.35,"1.35 and under",IF(O1052&lt;=1.42,"1.36-1.42",IF(O1052&lt;=1.45,"1.43-1.45",IF(O1052&lt;1.49,"1.46-1.48",IF(O1052&lt;=1.49,"1.49","Above 1.49")))))</f>
        <v/>
      </c>
      <c r="AW1052" s="5">
        <f>IF(AE1052="","",IF(AE1052&lt;60,"Under 60",IF(AE1052&lt;90,"60-89",IF(AE1052&lt;120,"90-119",IF(AE1052&lt;150,"120-149","150+")))))</f>
        <v/>
      </c>
      <c r="AX1052" s="5">
        <f>IF(AP1052="","No revenue data",IF(AP1052&lt;0.15,"Under 0.15x",IF(AP1052&lt;0.3,"0.15-0.30x",IF(AP1052&lt;0.5,"0.30-0.50x",IF(AP1052&lt;1,"0.50-1.00x","1.00x+")))))</f>
        <v/>
      </c>
      <c r="AY1052" s="5">
        <f>IF(J1052="","No SIC",IFERROR(VLOOKUP(J1052,Ref!$A$4:$C$67,2,FALSE()),"Unclassified"))</f>
        <v/>
      </c>
      <c r="AZ1052" s="5">
        <f>IF(E1052="","",TEXT(E1052,"YYYY")&amp;"-Q"&amp;ROUNDUP(MONTH(E1052)/3,0))</f>
        <v/>
      </c>
      <c r="BA1052" s="5">
        <f>IF(E1052="","",TEXT(E1052,"YYYY-MM"))</f>
        <v/>
      </c>
      <c r="BB1052" s="5">
        <f>IF(E1052="","",TEXT(E1052,"YYYY"))</f>
        <v/>
      </c>
      <c r="BC1052" s="92">
        <f>IF($E1052="","",NETWORKDAYS($E1052,Controls!$B$9,Ref!$F$4:$F$47))</f>
        <v/>
      </c>
      <c r="BD1052" s="92">
        <f>IF(OR($AH1052=1,$AJ1052=1),1,0)</f>
        <v/>
      </c>
      <c r="BE1052" s="95">
        <f>IF(OR($BD1052=1,AND($AE1052&lt;&gt;"",$BC1052&gt;=Controls!$B$10*$AE1052)),1,0)</f>
        <v/>
      </c>
    </row>
    <row r="1053" ht="15.75" customHeight="1" s="79">
      <c r="A1053" s="5" t="inlineStr">
        <is>
          <t>5674188069</t>
        </is>
      </c>
      <c r="B1053" s="5" t="inlineStr">
        <is>
          <t>TRES JARDINES LLC</t>
        </is>
      </c>
      <c r="C1053" s="5" t="inlineStr">
        <is>
          <t>TRES JARDINES LLC</t>
        </is>
      </c>
      <c r="D1053" s="5" t="inlineStr">
        <is>
          <t>Open</t>
        </is>
      </c>
      <c r="E1053" s="16" t="n">
        <v>46231</v>
      </c>
      <c r="F1053" s="16" t="n">
        <v>46253</v>
      </c>
      <c r="G1053" s="17" t="n">
        <v>3</v>
      </c>
      <c r="H1053" s="5" t="inlineStr">
        <is>
          <t>5812</t>
        </is>
      </c>
      <c r="I1053" s="5" t="inlineStr">
        <is>
          <t>Snack and Nonalcoholic Beverage Bars</t>
        </is>
      </c>
      <c r="J1053" s="5" t="inlineStr">
        <is>
          <t>58</t>
        </is>
      </c>
      <c r="K1053" s="5" t="n">
        <v>5812</v>
      </c>
      <c r="L1053" s="5" t="inlineStr">
        <is>
          <t>GA</t>
        </is>
      </c>
      <c r="M1053" s="5" t="inlineStr">
        <is>
          <t>secure way capital</t>
        </is>
      </c>
      <c r="N1053" s="5" t="inlineStr">
        <is>
          <t>Renewal</t>
        </is>
      </c>
      <c r="O1053" s="19" t="n">
        <v>1.49</v>
      </c>
      <c r="P1053" s="20" t="n">
        <v>20000</v>
      </c>
      <c r="Q1053" s="20" t="n">
        <v>2800</v>
      </c>
      <c r="R1053" s="20" t="n">
        <v>29800</v>
      </c>
      <c r="S1053" s="20" t="n">
        <v>4171.44</v>
      </c>
      <c r="T1053" s="20" t="n">
        <v>25628.56</v>
      </c>
      <c r="U1053" s="21" t="n">
        <v>0.139981208053691</v>
      </c>
      <c r="V1053" s="22" t="n">
        <v>3.279</v>
      </c>
      <c r="W1053" s="17" t="n">
        <v>0</v>
      </c>
      <c r="X1053" s="17" t="n">
        <v>0</v>
      </c>
      <c r="Y1053" s="20" t="n">
        <v>32880.33</v>
      </c>
      <c r="Z1053" s="21" t="n">
        <v>0.1903</v>
      </c>
      <c r="AA1053" s="16" t="n">
        <v>44288</v>
      </c>
      <c r="AB1053" s="5">
        <f>IF(V1053="","",IF(V1053&lt;12,"Months","Weeks"))</f>
        <v/>
      </c>
      <c r="AC1053" s="5">
        <f>IF(AB1053="","",IF(AB1053="Months","Daily","Weekly"))</f>
        <v/>
      </c>
      <c r="AD1053" s="17">
        <f>IF(V1053="","",IF(AC1053="Daily",V1053*Controls!$B$13,V1053))</f>
        <v/>
      </c>
      <c r="AE1053" s="17">
        <f>IF(V1053="","",IF(AC1053="Daily",V1053*Controls!$B$13,V1053*Controls!$B$12))</f>
        <v/>
      </c>
      <c r="AF1053" s="17">
        <f>IF(OR(E1053="",F1053=""),"",F1053-E1053)</f>
        <v/>
      </c>
      <c r="AG1053" s="17">
        <f>IF(OR(E1053="",F1053=""),"",NETWORKDAYS(E1053,F1053,Ref!$F$4:$F$47))</f>
        <v/>
      </c>
      <c r="AH1053" s="39">
        <f>IF(IFERROR(VLOOKUP(D1053,Controls!$A$25:$D$35,2,FALSE()),"No")="Yes",1,0)</f>
        <v/>
      </c>
      <c r="AI1053" s="39">
        <f>IF(IFERROR(VLOOKUP(D1053,Controls!$A$25:$D$35,3,FALSE()),"No")="Yes",1,0)</f>
        <v/>
      </c>
      <c r="AJ1053" s="39">
        <f>IF(IFERROR(VLOOKUP(D1053,Controls!$A$25:$D$35,4,FALSE()),"No")="Yes",1,0)</f>
        <v/>
      </c>
      <c r="AK1053" s="96">
        <f>IF(AND($E1053&gt;=Controls!$B$5,$E1053&lt;=Controls!$B$6,OR(Controls!$E$9&lt;&gt;"Y",$BE1053=1)),1,0)</f>
        <v/>
      </c>
      <c r="AL1053" s="39">
        <f>1</f>
        <v/>
      </c>
      <c r="AM1053" s="20">
        <f>S1053-P1053</f>
        <v/>
      </c>
      <c r="AN1053" s="20">
        <f>IF(AH1053=1,MAX(0,P1053-S1053),0)</f>
        <v/>
      </c>
      <c r="AO1053" s="21">
        <f>IFERROR(S1053/P1053,"")</f>
        <v/>
      </c>
      <c r="AP1053" s="22">
        <f>IF(Y1053="","",P1053/Y1053)</f>
        <v/>
      </c>
      <c r="AQ1053" s="39">
        <f>IF(Y1053="",0,1)</f>
        <v/>
      </c>
      <c r="AR1053" s="39">
        <f>IF(S1053&lt;=0,1,0)</f>
        <v/>
      </c>
      <c r="AS1053" s="17">
        <f>IF(AH1053=1,AG1053,"")</f>
        <v/>
      </c>
      <c r="AT1053" s="17">
        <f>IF(AND(AH1053=0,AJ1053=1),AG1053,"")</f>
        <v/>
      </c>
      <c r="AU1053" s="5">
        <f>IF(P1053&lt;10000,"Under $10K",IF(P1053&lt;20000,"$10-20K",IF(P1053&lt;30000,"$20-30K",IF(P1053&lt;50000,"$30-50K",IF(P1053&lt;100000,"$50-100K","$100K+")))))</f>
        <v/>
      </c>
      <c r="AV1053" s="5">
        <f>IF(O1053&lt;=1.35,"1.35 and under",IF(O1053&lt;=1.42,"1.36-1.42",IF(O1053&lt;=1.45,"1.43-1.45",IF(O1053&lt;1.49,"1.46-1.48",IF(O1053&lt;=1.49,"1.49","Above 1.49")))))</f>
        <v/>
      </c>
      <c r="AW1053" s="5">
        <f>IF(AE1053="","",IF(AE1053&lt;60,"Under 60",IF(AE1053&lt;90,"60-89",IF(AE1053&lt;120,"90-119",IF(AE1053&lt;150,"120-149","150+")))))</f>
        <v/>
      </c>
      <c r="AX1053" s="5">
        <f>IF(AP1053="","No revenue data",IF(AP1053&lt;0.15,"Under 0.15x",IF(AP1053&lt;0.3,"0.15-0.30x",IF(AP1053&lt;0.5,"0.30-0.50x",IF(AP1053&lt;1,"0.50-1.00x","1.00x+")))))</f>
        <v/>
      </c>
      <c r="AY1053" s="5">
        <f>IF(J1053="","No SIC",IFERROR(VLOOKUP(J1053,Ref!$A$4:$C$67,2,FALSE()),"Unclassified"))</f>
        <v/>
      </c>
      <c r="AZ1053" s="5">
        <f>IF(E1053="","",TEXT(E1053,"YYYY")&amp;"-Q"&amp;ROUNDUP(MONTH(E1053)/3,0))</f>
        <v/>
      </c>
      <c r="BA1053" s="5">
        <f>IF(E1053="","",TEXT(E1053,"YYYY-MM"))</f>
        <v/>
      </c>
      <c r="BB1053" s="5">
        <f>IF(E1053="","",TEXT(E1053,"YYYY"))</f>
        <v/>
      </c>
      <c r="BC1053" s="92">
        <f>IF($E1053="","",NETWORKDAYS($E1053,Controls!$B$9,Ref!$F$4:$F$47))</f>
        <v/>
      </c>
      <c r="BD1053" s="92">
        <f>IF(OR($AH1053=1,$AJ1053=1),1,0)</f>
        <v/>
      </c>
      <c r="BE1053" s="95">
        <f>IF(OR($BD1053=1,AND($AE1053&lt;&gt;"",$BC1053&gt;=Controls!$B$10*$AE1053)),1,0)</f>
        <v/>
      </c>
    </row>
    <row r="1054" ht="15.75" customHeight="1" s="79">
      <c r="A1054" s="5" t="inlineStr">
        <is>
          <t>5674188104</t>
        </is>
      </c>
      <c r="B1054" s="5" t="inlineStr">
        <is>
          <t>AS ONE TRANSPORTATION</t>
        </is>
      </c>
      <c r="C1054" s="5" t="inlineStr">
        <is>
          <t>AS ONE TRANSPORTATION</t>
        </is>
      </c>
      <c r="D1054" s="5" t="inlineStr">
        <is>
          <t>Open</t>
        </is>
      </c>
      <c r="E1054" s="16" t="n">
        <v>46231</v>
      </c>
      <c r="F1054" s="16" t="n">
        <v>46248</v>
      </c>
      <c r="G1054" s="17" t="n">
        <v>3</v>
      </c>
      <c r="H1054" s="5" t="inlineStr">
        <is>
          <t>4212</t>
        </is>
      </c>
      <c r="I1054" s="5" t="inlineStr">
        <is>
          <t>Specialized Freight (Except Used Goods) Trucking, Local</t>
        </is>
      </c>
      <c r="J1054" s="5" t="inlineStr">
        <is>
          <t>42</t>
        </is>
      </c>
      <c r="K1054" s="5" t="n">
        <v>4214</v>
      </c>
      <c r="L1054" s="5" t="inlineStr">
        <is>
          <t>MO</t>
        </is>
      </c>
      <c r="M1054" s="5" t="inlineStr">
        <is>
          <t>Westwood</t>
        </is>
      </c>
      <c r="N1054" s="5" t="inlineStr">
        <is>
          <t>Renewal</t>
        </is>
      </c>
      <c r="O1054" s="19" t="n">
        <v>1.4</v>
      </c>
      <c r="P1054" s="20" t="n">
        <v>35000</v>
      </c>
      <c r="Q1054" s="20" t="n">
        <v>3325</v>
      </c>
      <c r="R1054" s="20" t="n">
        <v>49000</v>
      </c>
      <c r="S1054" s="20" t="n">
        <v>5253.21</v>
      </c>
      <c r="T1054" s="20" t="n">
        <v>43746.79</v>
      </c>
      <c r="U1054" s="21" t="n">
        <v>0.107208367346939</v>
      </c>
      <c r="V1054" s="22" t="n">
        <v>28</v>
      </c>
      <c r="W1054" s="17" t="n">
        <v>5</v>
      </c>
      <c r="X1054" s="17" t="n">
        <v>0</v>
      </c>
      <c r="Y1054" s="20" t="n">
        <v>99070.63</v>
      </c>
      <c r="Z1054" s="21" t="n">
        <v>0.0707</v>
      </c>
      <c r="AA1054" s="16" t="n">
        <v>44047</v>
      </c>
      <c r="AB1054" s="5">
        <f>IF(V1054="","",IF(V1054&lt;12,"Months","Weeks"))</f>
        <v/>
      </c>
      <c r="AC1054" s="5">
        <f>IF(AB1054="","",IF(AB1054="Months","Daily","Weekly"))</f>
        <v/>
      </c>
      <c r="AD1054" s="17">
        <f>IF(V1054="","",IF(AC1054="Daily",V1054*Controls!$B$13,V1054))</f>
        <v/>
      </c>
      <c r="AE1054" s="17">
        <f>IF(V1054="","",IF(AC1054="Daily",V1054*Controls!$B$13,V1054*Controls!$B$12))</f>
        <v/>
      </c>
      <c r="AF1054" s="17">
        <f>IF(OR(E1054="",F1054=""),"",F1054-E1054)</f>
        <v/>
      </c>
      <c r="AG1054" s="17">
        <f>IF(OR(E1054="",F1054=""),"",NETWORKDAYS(E1054,F1054,Ref!$F$4:$F$47))</f>
        <v/>
      </c>
      <c r="AH1054" s="39">
        <f>IF(IFERROR(VLOOKUP(D1054,Controls!$A$25:$D$35,2,FALSE()),"No")="Yes",1,0)</f>
        <v/>
      </c>
      <c r="AI1054" s="39">
        <f>IF(IFERROR(VLOOKUP(D1054,Controls!$A$25:$D$35,3,FALSE()),"No")="Yes",1,0)</f>
        <v/>
      </c>
      <c r="AJ1054" s="39">
        <f>IF(IFERROR(VLOOKUP(D1054,Controls!$A$25:$D$35,4,FALSE()),"No")="Yes",1,0)</f>
        <v/>
      </c>
      <c r="AK1054" s="96">
        <f>IF(AND($E1054&gt;=Controls!$B$5,$E1054&lt;=Controls!$B$6,OR(Controls!$E$9&lt;&gt;"Y",$BE1054=1)),1,0)</f>
        <v/>
      </c>
      <c r="AL1054" s="39">
        <f>1</f>
        <v/>
      </c>
      <c r="AM1054" s="20">
        <f>S1054-P1054</f>
        <v/>
      </c>
      <c r="AN1054" s="20">
        <f>IF(AH1054=1,MAX(0,P1054-S1054),0)</f>
        <v/>
      </c>
      <c r="AO1054" s="21">
        <f>IFERROR(S1054/P1054,"")</f>
        <v/>
      </c>
      <c r="AP1054" s="22">
        <f>IF(Y1054="","",P1054/Y1054)</f>
        <v/>
      </c>
      <c r="AQ1054" s="39">
        <f>IF(Y1054="",0,1)</f>
        <v/>
      </c>
      <c r="AR1054" s="39">
        <f>IF(S1054&lt;=0,1,0)</f>
        <v/>
      </c>
      <c r="AS1054" s="17">
        <f>IF(AH1054=1,AG1054,"")</f>
        <v/>
      </c>
      <c r="AT1054" s="17">
        <f>IF(AND(AH1054=0,AJ1054=1),AG1054,"")</f>
        <v/>
      </c>
      <c r="AU1054" s="5">
        <f>IF(P1054&lt;10000,"Under $10K",IF(P1054&lt;20000,"$10-20K",IF(P1054&lt;30000,"$20-30K",IF(P1054&lt;50000,"$30-50K",IF(P1054&lt;100000,"$50-100K","$100K+")))))</f>
        <v/>
      </c>
      <c r="AV1054" s="5">
        <f>IF(O1054&lt;=1.35,"1.35 and under",IF(O1054&lt;=1.42,"1.36-1.42",IF(O1054&lt;=1.45,"1.43-1.45",IF(O1054&lt;1.49,"1.46-1.48",IF(O1054&lt;=1.49,"1.49","Above 1.49")))))</f>
        <v/>
      </c>
      <c r="AW1054" s="5">
        <f>IF(AE1054="","",IF(AE1054&lt;60,"Under 60",IF(AE1054&lt;90,"60-89",IF(AE1054&lt;120,"90-119",IF(AE1054&lt;150,"120-149","150+")))))</f>
        <v/>
      </c>
      <c r="AX1054" s="5">
        <f>IF(AP1054="","No revenue data",IF(AP1054&lt;0.15,"Under 0.15x",IF(AP1054&lt;0.3,"0.15-0.30x",IF(AP1054&lt;0.5,"0.30-0.50x",IF(AP1054&lt;1,"0.50-1.00x","1.00x+")))))</f>
        <v/>
      </c>
      <c r="AY1054" s="5">
        <f>IF(J1054="","No SIC",IFERROR(VLOOKUP(J1054,Ref!$A$4:$C$67,2,FALSE()),"Unclassified"))</f>
        <v/>
      </c>
      <c r="AZ1054" s="5">
        <f>IF(E1054="","",TEXT(E1054,"YYYY")&amp;"-Q"&amp;ROUNDUP(MONTH(E1054)/3,0))</f>
        <v/>
      </c>
      <c r="BA1054" s="5">
        <f>IF(E1054="","",TEXT(E1054,"YYYY-MM"))</f>
        <v/>
      </c>
      <c r="BB1054" s="5">
        <f>IF(E1054="","",TEXT(E1054,"YYYY"))</f>
        <v/>
      </c>
      <c r="BC1054" s="92">
        <f>IF($E1054="","",NETWORKDAYS($E1054,Controls!$B$9,Ref!$F$4:$F$47))</f>
        <v/>
      </c>
      <c r="BD1054" s="92">
        <f>IF(OR($AH1054=1,$AJ1054=1),1,0)</f>
        <v/>
      </c>
      <c r="BE1054" s="95">
        <f>IF(OR($BD1054=1,AND($AE1054&lt;&gt;"",$BC1054&gt;=Controls!$B$10*$AE1054)),1,0)</f>
        <v/>
      </c>
    </row>
    <row r="1055" ht="15.75" customHeight="1" s="79">
      <c r="A1055" s="5" t="inlineStr">
        <is>
          <t>5674188122</t>
        </is>
      </c>
      <c r="B1055" s="5" t="inlineStr">
        <is>
          <t>MARTIN PALMER TOOL</t>
        </is>
      </c>
      <c r="C1055" s="5" t="inlineStr">
        <is>
          <t>EDFA LLC</t>
        </is>
      </c>
      <c r="D1055" s="5" t="inlineStr">
        <is>
          <t>Open</t>
        </is>
      </c>
      <c r="E1055" s="16" t="n">
        <v>46232</v>
      </c>
      <c r="F1055" s="16" t="n">
        <v>46252</v>
      </c>
      <c r="G1055" s="17" t="n">
        <v>3</v>
      </c>
      <c r="H1055" s="5" t="inlineStr">
        <is>
          <t>3544</t>
        </is>
      </c>
      <c r="I1055" s="5" t="inlineStr">
        <is>
          <t>Special Die and Tool, Die Set, Jig, and Fixture Mfg.</t>
        </is>
      </c>
      <c r="J1055" s="5" t="inlineStr">
        <is>
          <t>35</t>
        </is>
      </c>
      <c r="K1055" s="5" t="n">
        <v>5999</v>
      </c>
      <c r="L1055" s="5" t="inlineStr">
        <is>
          <t>OH</t>
        </is>
      </c>
      <c r="M1055" s="5" t="inlineStr">
        <is>
          <t>PMF</t>
        </is>
      </c>
      <c r="N1055" s="5" t="inlineStr">
        <is>
          <t>Renewal</t>
        </is>
      </c>
      <c r="O1055" s="19" t="n">
        <v>1.49</v>
      </c>
      <c r="P1055" s="20" t="n">
        <v>300000</v>
      </c>
      <c r="Q1055" s="20" t="n">
        <v>42000</v>
      </c>
      <c r="R1055" s="20" t="n">
        <v>447000</v>
      </c>
      <c r="S1055" s="20" t="n">
        <v>47888.34</v>
      </c>
      <c r="T1055" s="20" t="n">
        <v>399111.66</v>
      </c>
      <c r="U1055" s="21" t="n">
        <v>0.107132751677852</v>
      </c>
      <c r="V1055" s="22" t="n">
        <v>28</v>
      </c>
      <c r="W1055" s="17" t="n">
        <v>1</v>
      </c>
      <c r="X1055" s="17" t="n">
        <v>0</v>
      </c>
      <c r="Y1055" s="20" t="n">
        <v>159987.75</v>
      </c>
      <c r="Z1055" s="21" t="n">
        <v>0.3991</v>
      </c>
      <c r="AA1055" s="16" t="n">
        <v>43693</v>
      </c>
      <c r="AB1055" s="5">
        <f>IF(V1055="","",IF(V1055&lt;12,"Months","Weeks"))</f>
        <v/>
      </c>
      <c r="AC1055" s="5">
        <f>IF(AB1055="","",IF(AB1055="Months","Daily","Weekly"))</f>
        <v/>
      </c>
      <c r="AD1055" s="17">
        <f>IF(V1055="","",IF(AC1055="Daily",V1055*Controls!$B$13,V1055))</f>
        <v/>
      </c>
      <c r="AE1055" s="17">
        <f>IF(V1055="","",IF(AC1055="Daily",V1055*Controls!$B$13,V1055*Controls!$B$12))</f>
        <v/>
      </c>
      <c r="AF1055" s="17">
        <f>IF(OR(E1055="",F1055=""),"",F1055-E1055)</f>
        <v/>
      </c>
      <c r="AG1055" s="17">
        <f>IF(OR(E1055="",F1055=""),"",NETWORKDAYS(E1055,F1055,Ref!$F$4:$F$47))</f>
        <v/>
      </c>
      <c r="AH1055" s="39">
        <f>IF(IFERROR(VLOOKUP(D1055,Controls!$A$25:$D$35,2,FALSE()),"No")="Yes",1,0)</f>
        <v/>
      </c>
      <c r="AI1055" s="39">
        <f>IF(IFERROR(VLOOKUP(D1055,Controls!$A$25:$D$35,3,FALSE()),"No")="Yes",1,0)</f>
        <v/>
      </c>
      <c r="AJ1055" s="39">
        <f>IF(IFERROR(VLOOKUP(D1055,Controls!$A$25:$D$35,4,FALSE()),"No")="Yes",1,0)</f>
        <v/>
      </c>
      <c r="AK1055" s="96">
        <f>IF(AND($E1055&gt;=Controls!$B$5,$E1055&lt;=Controls!$B$6,OR(Controls!$E$9&lt;&gt;"Y",$BE1055=1)),1,0)</f>
        <v/>
      </c>
      <c r="AL1055" s="39">
        <f>1</f>
        <v/>
      </c>
      <c r="AM1055" s="20">
        <f>S1055-P1055</f>
        <v/>
      </c>
      <c r="AN1055" s="20">
        <f>IF(AH1055=1,MAX(0,P1055-S1055),0)</f>
        <v/>
      </c>
      <c r="AO1055" s="21">
        <f>IFERROR(S1055/P1055,"")</f>
        <v/>
      </c>
      <c r="AP1055" s="22">
        <f>IF(Y1055="","",P1055/Y1055)</f>
        <v/>
      </c>
      <c r="AQ1055" s="39">
        <f>IF(Y1055="",0,1)</f>
        <v/>
      </c>
      <c r="AR1055" s="39">
        <f>IF(S1055&lt;=0,1,0)</f>
        <v/>
      </c>
      <c r="AS1055" s="17">
        <f>IF(AH1055=1,AG1055,"")</f>
        <v/>
      </c>
      <c r="AT1055" s="17">
        <f>IF(AND(AH1055=0,AJ1055=1),AG1055,"")</f>
        <v/>
      </c>
      <c r="AU1055" s="5">
        <f>IF(P1055&lt;10000,"Under $10K",IF(P1055&lt;20000,"$10-20K",IF(P1055&lt;30000,"$20-30K",IF(P1055&lt;50000,"$30-50K",IF(P1055&lt;100000,"$50-100K","$100K+")))))</f>
        <v/>
      </c>
      <c r="AV1055" s="5">
        <f>IF(O1055&lt;=1.35,"1.35 and under",IF(O1055&lt;=1.42,"1.36-1.42",IF(O1055&lt;=1.45,"1.43-1.45",IF(O1055&lt;1.49,"1.46-1.48",IF(O1055&lt;=1.49,"1.49","Above 1.49")))))</f>
        <v/>
      </c>
      <c r="AW1055" s="5">
        <f>IF(AE1055="","",IF(AE1055&lt;60,"Under 60",IF(AE1055&lt;90,"60-89",IF(AE1055&lt;120,"90-119",IF(AE1055&lt;150,"120-149","150+")))))</f>
        <v/>
      </c>
      <c r="AX1055" s="5">
        <f>IF(AP1055="","No revenue data",IF(AP1055&lt;0.15,"Under 0.15x",IF(AP1055&lt;0.3,"0.15-0.30x",IF(AP1055&lt;0.5,"0.30-0.50x",IF(AP1055&lt;1,"0.50-1.00x","1.00x+")))))</f>
        <v/>
      </c>
      <c r="AY1055" s="5">
        <f>IF(J1055="","No SIC",IFERROR(VLOOKUP(J1055,Ref!$A$4:$C$67,2,FALSE()),"Unclassified"))</f>
        <v/>
      </c>
      <c r="AZ1055" s="5">
        <f>IF(E1055="","",TEXT(E1055,"YYYY")&amp;"-Q"&amp;ROUNDUP(MONTH(E1055)/3,0))</f>
        <v/>
      </c>
      <c r="BA1055" s="5">
        <f>IF(E1055="","",TEXT(E1055,"YYYY-MM"))</f>
        <v/>
      </c>
      <c r="BB1055" s="5">
        <f>IF(E1055="","",TEXT(E1055,"YYYY"))</f>
        <v/>
      </c>
      <c r="BC1055" s="92">
        <f>IF($E1055="","",NETWORKDAYS($E1055,Controls!$B$9,Ref!$F$4:$F$47))</f>
        <v/>
      </c>
      <c r="BD1055" s="92">
        <f>IF(OR($AH1055=1,$AJ1055=1),1,0)</f>
        <v/>
      </c>
      <c r="BE1055" s="95">
        <f>IF(OR($BD1055=1,AND($AE1055&lt;&gt;"",$BC1055&gt;=Controls!$B$10*$AE1055)),1,0)</f>
        <v/>
      </c>
    </row>
    <row r="1056" ht="15.75" customHeight="1" s="79">
      <c r="A1056" s="5" t="inlineStr">
        <is>
          <t>5674188123</t>
        </is>
      </c>
      <c r="B1056" s="5" t="inlineStr">
        <is>
          <t>Kelly Logging Nelson W Sayre</t>
        </is>
      </c>
      <c r="C1056" s="5" t="inlineStr">
        <is>
          <t>Kelly Logging Nelson W Sayre</t>
        </is>
      </c>
      <c r="D1056" s="5" t="inlineStr">
        <is>
          <t>Open</t>
        </is>
      </c>
      <c r="E1056" s="16" t="n">
        <v>46232</v>
      </c>
      <c r="F1056" s="16" t="n">
        <v>46248</v>
      </c>
      <c r="G1056" s="17" t="n">
        <v>3</v>
      </c>
      <c r="H1056" s="5" t="inlineStr">
        <is>
          <t>5031</t>
        </is>
      </c>
      <c r="I1056" s="5" t="inlineStr">
        <is>
          <t>Lumber, Plywood, Millwork, and Wood Panel Merchant Wholesalers</t>
        </is>
      </c>
      <c r="J1056" s="5" t="inlineStr">
        <is>
          <t>50</t>
        </is>
      </c>
      <c r="K1056" s="5" t="n">
        <v>5039</v>
      </c>
      <c r="L1056" s="5" t="inlineStr">
        <is>
          <t>WV</t>
        </is>
      </c>
      <c r="M1056" s="5" t="inlineStr">
        <is>
          <t>United Secured Capital 8</t>
        </is>
      </c>
      <c r="N1056" s="5" t="inlineStr">
        <is>
          <t>New Deal</t>
        </is>
      </c>
      <c r="O1056" s="19" t="n">
        <v>1.47</v>
      </c>
      <c r="P1056" s="20" t="n">
        <v>25000</v>
      </c>
      <c r="Q1056" s="20" t="n">
        <v>2750</v>
      </c>
      <c r="R1056" s="20" t="n">
        <v>36750</v>
      </c>
      <c r="S1056" s="20" t="n">
        <v>3062.4</v>
      </c>
      <c r="T1056" s="20" t="n">
        <v>33687.6</v>
      </c>
      <c r="U1056" s="21" t="n">
        <v>0.083330612244898</v>
      </c>
      <c r="V1056" s="22" t="n">
        <v>24</v>
      </c>
      <c r="W1056" s="17" t="n">
        <v>5</v>
      </c>
      <c r="X1056" s="17" t="n">
        <v>0</v>
      </c>
      <c r="Y1056" s="20" t="n">
        <v>65000</v>
      </c>
      <c r="Z1056" s="21" t="n">
        <v>0.1276</v>
      </c>
      <c r="AA1056" s="16" t="n">
        <v>42370</v>
      </c>
      <c r="AB1056" s="5">
        <f>IF(V1056="","",IF(V1056&lt;12,"Months","Weeks"))</f>
        <v/>
      </c>
      <c r="AC1056" s="5">
        <f>IF(AB1056="","",IF(AB1056="Months","Daily","Weekly"))</f>
        <v/>
      </c>
      <c r="AD1056" s="17">
        <f>IF(V1056="","",IF(AC1056="Daily",V1056*Controls!$B$13,V1056))</f>
        <v/>
      </c>
      <c r="AE1056" s="17">
        <f>IF(V1056="","",IF(AC1056="Daily",V1056*Controls!$B$13,V1056*Controls!$B$12))</f>
        <v/>
      </c>
      <c r="AF1056" s="17">
        <f>IF(OR(E1056="",F1056=""),"",F1056-E1056)</f>
        <v/>
      </c>
      <c r="AG1056" s="17">
        <f>IF(OR(E1056="",F1056=""),"",NETWORKDAYS(E1056,F1056,Ref!$F$4:$F$47))</f>
        <v/>
      </c>
      <c r="AH1056" s="39">
        <f>IF(IFERROR(VLOOKUP(D1056,Controls!$A$25:$D$35,2,FALSE()),"No")="Yes",1,0)</f>
        <v/>
      </c>
      <c r="AI1056" s="39">
        <f>IF(IFERROR(VLOOKUP(D1056,Controls!$A$25:$D$35,3,FALSE()),"No")="Yes",1,0)</f>
        <v/>
      </c>
      <c r="AJ1056" s="39">
        <f>IF(IFERROR(VLOOKUP(D1056,Controls!$A$25:$D$35,4,FALSE()),"No")="Yes",1,0)</f>
        <v/>
      </c>
      <c r="AK1056" s="96">
        <f>IF(AND($E1056&gt;=Controls!$B$5,$E1056&lt;=Controls!$B$6,OR(Controls!$E$9&lt;&gt;"Y",$BE1056=1)),1,0)</f>
        <v/>
      </c>
      <c r="AL1056" s="39">
        <f>1</f>
        <v/>
      </c>
      <c r="AM1056" s="20">
        <f>S1056-P1056</f>
        <v/>
      </c>
      <c r="AN1056" s="20">
        <f>IF(AH1056=1,MAX(0,P1056-S1056),0)</f>
        <v/>
      </c>
      <c r="AO1056" s="21">
        <f>IFERROR(S1056/P1056,"")</f>
        <v/>
      </c>
      <c r="AP1056" s="22">
        <f>IF(Y1056="","",P1056/Y1056)</f>
        <v/>
      </c>
      <c r="AQ1056" s="39">
        <f>IF(Y1056="",0,1)</f>
        <v/>
      </c>
      <c r="AR1056" s="39">
        <f>IF(S1056&lt;=0,1,0)</f>
        <v/>
      </c>
      <c r="AS1056" s="17">
        <f>IF(AH1056=1,AG1056,"")</f>
        <v/>
      </c>
      <c r="AT1056" s="17">
        <f>IF(AND(AH1056=0,AJ1056=1),AG1056,"")</f>
        <v/>
      </c>
      <c r="AU1056" s="5">
        <f>IF(P1056&lt;10000,"Under $10K",IF(P1056&lt;20000,"$10-20K",IF(P1056&lt;30000,"$20-30K",IF(P1056&lt;50000,"$30-50K",IF(P1056&lt;100000,"$50-100K","$100K+")))))</f>
        <v/>
      </c>
      <c r="AV1056" s="5">
        <f>IF(O1056&lt;=1.35,"1.35 and under",IF(O1056&lt;=1.42,"1.36-1.42",IF(O1056&lt;=1.45,"1.43-1.45",IF(O1056&lt;1.49,"1.46-1.48",IF(O1056&lt;=1.49,"1.49","Above 1.49")))))</f>
        <v/>
      </c>
      <c r="AW1056" s="5">
        <f>IF(AE1056="","",IF(AE1056&lt;60,"Under 60",IF(AE1056&lt;90,"60-89",IF(AE1056&lt;120,"90-119",IF(AE1056&lt;150,"120-149","150+")))))</f>
        <v/>
      </c>
      <c r="AX1056" s="5">
        <f>IF(AP1056="","No revenue data",IF(AP1056&lt;0.15,"Under 0.15x",IF(AP1056&lt;0.3,"0.15-0.30x",IF(AP1056&lt;0.5,"0.30-0.50x",IF(AP1056&lt;1,"0.50-1.00x","1.00x+")))))</f>
        <v/>
      </c>
      <c r="AY1056" s="5">
        <f>IF(J1056="","No SIC",IFERROR(VLOOKUP(J1056,Ref!$A$4:$C$67,2,FALSE()),"Unclassified"))</f>
        <v/>
      </c>
      <c r="AZ1056" s="5">
        <f>IF(E1056="","",TEXT(E1056,"YYYY")&amp;"-Q"&amp;ROUNDUP(MONTH(E1056)/3,0))</f>
        <v/>
      </c>
      <c r="BA1056" s="5">
        <f>IF(E1056="","",TEXT(E1056,"YYYY-MM"))</f>
        <v/>
      </c>
      <c r="BB1056" s="5">
        <f>IF(E1056="","",TEXT(E1056,"YYYY"))</f>
        <v/>
      </c>
      <c r="BC1056" s="92">
        <f>IF($E1056="","",NETWORKDAYS($E1056,Controls!$B$9,Ref!$F$4:$F$47))</f>
        <v/>
      </c>
      <c r="BD1056" s="92">
        <f>IF(OR($AH1056=1,$AJ1056=1),1,0)</f>
        <v/>
      </c>
      <c r="BE1056" s="95">
        <f>IF(OR($BD1056=1,AND($AE1056&lt;&gt;"",$BC1056&gt;=Controls!$B$10*$AE1056)),1,0)</f>
        <v/>
      </c>
    </row>
    <row r="1057" ht="15.75" customHeight="1" s="79">
      <c r="A1057" s="5" t="inlineStr">
        <is>
          <t>5674188131</t>
        </is>
      </c>
      <c r="B1057" s="5" t="inlineStr">
        <is>
          <t>MYERS AUTO DIESEL SERVICE</t>
        </is>
      </c>
      <c r="C1057" s="5" t="inlineStr">
        <is>
          <t>KEVIN G MYERS DBA MYERS AUTO DIESEL SERVICE</t>
        </is>
      </c>
      <c r="D1057" s="5" t="inlineStr">
        <is>
          <t>Open</t>
        </is>
      </c>
      <c r="E1057" s="16" t="n">
        <v>46232</v>
      </c>
      <c r="F1057" s="16" t="n">
        <v>46253</v>
      </c>
      <c r="G1057" s="17" t="n">
        <v>3</v>
      </c>
      <c r="H1057" s="5" t="inlineStr">
        <is>
          <t>7539</t>
        </is>
      </c>
      <c r="I1057" s="5" t="inlineStr">
        <is>
          <t>All Other Automotive Repair and Maintenance</t>
        </is>
      </c>
      <c r="J1057" s="5" t="inlineStr">
        <is>
          <t>75</t>
        </is>
      </c>
      <c r="K1057" s="5" t="n">
        <v>7531</v>
      </c>
      <c r="L1057" s="5" t="inlineStr">
        <is>
          <t>TX</t>
        </is>
      </c>
      <c r="M1057" s="5" t="inlineStr">
        <is>
          <t>Tier one</t>
        </is>
      </c>
      <c r="N1057" s="5" t="inlineStr">
        <is>
          <t>New Deal</t>
        </is>
      </c>
      <c r="O1057" s="19" t="n">
        <v>1.39</v>
      </c>
      <c r="P1057" s="20" t="n">
        <v>15000</v>
      </c>
      <c r="Q1057" s="20" t="n">
        <v>1350</v>
      </c>
      <c r="R1057" s="20" t="n">
        <v>20850</v>
      </c>
      <c r="S1057" s="20" t="n">
        <v>2221.6</v>
      </c>
      <c r="T1057" s="20" t="n">
        <v>18628.4</v>
      </c>
      <c r="U1057" s="21" t="n">
        <v>0.106551558752998</v>
      </c>
      <c r="V1057" s="22" t="n">
        <v>4.918</v>
      </c>
      <c r="W1057" s="17" t="n">
        <v>0</v>
      </c>
      <c r="X1057" s="17" t="n">
        <v>0</v>
      </c>
      <c r="Y1057" s="20" t="n">
        <v>71993.75999999999</v>
      </c>
      <c r="Z1057" s="21" t="n">
        <v>0.0405</v>
      </c>
      <c r="AA1057" s="16" t="n">
        <v>44057</v>
      </c>
      <c r="AB1057" s="5">
        <f>IF(V1057="","",IF(V1057&lt;12,"Months","Weeks"))</f>
        <v/>
      </c>
      <c r="AC1057" s="5">
        <f>IF(AB1057="","",IF(AB1057="Months","Daily","Weekly"))</f>
        <v/>
      </c>
      <c r="AD1057" s="17">
        <f>IF(V1057="","",IF(AC1057="Daily",V1057*Controls!$B$13,V1057))</f>
        <v/>
      </c>
      <c r="AE1057" s="17">
        <f>IF(V1057="","",IF(AC1057="Daily",V1057*Controls!$B$13,V1057*Controls!$B$12))</f>
        <v/>
      </c>
      <c r="AF1057" s="17">
        <f>IF(OR(E1057="",F1057=""),"",F1057-E1057)</f>
        <v/>
      </c>
      <c r="AG1057" s="17">
        <f>IF(OR(E1057="",F1057=""),"",NETWORKDAYS(E1057,F1057,Ref!$F$4:$F$47))</f>
        <v/>
      </c>
      <c r="AH1057" s="39">
        <f>IF(IFERROR(VLOOKUP(D1057,Controls!$A$25:$D$35,2,FALSE()),"No")="Yes",1,0)</f>
        <v/>
      </c>
      <c r="AI1057" s="39">
        <f>IF(IFERROR(VLOOKUP(D1057,Controls!$A$25:$D$35,3,FALSE()),"No")="Yes",1,0)</f>
        <v/>
      </c>
      <c r="AJ1057" s="39">
        <f>IF(IFERROR(VLOOKUP(D1057,Controls!$A$25:$D$35,4,FALSE()),"No")="Yes",1,0)</f>
        <v/>
      </c>
      <c r="AK1057" s="96">
        <f>IF(AND($E1057&gt;=Controls!$B$5,$E1057&lt;=Controls!$B$6,OR(Controls!$E$9&lt;&gt;"Y",$BE1057=1)),1,0)</f>
        <v/>
      </c>
      <c r="AL1057" s="39">
        <f>1</f>
        <v/>
      </c>
      <c r="AM1057" s="20">
        <f>S1057-P1057</f>
        <v/>
      </c>
      <c r="AN1057" s="20">
        <f>IF(AH1057=1,MAX(0,P1057-S1057),0)</f>
        <v/>
      </c>
      <c r="AO1057" s="21">
        <f>IFERROR(S1057/P1057,"")</f>
        <v/>
      </c>
      <c r="AP1057" s="22">
        <f>IF(Y1057="","",P1057/Y1057)</f>
        <v/>
      </c>
      <c r="AQ1057" s="39">
        <f>IF(Y1057="",0,1)</f>
        <v/>
      </c>
      <c r="AR1057" s="39">
        <f>IF(S1057&lt;=0,1,0)</f>
        <v/>
      </c>
      <c r="AS1057" s="17">
        <f>IF(AH1057=1,AG1057,"")</f>
        <v/>
      </c>
      <c r="AT1057" s="17">
        <f>IF(AND(AH1057=0,AJ1057=1),AG1057,"")</f>
        <v/>
      </c>
      <c r="AU1057" s="5">
        <f>IF(P1057&lt;10000,"Under $10K",IF(P1057&lt;20000,"$10-20K",IF(P1057&lt;30000,"$20-30K",IF(P1057&lt;50000,"$30-50K",IF(P1057&lt;100000,"$50-100K","$100K+")))))</f>
        <v/>
      </c>
      <c r="AV1057" s="5">
        <f>IF(O1057&lt;=1.35,"1.35 and under",IF(O1057&lt;=1.42,"1.36-1.42",IF(O1057&lt;=1.45,"1.43-1.45",IF(O1057&lt;1.49,"1.46-1.48",IF(O1057&lt;=1.49,"1.49","Above 1.49")))))</f>
        <v/>
      </c>
      <c r="AW1057" s="5">
        <f>IF(AE1057="","",IF(AE1057&lt;60,"Under 60",IF(AE1057&lt;90,"60-89",IF(AE1057&lt;120,"90-119",IF(AE1057&lt;150,"120-149","150+")))))</f>
        <v/>
      </c>
      <c r="AX1057" s="5">
        <f>IF(AP1057="","No revenue data",IF(AP1057&lt;0.15,"Under 0.15x",IF(AP1057&lt;0.3,"0.15-0.30x",IF(AP1057&lt;0.5,"0.30-0.50x",IF(AP1057&lt;1,"0.50-1.00x","1.00x+")))))</f>
        <v/>
      </c>
      <c r="AY1057" s="5">
        <f>IF(J1057="","No SIC",IFERROR(VLOOKUP(J1057,Ref!$A$4:$C$67,2,FALSE()),"Unclassified"))</f>
        <v/>
      </c>
      <c r="AZ1057" s="5">
        <f>IF(E1057="","",TEXT(E1057,"YYYY")&amp;"-Q"&amp;ROUNDUP(MONTH(E1057)/3,0))</f>
        <v/>
      </c>
      <c r="BA1057" s="5">
        <f>IF(E1057="","",TEXT(E1057,"YYYY-MM"))</f>
        <v/>
      </c>
      <c r="BB1057" s="5">
        <f>IF(E1057="","",TEXT(E1057,"YYYY"))</f>
        <v/>
      </c>
      <c r="BC1057" s="92">
        <f>IF($E1057="","",NETWORKDAYS($E1057,Controls!$B$9,Ref!$F$4:$F$47))</f>
        <v/>
      </c>
      <c r="BD1057" s="92">
        <f>IF(OR($AH1057=1,$AJ1057=1),1,0)</f>
        <v/>
      </c>
      <c r="BE1057" s="95">
        <f>IF(OR($BD1057=1,AND($AE1057&lt;&gt;"",$BC1057&gt;=Controls!$B$10*$AE1057)),1,0)</f>
        <v/>
      </c>
    </row>
    <row r="1058" ht="15.75" customHeight="1" s="79">
      <c r="A1058" s="5" t="inlineStr">
        <is>
          <t>5674188137</t>
        </is>
      </c>
      <c r="B1058" s="5" t="inlineStr">
        <is>
          <t>Peridot Medical Group Corp</t>
        </is>
      </c>
      <c r="C1058" s="5" t="inlineStr">
        <is>
          <t>Peridot Medical Group Corp</t>
        </is>
      </c>
      <c r="D1058" s="5" t="inlineStr">
        <is>
          <t>Open</t>
        </is>
      </c>
      <c r="E1058" s="16" t="n">
        <v>46232</v>
      </c>
      <c r="F1058" s="16" t="n">
        <v>46252</v>
      </c>
      <c r="G1058" s="17" t="n">
        <v>2</v>
      </c>
      <c r="H1058" s="5" t="inlineStr">
        <is>
          <t>5999</t>
        </is>
      </c>
      <c r="I1058" s="5" t="inlineStr">
        <is>
          <t>All Other Health and Personal Care Stores</t>
        </is>
      </c>
      <c r="J1058" s="5" t="inlineStr">
        <is>
          <t>59</t>
        </is>
      </c>
      <c r="K1058" s="5" t="n">
        <v>8099</v>
      </c>
      <c r="L1058" s="5" t="inlineStr">
        <is>
          <t>FL</t>
        </is>
      </c>
      <c r="M1058" s="5" t="inlineStr">
        <is>
          <t>PMF</t>
        </is>
      </c>
      <c r="N1058" s="5" t="inlineStr">
        <is>
          <t>New Deal</t>
        </is>
      </c>
      <c r="O1058" s="19" t="n">
        <v>1.34</v>
      </c>
      <c r="P1058" s="20" t="n">
        <v>150000</v>
      </c>
      <c r="Q1058" s="20" t="n">
        <v>9000</v>
      </c>
      <c r="R1058" s="20" t="n">
        <v>201000</v>
      </c>
      <c r="S1058" s="20" t="n">
        <v>15074.34</v>
      </c>
      <c r="T1058" s="20" t="n">
        <v>185925.66</v>
      </c>
      <c r="U1058" s="21" t="n">
        <v>0.0749967164179105</v>
      </c>
      <c r="V1058" s="22" t="n">
        <v>40</v>
      </c>
      <c r="W1058" s="17" t="n">
        <v>1</v>
      </c>
      <c r="X1058" s="17" t="n">
        <v>0</v>
      </c>
      <c r="Y1058" s="20" t="n">
        <v>251553.44</v>
      </c>
      <c r="Z1058" s="21" t="n">
        <v>0.0799</v>
      </c>
      <c r="AA1058" s="16" t="n">
        <v>41045</v>
      </c>
      <c r="AB1058" s="5">
        <f>IF(V1058="","",IF(V1058&lt;12,"Months","Weeks"))</f>
        <v/>
      </c>
      <c r="AC1058" s="5">
        <f>IF(AB1058="","",IF(AB1058="Months","Daily","Weekly"))</f>
        <v/>
      </c>
      <c r="AD1058" s="17">
        <f>IF(V1058="","",IF(AC1058="Daily",V1058*Controls!$B$13,V1058))</f>
        <v/>
      </c>
      <c r="AE1058" s="17">
        <f>IF(V1058="","",IF(AC1058="Daily",V1058*Controls!$B$13,V1058*Controls!$B$12))</f>
        <v/>
      </c>
      <c r="AF1058" s="17">
        <f>IF(OR(E1058="",F1058=""),"",F1058-E1058)</f>
        <v/>
      </c>
      <c r="AG1058" s="17">
        <f>IF(OR(E1058="",F1058=""),"",NETWORKDAYS(E1058,F1058,Ref!$F$4:$F$47))</f>
        <v/>
      </c>
      <c r="AH1058" s="39">
        <f>IF(IFERROR(VLOOKUP(D1058,Controls!$A$25:$D$35,2,FALSE()),"No")="Yes",1,0)</f>
        <v/>
      </c>
      <c r="AI1058" s="39">
        <f>IF(IFERROR(VLOOKUP(D1058,Controls!$A$25:$D$35,3,FALSE()),"No")="Yes",1,0)</f>
        <v/>
      </c>
      <c r="AJ1058" s="39">
        <f>IF(IFERROR(VLOOKUP(D1058,Controls!$A$25:$D$35,4,FALSE()),"No")="Yes",1,0)</f>
        <v/>
      </c>
      <c r="AK1058" s="96">
        <f>IF(AND($E1058&gt;=Controls!$B$5,$E1058&lt;=Controls!$B$6,OR(Controls!$E$9&lt;&gt;"Y",$BE1058=1)),1,0)</f>
        <v/>
      </c>
      <c r="AL1058" s="39">
        <f>1</f>
        <v/>
      </c>
      <c r="AM1058" s="20">
        <f>S1058-P1058</f>
        <v/>
      </c>
      <c r="AN1058" s="20">
        <f>IF(AH1058=1,MAX(0,P1058-S1058),0)</f>
        <v/>
      </c>
      <c r="AO1058" s="21">
        <f>IFERROR(S1058/P1058,"")</f>
        <v/>
      </c>
      <c r="AP1058" s="22">
        <f>IF(Y1058="","",P1058/Y1058)</f>
        <v/>
      </c>
      <c r="AQ1058" s="39">
        <f>IF(Y1058="",0,1)</f>
        <v/>
      </c>
      <c r="AR1058" s="39">
        <f>IF(S1058&lt;=0,1,0)</f>
        <v/>
      </c>
      <c r="AS1058" s="17">
        <f>IF(AH1058=1,AG1058,"")</f>
        <v/>
      </c>
      <c r="AT1058" s="17">
        <f>IF(AND(AH1058=0,AJ1058=1),AG1058,"")</f>
        <v/>
      </c>
      <c r="AU1058" s="5">
        <f>IF(P1058&lt;10000,"Under $10K",IF(P1058&lt;20000,"$10-20K",IF(P1058&lt;30000,"$20-30K",IF(P1058&lt;50000,"$30-50K",IF(P1058&lt;100000,"$50-100K","$100K+")))))</f>
        <v/>
      </c>
      <c r="AV1058" s="5">
        <f>IF(O1058&lt;=1.35,"1.35 and under",IF(O1058&lt;=1.42,"1.36-1.42",IF(O1058&lt;=1.45,"1.43-1.45",IF(O1058&lt;1.49,"1.46-1.48",IF(O1058&lt;=1.49,"1.49","Above 1.49")))))</f>
        <v/>
      </c>
      <c r="AW1058" s="5">
        <f>IF(AE1058="","",IF(AE1058&lt;60,"Under 60",IF(AE1058&lt;90,"60-89",IF(AE1058&lt;120,"90-119",IF(AE1058&lt;150,"120-149","150+")))))</f>
        <v/>
      </c>
      <c r="AX1058" s="5">
        <f>IF(AP1058="","No revenue data",IF(AP1058&lt;0.15,"Under 0.15x",IF(AP1058&lt;0.3,"0.15-0.30x",IF(AP1058&lt;0.5,"0.30-0.50x",IF(AP1058&lt;1,"0.50-1.00x","1.00x+")))))</f>
        <v/>
      </c>
      <c r="AY1058" s="5">
        <f>IF(J1058="","No SIC",IFERROR(VLOOKUP(J1058,Ref!$A$4:$C$67,2,FALSE()),"Unclassified"))</f>
        <v/>
      </c>
      <c r="AZ1058" s="5">
        <f>IF(E1058="","",TEXT(E1058,"YYYY")&amp;"-Q"&amp;ROUNDUP(MONTH(E1058)/3,0))</f>
        <v/>
      </c>
      <c r="BA1058" s="5">
        <f>IF(E1058="","",TEXT(E1058,"YYYY-MM"))</f>
        <v/>
      </c>
      <c r="BB1058" s="5">
        <f>IF(E1058="","",TEXT(E1058,"YYYY"))</f>
        <v/>
      </c>
      <c r="BC1058" s="92">
        <f>IF($E1058="","",NETWORKDAYS($E1058,Controls!$B$9,Ref!$F$4:$F$47))</f>
        <v/>
      </c>
      <c r="BD1058" s="92">
        <f>IF(OR($AH1058=1,$AJ1058=1),1,0)</f>
        <v/>
      </c>
      <c r="BE1058" s="95">
        <f>IF(OR($BD1058=1,AND($AE1058&lt;&gt;"",$BC1058&gt;=Controls!$B$10*$AE1058)),1,0)</f>
        <v/>
      </c>
    </row>
    <row r="1059" ht="15.75" customHeight="1" s="79">
      <c r="A1059" s="5" t="inlineStr">
        <is>
          <t>5674188177</t>
        </is>
      </c>
      <c r="B1059" s="5" t="inlineStr">
        <is>
          <t>GBS WORLDWIDE</t>
        </is>
      </c>
      <c r="C1059" s="5" t="inlineStr">
        <is>
          <t>GBS WORLDWIDE INC.</t>
        </is>
      </c>
      <c r="D1059" s="5" t="inlineStr">
        <is>
          <t>Open</t>
        </is>
      </c>
      <c r="E1059" s="16" t="n">
        <v>46232</v>
      </c>
      <c r="F1059" s="16" t="n">
        <v>46247</v>
      </c>
      <c r="G1059" s="17" t="n">
        <v>2</v>
      </c>
      <c r="H1059" s="5" t="inlineStr">
        <is>
          <t>8748</t>
        </is>
      </c>
      <c r="I1059" s="5" t="inlineStr">
        <is>
          <t>Other Management Consulting Services</t>
        </is>
      </c>
      <c r="J1059" s="5" t="inlineStr">
        <is>
          <t>87</t>
        </is>
      </c>
      <c r="K1059" s="5" t="n">
        <v>7392</v>
      </c>
      <c r="L1059" s="5" t="inlineStr">
        <is>
          <t>MO</t>
        </is>
      </c>
      <c r="M1059" s="5" t="inlineStr">
        <is>
          <t>PMF</t>
        </is>
      </c>
      <c r="N1059" s="5" t="inlineStr">
        <is>
          <t>New Deal</t>
        </is>
      </c>
      <c r="O1059" s="19" t="n">
        <v>1.49</v>
      </c>
      <c r="P1059" s="20" t="n">
        <v>100000</v>
      </c>
      <c r="Q1059" s="20" t="n">
        <v>14000</v>
      </c>
      <c r="R1059" s="20" t="n">
        <v>149000</v>
      </c>
      <c r="S1059" s="20" t="n">
        <v>7640.26</v>
      </c>
      <c r="T1059" s="20" t="n">
        <v>141359.74</v>
      </c>
      <c r="U1059" s="21" t="n">
        <v>0.0512769127516779</v>
      </c>
      <c r="V1059" s="22" t="n">
        <v>39</v>
      </c>
      <c r="W1059" s="17" t="n">
        <v>6</v>
      </c>
      <c r="X1059" s="17" t="n">
        <v>0</v>
      </c>
      <c r="Y1059" s="20" t="n">
        <v>172893.68</v>
      </c>
      <c r="Z1059" s="21" t="n">
        <v>0.053</v>
      </c>
      <c r="AA1059" s="16" t="n">
        <v>44298</v>
      </c>
      <c r="AB1059" s="5">
        <f>IF(V1059="","",IF(V1059&lt;12,"Months","Weeks"))</f>
        <v/>
      </c>
      <c r="AC1059" s="5">
        <f>IF(AB1059="","",IF(AB1059="Months","Daily","Weekly"))</f>
        <v/>
      </c>
      <c r="AD1059" s="17">
        <f>IF(V1059="","",IF(AC1059="Daily",V1059*Controls!$B$13,V1059))</f>
        <v/>
      </c>
      <c r="AE1059" s="17">
        <f>IF(V1059="","",IF(AC1059="Daily",V1059*Controls!$B$13,V1059*Controls!$B$12))</f>
        <v/>
      </c>
      <c r="AF1059" s="17">
        <f>IF(OR(E1059="",F1059=""),"",F1059-E1059)</f>
        <v/>
      </c>
      <c r="AG1059" s="17">
        <f>IF(OR(E1059="",F1059=""),"",NETWORKDAYS(E1059,F1059,Ref!$F$4:$F$47))</f>
        <v/>
      </c>
      <c r="AH1059" s="39">
        <f>IF(IFERROR(VLOOKUP(D1059,Controls!$A$25:$D$35,2,FALSE()),"No")="Yes",1,0)</f>
        <v/>
      </c>
      <c r="AI1059" s="39">
        <f>IF(IFERROR(VLOOKUP(D1059,Controls!$A$25:$D$35,3,FALSE()),"No")="Yes",1,0)</f>
        <v/>
      </c>
      <c r="AJ1059" s="39">
        <f>IF(IFERROR(VLOOKUP(D1059,Controls!$A$25:$D$35,4,FALSE()),"No")="Yes",1,0)</f>
        <v/>
      </c>
      <c r="AK1059" s="96">
        <f>IF(AND($E1059&gt;=Controls!$B$5,$E1059&lt;=Controls!$B$6,OR(Controls!$E$9&lt;&gt;"Y",$BE1059=1)),1,0)</f>
        <v/>
      </c>
      <c r="AL1059" s="39">
        <f>1</f>
        <v/>
      </c>
      <c r="AM1059" s="20">
        <f>S1059-P1059</f>
        <v/>
      </c>
      <c r="AN1059" s="20">
        <f>IF(AH1059=1,MAX(0,P1059-S1059),0)</f>
        <v/>
      </c>
      <c r="AO1059" s="21">
        <f>IFERROR(S1059/P1059,"")</f>
        <v/>
      </c>
      <c r="AP1059" s="22">
        <f>IF(Y1059="","",P1059/Y1059)</f>
        <v/>
      </c>
      <c r="AQ1059" s="39">
        <f>IF(Y1059="",0,1)</f>
        <v/>
      </c>
      <c r="AR1059" s="39">
        <f>IF(S1059&lt;=0,1,0)</f>
        <v/>
      </c>
      <c r="AS1059" s="17">
        <f>IF(AH1059=1,AG1059,"")</f>
        <v/>
      </c>
      <c r="AT1059" s="17">
        <f>IF(AND(AH1059=0,AJ1059=1),AG1059,"")</f>
        <v/>
      </c>
      <c r="AU1059" s="5">
        <f>IF(P1059&lt;10000,"Under $10K",IF(P1059&lt;20000,"$10-20K",IF(P1059&lt;30000,"$20-30K",IF(P1059&lt;50000,"$30-50K",IF(P1059&lt;100000,"$50-100K","$100K+")))))</f>
        <v/>
      </c>
      <c r="AV1059" s="5">
        <f>IF(O1059&lt;=1.35,"1.35 and under",IF(O1059&lt;=1.42,"1.36-1.42",IF(O1059&lt;=1.45,"1.43-1.45",IF(O1059&lt;1.49,"1.46-1.48",IF(O1059&lt;=1.49,"1.49","Above 1.49")))))</f>
        <v/>
      </c>
      <c r="AW1059" s="5">
        <f>IF(AE1059="","",IF(AE1059&lt;60,"Under 60",IF(AE1059&lt;90,"60-89",IF(AE1059&lt;120,"90-119",IF(AE1059&lt;150,"120-149","150+")))))</f>
        <v/>
      </c>
      <c r="AX1059" s="5">
        <f>IF(AP1059="","No revenue data",IF(AP1059&lt;0.15,"Under 0.15x",IF(AP1059&lt;0.3,"0.15-0.30x",IF(AP1059&lt;0.5,"0.30-0.50x",IF(AP1059&lt;1,"0.50-1.00x","1.00x+")))))</f>
        <v/>
      </c>
      <c r="AY1059" s="5">
        <f>IF(J1059="","No SIC",IFERROR(VLOOKUP(J1059,Ref!$A$4:$C$67,2,FALSE()),"Unclassified"))</f>
        <v/>
      </c>
      <c r="AZ1059" s="5">
        <f>IF(E1059="","",TEXT(E1059,"YYYY")&amp;"-Q"&amp;ROUNDUP(MONTH(E1059)/3,0))</f>
        <v/>
      </c>
      <c r="BA1059" s="5">
        <f>IF(E1059="","",TEXT(E1059,"YYYY-MM"))</f>
        <v/>
      </c>
      <c r="BB1059" s="5">
        <f>IF(E1059="","",TEXT(E1059,"YYYY"))</f>
        <v/>
      </c>
      <c r="BC1059" s="92">
        <f>IF($E1059="","",NETWORKDAYS($E1059,Controls!$B$9,Ref!$F$4:$F$47))</f>
        <v/>
      </c>
      <c r="BD1059" s="92">
        <f>IF(OR($AH1059=1,$AJ1059=1),1,0)</f>
        <v/>
      </c>
      <c r="BE1059" s="95">
        <f>IF(OR($BD1059=1,AND($AE1059&lt;&gt;"",$BC1059&gt;=Controls!$B$10*$AE1059)),1,0)</f>
        <v/>
      </c>
    </row>
    <row r="1060" ht="15.75" customHeight="1" s="79">
      <c r="A1060" s="5" t="inlineStr">
        <is>
          <t>5674188239</t>
        </is>
      </c>
      <c r="B1060" s="5" t="inlineStr">
        <is>
          <t>MCD VETERANS LLC</t>
        </is>
      </c>
      <c r="C1060" s="5" t="inlineStr">
        <is>
          <t>MCD VETERANS LLC</t>
        </is>
      </c>
      <c r="D1060" s="5" t="inlineStr">
        <is>
          <t>Open</t>
        </is>
      </c>
      <c r="E1060" s="16" t="n">
        <v>46233</v>
      </c>
      <c r="F1060" s="16" t="n">
        <v>46253</v>
      </c>
      <c r="G1060" s="17" t="n">
        <v>3</v>
      </c>
      <c r="H1060" s="5" t="inlineStr">
        <is>
          <t>6531</t>
        </is>
      </c>
      <c r="I1060" s="5" t="inlineStr">
        <is>
          <t>Offices of Real Estate Agents and Brokerages</t>
        </is>
      </c>
      <c r="J1060" s="5" t="inlineStr">
        <is>
          <t>65</t>
        </is>
      </c>
      <c r="K1060" s="5" t="n">
        <v>6513</v>
      </c>
      <c r="L1060" s="5" t="inlineStr">
        <is>
          <t>LA</t>
        </is>
      </c>
      <c r="M1060" s="5" t="inlineStr">
        <is>
          <t>United Secured Capital 8</t>
        </is>
      </c>
      <c r="N1060" s="5" t="inlineStr">
        <is>
          <t>Renewal</t>
        </is>
      </c>
      <c r="O1060" s="19" t="n">
        <v>1.49</v>
      </c>
      <c r="P1060" s="20" t="n">
        <v>35000</v>
      </c>
      <c r="Q1060" s="20" t="n">
        <v>4900</v>
      </c>
      <c r="R1060" s="20" t="n">
        <v>52150</v>
      </c>
      <c r="S1060" s="20" t="n">
        <v>6081.74</v>
      </c>
      <c r="T1060" s="20" t="n">
        <v>46068.26</v>
      </c>
      <c r="U1060" s="21" t="n">
        <v>0.116620134228188</v>
      </c>
      <c r="V1060" s="22" t="n">
        <v>3.934</v>
      </c>
      <c r="W1060" s="17" t="n">
        <v>0</v>
      </c>
      <c r="X1060" s="17" t="n">
        <v>0</v>
      </c>
      <c r="Y1060" s="20" t="n">
        <v>144343.78</v>
      </c>
      <c r="Z1060" s="21" t="n">
        <v>0.06320000000000001</v>
      </c>
      <c r="AA1060" s="16" t="n">
        <v>44044</v>
      </c>
      <c r="AB1060" s="5">
        <f>IF(V1060="","",IF(V1060&lt;12,"Months","Weeks"))</f>
        <v/>
      </c>
      <c r="AC1060" s="5">
        <f>IF(AB1060="","",IF(AB1060="Months","Daily","Weekly"))</f>
        <v/>
      </c>
      <c r="AD1060" s="17">
        <f>IF(V1060="","",IF(AC1060="Daily",V1060*Controls!$B$13,V1060))</f>
        <v/>
      </c>
      <c r="AE1060" s="17">
        <f>IF(V1060="","",IF(AC1060="Daily",V1060*Controls!$B$13,V1060*Controls!$B$12))</f>
        <v/>
      </c>
      <c r="AF1060" s="17">
        <f>IF(OR(E1060="",F1060=""),"",F1060-E1060)</f>
        <v/>
      </c>
      <c r="AG1060" s="17">
        <f>IF(OR(E1060="",F1060=""),"",NETWORKDAYS(E1060,F1060,Ref!$F$4:$F$47))</f>
        <v/>
      </c>
      <c r="AH1060" s="39">
        <f>IF(IFERROR(VLOOKUP(D1060,Controls!$A$25:$D$35,2,FALSE()),"No")="Yes",1,0)</f>
        <v/>
      </c>
      <c r="AI1060" s="39">
        <f>IF(IFERROR(VLOOKUP(D1060,Controls!$A$25:$D$35,3,FALSE()),"No")="Yes",1,0)</f>
        <v/>
      </c>
      <c r="AJ1060" s="39">
        <f>IF(IFERROR(VLOOKUP(D1060,Controls!$A$25:$D$35,4,FALSE()),"No")="Yes",1,0)</f>
        <v/>
      </c>
      <c r="AK1060" s="96">
        <f>IF(AND($E1060&gt;=Controls!$B$5,$E1060&lt;=Controls!$B$6,OR(Controls!$E$9&lt;&gt;"Y",$BE1060=1)),1,0)</f>
        <v/>
      </c>
      <c r="AL1060" s="39">
        <f>1</f>
        <v/>
      </c>
      <c r="AM1060" s="20">
        <f>S1060-P1060</f>
        <v/>
      </c>
      <c r="AN1060" s="20">
        <f>IF(AH1060=1,MAX(0,P1060-S1060),0)</f>
        <v/>
      </c>
      <c r="AO1060" s="21">
        <f>IFERROR(S1060/P1060,"")</f>
        <v/>
      </c>
      <c r="AP1060" s="22">
        <f>IF(Y1060="","",P1060/Y1060)</f>
        <v/>
      </c>
      <c r="AQ1060" s="39">
        <f>IF(Y1060="",0,1)</f>
        <v/>
      </c>
      <c r="AR1060" s="39">
        <f>IF(S1060&lt;=0,1,0)</f>
        <v/>
      </c>
      <c r="AS1060" s="17">
        <f>IF(AH1060=1,AG1060,"")</f>
        <v/>
      </c>
      <c r="AT1060" s="17">
        <f>IF(AND(AH1060=0,AJ1060=1),AG1060,"")</f>
        <v/>
      </c>
      <c r="AU1060" s="5">
        <f>IF(P1060&lt;10000,"Under $10K",IF(P1060&lt;20000,"$10-20K",IF(P1060&lt;30000,"$20-30K",IF(P1060&lt;50000,"$30-50K",IF(P1060&lt;100000,"$50-100K","$100K+")))))</f>
        <v/>
      </c>
      <c r="AV1060" s="5">
        <f>IF(O1060&lt;=1.35,"1.35 and under",IF(O1060&lt;=1.42,"1.36-1.42",IF(O1060&lt;=1.45,"1.43-1.45",IF(O1060&lt;1.49,"1.46-1.48",IF(O1060&lt;=1.49,"1.49","Above 1.49")))))</f>
        <v/>
      </c>
      <c r="AW1060" s="5">
        <f>IF(AE1060="","",IF(AE1060&lt;60,"Under 60",IF(AE1060&lt;90,"60-89",IF(AE1060&lt;120,"90-119",IF(AE1060&lt;150,"120-149","150+")))))</f>
        <v/>
      </c>
      <c r="AX1060" s="5">
        <f>IF(AP1060="","No revenue data",IF(AP1060&lt;0.15,"Under 0.15x",IF(AP1060&lt;0.3,"0.15-0.30x",IF(AP1060&lt;0.5,"0.30-0.50x",IF(AP1060&lt;1,"0.50-1.00x","1.00x+")))))</f>
        <v/>
      </c>
      <c r="AY1060" s="5">
        <f>IF(J1060="","No SIC",IFERROR(VLOOKUP(J1060,Ref!$A$4:$C$67,2,FALSE()),"Unclassified"))</f>
        <v/>
      </c>
      <c r="AZ1060" s="5">
        <f>IF(E1060="","",TEXT(E1060,"YYYY")&amp;"-Q"&amp;ROUNDUP(MONTH(E1060)/3,0))</f>
        <v/>
      </c>
      <c r="BA1060" s="5">
        <f>IF(E1060="","",TEXT(E1060,"YYYY-MM"))</f>
        <v/>
      </c>
      <c r="BB1060" s="5">
        <f>IF(E1060="","",TEXT(E1060,"YYYY"))</f>
        <v/>
      </c>
      <c r="BC1060" s="92">
        <f>IF($E1060="","",NETWORKDAYS($E1060,Controls!$B$9,Ref!$F$4:$F$47))</f>
        <v/>
      </c>
      <c r="BD1060" s="92">
        <f>IF(OR($AH1060=1,$AJ1060=1),1,0)</f>
        <v/>
      </c>
      <c r="BE1060" s="95">
        <f>IF(OR($BD1060=1,AND($AE1060&lt;&gt;"",$BC1060&gt;=Controls!$B$10*$AE1060)),1,0)</f>
        <v/>
      </c>
    </row>
    <row r="1061" ht="15.75" customHeight="1" s="79">
      <c r="A1061" s="5" t="inlineStr">
        <is>
          <t>5674188277</t>
        </is>
      </c>
      <c r="B1061" s="5" t="inlineStr">
        <is>
          <t>Prima Mente</t>
        </is>
      </c>
      <c r="C1061" s="5" t="inlineStr">
        <is>
          <t>PRIMA MENTE INC</t>
        </is>
      </c>
      <c r="D1061" s="5" t="inlineStr">
        <is>
          <t>Open</t>
        </is>
      </c>
      <c r="E1061" s="16" t="n">
        <v>46233</v>
      </c>
      <c r="F1061" s="16" t="n">
        <v>46253</v>
      </c>
      <c r="G1061" s="17" t="n">
        <v>4</v>
      </c>
      <c r="H1061" s="5" t="inlineStr">
        <is>
          <t>8734</t>
        </is>
      </c>
      <c r="I1061" s="5" t="inlineStr">
        <is>
          <t>Testing Laboratories</t>
        </is>
      </c>
      <c r="J1061" s="5" t="inlineStr">
        <is>
          <t>87</t>
        </is>
      </c>
      <c r="K1061" s="5" t="n">
        <v>8734</v>
      </c>
      <c r="L1061" s="5" t="inlineStr">
        <is>
          <t>CA</t>
        </is>
      </c>
      <c r="M1061" s="5" t="inlineStr">
        <is>
          <t>Platform Funding</t>
        </is>
      </c>
      <c r="N1061" s="5" t="inlineStr">
        <is>
          <t>New Deal</t>
        </is>
      </c>
      <c r="O1061" s="19" t="n">
        <v>1.49</v>
      </c>
      <c r="P1061" s="20" t="n">
        <v>150000</v>
      </c>
      <c r="Q1061" s="20" t="n">
        <v>21000</v>
      </c>
      <c r="R1061" s="20" t="n">
        <v>223500</v>
      </c>
      <c r="S1061" s="20" t="n">
        <v>22361.88</v>
      </c>
      <c r="T1061" s="20" t="n">
        <v>201138.12</v>
      </c>
      <c r="U1061" s="21" t="n">
        <v>0.100053154362416</v>
      </c>
      <c r="V1061" s="22" t="n">
        <v>30</v>
      </c>
      <c r="W1061" s="17" t="n">
        <v>0</v>
      </c>
      <c r="X1061" s="17" t="n">
        <v>0</v>
      </c>
      <c r="Y1061" s="20" t="n">
        <v>1130644.29</v>
      </c>
      <c r="Z1061" s="21" t="n">
        <v>0.0438</v>
      </c>
      <c r="AA1061" s="16" t="n">
        <v>33903</v>
      </c>
      <c r="AB1061" s="5">
        <f>IF(V1061="","",IF(V1061&lt;12,"Months","Weeks"))</f>
        <v/>
      </c>
      <c r="AC1061" s="5">
        <f>IF(AB1061="","",IF(AB1061="Months","Daily","Weekly"))</f>
        <v/>
      </c>
      <c r="AD1061" s="17">
        <f>IF(V1061="","",IF(AC1061="Daily",V1061*Controls!$B$13,V1061))</f>
        <v/>
      </c>
      <c r="AE1061" s="17">
        <f>IF(V1061="","",IF(AC1061="Daily",V1061*Controls!$B$13,V1061*Controls!$B$12))</f>
        <v/>
      </c>
      <c r="AF1061" s="17">
        <f>IF(OR(E1061="",F1061=""),"",F1061-E1061)</f>
        <v/>
      </c>
      <c r="AG1061" s="17">
        <f>IF(OR(E1061="",F1061=""),"",NETWORKDAYS(E1061,F1061,Ref!$F$4:$F$47))</f>
        <v/>
      </c>
      <c r="AH1061" s="39">
        <f>IF(IFERROR(VLOOKUP(D1061,Controls!$A$25:$D$35,2,FALSE()),"No")="Yes",1,0)</f>
        <v/>
      </c>
      <c r="AI1061" s="39">
        <f>IF(IFERROR(VLOOKUP(D1061,Controls!$A$25:$D$35,3,FALSE()),"No")="Yes",1,0)</f>
        <v/>
      </c>
      <c r="AJ1061" s="39">
        <f>IF(IFERROR(VLOOKUP(D1061,Controls!$A$25:$D$35,4,FALSE()),"No")="Yes",1,0)</f>
        <v/>
      </c>
      <c r="AK1061" s="96">
        <f>IF(AND($E1061&gt;=Controls!$B$5,$E1061&lt;=Controls!$B$6,OR(Controls!$E$9&lt;&gt;"Y",$BE1061=1)),1,0)</f>
        <v/>
      </c>
      <c r="AL1061" s="39">
        <f>1</f>
        <v/>
      </c>
      <c r="AM1061" s="20">
        <f>S1061-P1061</f>
        <v/>
      </c>
      <c r="AN1061" s="20">
        <f>IF(AH1061=1,MAX(0,P1061-S1061),0)</f>
        <v/>
      </c>
      <c r="AO1061" s="21">
        <f>IFERROR(S1061/P1061,"")</f>
        <v/>
      </c>
      <c r="AP1061" s="22">
        <f>IF(Y1061="","",P1061/Y1061)</f>
        <v/>
      </c>
      <c r="AQ1061" s="39">
        <f>IF(Y1061="",0,1)</f>
        <v/>
      </c>
      <c r="AR1061" s="39">
        <f>IF(S1061&lt;=0,1,0)</f>
        <v/>
      </c>
      <c r="AS1061" s="17">
        <f>IF(AH1061=1,AG1061,"")</f>
        <v/>
      </c>
      <c r="AT1061" s="17">
        <f>IF(AND(AH1061=0,AJ1061=1),AG1061,"")</f>
        <v/>
      </c>
      <c r="AU1061" s="5">
        <f>IF(P1061&lt;10000,"Under $10K",IF(P1061&lt;20000,"$10-20K",IF(P1061&lt;30000,"$20-30K",IF(P1061&lt;50000,"$30-50K",IF(P1061&lt;100000,"$50-100K","$100K+")))))</f>
        <v/>
      </c>
      <c r="AV1061" s="5">
        <f>IF(O1061&lt;=1.35,"1.35 and under",IF(O1061&lt;=1.42,"1.36-1.42",IF(O1061&lt;=1.45,"1.43-1.45",IF(O1061&lt;1.49,"1.46-1.48",IF(O1061&lt;=1.49,"1.49","Above 1.49")))))</f>
        <v/>
      </c>
      <c r="AW1061" s="5">
        <f>IF(AE1061="","",IF(AE1061&lt;60,"Under 60",IF(AE1061&lt;90,"60-89",IF(AE1061&lt;120,"90-119",IF(AE1061&lt;150,"120-149","150+")))))</f>
        <v/>
      </c>
      <c r="AX1061" s="5">
        <f>IF(AP1061="","No revenue data",IF(AP1061&lt;0.15,"Under 0.15x",IF(AP1061&lt;0.3,"0.15-0.30x",IF(AP1061&lt;0.5,"0.30-0.50x",IF(AP1061&lt;1,"0.50-1.00x","1.00x+")))))</f>
        <v/>
      </c>
      <c r="AY1061" s="5">
        <f>IF(J1061="","No SIC",IFERROR(VLOOKUP(J1061,Ref!$A$4:$C$67,2,FALSE()),"Unclassified"))</f>
        <v/>
      </c>
      <c r="AZ1061" s="5">
        <f>IF(E1061="","",TEXT(E1061,"YYYY")&amp;"-Q"&amp;ROUNDUP(MONTH(E1061)/3,0))</f>
        <v/>
      </c>
      <c r="BA1061" s="5">
        <f>IF(E1061="","",TEXT(E1061,"YYYY-MM"))</f>
        <v/>
      </c>
      <c r="BB1061" s="5">
        <f>IF(E1061="","",TEXT(E1061,"YYYY"))</f>
        <v/>
      </c>
      <c r="BC1061" s="92">
        <f>IF($E1061="","",NETWORKDAYS($E1061,Controls!$B$9,Ref!$F$4:$F$47))</f>
        <v/>
      </c>
      <c r="BD1061" s="92">
        <f>IF(OR($AH1061=1,$AJ1061=1),1,0)</f>
        <v/>
      </c>
      <c r="BE1061" s="95">
        <f>IF(OR($BD1061=1,AND($AE1061&lt;&gt;"",$BC1061&gt;=Controls!$B$10*$AE1061)),1,0)</f>
        <v/>
      </c>
    </row>
    <row r="1062" ht="15.75" customHeight="1" s="79">
      <c r="A1062" s="5" t="inlineStr">
        <is>
          <t>5674188312</t>
        </is>
      </c>
      <c r="B1062" s="5" t="inlineStr">
        <is>
          <t>EAGLE'S LOGISTIC AND DELIVERIES LLC</t>
        </is>
      </c>
      <c r="C1062" s="5" t="inlineStr">
        <is>
          <t>EAGLE'S LOGISTIC AND DELIVERIES LLC</t>
        </is>
      </c>
      <c r="D1062" s="5" t="inlineStr">
        <is>
          <t>Open</t>
        </is>
      </c>
      <c r="E1062" s="16" t="n">
        <v>46234</v>
      </c>
      <c r="F1062" s="16" t="n">
        <v>46248</v>
      </c>
      <c r="G1062" s="17" t="n">
        <v>3</v>
      </c>
      <c r="H1062" s="5" t="inlineStr">
        <is>
          <t>4212</t>
        </is>
      </c>
      <c r="I1062" s="5" t="inlineStr">
        <is>
          <t>Specialized Freight (Except Used Goods) Trucking, Local</t>
        </is>
      </c>
      <c r="J1062" s="5" t="inlineStr">
        <is>
          <t>42</t>
        </is>
      </c>
      <c r="K1062" s="5" t="n">
        <v>4214</v>
      </c>
      <c r="L1062" s="5" t="inlineStr">
        <is>
          <t>FL</t>
        </is>
      </c>
      <c r="M1062" s="5" t="inlineStr">
        <is>
          <t>United Secured Capital 8</t>
        </is>
      </c>
      <c r="N1062" s="5" t="inlineStr">
        <is>
          <t>Renewal</t>
        </is>
      </c>
      <c r="O1062" s="19" t="n">
        <v>1.42</v>
      </c>
      <c r="P1062" s="20" t="n">
        <v>43000</v>
      </c>
      <c r="Q1062" s="20" t="n">
        <v>4515</v>
      </c>
      <c r="R1062" s="20" t="n">
        <v>61060</v>
      </c>
      <c r="S1062" s="20" t="n">
        <v>2777.02</v>
      </c>
      <c r="T1062" s="20" t="n">
        <v>58282.98</v>
      </c>
      <c r="U1062" s="21" t="n">
        <v>0.0454801834261382</v>
      </c>
      <c r="V1062" s="22" t="n">
        <v>44</v>
      </c>
      <c r="W1062" s="17" t="n">
        <v>5</v>
      </c>
      <c r="X1062" s="17" t="n">
        <v>0</v>
      </c>
      <c r="Y1062" s="5" t="n"/>
      <c r="Z1062" s="21" t="n">
        <v>0.0108</v>
      </c>
      <c r="AA1062" s="16" t="n">
        <v>45524</v>
      </c>
      <c r="AB1062" s="5">
        <f>IF(V1062="","",IF(V1062&lt;12,"Months","Weeks"))</f>
        <v/>
      </c>
      <c r="AC1062" s="5">
        <f>IF(AB1062="","",IF(AB1062="Months","Daily","Weekly"))</f>
        <v/>
      </c>
      <c r="AD1062" s="17">
        <f>IF(V1062="","",IF(AC1062="Daily",V1062*Controls!$B$13,V1062))</f>
        <v/>
      </c>
      <c r="AE1062" s="17">
        <f>IF(V1062="","",IF(AC1062="Daily",V1062*Controls!$B$13,V1062*Controls!$B$12))</f>
        <v/>
      </c>
      <c r="AF1062" s="17">
        <f>IF(OR(E1062="",F1062=""),"",F1062-E1062)</f>
        <v/>
      </c>
      <c r="AG1062" s="17">
        <f>IF(OR(E1062="",F1062=""),"",NETWORKDAYS(E1062,F1062,Ref!$F$4:$F$47))</f>
        <v/>
      </c>
      <c r="AH1062" s="39">
        <f>IF(IFERROR(VLOOKUP(D1062,Controls!$A$25:$D$35,2,FALSE()),"No")="Yes",1,0)</f>
        <v/>
      </c>
      <c r="AI1062" s="39">
        <f>IF(IFERROR(VLOOKUP(D1062,Controls!$A$25:$D$35,3,FALSE()),"No")="Yes",1,0)</f>
        <v/>
      </c>
      <c r="AJ1062" s="39">
        <f>IF(IFERROR(VLOOKUP(D1062,Controls!$A$25:$D$35,4,FALSE()),"No")="Yes",1,0)</f>
        <v/>
      </c>
      <c r="AK1062" s="96">
        <f>IF(AND($E1062&gt;=Controls!$B$5,$E1062&lt;=Controls!$B$6,OR(Controls!$E$9&lt;&gt;"Y",$BE1062=1)),1,0)</f>
        <v/>
      </c>
      <c r="AL1062" s="39">
        <f>1</f>
        <v/>
      </c>
      <c r="AM1062" s="20">
        <f>S1062-P1062</f>
        <v/>
      </c>
      <c r="AN1062" s="20">
        <f>IF(AH1062=1,MAX(0,P1062-S1062),0)</f>
        <v/>
      </c>
      <c r="AO1062" s="21">
        <f>IFERROR(S1062/P1062,"")</f>
        <v/>
      </c>
      <c r="AP1062" s="22">
        <f>IF(Y1062="","",P1062/Y1062)</f>
        <v/>
      </c>
      <c r="AQ1062" s="39">
        <f>IF(Y1062="",0,1)</f>
        <v/>
      </c>
      <c r="AR1062" s="39">
        <f>IF(S1062&lt;=0,1,0)</f>
        <v/>
      </c>
      <c r="AS1062" s="17">
        <f>IF(AH1062=1,AG1062,"")</f>
        <v/>
      </c>
      <c r="AT1062" s="17">
        <f>IF(AND(AH1062=0,AJ1062=1),AG1062,"")</f>
        <v/>
      </c>
      <c r="AU1062" s="5">
        <f>IF(P1062&lt;10000,"Under $10K",IF(P1062&lt;20000,"$10-20K",IF(P1062&lt;30000,"$20-30K",IF(P1062&lt;50000,"$30-50K",IF(P1062&lt;100000,"$50-100K","$100K+")))))</f>
        <v/>
      </c>
      <c r="AV1062" s="5">
        <f>IF(O1062&lt;=1.35,"1.35 and under",IF(O1062&lt;=1.42,"1.36-1.42",IF(O1062&lt;=1.45,"1.43-1.45",IF(O1062&lt;1.49,"1.46-1.48",IF(O1062&lt;=1.49,"1.49","Above 1.49")))))</f>
        <v/>
      </c>
      <c r="AW1062" s="5">
        <f>IF(AE1062="","",IF(AE1062&lt;60,"Under 60",IF(AE1062&lt;90,"60-89",IF(AE1062&lt;120,"90-119",IF(AE1062&lt;150,"120-149","150+")))))</f>
        <v/>
      </c>
      <c r="AX1062" s="5">
        <f>IF(AP1062="","No revenue data",IF(AP1062&lt;0.15,"Under 0.15x",IF(AP1062&lt;0.3,"0.15-0.30x",IF(AP1062&lt;0.5,"0.30-0.50x",IF(AP1062&lt;1,"0.50-1.00x","1.00x+")))))</f>
        <v/>
      </c>
      <c r="AY1062" s="5">
        <f>IF(J1062="","No SIC",IFERROR(VLOOKUP(J1062,Ref!$A$4:$C$67,2,FALSE()),"Unclassified"))</f>
        <v/>
      </c>
      <c r="AZ1062" s="5">
        <f>IF(E1062="","",TEXT(E1062,"YYYY")&amp;"-Q"&amp;ROUNDUP(MONTH(E1062)/3,0))</f>
        <v/>
      </c>
      <c r="BA1062" s="5">
        <f>IF(E1062="","",TEXT(E1062,"YYYY-MM"))</f>
        <v/>
      </c>
      <c r="BB1062" s="5">
        <f>IF(E1062="","",TEXT(E1062,"YYYY"))</f>
        <v/>
      </c>
      <c r="BC1062" s="92">
        <f>IF($E1062="","",NETWORKDAYS($E1062,Controls!$B$9,Ref!$F$4:$F$47))</f>
        <v/>
      </c>
      <c r="BD1062" s="92">
        <f>IF(OR($AH1062=1,$AJ1062=1),1,0)</f>
        <v/>
      </c>
      <c r="BE1062" s="95">
        <f>IF(OR($BD1062=1,AND($AE1062&lt;&gt;"",$BC1062&gt;=Controls!$B$10*$AE1062)),1,0)</f>
        <v/>
      </c>
    </row>
    <row r="1063" ht="15.75" customHeight="1" s="79">
      <c r="A1063" s="5" t="inlineStr">
        <is>
          <t>5674188360</t>
        </is>
      </c>
      <c r="B1063" s="5" t="inlineStr">
        <is>
          <t>Precisely Pandas LLC</t>
        </is>
      </c>
      <c r="C1063" s="5" t="inlineStr">
        <is>
          <t>Precisely Pandas LLC</t>
        </is>
      </c>
      <c r="D1063" s="5" t="inlineStr">
        <is>
          <t>Open</t>
        </is>
      </c>
      <c r="E1063" s="16" t="n">
        <v>46234</v>
      </c>
      <c r="F1063" s="16" t="n">
        <v>46248</v>
      </c>
      <c r="G1063" s="17" t="n">
        <v>3</v>
      </c>
      <c r="H1063" s="5" t="inlineStr">
        <is>
          <t>5812</t>
        </is>
      </c>
      <c r="I1063" s="5" t="inlineStr">
        <is>
          <t>Snack and Nonalcoholic Beverage Bars</t>
        </is>
      </c>
      <c r="J1063" s="5" t="inlineStr">
        <is>
          <t>58</t>
        </is>
      </c>
      <c r="K1063" s="5" t="n">
        <v>5812</v>
      </c>
      <c r="L1063" s="5" t="inlineStr">
        <is>
          <t>CT</t>
        </is>
      </c>
      <c r="M1063" s="5" t="inlineStr">
        <is>
          <t>National Business Capital</t>
        </is>
      </c>
      <c r="N1063" s="5" t="inlineStr">
        <is>
          <t>New Deal</t>
        </is>
      </c>
      <c r="O1063" s="19" t="n">
        <v>1.34</v>
      </c>
      <c r="P1063" s="20" t="n">
        <v>24000</v>
      </c>
      <c r="Q1063" s="20" t="n">
        <v>1440</v>
      </c>
      <c r="R1063" s="20" t="n">
        <v>32160</v>
      </c>
      <c r="S1063" s="20" t="n">
        <v>2007.86</v>
      </c>
      <c r="T1063" s="20" t="n">
        <v>30152.14</v>
      </c>
      <c r="U1063" s="21" t="n">
        <v>0.0624334577114428</v>
      </c>
      <c r="V1063" s="22" t="n">
        <v>32</v>
      </c>
      <c r="W1063" s="17" t="n">
        <v>5</v>
      </c>
      <c r="X1063" s="17" t="n">
        <v>0</v>
      </c>
      <c r="Y1063" s="20" t="n">
        <v>126990.39</v>
      </c>
      <c r="Z1063" s="21" t="n">
        <v>0.0447</v>
      </c>
      <c r="AA1063" s="16" t="n">
        <v>46234</v>
      </c>
      <c r="AB1063" s="5">
        <f>IF(V1063="","",IF(V1063&lt;12,"Months","Weeks"))</f>
        <v/>
      </c>
      <c r="AC1063" s="5">
        <f>IF(AB1063="","",IF(AB1063="Months","Daily","Weekly"))</f>
        <v/>
      </c>
      <c r="AD1063" s="17">
        <f>IF(V1063="","",IF(AC1063="Daily",V1063*Controls!$B$13,V1063))</f>
        <v/>
      </c>
      <c r="AE1063" s="17">
        <f>IF(V1063="","",IF(AC1063="Daily",V1063*Controls!$B$13,V1063*Controls!$B$12))</f>
        <v/>
      </c>
      <c r="AF1063" s="17">
        <f>IF(OR(E1063="",F1063=""),"",F1063-E1063)</f>
        <v/>
      </c>
      <c r="AG1063" s="17">
        <f>IF(OR(E1063="",F1063=""),"",NETWORKDAYS(E1063,F1063,Ref!$F$4:$F$47))</f>
        <v/>
      </c>
      <c r="AH1063" s="39">
        <f>IF(IFERROR(VLOOKUP(D1063,Controls!$A$25:$D$35,2,FALSE()),"No")="Yes",1,0)</f>
        <v/>
      </c>
      <c r="AI1063" s="39">
        <f>IF(IFERROR(VLOOKUP(D1063,Controls!$A$25:$D$35,3,FALSE()),"No")="Yes",1,0)</f>
        <v/>
      </c>
      <c r="AJ1063" s="39">
        <f>IF(IFERROR(VLOOKUP(D1063,Controls!$A$25:$D$35,4,FALSE()),"No")="Yes",1,0)</f>
        <v/>
      </c>
      <c r="AK1063" s="96">
        <f>IF(AND($E1063&gt;=Controls!$B$5,$E1063&lt;=Controls!$B$6,OR(Controls!$E$9&lt;&gt;"Y",$BE1063=1)),1,0)</f>
        <v/>
      </c>
      <c r="AL1063" s="39">
        <f>1</f>
        <v/>
      </c>
      <c r="AM1063" s="20">
        <f>S1063-P1063</f>
        <v/>
      </c>
      <c r="AN1063" s="20">
        <f>IF(AH1063=1,MAX(0,P1063-S1063),0)</f>
        <v/>
      </c>
      <c r="AO1063" s="21">
        <f>IFERROR(S1063/P1063,"")</f>
        <v/>
      </c>
      <c r="AP1063" s="22">
        <f>IF(Y1063="","",P1063/Y1063)</f>
        <v/>
      </c>
      <c r="AQ1063" s="39">
        <f>IF(Y1063="",0,1)</f>
        <v/>
      </c>
      <c r="AR1063" s="39">
        <f>IF(S1063&lt;=0,1,0)</f>
        <v/>
      </c>
      <c r="AS1063" s="17">
        <f>IF(AH1063=1,AG1063,"")</f>
        <v/>
      </c>
      <c r="AT1063" s="17">
        <f>IF(AND(AH1063=0,AJ1063=1),AG1063,"")</f>
        <v/>
      </c>
      <c r="AU1063" s="5">
        <f>IF(P1063&lt;10000,"Under $10K",IF(P1063&lt;20000,"$10-20K",IF(P1063&lt;30000,"$20-30K",IF(P1063&lt;50000,"$30-50K",IF(P1063&lt;100000,"$50-100K","$100K+")))))</f>
        <v/>
      </c>
      <c r="AV1063" s="5">
        <f>IF(O1063&lt;=1.35,"1.35 and under",IF(O1063&lt;=1.42,"1.36-1.42",IF(O1063&lt;=1.45,"1.43-1.45",IF(O1063&lt;1.49,"1.46-1.48",IF(O1063&lt;=1.49,"1.49","Above 1.49")))))</f>
        <v/>
      </c>
      <c r="AW1063" s="5">
        <f>IF(AE1063="","",IF(AE1063&lt;60,"Under 60",IF(AE1063&lt;90,"60-89",IF(AE1063&lt;120,"90-119",IF(AE1063&lt;150,"120-149","150+")))))</f>
        <v/>
      </c>
      <c r="AX1063" s="5">
        <f>IF(AP1063="","No revenue data",IF(AP1063&lt;0.15,"Under 0.15x",IF(AP1063&lt;0.3,"0.15-0.30x",IF(AP1063&lt;0.5,"0.30-0.50x",IF(AP1063&lt;1,"0.50-1.00x","1.00x+")))))</f>
        <v/>
      </c>
      <c r="AY1063" s="5">
        <f>IF(J1063="","No SIC",IFERROR(VLOOKUP(J1063,Ref!$A$4:$C$67,2,FALSE()),"Unclassified"))</f>
        <v/>
      </c>
      <c r="AZ1063" s="5">
        <f>IF(E1063="","",TEXT(E1063,"YYYY")&amp;"-Q"&amp;ROUNDUP(MONTH(E1063)/3,0))</f>
        <v/>
      </c>
      <c r="BA1063" s="5">
        <f>IF(E1063="","",TEXT(E1063,"YYYY-MM"))</f>
        <v/>
      </c>
      <c r="BB1063" s="5">
        <f>IF(E1063="","",TEXT(E1063,"YYYY"))</f>
        <v/>
      </c>
      <c r="BC1063" s="92">
        <f>IF($E1063="","",NETWORKDAYS($E1063,Controls!$B$9,Ref!$F$4:$F$47))</f>
        <v/>
      </c>
      <c r="BD1063" s="92">
        <f>IF(OR($AH1063=1,$AJ1063=1),1,0)</f>
        <v/>
      </c>
      <c r="BE1063" s="95">
        <f>IF(OR($BD1063=1,AND($AE1063&lt;&gt;"",$BC1063&gt;=Controls!$B$10*$AE1063)),1,0)</f>
        <v/>
      </c>
    </row>
    <row r="1064" ht="15.75" customHeight="1" s="79">
      <c r="A1064" s="5" t="inlineStr">
        <is>
          <t>5674188430</t>
        </is>
      </c>
      <c r="B1064" s="5" t="inlineStr">
        <is>
          <t>ALONSO MEDICAL CENTER</t>
        </is>
      </c>
      <c r="C1064" s="5" t="inlineStr">
        <is>
          <t>ALONSO MEDICAL CENTER LLC, PLLC</t>
        </is>
      </c>
      <c r="D1064" s="5" t="inlineStr">
        <is>
          <t>Open</t>
        </is>
      </c>
      <c r="E1064" s="16" t="n">
        <v>46237</v>
      </c>
      <c r="F1064" s="16" t="n">
        <v>46248</v>
      </c>
      <c r="G1064" s="17" t="n">
        <v>2</v>
      </c>
      <c r="H1064" s="5" t="inlineStr">
        <is>
          <t>8011</t>
        </is>
      </c>
      <c r="I1064" s="5" t="inlineStr">
        <is>
          <t>Offices of Physicians (Except Mental Health Specialists)</t>
        </is>
      </c>
      <c r="J1064" s="5" t="inlineStr">
        <is>
          <t>80</t>
        </is>
      </c>
      <c r="K1064" s="5" t="n">
        <v>8011</v>
      </c>
      <c r="L1064" s="5" t="inlineStr">
        <is>
          <t>NV</t>
        </is>
      </c>
      <c r="M1064" s="5" t="inlineStr">
        <is>
          <t>Premium Capital (AMRK)</t>
        </is>
      </c>
      <c r="N1064" s="5" t="inlineStr">
        <is>
          <t>New Deal</t>
        </is>
      </c>
      <c r="O1064" s="19" t="n">
        <v>1.47</v>
      </c>
      <c r="P1064" s="20" t="n">
        <v>175000</v>
      </c>
      <c r="Q1064" s="20" t="n">
        <v>22750</v>
      </c>
      <c r="R1064" s="20" t="n">
        <v>257250</v>
      </c>
      <c r="S1064" s="20" t="n">
        <v>17156.88</v>
      </c>
      <c r="T1064" s="20" t="n">
        <v>240093.12</v>
      </c>
      <c r="U1064" s="21" t="n">
        <v>0.06669341107871719</v>
      </c>
      <c r="V1064" s="22" t="n">
        <v>30</v>
      </c>
      <c r="W1064" s="17" t="n">
        <v>5</v>
      </c>
      <c r="X1064" s="17" t="n">
        <v>0</v>
      </c>
      <c r="Y1064" s="20" t="n">
        <v>341624.9</v>
      </c>
      <c r="Z1064" s="21" t="n">
        <v>0.1004</v>
      </c>
      <c r="AA1064" s="16" t="n">
        <v>45437</v>
      </c>
      <c r="AB1064" s="5">
        <f>IF(V1064="","",IF(V1064&lt;12,"Months","Weeks"))</f>
        <v/>
      </c>
      <c r="AC1064" s="5">
        <f>IF(AB1064="","",IF(AB1064="Months","Daily","Weekly"))</f>
        <v/>
      </c>
      <c r="AD1064" s="17">
        <f>IF(V1064="","",IF(AC1064="Daily",V1064*Controls!$B$13,V1064))</f>
        <v/>
      </c>
      <c r="AE1064" s="17">
        <f>IF(V1064="","",IF(AC1064="Daily",V1064*Controls!$B$13,V1064*Controls!$B$12))</f>
        <v/>
      </c>
      <c r="AF1064" s="17">
        <f>IF(OR(E1064="",F1064=""),"",F1064-E1064)</f>
        <v/>
      </c>
      <c r="AG1064" s="17">
        <f>IF(OR(E1064="",F1064=""),"",NETWORKDAYS(E1064,F1064,Ref!$F$4:$F$47))</f>
        <v/>
      </c>
      <c r="AH1064" s="39">
        <f>IF(IFERROR(VLOOKUP(D1064,Controls!$A$25:$D$35,2,FALSE()),"No")="Yes",1,0)</f>
        <v/>
      </c>
      <c r="AI1064" s="39">
        <f>IF(IFERROR(VLOOKUP(D1064,Controls!$A$25:$D$35,3,FALSE()),"No")="Yes",1,0)</f>
        <v/>
      </c>
      <c r="AJ1064" s="39">
        <f>IF(IFERROR(VLOOKUP(D1064,Controls!$A$25:$D$35,4,FALSE()),"No")="Yes",1,0)</f>
        <v/>
      </c>
      <c r="AK1064" s="96">
        <f>IF(AND($E1064&gt;=Controls!$B$5,$E1064&lt;=Controls!$B$6,OR(Controls!$E$9&lt;&gt;"Y",$BE1064=1)),1,0)</f>
        <v/>
      </c>
      <c r="AL1064" s="39">
        <f>1</f>
        <v/>
      </c>
      <c r="AM1064" s="20">
        <f>S1064-P1064</f>
        <v/>
      </c>
      <c r="AN1064" s="20">
        <f>IF(AH1064=1,MAX(0,P1064-S1064),0)</f>
        <v/>
      </c>
      <c r="AO1064" s="21">
        <f>IFERROR(S1064/P1064,"")</f>
        <v/>
      </c>
      <c r="AP1064" s="22">
        <f>IF(Y1064="","",P1064/Y1064)</f>
        <v/>
      </c>
      <c r="AQ1064" s="39">
        <f>IF(Y1064="",0,1)</f>
        <v/>
      </c>
      <c r="AR1064" s="39">
        <f>IF(S1064&lt;=0,1,0)</f>
        <v/>
      </c>
      <c r="AS1064" s="17">
        <f>IF(AH1064=1,AG1064,"")</f>
        <v/>
      </c>
      <c r="AT1064" s="17">
        <f>IF(AND(AH1064=0,AJ1064=1),AG1064,"")</f>
        <v/>
      </c>
      <c r="AU1064" s="5">
        <f>IF(P1064&lt;10000,"Under $10K",IF(P1064&lt;20000,"$10-20K",IF(P1064&lt;30000,"$20-30K",IF(P1064&lt;50000,"$30-50K",IF(P1064&lt;100000,"$50-100K","$100K+")))))</f>
        <v/>
      </c>
      <c r="AV1064" s="5">
        <f>IF(O1064&lt;=1.35,"1.35 and under",IF(O1064&lt;=1.42,"1.36-1.42",IF(O1064&lt;=1.45,"1.43-1.45",IF(O1064&lt;1.49,"1.46-1.48",IF(O1064&lt;=1.49,"1.49","Above 1.49")))))</f>
        <v/>
      </c>
      <c r="AW1064" s="5">
        <f>IF(AE1064="","",IF(AE1064&lt;60,"Under 60",IF(AE1064&lt;90,"60-89",IF(AE1064&lt;120,"90-119",IF(AE1064&lt;150,"120-149","150+")))))</f>
        <v/>
      </c>
      <c r="AX1064" s="5">
        <f>IF(AP1064="","No revenue data",IF(AP1064&lt;0.15,"Under 0.15x",IF(AP1064&lt;0.3,"0.15-0.30x",IF(AP1064&lt;0.5,"0.30-0.50x",IF(AP1064&lt;1,"0.50-1.00x","1.00x+")))))</f>
        <v/>
      </c>
      <c r="AY1064" s="5">
        <f>IF(J1064="","No SIC",IFERROR(VLOOKUP(J1064,Ref!$A$4:$C$67,2,FALSE()),"Unclassified"))</f>
        <v/>
      </c>
      <c r="AZ1064" s="5">
        <f>IF(E1064="","",TEXT(E1064,"YYYY")&amp;"-Q"&amp;ROUNDUP(MONTH(E1064)/3,0))</f>
        <v/>
      </c>
      <c r="BA1064" s="5">
        <f>IF(E1064="","",TEXT(E1064,"YYYY-MM"))</f>
        <v/>
      </c>
      <c r="BB1064" s="5">
        <f>IF(E1064="","",TEXT(E1064,"YYYY"))</f>
        <v/>
      </c>
      <c r="BC1064" s="92">
        <f>IF($E1064="","",NETWORKDAYS($E1064,Controls!$B$9,Ref!$F$4:$F$47))</f>
        <v/>
      </c>
      <c r="BD1064" s="92">
        <f>IF(OR($AH1064=1,$AJ1064=1),1,0)</f>
        <v/>
      </c>
      <c r="BE1064" s="95">
        <f>IF(OR($BD1064=1,AND($AE1064&lt;&gt;"",$BC1064&gt;=Controls!$B$10*$AE1064)),1,0)</f>
        <v/>
      </c>
    </row>
    <row r="1065" ht="15.75" customHeight="1" s="79">
      <c r="A1065" s="5" t="inlineStr">
        <is>
          <t>5674188624</t>
        </is>
      </c>
      <c r="B1065" s="5" t="inlineStr">
        <is>
          <t>SOUTHRIDGE PEDIATRIC DENTISTRY</t>
        </is>
      </c>
      <c r="C1065" s="5" t="inlineStr">
        <is>
          <t>David c Roth DDS LLC</t>
        </is>
      </c>
      <c r="D1065" s="5" t="inlineStr">
        <is>
          <t>Open</t>
        </is>
      </c>
      <c r="E1065" s="16" t="n">
        <v>46239</v>
      </c>
      <c r="F1065" s="16" t="n">
        <v>46252</v>
      </c>
      <c r="G1065" s="17" t="n">
        <v>2</v>
      </c>
      <c r="H1065" s="5" t="inlineStr">
        <is>
          <t>8021</t>
        </is>
      </c>
      <c r="I1065" s="5" t="inlineStr">
        <is>
          <t>Offices of Dentists</t>
        </is>
      </c>
      <c r="J1065" s="5" t="inlineStr">
        <is>
          <t>80</t>
        </is>
      </c>
      <c r="K1065" s="5" t="n">
        <v>8021</v>
      </c>
      <c r="L1065" s="5" t="inlineStr">
        <is>
          <t>UT</t>
        </is>
      </c>
      <c r="M1065" s="5" t="inlineStr">
        <is>
          <t>Premium Capital (AMRK)</t>
        </is>
      </c>
      <c r="N1065" s="5" t="inlineStr">
        <is>
          <t>New Deal</t>
        </is>
      </c>
      <c r="O1065" s="19" t="n">
        <v>1.36</v>
      </c>
      <c r="P1065" s="20" t="n">
        <v>75000</v>
      </c>
      <c r="Q1065" s="20" t="n">
        <v>5625</v>
      </c>
      <c r="R1065" s="20" t="n">
        <v>102000</v>
      </c>
      <c r="S1065" s="20" t="n">
        <v>6375</v>
      </c>
      <c r="T1065" s="20" t="n">
        <v>95625</v>
      </c>
      <c r="U1065" s="21" t="n">
        <v>0.0625</v>
      </c>
      <c r="V1065" s="22" t="n">
        <v>32</v>
      </c>
      <c r="W1065" s="17" t="n">
        <v>1</v>
      </c>
      <c r="X1065" s="17" t="n">
        <v>0</v>
      </c>
      <c r="Y1065" s="20" t="n">
        <v>29886.36</v>
      </c>
      <c r="Z1065" s="21" t="n">
        <v>0.08500000000000001</v>
      </c>
      <c r="AA1065" s="16" t="n">
        <v>38893</v>
      </c>
      <c r="AB1065" s="5">
        <f>IF(V1065="","",IF(V1065&lt;12,"Months","Weeks"))</f>
        <v/>
      </c>
      <c r="AC1065" s="5">
        <f>IF(AB1065="","",IF(AB1065="Months","Daily","Weekly"))</f>
        <v/>
      </c>
      <c r="AD1065" s="17">
        <f>IF(V1065="","",IF(AC1065="Daily",V1065*Controls!$B$13,V1065))</f>
        <v/>
      </c>
      <c r="AE1065" s="17">
        <f>IF(V1065="","",IF(AC1065="Daily",V1065*Controls!$B$13,V1065*Controls!$B$12))</f>
        <v/>
      </c>
      <c r="AF1065" s="17">
        <f>IF(OR(E1065="",F1065=""),"",F1065-E1065)</f>
        <v/>
      </c>
      <c r="AG1065" s="17">
        <f>IF(OR(E1065="",F1065=""),"",NETWORKDAYS(E1065,F1065,Ref!$F$4:$F$47))</f>
        <v/>
      </c>
      <c r="AH1065" s="39">
        <f>IF(IFERROR(VLOOKUP(D1065,Controls!$A$25:$D$35,2,FALSE()),"No")="Yes",1,0)</f>
        <v/>
      </c>
      <c r="AI1065" s="39">
        <f>IF(IFERROR(VLOOKUP(D1065,Controls!$A$25:$D$35,3,FALSE()),"No")="Yes",1,0)</f>
        <v/>
      </c>
      <c r="AJ1065" s="39">
        <f>IF(IFERROR(VLOOKUP(D1065,Controls!$A$25:$D$35,4,FALSE()),"No")="Yes",1,0)</f>
        <v/>
      </c>
      <c r="AK1065" s="96">
        <f>IF(AND($E1065&gt;=Controls!$B$5,$E1065&lt;=Controls!$B$6,OR(Controls!$E$9&lt;&gt;"Y",$BE1065=1)),1,0)</f>
        <v/>
      </c>
      <c r="AL1065" s="39">
        <f>1</f>
        <v/>
      </c>
      <c r="AM1065" s="20">
        <f>S1065-P1065</f>
        <v/>
      </c>
      <c r="AN1065" s="20">
        <f>IF(AH1065=1,MAX(0,P1065-S1065),0)</f>
        <v/>
      </c>
      <c r="AO1065" s="21">
        <f>IFERROR(S1065/P1065,"")</f>
        <v/>
      </c>
      <c r="AP1065" s="22">
        <f>IF(Y1065="","",P1065/Y1065)</f>
        <v/>
      </c>
      <c r="AQ1065" s="39">
        <f>IF(Y1065="",0,1)</f>
        <v/>
      </c>
      <c r="AR1065" s="39">
        <f>IF(S1065&lt;=0,1,0)</f>
        <v/>
      </c>
      <c r="AS1065" s="17">
        <f>IF(AH1065=1,AG1065,"")</f>
        <v/>
      </c>
      <c r="AT1065" s="17">
        <f>IF(AND(AH1065=0,AJ1065=1),AG1065,"")</f>
        <v/>
      </c>
      <c r="AU1065" s="5">
        <f>IF(P1065&lt;10000,"Under $10K",IF(P1065&lt;20000,"$10-20K",IF(P1065&lt;30000,"$20-30K",IF(P1065&lt;50000,"$30-50K",IF(P1065&lt;100000,"$50-100K","$100K+")))))</f>
        <v/>
      </c>
      <c r="AV1065" s="5">
        <f>IF(O1065&lt;=1.35,"1.35 and under",IF(O1065&lt;=1.42,"1.36-1.42",IF(O1065&lt;=1.45,"1.43-1.45",IF(O1065&lt;1.49,"1.46-1.48",IF(O1065&lt;=1.49,"1.49","Above 1.49")))))</f>
        <v/>
      </c>
      <c r="AW1065" s="5">
        <f>IF(AE1065="","",IF(AE1065&lt;60,"Under 60",IF(AE1065&lt;90,"60-89",IF(AE1065&lt;120,"90-119",IF(AE1065&lt;150,"120-149","150+")))))</f>
        <v/>
      </c>
      <c r="AX1065" s="5">
        <f>IF(AP1065="","No revenue data",IF(AP1065&lt;0.15,"Under 0.15x",IF(AP1065&lt;0.3,"0.15-0.30x",IF(AP1065&lt;0.5,"0.30-0.50x",IF(AP1065&lt;1,"0.50-1.00x","1.00x+")))))</f>
        <v/>
      </c>
      <c r="AY1065" s="5">
        <f>IF(J1065="","No SIC",IFERROR(VLOOKUP(J1065,Ref!$A$4:$C$67,2,FALSE()),"Unclassified"))</f>
        <v/>
      </c>
      <c r="AZ1065" s="5">
        <f>IF(E1065="","",TEXT(E1065,"YYYY")&amp;"-Q"&amp;ROUNDUP(MONTH(E1065)/3,0))</f>
        <v/>
      </c>
      <c r="BA1065" s="5">
        <f>IF(E1065="","",TEXT(E1065,"YYYY-MM"))</f>
        <v/>
      </c>
      <c r="BB1065" s="5">
        <f>IF(E1065="","",TEXT(E1065,"YYYY"))</f>
        <v/>
      </c>
      <c r="BC1065" s="92">
        <f>IF($E1065="","",NETWORKDAYS($E1065,Controls!$B$9,Ref!$F$4:$F$47))</f>
        <v/>
      </c>
      <c r="BD1065" s="92">
        <f>IF(OR($AH1065=1,$AJ1065=1),1,0)</f>
        <v/>
      </c>
      <c r="BE1065" s="95">
        <f>IF(OR($BD1065=1,AND($AE1065&lt;&gt;"",$BC1065&gt;=Controls!$B$10*$AE1065)),1,0)</f>
        <v/>
      </c>
    </row>
    <row r="1066" ht="15.75" customHeight="1" s="79">
      <c r="A1066" s="5" t="inlineStr">
        <is>
          <t>5674188733</t>
        </is>
      </c>
      <c r="B1066" s="5" t="inlineStr">
        <is>
          <t>Shriyas Kitchen</t>
        </is>
      </c>
      <c r="C1066" s="5" t="inlineStr">
        <is>
          <t>SILPA'S INTERNATIONAL FOODS LLC</t>
        </is>
      </c>
      <c r="D1066" s="5" t="inlineStr">
        <is>
          <t>Open</t>
        </is>
      </c>
      <c r="E1066" s="16" t="n">
        <v>46240</v>
      </c>
      <c r="F1066" s="16" t="n">
        <v>46248</v>
      </c>
      <c r="G1066" s="17" t="n">
        <v>2</v>
      </c>
      <c r="H1066" s="5" t="inlineStr">
        <is>
          <t>5812</t>
        </is>
      </c>
      <c r="I1066" s="5" t="inlineStr">
        <is>
          <t>Full-Service Restaurants</t>
        </is>
      </c>
      <c r="J1066" s="5" t="inlineStr">
        <is>
          <t>58</t>
        </is>
      </c>
      <c r="K1066" s="5" t="n">
        <v>5812</v>
      </c>
      <c r="L1066" s="5" t="inlineStr">
        <is>
          <t>FL</t>
        </is>
      </c>
      <c r="M1066" s="5" t="inlineStr">
        <is>
          <t>Fund Simple</t>
        </is>
      </c>
      <c r="N1066" s="5" t="inlineStr">
        <is>
          <t>Renewal</t>
        </is>
      </c>
      <c r="O1066" s="19" t="n">
        <v>1.49</v>
      </c>
      <c r="P1066" s="20" t="n">
        <v>27000</v>
      </c>
      <c r="Q1066" s="20" t="n">
        <v>3780</v>
      </c>
      <c r="R1066" s="20" t="n">
        <v>40230</v>
      </c>
      <c r="S1066" s="20" t="n">
        <v>1547.25</v>
      </c>
      <c r="T1066" s="20" t="n">
        <v>38682.75</v>
      </c>
      <c r="U1066" s="21" t="n">
        <v>0.0384601043997017</v>
      </c>
      <c r="V1066" s="22" t="n">
        <v>26</v>
      </c>
      <c r="W1066" s="17" t="n">
        <v>5</v>
      </c>
      <c r="X1066" s="17" t="n">
        <v>0</v>
      </c>
      <c r="Y1066" s="20" t="n">
        <v>58969.27</v>
      </c>
      <c r="Z1066" s="21" t="n">
        <v>0.0999</v>
      </c>
      <c r="AA1066" s="16" t="n">
        <v>45355</v>
      </c>
      <c r="AB1066" s="5">
        <f>IF(V1066="","",IF(V1066&lt;12,"Months","Weeks"))</f>
        <v/>
      </c>
      <c r="AC1066" s="5">
        <f>IF(AB1066="","",IF(AB1066="Months","Daily","Weekly"))</f>
        <v/>
      </c>
      <c r="AD1066" s="17">
        <f>IF(V1066="","",IF(AC1066="Daily",V1066*Controls!$B$13,V1066))</f>
        <v/>
      </c>
      <c r="AE1066" s="17">
        <f>IF(V1066="","",IF(AC1066="Daily",V1066*Controls!$B$13,V1066*Controls!$B$12))</f>
        <v/>
      </c>
      <c r="AF1066" s="17">
        <f>IF(OR(E1066="",F1066=""),"",F1066-E1066)</f>
        <v/>
      </c>
      <c r="AG1066" s="17">
        <f>IF(OR(E1066="",F1066=""),"",NETWORKDAYS(E1066,F1066,Ref!$F$4:$F$47))</f>
        <v/>
      </c>
      <c r="AH1066" s="39">
        <f>IF(IFERROR(VLOOKUP(D1066,Controls!$A$25:$D$35,2,FALSE()),"No")="Yes",1,0)</f>
        <v/>
      </c>
      <c r="AI1066" s="39">
        <f>IF(IFERROR(VLOOKUP(D1066,Controls!$A$25:$D$35,3,FALSE()),"No")="Yes",1,0)</f>
        <v/>
      </c>
      <c r="AJ1066" s="39">
        <f>IF(IFERROR(VLOOKUP(D1066,Controls!$A$25:$D$35,4,FALSE()),"No")="Yes",1,0)</f>
        <v/>
      </c>
      <c r="AK1066" s="96">
        <f>IF(AND($E1066&gt;=Controls!$B$5,$E1066&lt;=Controls!$B$6,OR(Controls!$E$9&lt;&gt;"Y",$BE1066=1)),1,0)</f>
        <v/>
      </c>
      <c r="AL1066" s="39">
        <f>1</f>
        <v/>
      </c>
      <c r="AM1066" s="20">
        <f>S1066-P1066</f>
        <v/>
      </c>
      <c r="AN1066" s="20">
        <f>IF(AH1066=1,MAX(0,P1066-S1066),0)</f>
        <v/>
      </c>
      <c r="AO1066" s="21">
        <f>IFERROR(S1066/P1066,"")</f>
        <v/>
      </c>
      <c r="AP1066" s="22">
        <f>IF(Y1066="","",P1066/Y1066)</f>
        <v/>
      </c>
      <c r="AQ1066" s="39">
        <f>IF(Y1066="",0,1)</f>
        <v/>
      </c>
      <c r="AR1066" s="39">
        <f>IF(S1066&lt;=0,1,0)</f>
        <v/>
      </c>
      <c r="AS1066" s="17">
        <f>IF(AH1066=1,AG1066,"")</f>
        <v/>
      </c>
      <c r="AT1066" s="17">
        <f>IF(AND(AH1066=0,AJ1066=1),AG1066,"")</f>
        <v/>
      </c>
      <c r="AU1066" s="5">
        <f>IF(P1066&lt;10000,"Under $10K",IF(P1066&lt;20000,"$10-20K",IF(P1066&lt;30000,"$20-30K",IF(P1066&lt;50000,"$30-50K",IF(P1066&lt;100000,"$50-100K","$100K+")))))</f>
        <v/>
      </c>
      <c r="AV1066" s="5">
        <f>IF(O1066&lt;=1.35,"1.35 and under",IF(O1066&lt;=1.42,"1.36-1.42",IF(O1066&lt;=1.45,"1.43-1.45",IF(O1066&lt;1.49,"1.46-1.48",IF(O1066&lt;=1.49,"1.49","Above 1.49")))))</f>
        <v/>
      </c>
      <c r="AW1066" s="5">
        <f>IF(AE1066="","",IF(AE1066&lt;60,"Under 60",IF(AE1066&lt;90,"60-89",IF(AE1066&lt;120,"90-119",IF(AE1066&lt;150,"120-149","150+")))))</f>
        <v/>
      </c>
      <c r="AX1066" s="5">
        <f>IF(AP1066="","No revenue data",IF(AP1066&lt;0.15,"Under 0.15x",IF(AP1066&lt;0.3,"0.15-0.30x",IF(AP1066&lt;0.5,"0.30-0.50x",IF(AP1066&lt;1,"0.50-1.00x","1.00x+")))))</f>
        <v/>
      </c>
      <c r="AY1066" s="5">
        <f>IF(J1066="","No SIC",IFERROR(VLOOKUP(J1066,Ref!$A$4:$C$67,2,FALSE()),"Unclassified"))</f>
        <v/>
      </c>
      <c r="AZ1066" s="5">
        <f>IF(E1066="","",TEXT(E1066,"YYYY")&amp;"-Q"&amp;ROUNDUP(MONTH(E1066)/3,0))</f>
        <v/>
      </c>
      <c r="BA1066" s="5">
        <f>IF(E1066="","",TEXT(E1066,"YYYY-MM"))</f>
        <v/>
      </c>
      <c r="BB1066" s="5">
        <f>IF(E1066="","",TEXT(E1066,"YYYY"))</f>
        <v/>
      </c>
      <c r="BC1066" s="92">
        <f>IF($E1066="","",NETWORKDAYS($E1066,Controls!$B$9,Ref!$F$4:$F$47))</f>
        <v/>
      </c>
      <c r="BD1066" s="92">
        <f>IF(OR($AH1066=1,$AJ1066=1),1,0)</f>
        <v/>
      </c>
      <c r="BE1066" s="95">
        <f>IF(OR($BD1066=1,AND($AE1066&lt;&gt;"",$BC1066&gt;=Controls!$B$10*$AE1066)),1,0)</f>
        <v/>
      </c>
    </row>
    <row r="1067" ht="15.75" customHeight="1" s="79">
      <c r="A1067" s="5" t="inlineStr">
        <is>
          <t>5674188742</t>
        </is>
      </c>
      <c r="B1067" s="5" t="inlineStr">
        <is>
          <t>POPS DBM</t>
        </is>
      </c>
      <c r="C1067" s="5" t="inlineStr">
        <is>
          <t>POPS DBM LLC</t>
        </is>
      </c>
      <c r="D1067" s="5" t="inlineStr">
        <is>
          <t>Open</t>
        </is>
      </c>
      <c r="E1067" s="16" t="n">
        <v>46240</v>
      </c>
      <c r="F1067" s="16" t="n">
        <v>46253</v>
      </c>
      <c r="G1067" s="17" t="n">
        <v>8</v>
      </c>
      <c r="H1067" s="5" t="inlineStr">
        <is>
          <t>1751</t>
        </is>
      </c>
      <c r="I1067" s="5" t="inlineStr">
        <is>
          <t>Finish Carpentry Contractors</t>
        </is>
      </c>
      <c r="J1067" s="5" t="inlineStr">
        <is>
          <t>17</t>
        </is>
      </c>
      <c r="K1067" s="5" t="n">
        <v>1750</v>
      </c>
      <c r="L1067" s="5" t="inlineStr">
        <is>
          <t>NC</t>
        </is>
      </c>
      <c r="M1067" s="5" t="inlineStr">
        <is>
          <t>Elite Advance 5</t>
        </is>
      </c>
      <c r="N1067" s="5" t="inlineStr">
        <is>
          <t>Renewal</t>
        </is>
      </c>
      <c r="O1067" s="19" t="n">
        <v>1.49</v>
      </c>
      <c r="P1067" s="20" t="n">
        <v>120000</v>
      </c>
      <c r="Q1067" s="20" t="n">
        <v>16800</v>
      </c>
      <c r="R1067" s="20" t="n">
        <v>178800</v>
      </c>
      <c r="S1067" s="20" t="n">
        <v>13874.42</v>
      </c>
      <c r="T1067" s="20" t="n">
        <v>164925.58</v>
      </c>
      <c r="U1067" s="21" t="n">
        <v>0.0775974272930649</v>
      </c>
      <c r="V1067" s="22" t="n">
        <v>4.557</v>
      </c>
      <c r="W1067" s="17" t="n">
        <v>0</v>
      </c>
      <c r="X1067" s="17" t="n">
        <v>0</v>
      </c>
      <c r="Y1067" s="20" t="n">
        <v>220171.86</v>
      </c>
      <c r="Z1067" s="21" t="n">
        <v>0.08840000000000001</v>
      </c>
      <c r="AA1067" s="5" t="n"/>
      <c r="AB1067" s="5">
        <f>IF(V1067="","",IF(V1067&lt;12,"Months","Weeks"))</f>
        <v/>
      </c>
      <c r="AC1067" s="5">
        <f>IF(AB1067="","",IF(AB1067="Months","Daily","Weekly"))</f>
        <v/>
      </c>
      <c r="AD1067" s="17">
        <f>IF(V1067="","",IF(AC1067="Daily",V1067*Controls!$B$13,V1067))</f>
        <v/>
      </c>
      <c r="AE1067" s="17">
        <f>IF(V1067="","",IF(AC1067="Daily",V1067*Controls!$B$13,V1067*Controls!$B$12))</f>
        <v/>
      </c>
      <c r="AF1067" s="17">
        <f>IF(OR(E1067="",F1067=""),"",F1067-E1067)</f>
        <v/>
      </c>
      <c r="AG1067" s="17">
        <f>IF(OR(E1067="",F1067=""),"",NETWORKDAYS(E1067,F1067,Ref!$F$4:$F$47))</f>
        <v/>
      </c>
      <c r="AH1067" s="39">
        <f>IF(IFERROR(VLOOKUP(D1067,Controls!$A$25:$D$35,2,FALSE()),"No")="Yes",1,0)</f>
        <v/>
      </c>
      <c r="AI1067" s="39">
        <f>IF(IFERROR(VLOOKUP(D1067,Controls!$A$25:$D$35,3,FALSE()),"No")="Yes",1,0)</f>
        <v/>
      </c>
      <c r="AJ1067" s="39">
        <f>IF(IFERROR(VLOOKUP(D1067,Controls!$A$25:$D$35,4,FALSE()),"No")="Yes",1,0)</f>
        <v/>
      </c>
      <c r="AK1067" s="96">
        <f>IF(AND($E1067&gt;=Controls!$B$5,$E1067&lt;=Controls!$B$6,OR(Controls!$E$9&lt;&gt;"Y",$BE1067=1)),1,0)</f>
        <v/>
      </c>
      <c r="AL1067" s="39">
        <f>1</f>
        <v/>
      </c>
      <c r="AM1067" s="20">
        <f>S1067-P1067</f>
        <v/>
      </c>
      <c r="AN1067" s="20">
        <f>IF(AH1067=1,MAX(0,P1067-S1067),0)</f>
        <v/>
      </c>
      <c r="AO1067" s="21">
        <f>IFERROR(S1067/P1067,"")</f>
        <v/>
      </c>
      <c r="AP1067" s="22">
        <f>IF(Y1067="","",P1067/Y1067)</f>
        <v/>
      </c>
      <c r="AQ1067" s="39">
        <f>IF(Y1067="",0,1)</f>
        <v/>
      </c>
      <c r="AR1067" s="39">
        <f>IF(S1067&lt;=0,1,0)</f>
        <v/>
      </c>
      <c r="AS1067" s="17">
        <f>IF(AH1067=1,AG1067,"")</f>
        <v/>
      </c>
      <c r="AT1067" s="17">
        <f>IF(AND(AH1067=0,AJ1067=1),AG1067,"")</f>
        <v/>
      </c>
      <c r="AU1067" s="5">
        <f>IF(P1067&lt;10000,"Under $10K",IF(P1067&lt;20000,"$10-20K",IF(P1067&lt;30000,"$20-30K",IF(P1067&lt;50000,"$30-50K",IF(P1067&lt;100000,"$50-100K","$100K+")))))</f>
        <v/>
      </c>
      <c r="AV1067" s="5">
        <f>IF(O1067&lt;=1.35,"1.35 and under",IF(O1067&lt;=1.42,"1.36-1.42",IF(O1067&lt;=1.45,"1.43-1.45",IF(O1067&lt;1.49,"1.46-1.48",IF(O1067&lt;=1.49,"1.49","Above 1.49")))))</f>
        <v/>
      </c>
      <c r="AW1067" s="5">
        <f>IF(AE1067="","",IF(AE1067&lt;60,"Under 60",IF(AE1067&lt;90,"60-89",IF(AE1067&lt;120,"90-119",IF(AE1067&lt;150,"120-149","150+")))))</f>
        <v/>
      </c>
      <c r="AX1067" s="5">
        <f>IF(AP1067="","No revenue data",IF(AP1067&lt;0.15,"Under 0.15x",IF(AP1067&lt;0.3,"0.15-0.30x",IF(AP1067&lt;0.5,"0.30-0.50x",IF(AP1067&lt;1,"0.50-1.00x","1.00x+")))))</f>
        <v/>
      </c>
      <c r="AY1067" s="5">
        <f>IF(J1067="","No SIC",IFERROR(VLOOKUP(J1067,Ref!$A$4:$C$67,2,FALSE()),"Unclassified"))</f>
        <v/>
      </c>
      <c r="AZ1067" s="5">
        <f>IF(E1067="","",TEXT(E1067,"YYYY")&amp;"-Q"&amp;ROUNDUP(MONTH(E1067)/3,0))</f>
        <v/>
      </c>
      <c r="BA1067" s="5">
        <f>IF(E1067="","",TEXT(E1067,"YYYY-MM"))</f>
        <v/>
      </c>
      <c r="BB1067" s="5">
        <f>IF(E1067="","",TEXT(E1067,"YYYY"))</f>
        <v/>
      </c>
      <c r="BC1067" s="92">
        <f>IF($E1067="","",NETWORKDAYS($E1067,Controls!$B$9,Ref!$F$4:$F$47))</f>
        <v/>
      </c>
      <c r="BD1067" s="92">
        <f>IF(OR($AH1067=1,$AJ1067=1),1,0)</f>
        <v/>
      </c>
      <c r="BE1067" s="95">
        <f>IF(OR($BD1067=1,AND($AE1067&lt;&gt;"",$BC1067&gt;=Controls!$B$10*$AE1067)),1,0)</f>
        <v/>
      </c>
    </row>
    <row r="1068" ht="15.75" customHeight="1" s="79">
      <c r="A1068" s="5" t="inlineStr">
        <is>
          <t>5674188778</t>
        </is>
      </c>
      <c r="B1068" s="5" t="inlineStr">
        <is>
          <t>SILER LAW OFFICE, PLLC , DANIEL R SILER SOLE PROP</t>
        </is>
      </c>
      <c r="C1068" s="5" t="inlineStr">
        <is>
          <t>SILER LAW OFFICE PLLC</t>
        </is>
      </c>
      <c r="D1068" s="5" t="inlineStr">
        <is>
          <t>Open</t>
        </is>
      </c>
      <c r="E1068" s="16" t="n">
        <v>46241</v>
      </c>
      <c r="F1068" s="16" t="n">
        <v>46247</v>
      </c>
      <c r="G1068" s="17" t="n">
        <v>2</v>
      </c>
      <c r="H1068" s="5" t="inlineStr">
        <is>
          <t>8111</t>
        </is>
      </c>
      <c r="I1068" s="5" t="inlineStr">
        <is>
          <t>Offices of Lawyers</t>
        </is>
      </c>
      <c r="J1068" s="5" t="inlineStr">
        <is>
          <t>81</t>
        </is>
      </c>
      <c r="K1068" s="5" t="n">
        <v>8111</v>
      </c>
      <c r="L1068" s="5" t="inlineStr">
        <is>
          <t>TX</t>
        </is>
      </c>
      <c r="M1068" s="5" t="inlineStr">
        <is>
          <t>Vanguard Equities</t>
        </is>
      </c>
      <c r="N1068" s="5" t="inlineStr">
        <is>
          <t>New Deal</t>
        </is>
      </c>
      <c r="O1068" s="19" t="n">
        <v>1.49</v>
      </c>
      <c r="P1068" s="20" t="n">
        <v>42000</v>
      </c>
      <c r="Q1068" s="20" t="n">
        <v>5880</v>
      </c>
      <c r="R1068" s="20" t="n">
        <v>62580</v>
      </c>
      <c r="S1068" s="20" t="n">
        <v>1564.81</v>
      </c>
      <c r="T1068" s="20" t="n">
        <v>61015.19</v>
      </c>
      <c r="U1068" s="21" t="n">
        <v>0.0250049536593161</v>
      </c>
      <c r="V1068" s="22" t="n">
        <v>40</v>
      </c>
      <c r="W1068" s="17" t="n">
        <v>6</v>
      </c>
      <c r="X1068" s="17" t="n">
        <v>0</v>
      </c>
      <c r="Y1068" s="20" t="n">
        <v>36905.9</v>
      </c>
      <c r="Z1068" s="21" t="n">
        <v>0.1696</v>
      </c>
      <c r="AA1068" s="16" t="n">
        <v>35916</v>
      </c>
      <c r="AB1068" s="5">
        <f>IF(V1068="","",IF(V1068&lt;12,"Months","Weeks"))</f>
        <v/>
      </c>
      <c r="AC1068" s="5">
        <f>IF(AB1068="","",IF(AB1068="Months","Daily","Weekly"))</f>
        <v/>
      </c>
      <c r="AD1068" s="17">
        <f>IF(V1068="","",IF(AC1068="Daily",V1068*Controls!$B$13,V1068))</f>
        <v/>
      </c>
      <c r="AE1068" s="17">
        <f>IF(V1068="","",IF(AC1068="Daily",V1068*Controls!$B$13,V1068*Controls!$B$12))</f>
        <v/>
      </c>
      <c r="AF1068" s="17">
        <f>IF(OR(E1068="",F1068=""),"",F1068-E1068)</f>
        <v/>
      </c>
      <c r="AG1068" s="17">
        <f>IF(OR(E1068="",F1068=""),"",NETWORKDAYS(E1068,F1068,Ref!$F$4:$F$47))</f>
        <v/>
      </c>
      <c r="AH1068" s="39">
        <f>IF(IFERROR(VLOOKUP(D1068,Controls!$A$25:$D$35,2,FALSE()),"No")="Yes",1,0)</f>
        <v/>
      </c>
      <c r="AI1068" s="39">
        <f>IF(IFERROR(VLOOKUP(D1068,Controls!$A$25:$D$35,3,FALSE()),"No")="Yes",1,0)</f>
        <v/>
      </c>
      <c r="AJ1068" s="39">
        <f>IF(IFERROR(VLOOKUP(D1068,Controls!$A$25:$D$35,4,FALSE()),"No")="Yes",1,0)</f>
        <v/>
      </c>
      <c r="AK1068" s="96">
        <f>IF(AND($E1068&gt;=Controls!$B$5,$E1068&lt;=Controls!$B$6,OR(Controls!$E$9&lt;&gt;"Y",$BE1068=1)),1,0)</f>
        <v/>
      </c>
      <c r="AL1068" s="39">
        <f>1</f>
        <v/>
      </c>
      <c r="AM1068" s="20">
        <f>S1068-P1068</f>
        <v/>
      </c>
      <c r="AN1068" s="20">
        <f>IF(AH1068=1,MAX(0,P1068-S1068),0)</f>
        <v/>
      </c>
      <c r="AO1068" s="21">
        <f>IFERROR(S1068/P1068,"")</f>
        <v/>
      </c>
      <c r="AP1068" s="22">
        <f>IF(Y1068="","",P1068/Y1068)</f>
        <v/>
      </c>
      <c r="AQ1068" s="39">
        <f>IF(Y1068="",0,1)</f>
        <v/>
      </c>
      <c r="AR1068" s="39">
        <f>IF(S1068&lt;=0,1,0)</f>
        <v/>
      </c>
      <c r="AS1068" s="17">
        <f>IF(AH1068=1,AG1068,"")</f>
        <v/>
      </c>
      <c r="AT1068" s="17">
        <f>IF(AND(AH1068=0,AJ1068=1),AG1068,"")</f>
        <v/>
      </c>
      <c r="AU1068" s="5">
        <f>IF(P1068&lt;10000,"Under $10K",IF(P1068&lt;20000,"$10-20K",IF(P1068&lt;30000,"$20-30K",IF(P1068&lt;50000,"$30-50K",IF(P1068&lt;100000,"$50-100K","$100K+")))))</f>
        <v/>
      </c>
      <c r="AV1068" s="5">
        <f>IF(O1068&lt;=1.35,"1.35 and under",IF(O1068&lt;=1.42,"1.36-1.42",IF(O1068&lt;=1.45,"1.43-1.45",IF(O1068&lt;1.49,"1.46-1.48",IF(O1068&lt;=1.49,"1.49","Above 1.49")))))</f>
        <v/>
      </c>
      <c r="AW1068" s="5">
        <f>IF(AE1068="","",IF(AE1068&lt;60,"Under 60",IF(AE1068&lt;90,"60-89",IF(AE1068&lt;120,"90-119",IF(AE1068&lt;150,"120-149","150+")))))</f>
        <v/>
      </c>
      <c r="AX1068" s="5">
        <f>IF(AP1068="","No revenue data",IF(AP1068&lt;0.15,"Under 0.15x",IF(AP1068&lt;0.3,"0.15-0.30x",IF(AP1068&lt;0.5,"0.30-0.50x",IF(AP1068&lt;1,"0.50-1.00x","1.00x+")))))</f>
        <v/>
      </c>
      <c r="AY1068" s="5">
        <f>IF(J1068="","No SIC",IFERROR(VLOOKUP(J1068,Ref!$A$4:$C$67,2,FALSE()),"Unclassified"))</f>
        <v/>
      </c>
      <c r="AZ1068" s="5">
        <f>IF(E1068="","",TEXT(E1068,"YYYY")&amp;"-Q"&amp;ROUNDUP(MONTH(E1068)/3,0))</f>
        <v/>
      </c>
      <c r="BA1068" s="5">
        <f>IF(E1068="","",TEXT(E1068,"YYYY-MM"))</f>
        <v/>
      </c>
      <c r="BB1068" s="5">
        <f>IF(E1068="","",TEXT(E1068,"YYYY"))</f>
        <v/>
      </c>
      <c r="BC1068" s="92">
        <f>IF($E1068="","",NETWORKDAYS($E1068,Controls!$B$9,Ref!$F$4:$F$47))</f>
        <v/>
      </c>
      <c r="BD1068" s="92">
        <f>IF(OR($AH1068=1,$AJ1068=1),1,0)</f>
        <v/>
      </c>
      <c r="BE1068" s="95">
        <f>IF(OR($BD1068=1,AND($AE1068&lt;&gt;"",$BC1068&gt;=Controls!$B$10*$AE1068)),1,0)</f>
        <v/>
      </c>
    </row>
    <row r="1069" ht="15.75" customHeight="1" s="79">
      <c r="A1069" s="5" t="n"/>
      <c r="B1069" s="5" t="n"/>
      <c r="C1069" s="5" t="n"/>
      <c r="D1069" s="5" t="n"/>
      <c r="E1069" s="5" t="n"/>
      <c r="F1069" s="5" t="n"/>
      <c r="G1069" s="5" t="n"/>
      <c r="H1069" s="5" t="n"/>
      <c r="I1069" s="5" t="n"/>
      <c r="J1069" s="5" t="n"/>
      <c r="K1069" s="5" t="n"/>
      <c r="L1069" s="5" t="n"/>
      <c r="M1069" s="5" t="n"/>
      <c r="N1069" s="5" t="n"/>
      <c r="O1069" s="5" t="n"/>
      <c r="P1069" s="5" t="n"/>
      <c r="Q1069" s="5" t="n"/>
      <c r="R1069" s="5" t="n"/>
      <c r="S1069" s="5" t="n"/>
      <c r="T1069" s="5" t="n"/>
      <c r="U1069" s="5" t="n"/>
      <c r="V1069" s="5" t="n"/>
      <c r="W1069" s="5" t="n"/>
      <c r="X1069" s="5" t="n"/>
      <c r="Y1069" s="5" t="n"/>
      <c r="Z1069" s="5" t="n"/>
      <c r="AA1069" s="5" t="n"/>
      <c r="AB1069" s="5" t="n"/>
      <c r="AC1069" s="5" t="n"/>
      <c r="AD1069" s="5" t="n"/>
      <c r="AE1069" s="5" t="n"/>
      <c r="AF1069" s="5" t="n"/>
      <c r="AG1069" s="5" t="n"/>
      <c r="AH1069" s="5" t="n"/>
      <c r="AI1069" s="5" t="n"/>
      <c r="AJ1069" s="5" t="n"/>
      <c r="AK1069" s="92">
        <f>IF(AND($E1069&gt;=Controls!$B$5,$E1069&lt;=Controls!$B$6,OR(Controls!$E$9&lt;&gt;"Y",$BE1069=1)),1,0)</f>
        <v/>
      </c>
      <c r="AL1069" s="5" t="n"/>
      <c r="AM1069" s="5" t="n"/>
      <c r="AN1069" s="5" t="n"/>
      <c r="AO1069" s="5" t="n"/>
      <c r="AP1069" s="5" t="n"/>
      <c r="AQ1069" s="5" t="n"/>
      <c r="AR1069" s="5" t="n"/>
      <c r="AS1069" s="5" t="n"/>
      <c r="AT1069" s="5" t="n"/>
      <c r="AU1069" s="5" t="n"/>
      <c r="AV1069" s="5" t="n"/>
      <c r="AW1069" s="5" t="n"/>
      <c r="AX1069" s="5" t="n"/>
      <c r="AY1069" s="5" t="n"/>
      <c r="AZ1069" s="5" t="n"/>
      <c r="BA1069" s="5" t="n"/>
      <c r="BB1069" s="5" t="n"/>
      <c r="BC1069" s="92">
        <f>IF($E1069="","",NETWORKDAYS($E1069,Controls!$B$9,Ref!$F$4:$F$47))</f>
        <v/>
      </c>
      <c r="BD1069" s="92">
        <f>IF(OR($AH1069=1,$AJ1069=1),1,0)</f>
        <v/>
      </c>
      <c r="BE1069" s="95">
        <f>IF(OR($BD1069=1,AND($AE1069&lt;&gt;"",$BC1069&gt;=Controls!$B$10*$AE1069)),1,0)</f>
        <v/>
      </c>
    </row>
    <row r="1070" ht="15.75" customHeight="1" s="79">
      <c r="A1070" s="5" t="n"/>
      <c r="B1070" s="5" t="n"/>
      <c r="C1070" s="5" t="n"/>
      <c r="D1070" s="5" t="n"/>
      <c r="E1070" s="5" t="n"/>
      <c r="F1070" s="5" t="n"/>
      <c r="G1070" s="5" t="n"/>
      <c r="H1070" s="5" t="n"/>
      <c r="I1070" s="5" t="n"/>
      <c r="J1070" s="5" t="n"/>
      <c r="K1070" s="5" t="n"/>
      <c r="L1070" s="5" t="n"/>
      <c r="M1070" s="5" t="n"/>
      <c r="N1070" s="5" t="n"/>
      <c r="O1070" s="5" t="n"/>
      <c r="P1070" s="5" t="n"/>
      <c r="Q1070" s="5" t="n"/>
      <c r="R1070" s="5" t="n"/>
      <c r="S1070" s="5" t="n"/>
      <c r="T1070" s="5" t="n"/>
      <c r="U1070" s="5" t="n"/>
      <c r="V1070" s="5" t="n"/>
      <c r="W1070" s="5" t="n"/>
      <c r="X1070" s="5" t="n"/>
      <c r="Y1070" s="5" t="n"/>
      <c r="Z1070" s="5" t="n"/>
      <c r="AA1070" s="5" t="n"/>
      <c r="AB1070" s="5" t="n"/>
      <c r="AC1070" s="5" t="n"/>
      <c r="AD1070" s="5" t="n"/>
      <c r="AE1070" s="5" t="n"/>
      <c r="AF1070" s="5" t="n"/>
      <c r="AG1070" s="5" t="n"/>
      <c r="AH1070" s="5" t="n"/>
      <c r="AI1070" s="5" t="n"/>
      <c r="AJ1070" s="5" t="n"/>
      <c r="AK1070" s="92">
        <f>IF(AND($E1070&gt;=Controls!$B$5,$E1070&lt;=Controls!$B$6,OR(Controls!$E$9&lt;&gt;"Y",$BE1070=1)),1,0)</f>
        <v/>
      </c>
      <c r="AL1070" s="5" t="n"/>
      <c r="AM1070" s="5" t="n"/>
      <c r="AN1070" s="5" t="n"/>
      <c r="AO1070" s="5" t="n"/>
      <c r="AP1070" s="5" t="n"/>
      <c r="AQ1070" s="5" t="n"/>
      <c r="AR1070" s="5" t="n"/>
      <c r="AS1070" s="5" t="n"/>
      <c r="AT1070" s="5" t="n"/>
      <c r="AU1070" s="5" t="n"/>
      <c r="AV1070" s="5" t="n"/>
      <c r="AW1070" s="5" t="n"/>
      <c r="AX1070" s="5" t="n"/>
      <c r="AY1070" s="5" t="n"/>
      <c r="AZ1070" s="5" t="n"/>
      <c r="BA1070" s="5" t="n"/>
      <c r="BB1070" s="5" t="n"/>
      <c r="BC1070" s="92">
        <f>IF($E1070="","",NETWORKDAYS($E1070,Controls!$B$9,Ref!$F$4:$F$47))</f>
        <v/>
      </c>
      <c r="BD1070" s="92">
        <f>IF(OR($AH1070=1,$AJ1070=1),1,0)</f>
        <v/>
      </c>
      <c r="BE1070" s="95">
        <f>IF(OR($BD1070=1,AND($AE1070&lt;&gt;"",$BC1070&gt;=Controls!$B$10*$AE1070)),1,0)</f>
        <v/>
      </c>
    </row>
    <row r="1071" ht="15.75" customHeight="1" s="79">
      <c r="A1071" s="43" t="inlineStr">
        <is>
          <t>WHAT EACH CALCULATED COLUMN DOES</t>
        </is>
      </c>
      <c r="B1071" s="5" t="n"/>
      <c r="C1071" s="5" t="n"/>
      <c r="D1071" s="5" t="n"/>
      <c r="E1071" s="5" t="n"/>
      <c r="F1071" s="5" t="n"/>
      <c r="G1071" s="5" t="n"/>
      <c r="H1071" s="5" t="n"/>
      <c r="I1071" s="5" t="n"/>
      <c r="J1071" s="5" t="n"/>
      <c r="K1071" s="5" t="n"/>
      <c r="L1071" s="5" t="n"/>
      <c r="M1071" s="5" t="n"/>
      <c r="N1071" s="5" t="n"/>
      <c r="O1071" s="5" t="n"/>
      <c r="P1071" s="5" t="n"/>
      <c r="Q1071" s="5" t="n"/>
      <c r="R1071" s="5" t="n"/>
      <c r="S1071" s="5" t="n"/>
      <c r="T1071" s="5" t="n"/>
      <c r="U1071" s="5" t="n"/>
      <c r="V1071" s="5" t="n"/>
      <c r="W1071" s="5" t="n"/>
      <c r="X1071" s="5" t="n"/>
      <c r="Y1071" s="5" t="n"/>
      <c r="Z1071" s="5" t="n"/>
      <c r="AA1071" s="5" t="n"/>
      <c r="AB1071" s="5" t="n"/>
      <c r="AC1071" s="5" t="n"/>
      <c r="AD1071" s="5" t="n"/>
      <c r="AE1071" s="5" t="n"/>
      <c r="AF1071" s="5" t="n"/>
      <c r="AG1071" s="5" t="n"/>
      <c r="AH1071" s="5" t="n"/>
      <c r="AI1071" s="5" t="n"/>
      <c r="AJ1071" s="5" t="n"/>
      <c r="AK1071" s="92">
        <f>IF(AND($E1071&gt;=Controls!$B$5,$E1071&lt;=Controls!$B$6,OR(Controls!$E$9&lt;&gt;"Y",$BE1071=1)),1,0)</f>
        <v/>
      </c>
      <c r="AL1071" s="5" t="n"/>
      <c r="AM1071" s="5" t="n"/>
      <c r="AN1071" s="5" t="n"/>
      <c r="AO1071" s="5" t="n"/>
      <c r="AP1071" s="5" t="n"/>
      <c r="AQ1071" s="5" t="n"/>
      <c r="AR1071" s="5" t="n"/>
      <c r="AS1071" s="5" t="n"/>
      <c r="AT1071" s="5" t="n"/>
      <c r="AU1071" s="5" t="n"/>
      <c r="AV1071" s="5" t="n"/>
      <c r="AW1071" s="5" t="n"/>
      <c r="AX1071" s="5" t="n"/>
      <c r="AY1071" s="5" t="n"/>
      <c r="AZ1071" s="5" t="n"/>
      <c r="BA1071" s="5" t="n"/>
      <c r="BB1071" s="5" t="n"/>
      <c r="BC1071" s="92">
        <f>IF($E1071="","",NETWORKDAYS($E1071,Controls!$B$9,Ref!$F$4:$F$47))</f>
        <v/>
      </c>
      <c r="BD1071" s="92">
        <f>IF(OR($AH1071=1,$AJ1071=1),1,0)</f>
        <v/>
      </c>
      <c r="BE1071" s="95">
        <f>IF(OR($BD1071=1,AND($AE1071&lt;&gt;"",$BC1071&gt;=Controls!$B$10*$AE1071)),1,0)</f>
        <v/>
      </c>
    </row>
    <row r="1072" ht="15.75" customHeight="1" s="79">
      <c r="A1072" s="5" t="n"/>
      <c r="B1072" s="5" t="n"/>
      <c r="C1072" s="5" t="n"/>
      <c r="D1072" s="5" t="n"/>
      <c r="E1072" s="5" t="n"/>
      <c r="F1072" s="5" t="n"/>
      <c r="G1072" s="5" t="n"/>
      <c r="H1072" s="5" t="n"/>
      <c r="I1072" s="5" t="n"/>
      <c r="J1072" s="5" t="n"/>
      <c r="K1072" s="5" t="n"/>
      <c r="L1072" s="5" t="n"/>
      <c r="M1072" s="5" t="n"/>
      <c r="N1072" s="5" t="n"/>
      <c r="O1072" s="5" t="n"/>
      <c r="P1072" s="5" t="n"/>
      <c r="Q1072" s="5" t="n"/>
      <c r="R1072" s="5" t="n"/>
      <c r="S1072" s="5" t="n"/>
      <c r="T1072" s="5" t="n"/>
      <c r="U1072" s="5" t="n"/>
      <c r="V1072" s="5" t="n"/>
      <c r="W1072" s="5" t="n"/>
      <c r="X1072" s="5" t="n"/>
      <c r="Y1072" s="5" t="n"/>
      <c r="Z1072" s="5" t="n"/>
      <c r="AA1072" s="5" t="n"/>
      <c r="AB1072" s="5" t="n"/>
      <c r="AC1072" s="5" t="n"/>
      <c r="AD1072" s="5" t="n"/>
      <c r="AE1072" s="5" t="n"/>
      <c r="AF1072" s="5" t="n"/>
      <c r="AG1072" s="5" t="n"/>
      <c r="AH1072" s="5" t="n"/>
      <c r="AI1072" s="5" t="n"/>
      <c r="AJ1072" s="5" t="n"/>
      <c r="AK1072" s="92">
        <f>IF(AND($E1072&gt;=Controls!$B$5,$E1072&lt;=Controls!$B$6,OR(Controls!$E$9&lt;&gt;"Y",$BE1072=1)),1,0)</f>
        <v/>
      </c>
      <c r="AL1072" s="5" t="n"/>
      <c r="AM1072" s="5" t="n"/>
      <c r="AN1072" s="5" t="n"/>
      <c r="AO1072" s="5" t="n"/>
      <c r="AP1072" s="5" t="n"/>
      <c r="AQ1072" s="5" t="n"/>
      <c r="AR1072" s="5" t="n"/>
      <c r="AS1072" s="5" t="n"/>
      <c r="AT1072" s="5" t="n"/>
      <c r="AU1072" s="5" t="n"/>
      <c r="AV1072" s="5" t="n"/>
      <c r="AW1072" s="5" t="n"/>
      <c r="AX1072" s="5" t="n"/>
      <c r="AY1072" s="5" t="n"/>
      <c r="AZ1072" s="5" t="n"/>
      <c r="BA1072" s="5" t="n"/>
      <c r="BB1072" s="5" t="n"/>
      <c r="BC1072" s="92">
        <f>IF($E1072="","",NETWORKDAYS($E1072,Controls!$B$9,Ref!$F$4:$F$47))</f>
        <v/>
      </c>
      <c r="BD1072" s="92">
        <f>IF(OR($AH1072=1,$AJ1072=1),1,0)</f>
        <v/>
      </c>
      <c r="BE1072" s="95">
        <f>IF(OR($BD1072=1,AND($AE1072&lt;&gt;"",$BC1072&gt;=Controls!$B$10*$AE1072)),1,0)</f>
        <v/>
      </c>
    </row>
    <row r="1073" ht="19.5" customHeight="1" s="79">
      <c r="A1073" s="34" t="inlineStr">
        <is>
          <t>Column</t>
        </is>
      </c>
      <c r="B1073" s="34" t="inlineStr">
        <is>
          <t>Header</t>
        </is>
      </c>
      <c r="C1073" s="34" t="inlineStr">
        <is>
          <t>Formula (row 2)</t>
        </is>
      </c>
      <c r="D1073" s="34" t="inlineStr">
        <is>
          <t>What it does</t>
        </is>
      </c>
      <c r="E1073" s="5" t="n"/>
      <c r="F1073" s="5" t="n"/>
      <c r="G1073" s="5" t="n"/>
      <c r="H1073" s="5" t="n"/>
      <c r="I1073" s="5" t="n"/>
      <c r="J1073" s="5" t="n"/>
      <c r="K1073" s="5" t="n"/>
      <c r="L1073" s="5" t="n"/>
      <c r="M1073" s="5" t="n"/>
      <c r="N1073" s="5" t="n"/>
      <c r="O1073" s="5" t="n"/>
      <c r="P1073" s="5" t="n"/>
      <c r="Q1073" s="5" t="n"/>
      <c r="R1073" s="5" t="n"/>
      <c r="S1073" s="5" t="n"/>
      <c r="T1073" s="5" t="n"/>
      <c r="U1073" s="5" t="n"/>
      <c r="V1073" s="5" t="n"/>
      <c r="W1073" s="5" t="n"/>
      <c r="X1073" s="5" t="n"/>
      <c r="Y1073" s="5" t="n"/>
      <c r="Z1073" s="5" t="n"/>
      <c r="AA1073" s="5" t="n"/>
      <c r="AB1073" s="5" t="n"/>
      <c r="AC1073" s="5" t="n"/>
      <c r="AD1073" s="5" t="n"/>
      <c r="AE1073" s="5" t="n"/>
      <c r="AF1073" s="5" t="n"/>
      <c r="AG1073" s="5" t="n"/>
      <c r="AH1073" s="5" t="n"/>
      <c r="AI1073" s="5" t="n"/>
      <c r="AJ1073" s="5" t="n"/>
      <c r="AK1073" s="92">
        <f>IF(AND($E1073&gt;=Controls!$B$5,$E1073&lt;=Controls!$B$6,OR(Controls!$E$9&lt;&gt;"Y",$BE1073=1)),1,0)</f>
        <v/>
      </c>
      <c r="AL1073" s="5" t="n"/>
      <c r="AM1073" s="5" t="n"/>
      <c r="AN1073" s="5" t="n"/>
      <c r="AO1073" s="5" t="n"/>
      <c r="AP1073" s="5" t="n"/>
      <c r="AQ1073" s="5" t="n"/>
      <c r="AR1073" s="5" t="n"/>
      <c r="AS1073" s="5" t="n"/>
      <c r="AT1073" s="5" t="n"/>
      <c r="AU1073" s="5" t="n"/>
      <c r="AV1073" s="5" t="n"/>
      <c r="AW1073" s="5" t="n"/>
      <c r="AX1073" s="5" t="n"/>
      <c r="AY1073" s="5" t="n"/>
      <c r="AZ1073" s="5" t="n"/>
      <c r="BA1073" s="5" t="n"/>
      <c r="BB1073" s="5" t="n"/>
      <c r="BC1073" s="92">
        <f>IF($E1073="","",NETWORKDAYS($E1073,Controls!$B$9,Ref!$F$4:$F$47))</f>
        <v/>
      </c>
      <c r="BD1073" s="92">
        <f>IF(OR($AH1073=1,$AJ1073=1),1,0)</f>
        <v/>
      </c>
      <c r="BE1073" s="95">
        <f>IF(OR($BD1073=1,AND($AE1073&lt;&gt;"",$BC1073&gt;=Controls!$B$10*$AE1073)),1,0)</f>
        <v/>
      </c>
    </row>
    <row r="1074" ht="30" customHeight="1" s="79">
      <c r="A1074" s="6" t="inlineStr">
        <is>
          <t>AB</t>
        </is>
      </c>
      <c r="B1074" s="5" t="inlineStr">
        <is>
          <t>Unit of raw duration</t>
        </is>
      </c>
      <c r="C1074" s="74">
        <f>IF(V2="","",IF(V2&lt;12,"Months","Weeks"))</f>
        <v/>
      </c>
      <c r="D1074" s="75" t="inlineStr">
        <is>
          <t>The export records duration in months for daily-pay deals and weeks for weekly-pay deals. The raw field is bimodal with an empty gap between 6.557 (largest months value) and 12 (smallest weeks value), so anything under 12 is months and anything at or above is weeks.</t>
        </is>
      </c>
      <c r="E1074" s="5" t="n"/>
      <c r="F1074" s="5" t="n"/>
      <c r="G1074" s="5" t="n"/>
      <c r="H1074" s="5" t="n"/>
      <c r="I1074" s="5" t="n"/>
      <c r="J1074" s="5" t="n"/>
      <c r="K1074" s="5" t="n"/>
      <c r="L1074" s="5" t="n"/>
      <c r="M1074" s="5" t="n"/>
      <c r="N1074" s="5" t="n"/>
      <c r="O1074" s="5" t="n"/>
      <c r="P1074" s="5" t="n"/>
      <c r="Q1074" s="5" t="n"/>
      <c r="R1074" s="5" t="n"/>
      <c r="S1074" s="5" t="n"/>
      <c r="T1074" s="5" t="n"/>
      <c r="U1074" s="5" t="n"/>
      <c r="V1074" s="5" t="n"/>
      <c r="W1074" s="5" t="n"/>
      <c r="X1074" s="5" t="n"/>
      <c r="Y1074" s="5" t="n"/>
      <c r="Z1074" s="5" t="n"/>
      <c r="AA1074" s="5" t="n"/>
      <c r="AB1074" s="5" t="n"/>
      <c r="AC1074" s="5" t="n"/>
      <c r="AD1074" s="5" t="n"/>
      <c r="AE1074" s="5" t="n"/>
      <c r="AF1074" s="5" t="n"/>
      <c r="AG1074" s="5" t="n"/>
      <c r="AH1074" s="5" t="n"/>
      <c r="AI1074" s="5" t="n"/>
      <c r="AJ1074" s="5" t="n"/>
      <c r="AK1074" s="92">
        <f>IF(AND($E1074&gt;=Controls!$B$5,$E1074&lt;=Controls!$B$6,OR(Controls!$E$9&lt;&gt;"Y",$BE1074=1)),1,0)</f>
        <v/>
      </c>
      <c r="AL1074" s="5" t="n"/>
      <c r="AM1074" s="5" t="n"/>
      <c r="AN1074" s="5" t="n"/>
      <c r="AO1074" s="5" t="n"/>
      <c r="AP1074" s="5" t="n"/>
      <c r="AQ1074" s="5" t="n"/>
      <c r="AR1074" s="5" t="n"/>
      <c r="AS1074" s="5" t="n"/>
      <c r="AT1074" s="5" t="n"/>
      <c r="AU1074" s="5" t="n"/>
      <c r="AV1074" s="5" t="n"/>
      <c r="AW1074" s="5" t="n"/>
      <c r="AX1074" s="5" t="n"/>
      <c r="AY1074" s="5" t="n"/>
      <c r="AZ1074" s="5" t="n"/>
      <c r="BA1074" s="5" t="n"/>
      <c r="BB1074" s="5" t="n"/>
      <c r="BC1074" s="92">
        <f>IF($E1074="","",NETWORKDAYS($E1074,Controls!$B$9,Ref!$F$4:$F$47))</f>
        <v/>
      </c>
      <c r="BD1074" s="92">
        <f>IF(OR($AH1074=1,$AJ1074=1),1,0)</f>
        <v/>
      </c>
      <c r="BE1074" s="95">
        <f>IF(OR($BD1074=1,AND($AE1074&lt;&gt;"",$BC1074&gt;=Controls!$B$10*$AE1074)),1,0)</f>
        <v/>
      </c>
    </row>
    <row r="1075" ht="30" customHeight="1" s="79">
      <c r="A1075" s="6" t="inlineStr">
        <is>
          <t>AC</t>
        </is>
      </c>
      <c r="B1075" s="5" t="inlineStr">
        <is>
          <t>Pay frequency</t>
        </is>
      </c>
      <c r="C1075" s="74">
        <f>IF(AB2="","",IF(AB2="Months","Daily","Weekly"))</f>
        <v/>
      </c>
      <c r="D1075" s="75" t="inlineStr">
        <is>
          <t>A months-denominated duration means a daily-pay deal; a weeks-denominated one means weekly pay. We do not write monthly-pay deals.</t>
        </is>
      </c>
      <c r="E1075" s="5" t="n"/>
      <c r="F1075" s="5" t="n"/>
      <c r="G1075" s="5" t="n"/>
      <c r="H1075" s="5" t="n"/>
      <c r="I1075" s="5" t="n"/>
      <c r="J1075" s="5" t="n"/>
      <c r="K1075" s="5" t="n"/>
      <c r="L1075" s="5" t="n"/>
      <c r="M1075" s="5" t="n"/>
      <c r="N1075" s="5" t="n"/>
      <c r="O1075" s="5" t="n"/>
      <c r="P1075" s="5" t="n"/>
      <c r="Q1075" s="5" t="n"/>
      <c r="R1075" s="5" t="n"/>
      <c r="S1075" s="5" t="n"/>
      <c r="T1075" s="5" t="n"/>
      <c r="U1075" s="5" t="n"/>
      <c r="V1075" s="5" t="n"/>
      <c r="W1075" s="5" t="n"/>
      <c r="X1075" s="5" t="n"/>
      <c r="Y1075" s="5" t="n"/>
      <c r="Z1075" s="5" t="n"/>
      <c r="AA1075" s="5" t="n"/>
      <c r="AB1075" s="5" t="n"/>
      <c r="AC1075" s="5" t="n"/>
      <c r="AD1075" s="5" t="n"/>
      <c r="AE1075" s="5" t="n"/>
      <c r="AF1075" s="5" t="n"/>
      <c r="AG1075" s="5" t="n"/>
      <c r="AH1075" s="5" t="n"/>
      <c r="AI1075" s="5" t="n"/>
      <c r="AJ1075" s="5" t="n"/>
      <c r="AK1075" s="92">
        <f>IF(AND($E1075&gt;=Controls!$B$5,$E1075&lt;=Controls!$B$6,OR(Controls!$E$9&lt;&gt;"Y",$BE1075=1)),1,0)</f>
        <v/>
      </c>
      <c r="AL1075" s="5" t="n"/>
      <c r="AM1075" s="5" t="n"/>
      <c r="AN1075" s="5" t="n"/>
      <c r="AO1075" s="5" t="n"/>
      <c r="AP1075" s="5" t="n"/>
      <c r="AQ1075" s="5" t="n"/>
      <c r="AR1075" s="5" t="n"/>
      <c r="AS1075" s="5" t="n"/>
      <c r="AT1075" s="5" t="n"/>
      <c r="AU1075" s="5" t="n"/>
      <c r="AV1075" s="5" t="n"/>
      <c r="AW1075" s="5" t="n"/>
      <c r="AX1075" s="5" t="n"/>
      <c r="AY1075" s="5" t="n"/>
      <c r="AZ1075" s="5" t="n"/>
      <c r="BA1075" s="5" t="n"/>
      <c r="BB1075" s="5" t="n"/>
      <c r="BC1075" s="92">
        <f>IF($E1075="","",NETWORKDAYS($E1075,Controls!$B$9,Ref!$F$4:$F$47))</f>
        <v/>
      </c>
      <c r="BD1075" s="92">
        <f>IF(OR($AH1075=1,$AJ1075=1),1,0)</f>
        <v/>
      </c>
      <c r="BE1075" s="95">
        <f>IF(OR($BD1075=1,AND($AE1075&lt;&gt;"",$BC1075&gt;=Controls!$B$10*$AE1075)),1,0)</f>
        <v/>
      </c>
    </row>
    <row r="1076" ht="30" customHeight="1" s="79">
      <c r="A1076" s="6" t="inlineStr">
        <is>
          <t>AD</t>
        </is>
      </c>
      <c r="B1076" s="5" t="inlineStr">
        <is>
          <t>Expected term (payments)</t>
        </is>
      </c>
      <c r="C1076" s="74">
        <f>IF(V2="","",IF(AC2="Daily",V2*Controls!$B$13,V2))</f>
        <v/>
      </c>
      <c r="D1076" s="75" t="inlineStr">
        <is>
          <t>Number of contracted payments. A daily deal of 5.0 months is 5.0 x 21.655 = 108 payments. A weekly deal of 20 weeks is 20 payments - weeks ARE the payment count, so no conversion.</t>
        </is>
      </c>
      <c r="E1076" s="5" t="n"/>
      <c r="F1076" s="5" t="n"/>
      <c r="G1076" s="5" t="n"/>
      <c r="H1076" s="5" t="n"/>
      <c r="I1076" s="5" t="n"/>
      <c r="J1076" s="5" t="n"/>
      <c r="K1076" s="5" t="n"/>
      <c r="L1076" s="5" t="n"/>
      <c r="M1076" s="5" t="n"/>
      <c r="N1076" s="5" t="n"/>
      <c r="O1076" s="5" t="n"/>
      <c r="P1076" s="5" t="n"/>
      <c r="Q1076" s="5" t="n"/>
      <c r="R1076" s="5" t="n"/>
      <c r="S1076" s="5" t="n"/>
      <c r="T1076" s="5" t="n"/>
      <c r="U1076" s="5" t="n"/>
      <c r="V1076" s="5" t="n"/>
      <c r="W1076" s="5" t="n"/>
      <c r="X1076" s="5" t="n"/>
      <c r="Y1076" s="5" t="n"/>
      <c r="Z1076" s="5" t="n"/>
      <c r="AA1076" s="5" t="n"/>
      <c r="AB1076" s="5" t="n"/>
      <c r="AC1076" s="5" t="n"/>
      <c r="AD1076" s="5" t="n"/>
      <c r="AE1076" s="5" t="n"/>
      <c r="AF1076" s="5" t="n"/>
      <c r="AG1076" s="5" t="n"/>
      <c r="AH1076" s="5" t="n"/>
      <c r="AI1076" s="5" t="n"/>
      <c r="AJ1076" s="5" t="n"/>
      <c r="AK1076" s="92">
        <f>IF(AND($E1076&gt;=Controls!$B$5,$E1076&lt;=Controls!$B$6,OR(Controls!$E$9&lt;&gt;"Y",$BE1076=1)),1,0)</f>
        <v/>
      </c>
      <c r="AL1076" s="5" t="n"/>
      <c r="AM1076" s="5" t="n"/>
      <c r="AN1076" s="5" t="n"/>
      <c r="AO1076" s="5" t="n"/>
      <c r="AP1076" s="5" t="n"/>
      <c r="AQ1076" s="5" t="n"/>
      <c r="AR1076" s="5" t="n"/>
      <c r="AS1076" s="5" t="n"/>
      <c r="AT1076" s="5" t="n"/>
      <c r="AU1076" s="5" t="n"/>
      <c r="AV1076" s="5" t="n"/>
      <c r="AW1076" s="5" t="n"/>
      <c r="AX1076" s="5" t="n"/>
      <c r="AY1076" s="5" t="n"/>
      <c r="AZ1076" s="5" t="n"/>
      <c r="BA1076" s="5" t="n"/>
      <c r="BB1076" s="5" t="n"/>
      <c r="BC1076" s="92">
        <f>IF($E1076="","",NETWORKDAYS($E1076,Controls!$B$9,Ref!$F$4:$F$47))</f>
        <v/>
      </c>
      <c r="BD1076" s="92">
        <f>IF(OR($AH1076=1,$AJ1076=1),1,0)</f>
        <v/>
      </c>
      <c r="BE1076" s="95">
        <f>IF(OR($BD1076=1,AND($AE1076&lt;&gt;"",$BC1076&gt;=Controls!$B$10*$AE1076)),1,0)</f>
        <v/>
      </c>
    </row>
    <row r="1077" ht="30" customHeight="1" s="79">
      <c r="A1077" s="6" t="inlineStr">
        <is>
          <t>AE</t>
        </is>
      </c>
      <c r="B1077" s="5" t="inlineStr">
        <is>
          <t>Expected term (business days)</t>
        </is>
      </c>
      <c r="C1077" s="74">
        <f>IF(V2="","",IF(AC2="Daily",V2*Controls!$B$13,V2*Controls!$B$12))</f>
        <v/>
      </c>
      <c r="D1077" s="75" t="inlineStr">
        <is>
          <t>CONTRACTED length in business days - the only term unit that is comparable across daily and weekly deals, so every cross-category term average uses this one. Daily: one payment per business day. Weekly: 20 weeks x 5 = 100 business days.</t>
        </is>
      </c>
      <c r="E1077" s="5" t="n"/>
      <c r="F1077" s="5" t="n"/>
      <c r="G1077" s="5" t="n"/>
      <c r="H1077" s="5" t="n"/>
      <c r="I1077" s="5" t="n"/>
      <c r="J1077" s="5" t="n"/>
      <c r="K1077" s="5" t="n"/>
      <c r="L1077" s="5" t="n"/>
      <c r="M1077" s="5" t="n"/>
      <c r="N1077" s="5" t="n"/>
      <c r="O1077" s="5" t="n"/>
      <c r="P1077" s="5" t="n"/>
      <c r="Q1077" s="5" t="n"/>
      <c r="R1077" s="5" t="n"/>
      <c r="S1077" s="5" t="n"/>
      <c r="T1077" s="5" t="n"/>
      <c r="U1077" s="5" t="n"/>
      <c r="V1077" s="5" t="n"/>
      <c r="W1077" s="5" t="n"/>
      <c r="X1077" s="5" t="n"/>
      <c r="Y1077" s="5" t="n"/>
      <c r="Z1077" s="5" t="n"/>
      <c r="AA1077" s="5" t="n"/>
      <c r="AB1077" s="5" t="n"/>
      <c r="AC1077" s="5" t="n"/>
      <c r="AD1077" s="5" t="n"/>
      <c r="AE1077" s="5" t="n"/>
      <c r="AF1077" s="5" t="n"/>
      <c r="AG1077" s="5" t="n"/>
      <c r="AH1077" s="5" t="n"/>
      <c r="AI1077" s="5" t="n"/>
      <c r="AJ1077" s="5" t="n"/>
      <c r="AK1077" s="92">
        <f>IF(AND($E1077&gt;=Controls!$B$5,$E1077&lt;=Controls!$B$6,OR(Controls!$E$9&lt;&gt;"Y",$BE1077=1)),1,0)</f>
        <v/>
      </c>
      <c r="AL1077" s="5" t="n"/>
      <c r="AM1077" s="5" t="n"/>
      <c r="AN1077" s="5" t="n"/>
      <c r="AO1077" s="5" t="n"/>
      <c r="AP1077" s="5" t="n"/>
      <c r="AQ1077" s="5" t="n"/>
      <c r="AR1077" s="5" t="n"/>
      <c r="AS1077" s="5" t="n"/>
      <c r="AT1077" s="5" t="n"/>
      <c r="AU1077" s="5" t="n"/>
      <c r="AV1077" s="5" t="n"/>
      <c r="AW1077" s="5" t="n"/>
      <c r="AX1077" s="5" t="n"/>
      <c r="AY1077" s="5" t="n"/>
      <c r="AZ1077" s="5" t="n"/>
      <c r="BA1077" s="5" t="n"/>
      <c r="BB1077" s="5" t="n"/>
      <c r="BC1077" s="92">
        <f>IF($E1077="","",NETWORKDAYS($E1077,Controls!$B$9,Ref!$F$4:$F$47))</f>
        <v/>
      </c>
      <c r="BD1077" s="92">
        <f>IF(OR($AH1077=1,$AJ1077=1),1,0)</f>
        <v/>
      </c>
      <c r="BE1077" s="95">
        <f>IF(OR($BD1077=1,AND($AE1077&lt;&gt;"",$BC1077&gt;=Controls!$B$10*$AE1077)),1,0)</f>
        <v/>
      </c>
    </row>
    <row r="1078" ht="30" customHeight="1" s="79">
      <c r="A1078" s="6" t="inlineStr">
        <is>
          <t>AF</t>
        </is>
      </c>
      <c r="B1078" s="5" t="inlineStr">
        <is>
          <t>Actual days on book (calendar)</t>
        </is>
      </c>
      <c r="C1078" s="74">
        <f>IF(OR(E2="",F2=""),"",F2-E2)</f>
        <v/>
      </c>
      <c r="D1078" s="75" t="inlineStr">
        <is>
          <t>ACTUAL elapsed calendar days from funding to the last cleared payment. Not the contracted term.</t>
        </is>
      </c>
      <c r="E1078" s="5" t="n"/>
      <c r="F1078" s="5" t="n"/>
      <c r="G1078" s="5" t="n"/>
      <c r="H1078" s="5" t="n"/>
      <c r="I1078" s="5" t="n"/>
      <c r="J1078" s="5" t="n"/>
      <c r="K1078" s="5" t="n"/>
      <c r="L1078" s="5" t="n"/>
      <c r="M1078" s="5" t="n"/>
      <c r="N1078" s="5" t="n"/>
      <c r="O1078" s="5" t="n"/>
      <c r="P1078" s="5" t="n"/>
      <c r="Q1078" s="5" t="n"/>
      <c r="R1078" s="5" t="n"/>
      <c r="S1078" s="5" t="n"/>
      <c r="T1078" s="5" t="n"/>
      <c r="U1078" s="5" t="n"/>
      <c r="V1078" s="5" t="n"/>
      <c r="W1078" s="5" t="n"/>
      <c r="X1078" s="5" t="n"/>
      <c r="Y1078" s="5" t="n"/>
      <c r="Z1078" s="5" t="n"/>
      <c r="AA1078" s="5" t="n"/>
      <c r="AB1078" s="5" t="n"/>
      <c r="AC1078" s="5" t="n"/>
      <c r="AD1078" s="5" t="n"/>
      <c r="AE1078" s="5" t="n"/>
      <c r="AF1078" s="5" t="n"/>
      <c r="AG1078" s="5" t="n"/>
      <c r="AH1078" s="5" t="n"/>
      <c r="AI1078" s="5" t="n"/>
      <c r="AJ1078" s="5" t="n"/>
      <c r="AK1078" s="92">
        <f>IF(AND($E1078&gt;=Controls!$B$5,$E1078&lt;=Controls!$B$6,OR(Controls!$E$9&lt;&gt;"Y",$BE1078=1)),1,0)</f>
        <v/>
      </c>
      <c r="AL1078" s="5" t="n"/>
      <c r="AM1078" s="5" t="n"/>
      <c r="AN1078" s="5" t="n"/>
      <c r="AO1078" s="5" t="n"/>
      <c r="AP1078" s="5" t="n"/>
      <c r="AQ1078" s="5" t="n"/>
      <c r="AR1078" s="5" t="n"/>
      <c r="AS1078" s="5" t="n"/>
      <c r="AT1078" s="5" t="n"/>
      <c r="AU1078" s="5" t="n"/>
      <c r="AV1078" s="5" t="n"/>
      <c r="AW1078" s="5" t="n"/>
      <c r="AX1078" s="5" t="n"/>
      <c r="AY1078" s="5" t="n"/>
      <c r="AZ1078" s="5" t="n"/>
      <c r="BA1078" s="5" t="n"/>
      <c r="BB1078" s="5" t="n"/>
      <c r="BC1078" s="92">
        <f>IF($E1078="","",NETWORKDAYS($E1078,Controls!$B$9,Ref!$F$4:$F$47))</f>
        <v/>
      </c>
      <c r="BD1078" s="92">
        <f>IF(OR($AH1078=1,$AJ1078=1),1,0)</f>
        <v/>
      </c>
      <c r="BE1078" s="95">
        <f>IF(OR($BD1078=1,AND($AE1078&lt;&gt;"",$BC1078&gt;=Controls!$B$10*$AE1078)),1,0)</f>
        <v/>
      </c>
    </row>
    <row r="1079" ht="30" customHeight="1" s="79">
      <c r="A1079" s="6" t="inlineStr">
        <is>
          <t>AG</t>
        </is>
      </c>
      <c r="B1079" s="5" t="inlineStr">
        <is>
          <t>Actual days on book (business)</t>
        </is>
      </c>
      <c r="C1079" s="74">
        <f>IF(OR(E2="",F2=""),"",NETWORKDAYS(E2,F2,Ref!$F$4:$F$47))</f>
        <v/>
      </c>
      <c r="D1079" s="75" t="inlineStr">
        <is>
          <t>NETWORKDAYS counts business days from funding to the last cleared payment, excluding Saturdays, Sundays and every date in the holiday list on Ref. That list is the Federal Reserve Bank holiday calendar: ACH settles only when Reserve Banks are open, and Reserve Banks do not observe a Saturday holiday on the Friday before it, so those Fridays are collection days and are not in the list.</t>
        </is>
      </c>
      <c r="E1079" s="5" t="n"/>
      <c r="F1079" s="5" t="n"/>
      <c r="G1079" s="5" t="n"/>
      <c r="H1079" s="5" t="n"/>
      <c r="I1079" s="5" t="n"/>
      <c r="J1079" s="5" t="n"/>
      <c r="K1079" s="5" t="n"/>
      <c r="L1079" s="5" t="n"/>
      <c r="M1079" s="5" t="n"/>
      <c r="N1079" s="5" t="n"/>
      <c r="O1079" s="5" t="n"/>
      <c r="P1079" s="5" t="n"/>
      <c r="Q1079" s="5" t="n"/>
      <c r="R1079" s="5" t="n"/>
      <c r="S1079" s="5" t="n"/>
      <c r="T1079" s="5" t="n"/>
      <c r="U1079" s="5" t="n"/>
      <c r="V1079" s="5" t="n"/>
      <c r="W1079" s="5" t="n"/>
      <c r="X1079" s="5" t="n"/>
      <c r="Y1079" s="5" t="n"/>
      <c r="Z1079" s="5" t="n"/>
      <c r="AA1079" s="5" t="n"/>
      <c r="AB1079" s="5" t="n"/>
      <c r="AC1079" s="5" t="n"/>
      <c r="AD1079" s="5" t="n"/>
      <c r="AE1079" s="5" t="n"/>
      <c r="AF1079" s="5" t="n"/>
      <c r="AG1079" s="5" t="n"/>
      <c r="AH1079" s="5" t="n"/>
      <c r="AI1079" s="5" t="n"/>
      <c r="AJ1079" s="5" t="n"/>
      <c r="AK1079" s="92">
        <f>IF(AND($E1079&gt;=Controls!$B$5,$E1079&lt;=Controls!$B$6,OR(Controls!$E$9&lt;&gt;"Y",$BE1079=1)),1,0)</f>
        <v/>
      </c>
      <c r="AL1079" s="5" t="n"/>
      <c r="AM1079" s="5" t="n"/>
      <c r="AN1079" s="5" t="n"/>
      <c r="AO1079" s="5" t="n"/>
      <c r="AP1079" s="5" t="n"/>
      <c r="AQ1079" s="5" t="n"/>
      <c r="AR1079" s="5" t="n"/>
      <c r="AS1079" s="5" t="n"/>
      <c r="AT1079" s="5" t="n"/>
      <c r="AU1079" s="5" t="n"/>
      <c r="AV1079" s="5" t="n"/>
      <c r="AW1079" s="5" t="n"/>
      <c r="AX1079" s="5" t="n"/>
      <c r="AY1079" s="5" t="n"/>
      <c r="AZ1079" s="5" t="n"/>
      <c r="BA1079" s="5" t="n"/>
      <c r="BB1079" s="5" t="n"/>
      <c r="BC1079" s="92">
        <f>IF($E1079="","",NETWORKDAYS($E1079,Controls!$B$9,Ref!$F$4:$F$47))</f>
        <v/>
      </c>
      <c r="BD1079" s="92">
        <f>IF(OR($AH1079=1,$AJ1079=1),1,0)</f>
        <v/>
      </c>
      <c r="BE1079" s="95">
        <f>IF(OR($BD1079=1,AND($AE1079&lt;&gt;"",$BC1079&gt;=Controls!$B$10*$AE1079)),1,0)</f>
        <v/>
      </c>
    </row>
    <row r="1080" ht="30" customHeight="1" s="79">
      <c r="A1080" s="6" t="inlineStr">
        <is>
          <t>AH</t>
        </is>
      </c>
      <c r="B1080" s="5" t="inlineStr">
        <is>
          <t>Default</t>
        </is>
      </c>
      <c r="C1080" s="74">
        <f>IF(IFERROR(VLOOKUP(D2,Controls!$A$25:$D$35,2,FALSE()),"No")="Yes",1,0)</f>
        <v/>
      </c>
      <c r="D1080" s="75" t="inlineStr">
        <is>
          <t>Read from the status mapping table on Controls. No status logic sits in any formula.</t>
        </is>
      </c>
      <c r="E1080" s="5" t="n"/>
      <c r="F1080" s="5" t="n"/>
      <c r="G1080" s="5" t="n"/>
      <c r="H1080" s="5" t="n"/>
      <c r="I1080" s="5" t="n"/>
      <c r="J1080" s="5" t="n"/>
      <c r="K1080" s="5" t="n"/>
      <c r="L1080" s="5" t="n"/>
      <c r="M1080" s="5" t="n"/>
      <c r="N1080" s="5" t="n"/>
      <c r="O1080" s="5" t="n"/>
      <c r="P1080" s="5" t="n"/>
      <c r="Q1080" s="5" t="n"/>
      <c r="R1080" s="5" t="n"/>
      <c r="S1080" s="5" t="n"/>
      <c r="T1080" s="5" t="n"/>
      <c r="U1080" s="5" t="n"/>
      <c r="V1080" s="5" t="n"/>
      <c r="W1080" s="5" t="n"/>
      <c r="X1080" s="5" t="n"/>
      <c r="Y1080" s="5" t="n"/>
      <c r="Z1080" s="5" t="n"/>
      <c r="AA1080" s="5" t="n"/>
      <c r="AB1080" s="5" t="n"/>
      <c r="AC1080" s="5" t="n"/>
      <c r="AD1080" s="5" t="n"/>
      <c r="AE1080" s="5" t="n"/>
      <c r="AF1080" s="5" t="n"/>
      <c r="AG1080" s="5" t="n"/>
      <c r="AH1080" s="5" t="n"/>
      <c r="AI1080" s="5" t="n"/>
      <c r="AJ1080" s="5" t="n"/>
      <c r="AK1080" s="92">
        <f>IF(AND($E1080&gt;=Controls!$B$5,$E1080&lt;=Controls!$B$6,OR(Controls!$E$9&lt;&gt;"Y",$BE1080=1)),1,0)</f>
        <v/>
      </c>
      <c r="AL1080" s="5" t="n"/>
      <c r="AM1080" s="5" t="n"/>
      <c r="AN1080" s="5" t="n"/>
      <c r="AO1080" s="5" t="n"/>
      <c r="AP1080" s="5" t="n"/>
      <c r="AQ1080" s="5" t="n"/>
      <c r="AR1080" s="5" t="n"/>
      <c r="AS1080" s="5" t="n"/>
      <c r="AT1080" s="5" t="n"/>
      <c r="AU1080" s="5" t="n"/>
      <c r="AV1080" s="5" t="n"/>
      <c r="AW1080" s="5" t="n"/>
      <c r="AX1080" s="5" t="n"/>
      <c r="AY1080" s="5" t="n"/>
      <c r="AZ1080" s="5" t="n"/>
      <c r="BA1080" s="5" t="n"/>
      <c r="BB1080" s="5" t="n"/>
      <c r="BC1080" s="92">
        <f>IF($E1080="","",NETWORKDAYS($E1080,Controls!$B$9,Ref!$F$4:$F$47))</f>
        <v/>
      </c>
      <c r="BD1080" s="92">
        <f>IF(OR($AH1080=1,$AJ1080=1),1,0)</f>
        <v/>
      </c>
      <c r="BE1080" s="95">
        <f>IF(OR($BD1080=1,AND($AE1080&lt;&gt;"",$BC1080&gt;=Controls!$B$10*$AE1080)),1,0)</f>
        <v/>
      </c>
    </row>
    <row r="1081" ht="30" customHeight="1" s="79">
      <c r="A1081" s="6" t="inlineStr">
        <is>
          <t>AI</t>
        </is>
      </c>
      <c r="B1081" s="5" t="inlineStr">
        <is>
          <t>Resolved</t>
        </is>
      </c>
      <c r="C1081" s="74">
        <f>IF(IFERROR(VLOOKUP(D2,Controls!$A$25:$D$35,3,FALSE()),"No")="Yes",1,0)</f>
        <v/>
      </c>
      <c r="D1081" s="75" t="inlineStr">
        <is>
          <t>Read from the same table, third column. Drives the Return on resolved capital tile on Verdict (Calc!BT5).</t>
        </is>
      </c>
      <c r="E1081" s="5" t="n"/>
      <c r="F1081" s="5" t="n"/>
      <c r="G1081" s="5" t="n"/>
      <c r="H1081" s="5" t="n"/>
      <c r="I1081" s="5" t="n"/>
      <c r="J1081" s="5" t="n"/>
      <c r="K1081" s="5" t="n"/>
      <c r="L1081" s="5" t="n"/>
      <c r="M1081" s="5" t="n"/>
      <c r="N1081" s="5" t="n"/>
      <c r="O1081" s="5" t="n"/>
      <c r="P1081" s="5" t="n"/>
      <c r="Q1081" s="5" t="n"/>
      <c r="R1081" s="5" t="n"/>
      <c r="S1081" s="5" t="n"/>
      <c r="T1081" s="5" t="n"/>
      <c r="U1081" s="5" t="n"/>
      <c r="V1081" s="5" t="n"/>
      <c r="W1081" s="5" t="n"/>
      <c r="X1081" s="5" t="n"/>
      <c r="Y1081" s="5" t="n"/>
      <c r="Z1081" s="5" t="n"/>
      <c r="AA1081" s="5" t="n"/>
      <c r="AB1081" s="5" t="n"/>
      <c r="AC1081" s="5" t="n"/>
      <c r="AD1081" s="5" t="n"/>
      <c r="AE1081" s="5" t="n"/>
      <c r="AF1081" s="5" t="n"/>
      <c r="AG1081" s="5" t="n"/>
      <c r="AH1081" s="5" t="n"/>
      <c r="AI1081" s="5" t="n"/>
      <c r="AJ1081" s="5" t="n"/>
      <c r="AK1081" s="92">
        <f>IF(AND($E1081&gt;=Controls!$B$5,$E1081&lt;=Controls!$B$6,OR(Controls!$E$9&lt;&gt;"Y",$BE1081=1)),1,0)</f>
        <v/>
      </c>
      <c r="AL1081" s="5" t="n"/>
      <c r="AM1081" s="5" t="n"/>
      <c r="AN1081" s="5" t="n"/>
      <c r="AO1081" s="5" t="n"/>
      <c r="AP1081" s="5" t="n"/>
      <c r="AQ1081" s="5" t="n"/>
      <c r="AR1081" s="5" t="n"/>
      <c r="AS1081" s="5" t="n"/>
      <c r="AT1081" s="5" t="n"/>
      <c r="AU1081" s="5" t="n"/>
      <c r="AV1081" s="5" t="n"/>
      <c r="AW1081" s="5" t="n"/>
      <c r="AX1081" s="5" t="n"/>
      <c r="AY1081" s="5" t="n"/>
      <c r="AZ1081" s="5" t="n"/>
      <c r="BA1081" s="5" t="n"/>
      <c r="BB1081" s="5" t="n"/>
      <c r="BC1081" s="92">
        <f>IF($E1081="","",NETWORKDAYS($E1081,Controls!$B$9,Ref!$F$4:$F$47))</f>
        <v/>
      </c>
      <c r="BD1081" s="92">
        <f>IF(OR($AH1081=1,$AJ1081=1),1,0)</f>
        <v/>
      </c>
      <c r="BE1081" s="95">
        <f>IF(OR($BD1081=1,AND($AE1081&lt;&gt;"",$BC1081&gt;=Controls!$B$10*$AE1081)),1,0)</f>
        <v/>
      </c>
    </row>
    <row r="1082" ht="30" customHeight="1" s="79">
      <c r="A1082" s="6" t="inlineStr">
        <is>
          <t>AJ</t>
        </is>
      </c>
      <c r="B1082" s="5" t="inlineStr">
        <is>
          <t>Closed family</t>
        </is>
      </c>
      <c r="C1082" s="74">
        <f>IF(IFERROR(VLOOKUP(D2,Controls!$A$25:$D$35,4,FALSE()),"No")="Yes",1,0)</f>
        <v/>
      </c>
      <c r="D1082" s="75" t="inlineStr">
        <is>
          <t>THE single definition of the Closed family - Closed, Closed/NSF, Closed/NSF Unpaid - set in the fourth column of the status mapping table on Controls. Days to close and profit on closed both read this flag. No formula anywhere tests a status string for closedness.</t>
        </is>
      </c>
      <c r="E1082" s="5" t="n"/>
      <c r="F1082" s="5" t="n"/>
      <c r="G1082" s="5" t="n"/>
      <c r="H1082" s="5" t="n"/>
      <c r="I1082" s="5" t="n"/>
      <c r="J1082" s="5" t="n"/>
      <c r="K1082" s="5" t="n"/>
      <c r="L1082" s="5" t="n"/>
      <c r="M1082" s="5" t="n"/>
      <c r="N1082" s="5" t="n"/>
      <c r="O1082" s="5" t="n"/>
      <c r="P1082" s="5" t="n"/>
      <c r="Q1082" s="5" t="n"/>
      <c r="R1082" s="5" t="n"/>
      <c r="S1082" s="5" t="n"/>
      <c r="T1082" s="5" t="n"/>
      <c r="U1082" s="5" t="n"/>
      <c r="V1082" s="5" t="n"/>
      <c r="W1082" s="5" t="n"/>
      <c r="X1082" s="5" t="n"/>
      <c r="Y1082" s="5" t="n"/>
      <c r="Z1082" s="5" t="n"/>
      <c r="AA1082" s="5" t="n"/>
      <c r="AB1082" s="5" t="n"/>
      <c r="AC1082" s="5" t="n"/>
      <c r="AD1082" s="5" t="n"/>
      <c r="AE1082" s="5" t="n"/>
      <c r="AF1082" s="5" t="n"/>
      <c r="AG1082" s="5" t="n"/>
      <c r="AH1082" s="5" t="n"/>
      <c r="AI1082" s="5" t="n"/>
      <c r="AJ1082" s="5" t="n"/>
      <c r="AK1082" s="92">
        <f>IF(AND($E1082&gt;=Controls!$B$5,$E1082&lt;=Controls!$B$6,OR(Controls!$E$9&lt;&gt;"Y",$BE1082=1)),1,0)</f>
        <v/>
      </c>
      <c r="AL1082" s="5" t="n"/>
      <c r="AM1082" s="5" t="n"/>
      <c r="AN1082" s="5" t="n"/>
      <c r="AO1082" s="5" t="n"/>
      <c r="AP1082" s="5" t="n"/>
      <c r="AQ1082" s="5" t="n"/>
      <c r="AR1082" s="5" t="n"/>
      <c r="AS1082" s="5" t="n"/>
      <c r="AT1082" s="5" t="n"/>
      <c r="AU1082" s="5" t="n"/>
      <c r="AV1082" s="5" t="n"/>
      <c r="AW1082" s="5" t="n"/>
      <c r="AX1082" s="5" t="n"/>
      <c r="AY1082" s="5" t="n"/>
      <c r="AZ1082" s="5" t="n"/>
      <c r="BA1082" s="5" t="n"/>
      <c r="BB1082" s="5" t="n"/>
      <c r="BC1082" s="92">
        <f>IF($E1082="","",NETWORKDAYS($E1082,Controls!$B$9,Ref!$F$4:$F$47))</f>
        <v/>
      </c>
      <c r="BD1082" s="92">
        <f>IF(OR($AH1082=1,$AJ1082=1),1,0)</f>
        <v/>
      </c>
      <c r="BE1082" s="95">
        <f>IF(OR($BD1082=1,AND($AE1082&lt;&gt;"",$BC1082&gt;=Controls!$B$10*$AE1082)),1,0)</f>
        <v/>
      </c>
    </row>
    <row r="1083" ht="30" customHeight="1" s="79">
      <c r="A1083" s="6" t="inlineStr">
        <is>
          <t>AK</t>
        </is>
      </c>
      <c r="B1083" s="5" t="inlineStr">
        <is>
          <t>In scope</t>
        </is>
      </c>
      <c r="C1083" s="74">
        <f>IF(AND(E2&gt;=Controls!$B$5,E2&lt;=Controls!$B$6),1,0)</f>
        <v/>
      </c>
      <c r="D1083" s="75" t="inlineStr">
        <is>
          <t>The date filter.</t>
        </is>
      </c>
      <c r="E1083" s="5" t="n"/>
      <c r="F1083" s="5" t="n"/>
      <c r="G1083" s="5" t="n"/>
      <c r="H1083" s="5" t="n"/>
      <c r="I1083" s="5" t="n"/>
      <c r="J1083" s="5" t="n"/>
      <c r="K1083" s="5" t="n"/>
      <c r="L1083" s="5" t="n"/>
      <c r="M1083" s="5" t="n"/>
      <c r="N1083" s="5" t="n"/>
      <c r="O1083" s="5" t="n"/>
      <c r="P1083" s="5" t="n"/>
      <c r="Q1083" s="5" t="n"/>
      <c r="R1083" s="5" t="n"/>
      <c r="S1083" s="5" t="n"/>
      <c r="T1083" s="5" t="n"/>
      <c r="U1083" s="5" t="n"/>
      <c r="V1083" s="5" t="n"/>
      <c r="W1083" s="5" t="n"/>
      <c r="X1083" s="5" t="n"/>
      <c r="Y1083" s="5" t="n"/>
      <c r="Z1083" s="5" t="n"/>
      <c r="AA1083" s="5" t="n"/>
      <c r="AB1083" s="5" t="n"/>
      <c r="AC1083" s="5" t="n"/>
      <c r="AD1083" s="5" t="n"/>
      <c r="AE1083" s="5" t="n"/>
      <c r="AF1083" s="5" t="n"/>
      <c r="AG1083" s="5" t="n"/>
      <c r="AH1083" s="5" t="n"/>
      <c r="AI1083" s="5" t="n"/>
      <c r="AJ1083" s="5" t="n"/>
      <c r="AK1083" s="92">
        <f>IF(AND($E1083&gt;=Controls!$B$5,$E1083&lt;=Controls!$B$6,OR(Controls!$E$9&lt;&gt;"Y",$BE1083=1)),1,0)</f>
        <v/>
      </c>
      <c r="AL1083" s="5" t="n"/>
      <c r="AM1083" s="5" t="n"/>
      <c r="AN1083" s="5" t="n"/>
      <c r="AO1083" s="5" t="n"/>
      <c r="AP1083" s="5" t="n"/>
      <c r="AQ1083" s="5" t="n"/>
      <c r="AR1083" s="5" t="n"/>
      <c r="AS1083" s="5" t="n"/>
      <c r="AT1083" s="5" t="n"/>
      <c r="AU1083" s="5" t="n"/>
      <c r="AV1083" s="5" t="n"/>
      <c r="AW1083" s="5" t="n"/>
      <c r="AX1083" s="5" t="n"/>
      <c r="AY1083" s="5" t="n"/>
      <c r="AZ1083" s="5" t="n"/>
      <c r="BA1083" s="5" t="n"/>
      <c r="BB1083" s="5" t="n"/>
      <c r="BC1083" s="92">
        <f>IF($E1083="","",NETWORKDAYS($E1083,Controls!$B$9,Ref!$F$4:$F$47))</f>
        <v/>
      </c>
      <c r="BD1083" s="92">
        <f>IF(OR($AH1083=1,$AJ1083=1),1,0)</f>
        <v/>
      </c>
      <c r="BE1083" s="95">
        <f>IF(OR($BD1083=1,AND($AE1083&lt;&gt;"",$BC1083&gt;=Controls!$B$10*$AE1083)),1,0)</f>
        <v/>
      </c>
    </row>
    <row r="1084" ht="30" customHeight="1" s="79">
      <c r="A1084" s="6" t="inlineStr">
        <is>
          <t>AL</t>
        </is>
      </c>
      <c r="B1084" s="5" t="inlineStr">
        <is>
          <t>All</t>
        </is>
      </c>
      <c r="C1084" s="74">
        <f>1</f>
        <v/>
      </c>
      <c r="D1084" s="75" t="inlineStr">
        <is>
          <t>The no-filter flag, so full-file totals are written the same way as filtered ones.</t>
        </is>
      </c>
      <c r="E1084" s="5" t="n"/>
      <c r="F1084" s="5" t="n"/>
      <c r="G1084" s="5" t="n"/>
      <c r="H1084" s="5" t="n"/>
      <c r="I1084" s="5" t="n"/>
      <c r="J1084" s="5" t="n"/>
      <c r="K1084" s="5" t="n"/>
      <c r="L1084" s="5" t="n"/>
      <c r="M1084" s="5" t="n"/>
      <c r="N1084" s="5" t="n"/>
      <c r="O1084" s="5" t="n"/>
      <c r="P1084" s="5" t="n"/>
      <c r="Q1084" s="5" t="n"/>
      <c r="R1084" s="5" t="n"/>
      <c r="S1084" s="5" t="n"/>
      <c r="T1084" s="5" t="n"/>
      <c r="U1084" s="5" t="n"/>
      <c r="V1084" s="5" t="n"/>
      <c r="W1084" s="5" t="n"/>
      <c r="X1084" s="5" t="n"/>
      <c r="Y1084" s="5" t="n"/>
      <c r="Z1084" s="5" t="n"/>
      <c r="AA1084" s="5" t="n"/>
      <c r="AB1084" s="5" t="n"/>
      <c r="AC1084" s="5" t="n"/>
      <c r="AD1084" s="5" t="n"/>
      <c r="AE1084" s="5" t="n"/>
      <c r="AF1084" s="5" t="n"/>
      <c r="AG1084" s="5" t="n"/>
      <c r="AH1084" s="5" t="n"/>
      <c r="AI1084" s="5" t="n"/>
      <c r="AJ1084" s="5" t="n"/>
      <c r="AK1084" s="92">
        <f>IF(AND($E1084&gt;=Controls!$B$5,$E1084&lt;=Controls!$B$6,OR(Controls!$E$9&lt;&gt;"Y",$BE1084=1)),1,0)</f>
        <v/>
      </c>
      <c r="AL1084" s="5" t="n"/>
      <c r="AM1084" s="5" t="n"/>
      <c r="AN1084" s="5" t="n"/>
      <c r="AO1084" s="5" t="n"/>
      <c r="AP1084" s="5" t="n"/>
      <c r="AQ1084" s="5" t="n"/>
      <c r="AR1084" s="5" t="n"/>
      <c r="AS1084" s="5" t="n"/>
      <c r="AT1084" s="5" t="n"/>
      <c r="AU1084" s="5" t="n"/>
      <c r="AV1084" s="5" t="n"/>
      <c r="AW1084" s="5" t="n"/>
      <c r="AX1084" s="5" t="n"/>
      <c r="AY1084" s="5" t="n"/>
      <c r="AZ1084" s="5" t="n"/>
      <c r="BA1084" s="5" t="n"/>
      <c r="BB1084" s="5" t="n"/>
      <c r="BC1084" s="92">
        <f>IF($E1084="","",NETWORKDAYS($E1084,Controls!$B$9,Ref!$F$4:$F$47))</f>
        <v/>
      </c>
      <c r="BD1084" s="92">
        <f>IF(OR($AH1084=1,$AJ1084=1),1,0)</f>
        <v/>
      </c>
      <c r="BE1084" s="95">
        <f>IF(OR($BD1084=1,AND($AE1084&lt;&gt;"",$BC1084&gt;=Controls!$B$10*$AE1084)),1,0)</f>
        <v/>
      </c>
    </row>
    <row r="1085" ht="30" customHeight="1" s="79">
      <c r="A1085" s="6" t="inlineStr">
        <is>
          <t>AM</t>
        </is>
      </c>
      <c r="B1085" s="5" t="inlineStr">
        <is>
          <t>Net cash</t>
        </is>
      </c>
      <c r="C1085" s="76">
        <f>S2-P2</f>
        <v/>
      </c>
      <c r="D1085" s="75" t="inlineStr">
        <is>
          <t>Collected less the advance. Commission is netted from the advance, so the advance IS our cash out.</t>
        </is>
      </c>
      <c r="E1085" s="5" t="n"/>
      <c r="F1085" s="5" t="n"/>
      <c r="G1085" s="5" t="n"/>
      <c r="H1085" s="5" t="n"/>
      <c r="I1085" s="5" t="n"/>
      <c r="J1085" s="5" t="n"/>
      <c r="K1085" s="5" t="n"/>
      <c r="L1085" s="5" t="n"/>
      <c r="M1085" s="5" t="n"/>
      <c r="N1085" s="5" t="n"/>
      <c r="O1085" s="5" t="n"/>
      <c r="P1085" s="5" t="n"/>
      <c r="Q1085" s="5" t="n"/>
      <c r="R1085" s="5" t="n"/>
      <c r="S1085" s="5" t="n"/>
      <c r="T1085" s="5" t="n"/>
      <c r="U1085" s="5" t="n"/>
      <c r="V1085" s="5" t="n"/>
      <c r="W1085" s="5" t="n"/>
      <c r="X1085" s="5" t="n"/>
      <c r="Y1085" s="5" t="n"/>
      <c r="Z1085" s="5" t="n"/>
      <c r="AA1085" s="5" t="n"/>
      <c r="AB1085" s="5" t="n"/>
      <c r="AC1085" s="5" t="n"/>
      <c r="AD1085" s="5" t="n"/>
      <c r="AE1085" s="5" t="n"/>
      <c r="AF1085" s="5" t="n"/>
      <c r="AG1085" s="5" t="n"/>
      <c r="AH1085" s="5" t="n"/>
      <c r="AI1085" s="5" t="n"/>
      <c r="AJ1085" s="5" t="n"/>
      <c r="AK1085" s="92">
        <f>IF(AND($E1085&gt;=Controls!$B$5,$E1085&lt;=Controls!$B$6,OR(Controls!$E$9&lt;&gt;"Y",$BE1085=1)),1,0)</f>
        <v/>
      </c>
      <c r="AL1085" s="5" t="n"/>
      <c r="AM1085" s="5" t="n"/>
      <c r="AN1085" s="5" t="n"/>
      <c r="AO1085" s="5" t="n"/>
      <c r="AP1085" s="5" t="n"/>
      <c r="AQ1085" s="5" t="n"/>
      <c r="AR1085" s="5" t="n"/>
      <c r="AS1085" s="5" t="n"/>
      <c r="AT1085" s="5" t="n"/>
      <c r="AU1085" s="5" t="n"/>
      <c r="AV1085" s="5" t="n"/>
      <c r="AW1085" s="5" t="n"/>
      <c r="AX1085" s="5" t="n"/>
      <c r="AY1085" s="5" t="n"/>
      <c r="AZ1085" s="5" t="n"/>
      <c r="BA1085" s="5" t="n"/>
      <c r="BB1085" s="5" t="n"/>
      <c r="BC1085" s="92">
        <f>IF($E1085="","",NETWORKDAYS($E1085,Controls!$B$9,Ref!$F$4:$F$47))</f>
        <v/>
      </c>
      <c r="BD1085" s="92">
        <f>IF(OR($AH1085=1,$AJ1085=1),1,0)</f>
        <v/>
      </c>
      <c r="BE1085" s="95">
        <f>IF(OR($BD1085=1,AND($AE1085&lt;&gt;"",$BC1085&gt;=Controls!$B$10*$AE1085)),1,0)</f>
        <v/>
      </c>
    </row>
    <row r="1086" ht="30" customHeight="1" s="79">
      <c r="A1086" s="6" t="inlineStr">
        <is>
          <t>AN</t>
        </is>
      </c>
      <c r="B1086" s="5" t="inlineStr">
        <is>
          <t>Principal lost</t>
        </is>
      </c>
      <c r="C1086" s="74">
        <f>IF(AH2=1,MAX(0,P2-S2),0)</f>
        <v/>
      </c>
      <c r="D1086" s="75" t="inlineStr">
        <is>
          <t>Advance not recovered, on defaulted deals only. Zero everywhere else.</t>
        </is>
      </c>
      <c r="E1086" s="5" t="n"/>
      <c r="F1086" s="5" t="n"/>
      <c r="G1086" s="5" t="n"/>
      <c r="H1086" s="5" t="n"/>
      <c r="I1086" s="5" t="n"/>
      <c r="J1086" s="5" t="n"/>
      <c r="K1086" s="5" t="n"/>
      <c r="L1086" s="5" t="n"/>
      <c r="M1086" s="5" t="n"/>
      <c r="N1086" s="5" t="n"/>
      <c r="O1086" s="5" t="n"/>
      <c r="P1086" s="5" t="n"/>
      <c r="Q1086" s="5" t="n"/>
      <c r="R1086" s="5" t="n"/>
      <c r="S1086" s="5" t="n"/>
      <c r="T1086" s="5" t="n"/>
      <c r="U1086" s="5" t="n"/>
      <c r="V1086" s="5" t="n"/>
      <c r="W1086" s="5" t="n"/>
      <c r="X1086" s="5" t="n"/>
      <c r="Y1086" s="5" t="n"/>
      <c r="Z1086" s="5" t="n"/>
      <c r="AA1086" s="5" t="n"/>
      <c r="AB1086" s="5" t="n"/>
      <c r="AC1086" s="5" t="n"/>
      <c r="AD1086" s="5" t="n"/>
      <c r="AE1086" s="5" t="n"/>
      <c r="AF1086" s="5" t="n"/>
      <c r="AG1086" s="5" t="n"/>
      <c r="AH1086" s="5" t="n"/>
      <c r="AI1086" s="5" t="n"/>
      <c r="AJ1086" s="5" t="n"/>
      <c r="AK1086" s="92">
        <f>IF(AND($E1086&gt;=Controls!$B$5,$E1086&lt;=Controls!$B$6,OR(Controls!$E$9&lt;&gt;"Y",$BE1086=1)),1,0)</f>
        <v/>
      </c>
      <c r="AL1086" s="5" t="n"/>
      <c r="AM1086" s="5" t="n"/>
      <c r="AN1086" s="5" t="n"/>
      <c r="AO1086" s="5" t="n"/>
      <c r="AP1086" s="5" t="n"/>
      <c r="AQ1086" s="5" t="n"/>
      <c r="AR1086" s="5" t="n"/>
      <c r="AS1086" s="5" t="n"/>
      <c r="AT1086" s="5" t="n"/>
      <c r="AU1086" s="5" t="n"/>
      <c r="AV1086" s="5" t="n"/>
      <c r="AW1086" s="5" t="n"/>
      <c r="AX1086" s="5" t="n"/>
      <c r="AY1086" s="5" t="n"/>
      <c r="AZ1086" s="5" t="n"/>
      <c r="BA1086" s="5" t="n"/>
      <c r="BB1086" s="5" t="n"/>
      <c r="BC1086" s="92">
        <f>IF($E1086="","",NETWORKDAYS($E1086,Controls!$B$9,Ref!$F$4:$F$47))</f>
        <v/>
      </c>
      <c r="BD1086" s="92">
        <f>IF(OR($AH1086=1,$AJ1086=1),1,0)</f>
        <v/>
      </c>
      <c r="BE1086" s="95">
        <f>IF(OR($BD1086=1,AND($AE1086&lt;&gt;"",$BC1086&gt;=Controls!$B$10*$AE1086)),1,0)</f>
        <v/>
      </c>
    </row>
    <row r="1087" ht="30" customHeight="1" s="79">
      <c r="A1087" s="6" t="inlineStr">
        <is>
          <t>AO</t>
        </is>
      </c>
      <c r="B1087" s="5" t="inlineStr">
        <is>
          <t>Recovery / advance</t>
        </is>
      </c>
      <c r="C1087" s="74">
        <f>IFERROR(S2/P2,"")</f>
        <v/>
      </c>
      <c r="D1087" s="75" t="inlineStr">
        <is>
          <t>Cash back per dollar advanced on this one deal.</t>
        </is>
      </c>
      <c r="E1087" s="5" t="n"/>
      <c r="F1087" s="5" t="n"/>
      <c r="G1087" s="5" t="n"/>
      <c r="H1087" s="5" t="n"/>
      <c r="I1087" s="5" t="n"/>
      <c r="J1087" s="5" t="n"/>
      <c r="K1087" s="5" t="n"/>
      <c r="L1087" s="5" t="n"/>
      <c r="M1087" s="5" t="n"/>
      <c r="N1087" s="5" t="n"/>
      <c r="O1087" s="5" t="n"/>
      <c r="P1087" s="5" t="n"/>
      <c r="Q1087" s="5" t="n"/>
      <c r="R1087" s="5" t="n"/>
      <c r="S1087" s="5" t="n"/>
      <c r="T1087" s="5" t="n"/>
      <c r="U1087" s="5" t="n"/>
      <c r="V1087" s="5" t="n"/>
      <c r="W1087" s="5" t="n"/>
      <c r="X1087" s="5" t="n"/>
      <c r="Y1087" s="5" t="n"/>
      <c r="Z1087" s="5" t="n"/>
      <c r="AA1087" s="5" t="n"/>
      <c r="AB1087" s="5" t="n"/>
      <c r="AC1087" s="5" t="n"/>
      <c r="AD1087" s="5" t="n"/>
      <c r="AE1087" s="5" t="n"/>
      <c r="AF1087" s="5" t="n"/>
      <c r="AG1087" s="5" t="n"/>
      <c r="AH1087" s="5" t="n"/>
      <c r="AI1087" s="5" t="n"/>
      <c r="AJ1087" s="5" t="n"/>
      <c r="AK1087" s="92">
        <f>IF(AND($E1087&gt;=Controls!$B$5,$E1087&lt;=Controls!$B$6,OR(Controls!$E$9&lt;&gt;"Y",$BE1087=1)),1,0)</f>
        <v/>
      </c>
      <c r="AL1087" s="5" t="n"/>
      <c r="AM1087" s="5" t="n"/>
      <c r="AN1087" s="5" t="n"/>
      <c r="AO1087" s="5" t="n"/>
      <c r="AP1087" s="5" t="n"/>
      <c r="AQ1087" s="5" t="n"/>
      <c r="AR1087" s="5" t="n"/>
      <c r="AS1087" s="5" t="n"/>
      <c r="AT1087" s="5" t="n"/>
      <c r="AU1087" s="5" t="n"/>
      <c r="AV1087" s="5" t="n"/>
      <c r="AW1087" s="5" t="n"/>
      <c r="AX1087" s="5" t="n"/>
      <c r="AY1087" s="5" t="n"/>
      <c r="AZ1087" s="5" t="n"/>
      <c r="BA1087" s="5" t="n"/>
      <c r="BB1087" s="5" t="n"/>
      <c r="BC1087" s="92">
        <f>IF($E1087="","",NETWORKDAYS($E1087,Controls!$B$9,Ref!$F$4:$F$47))</f>
        <v/>
      </c>
      <c r="BD1087" s="92">
        <f>IF(OR($AH1087=1,$AJ1087=1),1,0)</f>
        <v/>
      </c>
      <c r="BE1087" s="95">
        <f>IF(OR($BD1087=1,AND($AE1087&lt;&gt;"",$BC1087&gt;=Controls!$B$10*$AE1087)),1,0)</f>
        <v/>
      </c>
    </row>
    <row r="1088" ht="30" customHeight="1" s="79">
      <c r="A1088" s="6" t="inlineStr">
        <is>
          <t>AP</t>
        </is>
      </c>
      <c r="B1088" s="5" t="inlineStr">
        <is>
          <t>Advance / revenue</t>
        </is>
      </c>
      <c r="C1088" s="74">
        <f>IF(Y2="","",P2/Y2)</f>
        <v/>
      </c>
      <c r="D1088" s="75" t="inlineStr">
        <is>
          <t>Advance over monthly revenue. Blank where revenue is missing - never zero-filled.</t>
        </is>
      </c>
      <c r="E1088" s="5" t="n"/>
      <c r="F1088" s="5" t="n"/>
      <c r="G1088" s="5" t="n"/>
      <c r="H1088" s="5" t="n"/>
      <c r="I1088" s="5" t="n"/>
      <c r="J1088" s="5" t="n"/>
      <c r="K1088" s="5" t="n"/>
      <c r="L1088" s="5" t="n"/>
      <c r="M1088" s="5" t="n"/>
      <c r="N1088" s="5" t="n"/>
      <c r="O1088" s="5" t="n"/>
      <c r="P1088" s="5" t="n"/>
      <c r="Q1088" s="5" t="n"/>
      <c r="R1088" s="5" t="n"/>
      <c r="S1088" s="5" t="n"/>
      <c r="T1088" s="5" t="n"/>
      <c r="U1088" s="5" t="n"/>
      <c r="V1088" s="5" t="n"/>
      <c r="W1088" s="5" t="n"/>
      <c r="X1088" s="5" t="n"/>
      <c r="Y1088" s="5" t="n"/>
      <c r="Z1088" s="5" t="n"/>
      <c r="AA1088" s="5" t="n"/>
      <c r="AB1088" s="5" t="n"/>
      <c r="AC1088" s="5" t="n"/>
      <c r="AD1088" s="5" t="n"/>
      <c r="AE1088" s="5" t="n"/>
      <c r="AF1088" s="5" t="n"/>
      <c r="AG1088" s="5" t="n"/>
      <c r="AH1088" s="5" t="n"/>
      <c r="AI1088" s="5" t="n"/>
      <c r="AJ1088" s="5" t="n"/>
      <c r="AK1088" s="92">
        <f>IF(AND($E1088&gt;=Controls!$B$5,$E1088&lt;=Controls!$B$6,OR(Controls!$E$9&lt;&gt;"Y",$BE1088=1)),1,0)</f>
        <v/>
      </c>
      <c r="AL1088" s="5" t="n"/>
      <c r="AM1088" s="5" t="n"/>
      <c r="AN1088" s="5" t="n"/>
      <c r="AO1088" s="5" t="n"/>
      <c r="AP1088" s="5" t="n"/>
      <c r="AQ1088" s="5" t="n"/>
      <c r="AR1088" s="5" t="n"/>
      <c r="AS1088" s="5" t="n"/>
      <c r="AT1088" s="5" t="n"/>
      <c r="AU1088" s="5" t="n"/>
      <c r="AV1088" s="5" t="n"/>
      <c r="AW1088" s="5" t="n"/>
      <c r="AX1088" s="5" t="n"/>
      <c r="AY1088" s="5" t="n"/>
      <c r="AZ1088" s="5" t="n"/>
      <c r="BA1088" s="5" t="n"/>
      <c r="BB1088" s="5" t="n"/>
      <c r="BC1088" s="92">
        <f>IF($E1088="","",NETWORKDAYS($E1088,Controls!$B$9,Ref!$F$4:$F$47))</f>
        <v/>
      </c>
      <c r="BD1088" s="92">
        <f>IF(OR($AH1088=1,$AJ1088=1),1,0)</f>
        <v/>
      </c>
      <c r="BE1088" s="95">
        <f>IF(OR($BD1088=1,AND($AE1088&lt;&gt;"",$BC1088&gt;=Controls!$B$10*$AE1088)),1,0)</f>
        <v/>
      </c>
    </row>
    <row r="1089" ht="30" customHeight="1" s="79">
      <c r="A1089" s="6" t="inlineStr">
        <is>
          <t>AQ</t>
        </is>
      </c>
      <c r="B1089" s="5" t="inlineStr">
        <is>
          <t>Has revenue</t>
        </is>
      </c>
      <c r="C1089" s="74">
        <f>IF(Y2="",0,1)</f>
        <v/>
      </c>
      <c r="D1089" s="75" t="inlineStr">
        <is>
          <t>1 where revenue exists. This is the denominator any revenue-based rate must state.</t>
        </is>
      </c>
      <c r="E1089" s="5" t="n"/>
      <c r="F1089" s="5" t="n"/>
      <c r="G1089" s="5" t="n"/>
      <c r="H1089" s="5" t="n"/>
      <c r="I1089" s="5" t="n"/>
      <c r="J1089" s="5" t="n"/>
      <c r="K1089" s="5" t="n"/>
      <c r="L1089" s="5" t="n"/>
      <c r="M1089" s="5" t="n"/>
      <c r="N1089" s="5"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92">
        <f>IF(AND($E1089&gt;=Controls!$B$5,$E1089&lt;=Controls!$B$6,OR(Controls!$E$9&lt;&gt;"Y",$BE1089=1)),1,0)</f>
        <v/>
      </c>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92">
        <f>IF($E1089="","",NETWORKDAYS($E1089,Controls!$B$9,Ref!$F$4:$F$47))</f>
        <v/>
      </c>
      <c r="BD1089" s="92">
        <f>IF(OR($AH1089=1,$AJ1089=1),1,0)</f>
        <v/>
      </c>
      <c r="BE1089" s="95">
        <f>IF(OR($BD1089=1,AND($AE1089&lt;&gt;"",$BC1089&gt;=Controls!$B$10*$AE1089)),1,0)</f>
        <v/>
      </c>
    </row>
    <row r="1090" ht="30" customHeight="1" s="79">
      <c r="A1090" s="6" t="inlineStr">
        <is>
          <t>AR</t>
        </is>
      </c>
      <c r="B1090" s="5" t="inlineStr">
        <is>
          <t>Never paid</t>
        </is>
      </c>
      <c r="C1090" s="74">
        <f>IF(S2&lt;=0,1,0)</f>
        <v/>
      </c>
      <c r="D1090" s="75" t="inlineStr">
        <is>
          <t>1 if the deal never collected a dollar.</t>
        </is>
      </c>
      <c r="E1090" s="5" t="n"/>
      <c r="F1090" s="5" t="n"/>
      <c r="G1090" s="5" t="n"/>
      <c r="H1090" s="5" t="n"/>
      <c r="I1090" s="5" t="n"/>
      <c r="J1090" s="5" t="n"/>
      <c r="K1090" s="5" t="n"/>
      <c r="L1090" s="5" t="n"/>
      <c r="M1090" s="5" t="n"/>
      <c r="N1090" s="5" t="n"/>
      <c r="O1090" s="5" t="n"/>
      <c r="P1090" s="5" t="n"/>
      <c r="Q1090" s="5" t="n"/>
      <c r="R1090" s="5" t="n"/>
      <c r="S1090" s="5" t="n"/>
      <c r="T1090" s="5" t="n"/>
      <c r="U1090" s="5" t="n"/>
      <c r="V1090" s="5" t="n"/>
      <c r="W1090" s="5" t="n"/>
      <c r="X1090" s="5" t="n"/>
      <c r="Y1090" s="5" t="n"/>
      <c r="Z1090" s="5" t="n"/>
      <c r="AA1090" s="5" t="n"/>
      <c r="AB1090" s="5" t="n"/>
      <c r="AC1090" s="5" t="n"/>
      <c r="AD1090" s="5" t="n"/>
      <c r="AE1090" s="5" t="n"/>
      <c r="AF1090" s="5" t="n"/>
      <c r="AG1090" s="5" t="n"/>
      <c r="AH1090" s="5" t="n"/>
      <c r="AI1090" s="5" t="n"/>
      <c r="AJ1090" s="5" t="n"/>
      <c r="AK1090" s="92">
        <f>IF(AND($E1090&gt;=Controls!$B$5,$E1090&lt;=Controls!$B$6,OR(Controls!$E$9&lt;&gt;"Y",$BE1090=1)),1,0)</f>
        <v/>
      </c>
      <c r="AL1090" s="5" t="n"/>
      <c r="AM1090" s="5" t="n"/>
      <c r="AN1090" s="5" t="n"/>
      <c r="AO1090" s="5" t="n"/>
      <c r="AP1090" s="5" t="n"/>
      <c r="AQ1090" s="5" t="n"/>
      <c r="AR1090" s="5" t="n"/>
      <c r="AS1090" s="5" t="n"/>
      <c r="AT1090" s="5" t="n"/>
      <c r="AU1090" s="5" t="n"/>
      <c r="AV1090" s="5" t="n"/>
      <c r="AW1090" s="5" t="n"/>
      <c r="AX1090" s="5" t="n"/>
      <c r="AY1090" s="5" t="n"/>
      <c r="AZ1090" s="5" t="n"/>
      <c r="BA1090" s="5" t="n"/>
      <c r="BB1090" s="5" t="n"/>
      <c r="BC1090" s="92">
        <f>IF($E1090="","",NETWORKDAYS($E1090,Controls!$B$9,Ref!$F$4:$F$47))</f>
        <v/>
      </c>
      <c r="BD1090" s="92">
        <f>IF(OR($AH1090=1,$AJ1090=1),1,0)</f>
        <v/>
      </c>
      <c r="BE1090" s="95">
        <f>IF(OR($BD1090=1,AND($AE1090&lt;&gt;"",$BC1090&gt;=Controls!$B$10*$AE1090)),1,0)</f>
        <v/>
      </c>
    </row>
    <row r="1091" ht="30" customHeight="1" s="79">
      <c r="A1091" s="6" t="inlineStr">
        <is>
          <t>AS</t>
        </is>
      </c>
      <c r="B1091" s="5" t="inlineStr">
        <is>
          <t>Days on book (defaulted deals)</t>
        </is>
      </c>
      <c r="C1091" s="77">
        <f>IF(AH2=1,AG2,"")</f>
        <v/>
      </c>
      <c r="D1091" s="75" t="inlineStr">
        <is>
          <t>Business days from funding to the last cleared payment, on defaulted deals. NOT days until default - the export carries no status-change date, so a deal still collecting in collections shows a recent date. See open questions.</t>
        </is>
      </c>
      <c r="E1091" s="5" t="n"/>
      <c r="F1091" s="5" t="n"/>
      <c r="G1091" s="5" t="n"/>
      <c r="H1091" s="5" t="n"/>
      <c r="I1091" s="5" t="n"/>
      <c r="J1091" s="5" t="n"/>
      <c r="K1091" s="5" t="n"/>
      <c r="L1091" s="5" t="n"/>
      <c r="M1091" s="5" t="n"/>
      <c r="N1091" s="5" t="n"/>
      <c r="O1091" s="5" t="n"/>
      <c r="P1091" s="5" t="n"/>
      <c r="Q1091" s="5" t="n"/>
      <c r="R1091" s="5" t="n"/>
      <c r="S1091" s="5" t="n"/>
      <c r="T1091" s="5" t="n"/>
      <c r="U1091" s="5" t="n"/>
      <c r="V1091" s="5" t="n"/>
      <c r="W1091" s="5" t="n"/>
      <c r="X1091" s="5" t="n"/>
      <c r="Y1091" s="5" t="n"/>
      <c r="Z1091" s="5" t="n"/>
      <c r="AA1091" s="5" t="n"/>
      <c r="AB1091" s="5" t="n"/>
      <c r="AC1091" s="5" t="n"/>
      <c r="AD1091" s="5" t="n"/>
      <c r="AE1091" s="5" t="n"/>
      <c r="AF1091" s="5" t="n"/>
      <c r="AG1091" s="5" t="n"/>
      <c r="AH1091" s="5" t="n"/>
      <c r="AI1091" s="5" t="n"/>
      <c r="AJ1091" s="5" t="n"/>
      <c r="AK1091" s="92">
        <f>IF(AND($E1091&gt;=Controls!$B$5,$E1091&lt;=Controls!$B$6,OR(Controls!$E$9&lt;&gt;"Y",$BE1091=1)),1,0)</f>
        <v/>
      </c>
      <c r="AL1091" s="5" t="n"/>
      <c r="AM1091" s="5" t="n"/>
      <c r="AN1091" s="5" t="n"/>
      <c r="AO1091" s="5" t="n"/>
      <c r="AP1091" s="5" t="n"/>
      <c r="AQ1091" s="5" t="n"/>
      <c r="AR1091" s="5" t="n"/>
      <c r="AS1091" s="5" t="n"/>
      <c r="AT1091" s="5" t="n"/>
      <c r="AU1091" s="5" t="n"/>
      <c r="AV1091" s="5" t="n"/>
      <c r="AW1091" s="5" t="n"/>
      <c r="AX1091" s="5" t="n"/>
      <c r="AY1091" s="5" t="n"/>
      <c r="AZ1091" s="5" t="n"/>
      <c r="BA1091" s="5" t="n"/>
      <c r="BB1091" s="5" t="n"/>
      <c r="BC1091" s="92">
        <f>IF($E1091="","",NETWORKDAYS($E1091,Controls!$B$9,Ref!$F$4:$F$47))</f>
        <v/>
      </c>
      <c r="BD1091" s="92">
        <f>IF(OR($AH1091=1,$AJ1091=1),1,0)</f>
        <v/>
      </c>
      <c r="BE1091" s="95">
        <f>IF(OR($BD1091=1,AND($AE1091&lt;&gt;"",$BC1091&gt;=Controls!$B$10*$AE1091)),1,0)</f>
        <v/>
      </c>
    </row>
    <row r="1092" ht="30" customHeight="1" s="79">
      <c r="A1092" s="6" t="inlineStr">
        <is>
          <t>AT</t>
        </is>
      </c>
      <c r="B1092" s="5" t="inlineStr">
        <is>
          <t>Days to close</t>
        </is>
      </c>
      <c r="C1092" s="74">
        <f>IF(AND(AH2=0,AJ2=1),AG2,"")</f>
        <v/>
      </c>
      <c r="D1092" s="75" t="inlineStr">
        <is>
          <t>Business days from funding to the last payment, on non-defaulted deals in the Closed family. Reads the Closed family flag, not a status string.</t>
        </is>
      </c>
      <c r="E1092" s="5" t="n"/>
      <c r="F1092" s="5" t="n"/>
      <c r="G1092" s="5" t="n"/>
      <c r="H1092" s="5" t="n"/>
      <c r="I1092" s="5" t="n"/>
      <c r="J1092" s="5" t="n"/>
      <c r="K1092" s="5" t="n"/>
      <c r="L1092" s="5" t="n"/>
      <c r="M1092" s="5" t="n"/>
      <c r="N1092" s="5" t="n"/>
      <c r="O1092" s="5" t="n"/>
      <c r="P1092" s="5" t="n"/>
      <c r="Q1092" s="5" t="n"/>
      <c r="R1092" s="5" t="n"/>
      <c r="S1092" s="5" t="n"/>
      <c r="T1092" s="5" t="n"/>
      <c r="U1092" s="5" t="n"/>
      <c r="V1092" s="5" t="n"/>
      <c r="W1092" s="5" t="n"/>
      <c r="X1092" s="5" t="n"/>
      <c r="Y1092" s="5" t="n"/>
      <c r="Z1092" s="5" t="n"/>
      <c r="AA1092" s="5" t="n"/>
      <c r="AB1092" s="5" t="n"/>
      <c r="AC1092" s="5" t="n"/>
      <c r="AD1092" s="5" t="n"/>
      <c r="AE1092" s="5" t="n"/>
      <c r="AF1092" s="5" t="n"/>
      <c r="AG1092" s="5" t="n"/>
      <c r="AH1092" s="5" t="n"/>
      <c r="AI1092" s="5" t="n"/>
      <c r="AJ1092" s="5" t="n"/>
      <c r="AK1092" s="92">
        <f>IF(AND($E1092&gt;=Controls!$B$5,$E1092&lt;=Controls!$B$6,OR(Controls!$E$9&lt;&gt;"Y",$BE1092=1)),1,0)</f>
        <v/>
      </c>
      <c r="AL1092" s="5" t="n"/>
      <c r="AM1092" s="5" t="n"/>
      <c r="AN1092" s="5" t="n"/>
      <c r="AO1092" s="5" t="n"/>
      <c r="AP1092" s="5" t="n"/>
      <c r="AQ1092" s="5" t="n"/>
      <c r="AR1092" s="5" t="n"/>
      <c r="AS1092" s="5" t="n"/>
      <c r="AT1092" s="5" t="n"/>
      <c r="AU1092" s="5" t="n"/>
      <c r="AV1092" s="5" t="n"/>
      <c r="AW1092" s="5" t="n"/>
      <c r="AX1092" s="5" t="n"/>
      <c r="AY1092" s="5" t="n"/>
      <c r="AZ1092" s="5" t="n"/>
      <c r="BA1092" s="5" t="n"/>
      <c r="BB1092" s="5" t="n"/>
      <c r="BC1092" s="92">
        <f>IF($E1092="","",NETWORKDAYS($E1092,Controls!$B$9,Ref!$F$4:$F$47))</f>
        <v/>
      </c>
      <c r="BD1092" s="92">
        <f>IF(OR($AH1092=1,$AJ1092=1),1,0)</f>
        <v/>
      </c>
      <c r="BE1092" s="95">
        <f>IF(OR($BD1092=1,AND($AE1092&lt;&gt;"",$BC1092&gt;=Controls!$B$10*$AE1092)),1,0)</f>
        <v/>
      </c>
    </row>
    <row r="1093" ht="30" customHeight="1" s="79">
      <c r="A1093" s="6" t="inlineStr">
        <is>
          <t>AU</t>
        </is>
      </c>
      <c r="B1093" s="5" t="inlineStr">
        <is>
          <t>Size bucket</t>
        </is>
      </c>
      <c r="C1093" s="74">
        <f>IF(P2&lt;10000,"Under $10K",IF(P2&lt;20000,"$10-20K",IF(P2&lt;30000,"$20-30K",IF(P2&lt;50000,"$30-50K",IF(P2&lt;100000,"$50-100K","$100K+")))))</f>
        <v/>
      </c>
      <c r="D1093" s="75" t="inlineStr">
        <is>
          <t>Six advance-size buckets.</t>
        </is>
      </c>
      <c r="E1093" s="5" t="n"/>
      <c r="F1093" s="5" t="n"/>
      <c r="G1093" s="5" t="n"/>
      <c r="H1093" s="5" t="n"/>
      <c r="I1093" s="5" t="n"/>
      <c r="J1093" s="5" t="n"/>
      <c r="K1093" s="5" t="n"/>
      <c r="L1093" s="5" t="n"/>
      <c r="M1093" s="5" t="n"/>
      <c r="N1093" s="5" t="n"/>
      <c r="O1093" s="5" t="n"/>
      <c r="P1093" s="5" t="n"/>
      <c r="Q1093" s="5" t="n"/>
      <c r="R1093" s="5" t="n"/>
      <c r="S1093" s="5" t="n"/>
      <c r="T1093" s="5" t="n"/>
      <c r="U1093" s="5" t="n"/>
      <c r="V1093" s="5" t="n"/>
      <c r="W1093" s="5" t="n"/>
      <c r="X1093" s="5" t="n"/>
      <c r="Y1093" s="5" t="n"/>
      <c r="Z1093" s="5" t="n"/>
      <c r="AA1093" s="5" t="n"/>
      <c r="AB1093" s="5" t="n"/>
      <c r="AC1093" s="5" t="n"/>
      <c r="AD1093" s="5" t="n"/>
      <c r="AE1093" s="5" t="n"/>
      <c r="AF1093" s="5" t="n"/>
      <c r="AG1093" s="5" t="n"/>
      <c r="AH1093" s="5" t="n"/>
      <c r="AI1093" s="5" t="n"/>
      <c r="AJ1093" s="5" t="n"/>
      <c r="AK1093" s="92">
        <f>IF(AND($E1093&gt;=Controls!$B$5,$E1093&lt;=Controls!$B$6,OR(Controls!$E$9&lt;&gt;"Y",$BE1093=1)),1,0)</f>
        <v/>
      </c>
      <c r="AL1093" s="5" t="n"/>
      <c r="AM1093" s="5" t="n"/>
      <c r="AN1093" s="5" t="n"/>
      <c r="AO1093" s="5" t="n"/>
      <c r="AP1093" s="5" t="n"/>
      <c r="AQ1093" s="5" t="n"/>
      <c r="AR1093" s="5" t="n"/>
      <c r="AS1093" s="5" t="n"/>
      <c r="AT1093" s="5" t="n"/>
      <c r="AU1093" s="5" t="n"/>
      <c r="AV1093" s="5" t="n"/>
      <c r="AW1093" s="5" t="n"/>
      <c r="AX1093" s="5" t="n"/>
      <c r="AY1093" s="5" t="n"/>
      <c r="AZ1093" s="5" t="n"/>
      <c r="BA1093" s="5" t="n"/>
      <c r="BB1093" s="5" t="n"/>
      <c r="BC1093" s="92">
        <f>IF($E1093="","",NETWORKDAYS($E1093,Controls!$B$9,Ref!$F$4:$F$47))</f>
        <v/>
      </c>
      <c r="BD1093" s="92">
        <f>IF(OR($AH1093=1,$AJ1093=1),1,0)</f>
        <v/>
      </c>
      <c r="BE1093" s="95">
        <f>IF(OR($BD1093=1,AND($AE1093&lt;&gt;"",$BC1093&gt;=Controls!$B$10*$AE1093)),1,0)</f>
        <v/>
      </c>
    </row>
    <row r="1094" ht="30" customHeight="1" s="79">
      <c r="A1094" s="6" t="inlineStr">
        <is>
          <t>AV</t>
        </is>
      </c>
      <c r="B1094" s="5" t="inlineStr">
        <is>
          <t>Factor bucket</t>
        </is>
      </c>
      <c r="C1094" s="74">
        <f>IF(O2&lt;=1.35,"1.35 and under",IF(O2&lt;=1.42,"1.36-1.42",IF(O2&lt;=1.45,"1.43-1.45",IF(O2&lt;1.49,"1.46-1.48",IF(O2&lt;=1.49,"1.49","Above 1.49")))))</f>
        <v/>
      </c>
      <c r="D1094" s="75" t="inlineStr">
        <is>
          <t>Six factor buckets.</t>
        </is>
      </c>
      <c r="E1094" s="5" t="n"/>
      <c r="F1094" s="5" t="n"/>
      <c r="G1094" s="5" t="n"/>
      <c r="H1094" s="5" t="n"/>
      <c r="I1094" s="5" t="n"/>
      <c r="J1094" s="5" t="n"/>
      <c r="K1094" s="5" t="n"/>
      <c r="L1094" s="5" t="n"/>
      <c r="M1094" s="5" t="n"/>
      <c r="N1094" s="5" t="n"/>
      <c r="O1094" s="5" t="n"/>
      <c r="P1094" s="5" t="n"/>
      <c r="Q1094" s="5" t="n"/>
      <c r="R1094" s="5" t="n"/>
      <c r="S1094" s="5" t="n"/>
      <c r="T1094" s="5" t="n"/>
      <c r="U1094" s="5" t="n"/>
      <c r="V1094" s="5" t="n"/>
      <c r="W1094" s="5" t="n"/>
      <c r="X1094" s="5" t="n"/>
      <c r="Y1094" s="5" t="n"/>
      <c r="Z1094" s="5" t="n"/>
      <c r="AA1094" s="5" t="n"/>
      <c r="AB1094" s="5" t="n"/>
      <c r="AC1094" s="5" t="n"/>
      <c r="AD1094" s="5" t="n"/>
      <c r="AE1094" s="5" t="n"/>
      <c r="AF1094" s="5" t="n"/>
      <c r="AG1094" s="5" t="n"/>
      <c r="AH1094" s="5" t="n"/>
      <c r="AI1094" s="5" t="n"/>
      <c r="AJ1094" s="5" t="n"/>
      <c r="AK1094" s="92">
        <f>IF(AND($E1094&gt;=Controls!$B$5,$E1094&lt;=Controls!$B$6,OR(Controls!$E$9&lt;&gt;"Y",$BE1094=1)),1,0)</f>
        <v/>
      </c>
      <c r="AL1094" s="5" t="n"/>
      <c r="AM1094" s="5" t="n"/>
      <c r="AN1094" s="5" t="n"/>
      <c r="AO1094" s="5" t="n"/>
      <c r="AP1094" s="5" t="n"/>
      <c r="AQ1094" s="5" t="n"/>
      <c r="AR1094" s="5" t="n"/>
      <c r="AS1094" s="5" t="n"/>
      <c r="AT1094" s="5" t="n"/>
      <c r="AU1094" s="5" t="n"/>
      <c r="AV1094" s="5" t="n"/>
      <c r="AW1094" s="5" t="n"/>
      <c r="AX1094" s="5" t="n"/>
      <c r="AY1094" s="5" t="n"/>
      <c r="AZ1094" s="5" t="n"/>
      <c r="BA1094" s="5" t="n"/>
      <c r="BB1094" s="5" t="n"/>
      <c r="BC1094" s="92">
        <f>IF($E1094="","",NETWORKDAYS($E1094,Controls!$B$9,Ref!$F$4:$F$47))</f>
        <v/>
      </c>
      <c r="BD1094" s="92">
        <f>IF(OR($AH1094=1,$AJ1094=1),1,0)</f>
        <v/>
      </c>
      <c r="BE1094" s="95">
        <f>IF(OR($BD1094=1,AND($AE1094&lt;&gt;"",$BC1094&gt;=Controls!$B$10*$AE1094)),1,0)</f>
        <v/>
      </c>
    </row>
    <row r="1095" ht="30" customHeight="1" s="79">
      <c r="A1095" s="6" t="inlineStr">
        <is>
          <t>AW</t>
        </is>
      </c>
      <c r="B1095" s="5" t="inlineStr">
        <is>
          <t>Term bucket</t>
        </is>
      </c>
      <c r="C1095" s="74">
        <f>IF(AE2="","",IF(AE2&lt;60,"Under 60",IF(AE2&lt;90,"60-89",IF(AE2&lt;120,"90-119",IF(AE2&lt;150,"120-149","150+")))))</f>
        <v/>
      </c>
      <c r="D1095" s="75" t="inlineStr">
        <is>
          <t>Cut on BUSINESS DAYS, not payments, so a weekly deal and a daily deal of the same real length land in the same bucket. Cutting on payments put them in different buckets.</t>
        </is>
      </c>
      <c r="E1095" s="5" t="n"/>
      <c r="F1095" s="5" t="n"/>
      <c r="G1095" s="5" t="n"/>
      <c r="H1095" s="5" t="n"/>
      <c r="I1095" s="5" t="n"/>
      <c r="J1095" s="5" t="n"/>
      <c r="K1095" s="5" t="n"/>
      <c r="L1095" s="5" t="n"/>
      <c r="M1095" s="5" t="n"/>
      <c r="N1095" s="5" t="n"/>
      <c r="O1095" s="5" t="n"/>
      <c r="P1095" s="5" t="n"/>
      <c r="Q1095" s="5" t="n"/>
      <c r="R1095" s="5" t="n"/>
      <c r="S1095" s="5" t="n"/>
      <c r="T1095" s="5" t="n"/>
      <c r="U1095" s="5" t="n"/>
      <c r="V1095" s="5" t="n"/>
      <c r="W1095" s="5" t="n"/>
      <c r="X1095" s="5" t="n"/>
      <c r="Y1095" s="5" t="n"/>
      <c r="Z1095" s="5" t="n"/>
      <c r="AA1095" s="5" t="n"/>
      <c r="AB1095" s="5" t="n"/>
      <c r="AC1095" s="5" t="n"/>
      <c r="AD1095" s="5" t="n"/>
      <c r="AE1095" s="5" t="n"/>
      <c r="AF1095" s="5" t="n"/>
      <c r="AG1095" s="5" t="n"/>
      <c r="AH1095" s="5" t="n"/>
      <c r="AI1095" s="5" t="n"/>
      <c r="AJ1095" s="5" t="n"/>
      <c r="AK1095" s="92">
        <f>IF(AND($E1095&gt;=Controls!$B$5,$E1095&lt;=Controls!$B$6,OR(Controls!$E$9&lt;&gt;"Y",$BE1095=1)),1,0)</f>
        <v/>
      </c>
      <c r="AL1095" s="5" t="n"/>
      <c r="AM1095" s="5" t="n"/>
      <c r="AN1095" s="5" t="n"/>
      <c r="AO1095" s="5" t="n"/>
      <c r="AP1095" s="5" t="n"/>
      <c r="AQ1095" s="5" t="n"/>
      <c r="AR1095" s="5" t="n"/>
      <c r="AS1095" s="5" t="n"/>
      <c r="AT1095" s="5" t="n"/>
      <c r="AU1095" s="5" t="n"/>
      <c r="AV1095" s="5" t="n"/>
      <c r="AW1095" s="5" t="n"/>
      <c r="AX1095" s="5" t="n"/>
      <c r="AY1095" s="5" t="n"/>
      <c r="AZ1095" s="5" t="n"/>
      <c r="BA1095" s="5" t="n"/>
      <c r="BB1095" s="5" t="n"/>
      <c r="BC1095" s="92">
        <f>IF($E1095="","",NETWORKDAYS($E1095,Controls!$B$9,Ref!$F$4:$F$47))</f>
        <v/>
      </c>
      <c r="BD1095" s="92">
        <f>IF(OR($AH1095=1,$AJ1095=1),1,0)</f>
        <v/>
      </c>
      <c r="BE1095" s="95">
        <f>IF(OR($BD1095=1,AND($AE1095&lt;&gt;"",$BC1095&gt;=Controls!$B$10*$AE1095)),1,0)</f>
        <v/>
      </c>
    </row>
    <row r="1096" ht="30" customHeight="1" s="79">
      <c r="A1096" s="6" t="inlineStr">
        <is>
          <t>AX</t>
        </is>
      </c>
      <c r="B1096" s="5" t="inlineStr">
        <is>
          <t>Adv/rev bucket</t>
        </is>
      </c>
      <c r="C1096" s="74">
        <f>IF(AP2="","No revenue data",IF(AP2&lt;0.15,"Under 0.15x",IF(AP2&lt;0.3,"0.15-0.30x",IF(AP2&lt;0.5,"0.30-0.50x",IF(AP2&lt;1,"0.50-1.00x","1.00x+")))))</f>
        <v/>
      </c>
      <c r="D1096" s="75" t="inlineStr">
        <is>
          <t>Deals with no revenue get their own labelled bucket rather than being dropped or zeroed.</t>
        </is>
      </c>
      <c r="E1096" s="5" t="n"/>
      <c r="F1096" s="5" t="n"/>
      <c r="G1096" s="5" t="n"/>
      <c r="H1096" s="5" t="n"/>
      <c r="I1096" s="5" t="n"/>
      <c r="J1096" s="5" t="n"/>
      <c r="K1096" s="5" t="n"/>
      <c r="L1096" s="5" t="n"/>
      <c r="M1096" s="5" t="n"/>
      <c r="N1096" s="5" t="n"/>
      <c r="O1096" s="5" t="n"/>
      <c r="P1096" s="5" t="n"/>
      <c r="Q1096" s="5" t="n"/>
      <c r="R1096" s="5" t="n"/>
      <c r="S1096" s="5" t="n"/>
      <c r="T1096" s="5" t="n"/>
      <c r="U1096" s="5" t="n"/>
      <c r="V1096" s="5" t="n"/>
      <c r="W1096" s="5" t="n"/>
      <c r="X1096" s="5" t="n"/>
      <c r="Y1096" s="5" t="n"/>
      <c r="Z1096" s="5" t="n"/>
      <c r="AA1096" s="5" t="n"/>
      <c r="AB1096" s="5" t="n"/>
      <c r="AC1096" s="5" t="n"/>
      <c r="AD1096" s="5" t="n"/>
      <c r="AE1096" s="5" t="n"/>
      <c r="AF1096" s="5" t="n"/>
      <c r="AG1096" s="5" t="n"/>
      <c r="AH1096" s="5" t="n"/>
      <c r="AI1096" s="5" t="n"/>
      <c r="AJ1096" s="5" t="n"/>
      <c r="AK1096" s="92">
        <f>IF(AND($E1096&gt;=Controls!$B$5,$E1096&lt;=Controls!$B$6,OR(Controls!$E$9&lt;&gt;"Y",$BE1096=1)),1,0)</f>
        <v/>
      </c>
      <c r="AL1096" s="5" t="n"/>
      <c r="AM1096" s="5" t="n"/>
      <c r="AN1096" s="5" t="n"/>
      <c r="AO1096" s="5" t="n"/>
      <c r="AP1096" s="5" t="n"/>
      <c r="AQ1096" s="5" t="n"/>
      <c r="AR1096" s="5" t="n"/>
      <c r="AS1096" s="5" t="n"/>
      <c r="AT1096" s="5" t="n"/>
      <c r="AU1096" s="5" t="n"/>
      <c r="AV1096" s="5" t="n"/>
      <c r="AW1096" s="5" t="n"/>
      <c r="AX1096" s="5" t="n"/>
      <c r="AY1096" s="5" t="n"/>
      <c r="AZ1096" s="5" t="n"/>
      <c r="BA1096" s="5" t="n"/>
      <c r="BB1096" s="5" t="n"/>
      <c r="BC1096" s="92">
        <f>IF($E1096="","",NETWORKDAYS($E1096,Controls!$B$9,Ref!$F$4:$F$47))</f>
        <v/>
      </c>
      <c r="BD1096" s="92">
        <f>IF(OR($AH1096=1,$AJ1096=1),1,0)</f>
        <v/>
      </c>
      <c r="BE1096" s="95">
        <f>IF(OR($BD1096=1,AND($AE1096&lt;&gt;"",$BC1096&gt;=Controls!$B$10*$AE1096)),1,0)</f>
        <v/>
      </c>
    </row>
    <row r="1097" ht="30" customHeight="1" s="79">
      <c r="A1097" s="6" t="inlineStr">
        <is>
          <t>AY</t>
        </is>
      </c>
      <c r="B1097" s="5" t="inlineStr">
        <is>
          <t>Industry</t>
        </is>
      </c>
      <c r="C1097" s="74">
        <f>IF(J2="","No SIC",IFERROR(VLOOKUP(J2,Ref!$A$4:$C$67,2,FALSE()),"Unclassified"))</f>
        <v/>
      </c>
      <c r="D1097" s="75" t="inlineStr">
        <is>
          <t>Derived from the 2-digit SIC against the Ref tab.</t>
        </is>
      </c>
      <c r="E1097" s="5" t="n"/>
      <c r="F1097" s="5" t="n"/>
      <c r="G1097" s="5" t="n"/>
      <c r="H1097" s="5" t="n"/>
      <c r="I1097" s="5" t="n"/>
      <c r="J1097" s="5" t="n"/>
      <c r="K1097" s="5" t="n"/>
      <c r="L1097" s="5" t="n"/>
      <c r="M1097" s="5" t="n"/>
      <c r="N1097" s="5" t="n"/>
      <c r="O1097" s="5" t="n"/>
      <c r="P1097" s="5" t="n"/>
      <c r="Q1097" s="5" t="n"/>
      <c r="R1097" s="5" t="n"/>
      <c r="S1097" s="5" t="n"/>
      <c r="T1097" s="5" t="n"/>
      <c r="U1097" s="5" t="n"/>
      <c r="V1097" s="5" t="n"/>
      <c r="W1097" s="5" t="n"/>
      <c r="X1097" s="5" t="n"/>
      <c r="Y1097" s="5" t="n"/>
      <c r="Z1097" s="5" t="n"/>
      <c r="AA1097" s="5" t="n"/>
      <c r="AB1097" s="5" t="n"/>
      <c r="AC1097" s="5" t="n"/>
      <c r="AD1097" s="5" t="n"/>
      <c r="AE1097" s="5" t="n"/>
      <c r="AF1097" s="5" t="n"/>
      <c r="AG1097" s="5" t="n"/>
      <c r="AH1097" s="5" t="n"/>
      <c r="AI1097" s="5" t="n"/>
      <c r="AJ1097" s="5" t="n"/>
      <c r="AK1097" s="92">
        <f>IF(AND($E1097&gt;=Controls!$B$5,$E1097&lt;=Controls!$B$6,OR(Controls!$E$9&lt;&gt;"Y",$BE1097=1)),1,0)</f>
        <v/>
      </c>
      <c r="AL1097" s="5" t="n"/>
      <c r="AM1097" s="5" t="n"/>
      <c r="AN1097" s="5" t="n"/>
      <c r="AO1097" s="5" t="n"/>
      <c r="AP1097" s="5" t="n"/>
      <c r="AQ1097" s="5" t="n"/>
      <c r="AR1097" s="5" t="n"/>
      <c r="AS1097" s="5" t="n"/>
      <c r="AT1097" s="5" t="n"/>
      <c r="AU1097" s="5" t="n"/>
      <c r="AV1097" s="5" t="n"/>
      <c r="AW1097" s="5" t="n"/>
      <c r="AX1097" s="5" t="n"/>
      <c r="AY1097" s="5" t="n"/>
      <c r="AZ1097" s="5" t="n"/>
      <c r="BA1097" s="5" t="n"/>
      <c r="BB1097" s="5" t="n"/>
      <c r="BC1097" s="92">
        <f>IF($E1097="","",NETWORKDAYS($E1097,Controls!$B$9,Ref!$F$4:$F$47))</f>
        <v/>
      </c>
      <c r="BD1097" s="92">
        <f>IF(OR($AH1097=1,$AJ1097=1),1,0)</f>
        <v/>
      </c>
      <c r="BE1097" s="95">
        <f>IF(OR($BD1097=1,AND($AE1097&lt;&gt;"",$BC1097&gt;=Controls!$B$10*$AE1097)),1,0)</f>
        <v/>
      </c>
    </row>
    <row r="1098" ht="30" customHeight="1" s="79">
      <c r="A1098" s="6" t="inlineStr">
        <is>
          <t>AZ</t>
        </is>
      </c>
      <c r="B1098" s="5" t="inlineStr">
        <is>
          <t>Quarter</t>
        </is>
      </c>
      <c r="C1098" s="74">
        <f>IF(E2="","",TEXT(E2,"YYYY")&amp;"-Q"&amp;ROUNDUP(MONTH(E2)/3,0))</f>
        <v/>
      </c>
      <c r="D1098" s="75" t="inlineStr">
        <is>
          <t>Funding quarter.</t>
        </is>
      </c>
      <c r="E1098" s="5" t="n"/>
      <c r="F1098" s="5" t="n"/>
      <c r="G1098" s="5" t="n"/>
      <c r="H1098" s="5" t="n"/>
      <c r="I1098" s="5" t="n"/>
      <c r="J1098" s="5" t="n"/>
      <c r="K1098" s="5" t="n"/>
      <c r="L1098" s="5" t="n"/>
      <c r="M1098" s="5" t="n"/>
      <c r="N1098" s="5" t="n"/>
      <c r="O1098" s="5" t="n"/>
      <c r="P1098" s="5" t="n"/>
      <c r="Q1098" s="5" t="n"/>
      <c r="R1098" s="5" t="n"/>
      <c r="S1098" s="5" t="n"/>
      <c r="T1098" s="5" t="n"/>
      <c r="U1098" s="5" t="n"/>
      <c r="V1098" s="5" t="n"/>
      <c r="W1098" s="5" t="n"/>
      <c r="X1098" s="5" t="n"/>
      <c r="Y1098" s="5" t="n"/>
      <c r="Z1098" s="5" t="n"/>
      <c r="AA1098" s="5" t="n"/>
      <c r="AB1098" s="5" t="n"/>
      <c r="AC1098" s="5" t="n"/>
      <c r="AD1098" s="5" t="n"/>
      <c r="AE1098" s="5" t="n"/>
      <c r="AF1098" s="5" t="n"/>
      <c r="AG1098" s="5" t="n"/>
      <c r="AH1098" s="5" t="n"/>
      <c r="AI1098" s="5" t="n"/>
      <c r="AJ1098" s="5" t="n"/>
      <c r="AK1098" s="92">
        <f>IF(AND($E1098&gt;=Controls!$B$5,$E1098&lt;=Controls!$B$6,OR(Controls!$E$9&lt;&gt;"Y",$BE1098=1)),1,0)</f>
        <v/>
      </c>
      <c r="AL1098" s="5" t="n"/>
      <c r="AM1098" s="5" t="n"/>
      <c r="AN1098" s="5" t="n"/>
      <c r="AO1098" s="5" t="n"/>
      <c r="AP1098" s="5" t="n"/>
      <c r="AQ1098" s="5" t="n"/>
      <c r="AR1098" s="5" t="n"/>
      <c r="AS1098" s="5" t="n"/>
      <c r="AT1098" s="5" t="n"/>
      <c r="AU1098" s="5" t="n"/>
      <c r="AV1098" s="5" t="n"/>
      <c r="AW1098" s="5" t="n"/>
      <c r="AX1098" s="5" t="n"/>
      <c r="AY1098" s="5" t="n"/>
      <c r="AZ1098" s="5" t="n"/>
      <c r="BA1098" s="5" t="n"/>
      <c r="BB1098" s="5" t="n"/>
      <c r="BC1098" s="92">
        <f>IF($E1098="","",NETWORKDAYS($E1098,Controls!$B$9,Ref!$F$4:$F$47))</f>
        <v/>
      </c>
      <c r="BD1098" s="92">
        <f>IF(OR($AH1098=1,$AJ1098=1),1,0)</f>
        <v/>
      </c>
      <c r="BE1098" s="95">
        <f>IF(OR($BD1098=1,AND($AE1098&lt;&gt;"",$BC1098&gt;=Controls!$B$10*$AE1098)),1,0)</f>
        <v/>
      </c>
    </row>
    <row r="1099" ht="30" customHeight="1" s="79">
      <c r="A1099" s="6" t="inlineStr">
        <is>
          <t>BA</t>
        </is>
      </c>
      <c r="B1099" s="5" t="inlineStr">
        <is>
          <t>Month</t>
        </is>
      </c>
      <c r="C1099" s="74">
        <f>IF(E2="","",TEXT(E2,"YYYY-MM"))</f>
        <v/>
      </c>
      <c r="D1099" s="75" t="inlineStr">
        <is>
          <t>Funding month.</t>
        </is>
      </c>
      <c r="E1099" s="5" t="n"/>
      <c r="F1099" s="5" t="n"/>
      <c r="G1099" s="5" t="n"/>
      <c r="H1099" s="5" t="n"/>
      <c r="I1099" s="5" t="n"/>
      <c r="J1099" s="5" t="n"/>
      <c r="K1099" s="5" t="n"/>
      <c r="L1099" s="5" t="n"/>
      <c r="M1099" s="5" t="n"/>
      <c r="N1099" s="5" t="n"/>
      <c r="O1099" s="5" t="n"/>
      <c r="P1099" s="5" t="n"/>
      <c r="Q1099" s="5" t="n"/>
      <c r="R1099" s="5" t="n"/>
      <c r="S1099" s="5" t="n"/>
      <c r="T1099" s="5" t="n"/>
      <c r="U1099" s="5" t="n"/>
      <c r="V1099" s="5" t="n"/>
      <c r="W1099" s="5" t="n"/>
      <c r="X1099" s="5" t="n"/>
      <c r="Y1099" s="5" t="n"/>
      <c r="Z1099" s="5" t="n"/>
      <c r="AA1099" s="5" t="n"/>
      <c r="AB1099" s="5" t="n"/>
      <c r="AC1099" s="5" t="n"/>
      <c r="AD1099" s="5" t="n"/>
      <c r="AE1099" s="5" t="n"/>
      <c r="AF1099" s="5" t="n"/>
      <c r="AG1099" s="5" t="n"/>
      <c r="AH1099" s="5" t="n"/>
      <c r="AI1099" s="5" t="n"/>
      <c r="AJ1099" s="5" t="n"/>
      <c r="AK1099" s="92">
        <f>IF(AND($E1099&gt;=Controls!$B$5,$E1099&lt;=Controls!$B$6,OR(Controls!$E$9&lt;&gt;"Y",$BE1099=1)),1,0)</f>
        <v/>
      </c>
      <c r="AL1099" s="5" t="n"/>
      <c r="AM1099" s="5" t="n"/>
      <c r="AN1099" s="5" t="n"/>
      <c r="AO1099" s="5" t="n"/>
      <c r="AP1099" s="5" t="n"/>
      <c r="AQ1099" s="5" t="n"/>
      <c r="AR1099" s="5" t="n"/>
      <c r="AS1099" s="5" t="n"/>
      <c r="AT1099" s="5" t="n"/>
      <c r="AU1099" s="5" t="n"/>
      <c r="AV1099" s="5" t="n"/>
      <c r="AW1099" s="5" t="n"/>
      <c r="AX1099" s="5" t="n"/>
      <c r="AY1099" s="5" t="n"/>
      <c r="AZ1099" s="5" t="n"/>
      <c r="BA1099" s="5" t="n"/>
      <c r="BB1099" s="5" t="n"/>
      <c r="BC1099" s="92">
        <f>IF($E1099="","",NETWORKDAYS($E1099,Controls!$B$9,Ref!$F$4:$F$47))</f>
        <v/>
      </c>
      <c r="BD1099" s="92">
        <f>IF(OR($AH1099=1,$AJ1099=1),1,0)</f>
        <v/>
      </c>
      <c r="BE1099" s="95">
        <f>IF(OR($BD1099=1,AND($AE1099&lt;&gt;"",$BC1099&gt;=Controls!$B$10*$AE1099)),1,0)</f>
        <v/>
      </c>
    </row>
    <row r="1100" ht="30" customHeight="1" s="79">
      <c r="A1100" s="6" t="inlineStr">
        <is>
          <t>BB</t>
        </is>
      </c>
      <c r="B1100" s="5" t="inlineStr">
        <is>
          <t>Year</t>
        </is>
      </c>
      <c r="C1100" s="74">
        <f>IF(E2="","",TEXT(E2,"YYYY"))</f>
        <v/>
      </c>
      <c r="D1100" s="75" t="inlineStr">
        <is>
          <t>Funding year.</t>
        </is>
      </c>
      <c r="E1100" s="5" t="n"/>
      <c r="F1100" s="5" t="n"/>
      <c r="G1100" s="5" t="n"/>
      <c r="H1100" s="5" t="n"/>
      <c r="I1100" s="5" t="n"/>
      <c r="J1100" s="5" t="n"/>
      <c r="K1100" s="5" t="n"/>
      <c r="L1100" s="5" t="n"/>
      <c r="M1100" s="5" t="n"/>
      <c r="N1100" s="5" t="n"/>
      <c r="O1100" s="5" t="n"/>
      <c r="P1100" s="5" t="n"/>
      <c r="Q1100" s="5" t="n"/>
      <c r="R1100" s="5" t="n"/>
      <c r="S1100" s="5" t="n"/>
      <c r="T1100" s="5" t="n"/>
      <c r="U1100" s="5" t="n"/>
      <c r="V1100" s="5" t="n"/>
      <c r="W1100" s="5" t="n"/>
      <c r="X1100" s="5" t="n"/>
      <c r="Y1100" s="5" t="n"/>
      <c r="Z1100" s="5" t="n"/>
      <c r="AA1100" s="5" t="n"/>
      <c r="AB1100" s="5" t="n"/>
      <c r="AC1100" s="5" t="n"/>
      <c r="AD1100" s="5" t="n"/>
      <c r="AE1100" s="5" t="n"/>
      <c r="AF1100" s="5" t="n"/>
      <c r="AG1100" s="5" t="n"/>
      <c r="AH1100" s="5" t="n"/>
      <c r="AI1100" s="5" t="n"/>
      <c r="AJ1100" s="5" t="n"/>
      <c r="AK1100" s="92">
        <f>IF(AND($E1100&gt;=Controls!$B$5,$E1100&lt;=Controls!$B$6,OR(Controls!$E$9&lt;&gt;"Y",$BE1100=1)),1,0)</f>
        <v/>
      </c>
      <c r="AL1100" s="5" t="n"/>
      <c r="AM1100" s="5" t="n"/>
      <c r="AN1100" s="5" t="n"/>
      <c r="AO1100" s="5" t="n"/>
      <c r="AP1100" s="5" t="n"/>
      <c r="AQ1100" s="5" t="n"/>
      <c r="AR1100" s="5" t="n"/>
      <c r="AS1100" s="5" t="n"/>
      <c r="AT1100" s="5" t="n"/>
      <c r="AU1100" s="5" t="n"/>
      <c r="AV1100" s="5" t="n"/>
      <c r="AW1100" s="5" t="n"/>
      <c r="AX1100" s="5" t="n"/>
      <c r="AY1100" s="5" t="n"/>
      <c r="AZ1100" s="5" t="n"/>
      <c r="BA1100" s="5" t="n"/>
      <c r="BB1100" s="5" t="n"/>
      <c r="BC1100" s="92">
        <f>IF($E1100="","",NETWORKDAYS($E1100,Controls!$B$9,Ref!$F$4:$F$47))</f>
        <v/>
      </c>
      <c r="BD1100" s="92">
        <f>IF(OR($AH1100=1,$AJ1100=1),1,0)</f>
        <v/>
      </c>
      <c r="BE1100" s="95">
        <f>IF(OR($BD1100=1,AND($AE1100&lt;&gt;"",$BC1100&gt;=Controls!$B$10*$AE1100)),1,0)</f>
        <v/>
      </c>
    </row>
    <row r="1101" ht="30" customHeight="1" s="79">
      <c r="A1101" s="6" t="inlineStr">
        <is>
          <t>BC</t>
        </is>
      </c>
      <c r="B1101" s="5" t="inlineStr">
        <is>
          <t>Term bucket (scenario)</t>
        </is>
      </c>
      <c r="C1101" s="74">
        <f>IF(AE2="","",IF(AE2&lt;=65,"0-65 bd",IF(AE2&lt;=90,"66-90 bd",IF(AE2&lt;=120,"91-120 bd","121+ bd"))))</f>
        <v/>
      </c>
      <c r="D1101" s="78" t="inlineStr">
        <is>
          <t>Contracted business days, cut at 65 / 90 / 120 to match the term x factor evidence table.</t>
        </is>
      </c>
      <c r="E1101" s="5" t="n"/>
      <c r="F1101" s="5" t="n"/>
      <c r="G1101" s="5" t="n"/>
      <c r="H1101" s="5" t="n"/>
      <c r="I1101" s="5" t="n"/>
      <c r="J1101" s="5" t="n"/>
      <c r="K1101" s="5" t="n"/>
      <c r="L1101" s="5" t="n"/>
      <c r="M1101" s="5" t="n"/>
      <c r="N1101" s="5" t="n"/>
      <c r="O1101" s="5" t="n"/>
      <c r="P1101" s="5" t="n"/>
      <c r="Q1101" s="5" t="n"/>
      <c r="R1101" s="5" t="n"/>
      <c r="S1101" s="5" t="n"/>
      <c r="T1101" s="5" t="n"/>
      <c r="U1101" s="5" t="n"/>
      <c r="V1101" s="5" t="n"/>
      <c r="W1101" s="5" t="n"/>
      <c r="X1101" s="5" t="n"/>
      <c r="Y1101" s="5" t="n"/>
      <c r="Z1101" s="5" t="n"/>
      <c r="AA1101" s="5" t="n"/>
      <c r="AB1101" s="5" t="n"/>
      <c r="AC1101" s="5" t="n"/>
      <c r="AD1101" s="5" t="n"/>
      <c r="AE1101" s="5" t="n"/>
      <c r="AF1101" s="5" t="n"/>
      <c r="AG1101" s="5" t="n"/>
      <c r="AH1101" s="5" t="n"/>
      <c r="AI1101" s="5" t="n"/>
      <c r="AJ1101" s="5" t="n"/>
      <c r="AK1101" s="92">
        <f>IF(AND($E1101&gt;=Controls!$B$5,$E1101&lt;=Controls!$B$6,OR(Controls!$E$9&lt;&gt;"Y",$BE1101=1)),1,0)</f>
        <v/>
      </c>
      <c r="AL1101" s="5" t="n"/>
      <c r="AM1101" s="5" t="n"/>
      <c r="AN1101" s="5" t="n"/>
      <c r="AO1101" s="5" t="n"/>
      <c r="AP1101" s="5" t="n"/>
      <c r="AQ1101" s="5" t="n"/>
      <c r="AR1101" s="5" t="n"/>
      <c r="AS1101" s="5" t="n"/>
      <c r="AT1101" s="5" t="n"/>
      <c r="AU1101" s="5" t="n"/>
      <c r="AV1101" s="5" t="n"/>
      <c r="AW1101" s="5" t="n"/>
      <c r="AX1101" s="5" t="n"/>
      <c r="AY1101" s="5" t="n"/>
      <c r="AZ1101" s="5" t="n"/>
      <c r="BA1101" s="5" t="n"/>
      <c r="BB1101" s="5" t="n"/>
      <c r="BC1101" s="92">
        <f>IF($E1101="","",NETWORKDAYS($E1101,Controls!$B$9,Ref!$F$4:$F$47))</f>
        <v/>
      </c>
      <c r="BD1101" s="92">
        <f>IF(OR($AH1101=1,$AJ1101=1),1,0)</f>
        <v/>
      </c>
      <c r="BE1101" s="95">
        <f>IF(OR($BD1101=1,AND($AE1101&lt;&gt;"",$BC1101&gt;=Controls!$B$10*$AE1101)),1,0)</f>
        <v/>
      </c>
    </row>
    <row r="1102" ht="30" customHeight="1" s="79">
      <c r="A1102" s="6" t="inlineStr">
        <is>
          <t>BD</t>
        </is>
      </c>
      <c r="B1102" s="5" t="inlineStr">
        <is>
          <t>Factor bucket (scenario)</t>
        </is>
      </c>
      <c r="C1102" s="74">
        <f>IF(O2&lt;1.45,"Under 1.45",IF(O2&lt;1.5,"1.45-1.49","1.50+"))</f>
        <v/>
      </c>
      <c r="D1102" s="78" t="inlineStr">
        <is>
          <t>Factor cut at 1.45 and 1.50. 1.50+ holds 25 deals in total - never a basis for a rule.</t>
        </is>
      </c>
      <c r="E1102" s="5" t="n"/>
      <c r="F1102" s="5" t="n"/>
      <c r="G1102" s="5" t="n"/>
      <c r="H1102" s="5" t="n"/>
      <c r="I1102" s="5" t="n"/>
      <c r="J1102" s="5" t="n"/>
      <c r="K1102" s="5" t="n"/>
      <c r="L1102" s="5" t="n"/>
      <c r="M1102" s="5" t="n"/>
      <c r="N1102" s="5" t="n"/>
      <c r="O1102" s="5" t="n"/>
      <c r="P1102" s="5" t="n"/>
      <c r="Q1102" s="5" t="n"/>
      <c r="R1102" s="5" t="n"/>
      <c r="S1102" s="5" t="n"/>
      <c r="T1102" s="5" t="n"/>
      <c r="U1102" s="5" t="n"/>
      <c r="V1102" s="5" t="n"/>
      <c r="W1102" s="5" t="n"/>
      <c r="X1102" s="5" t="n"/>
      <c r="Y1102" s="5" t="n"/>
      <c r="Z1102" s="5" t="n"/>
      <c r="AA1102" s="5" t="n"/>
      <c r="AB1102" s="5" t="n"/>
      <c r="AC1102" s="5" t="n"/>
      <c r="AD1102" s="5" t="n"/>
      <c r="AE1102" s="5" t="n"/>
      <c r="AF1102" s="5" t="n"/>
      <c r="AG1102" s="5" t="n"/>
      <c r="AH1102" s="5" t="n"/>
      <c r="AI1102" s="5" t="n"/>
      <c r="AJ1102" s="5" t="n"/>
      <c r="AK1102" s="92">
        <f>IF(AND($E1102&gt;=Controls!$B$5,$E1102&lt;=Controls!$B$6,OR(Controls!$E$9&lt;&gt;"Y",$BE1102=1)),1,0)</f>
        <v/>
      </c>
      <c r="AL1102" s="5" t="n"/>
      <c r="AM1102" s="5" t="n"/>
      <c r="AN1102" s="5" t="n"/>
      <c r="AO1102" s="5" t="n"/>
      <c r="AP1102" s="5" t="n"/>
      <c r="AQ1102" s="5" t="n"/>
      <c r="AR1102" s="5" t="n"/>
      <c r="AS1102" s="5" t="n"/>
      <c r="AT1102" s="5" t="n"/>
      <c r="AU1102" s="5" t="n"/>
      <c r="AV1102" s="5" t="n"/>
      <c r="AW1102" s="5" t="n"/>
      <c r="AX1102" s="5" t="n"/>
      <c r="AY1102" s="5" t="n"/>
      <c r="AZ1102" s="5" t="n"/>
      <c r="BA1102" s="5" t="n"/>
      <c r="BB1102" s="5" t="n"/>
      <c r="BC1102" s="92">
        <f>IF($E1102="","",NETWORKDAYS($E1102,Controls!$B$9,Ref!$F$4:$F$47))</f>
        <v/>
      </c>
      <c r="BD1102" s="92">
        <f>IF(OR($AH1102=1,$AJ1102=1),1,0)</f>
        <v/>
      </c>
      <c r="BE1102" s="95">
        <f>IF(OR($BD1102=1,AND($AE1102&lt;&gt;"",$BC1102&gt;=Controls!$B$10*$AE1102)),1,0)</f>
        <v/>
      </c>
    </row>
    <row r="1103" ht="45.75" customHeight="1" s="79">
      <c r="A1103" s="6" t="inlineStr">
        <is>
          <t>BJ</t>
        </is>
      </c>
      <c r="B1103" s="5" t="inlineStr">
        <is>
          <t>Collected - conservative</t>
        </is>
      </c>
      <c r="C1103" s="76">
        <f>IF(P2="","",MIN(S2,BI2))</f>
        <v/>
      </c>
      <c r="D1103" s="78" t="inlineStr">
        <is>
          <t>Collected dollars stay as they were, capped at the new payback. A higher factor improves nothing on a deal that went bad.</t>
        </is>
      </c>
      <c r="E1103" s="5" t="n"/>
      <c r="F1103" s="5" t="n"/>
      <c r="G1103" s="5" t="n"/>
      <c r="H1103" s="5" t="n"/>
      <c r="I1103" s="5" t="n"/>
      <c r="J1103" s="5" t="n"/>
      <c r="K1103" s="5" t="n"/>
      <c r="L1103" s="5" t="n"/>
      <c r="M1103" s="5" t="n"/>
      <c r="N1103" s="5" t="n"/>
      <c r="O1103" s="5" t="n"/>
      <c r="P1103" s="5" t="n"/>
      <c r="Q1103" s="5" t="n"/>
      <c r="R1103" s="5" t="n"/>
      <c r="S1103" s="5" t="n"/>
      <c r="T1103" s="5" t="n"/>
      <c r="U1103" s="5" t="n"/>
      <c r="V1103" s="5" t="n"/>
      <c r="W1103" s="5" t="n"/>
      <c r="X1103" s="5" t="n"/>
      <c r="Y1103" s="5" t="n"/>
      <c r="Z1103" s="5" t="n"/>
      <c r="AA1103" s="5" t="n"/>
      <c r="AB1103" s="5" t="n"/>
      <c r="AC1103" s="5" t="n"/>
      <c r="AD1103" s="5" t="n"/>
      <c r="AE1103" s="5" t="n"/>
      <c r="AF1103" s="5" t="n"/>
      <c r="AG1103" s="5" t="n"/>
      <c r="AH1103" s="5" t="n"/>
      <c r="AI1103" s="5" t="n"/>
      <c r="AJ1103" s="5" t="n"/>
      <c r="AK1103" s="92">
        <f>IF(AND($E1103&gt;=Controls!$B$5,$E1103&lt;=Controls!$B$6,OR(Controls!$E$9&lt;&gt;"Y",$BE1103=1)),1,0)</f>
        <v/>
      </c>
      <c r="AL1103" s="5" t="n"/>
      <c r="AM1103" s="5" t="n"/>
      <c r="AN1103" s="5" t="n"/>
      <c r="AO1103" s="5" t="n"/>
      <c r="AP1103" s="5" t="n"/>
      <c r="AQ1103" s="5" t="n"/>
      <c r="AR1103" s="5" t="n"/>
      <c r="AS1103" s="5" t="n"/>
      <c r="AT1103" s="5" t="n"/>
      <c r="AU1103" s="5" t="n"/>
      <c r="AV1103" s="5" t="n"/>
      <c r="AW1103" s="5" t="n"/>
      <c r="AX1103" s="5" t="n"/>
      <c r="AY1103" s="5" t="n"/>
      <c r="AZ1103" s="5" t="n"/>
      <c r="BA1103" s="5" t="n"/>
      <c r="BB1103" s="5" t="n"/>
      <c r="BC1103" s="92">
        <f>IF($E1103="","",NETWORKDAYS($E1103,Controls!$B$9,Ref!$F$4:$F$47))</f>
        <v/>
      </c>
      <c r="BD1103" s="92">
        <f>IF(OR($AH1103=1,$AJ1103=1),1,0)</f>
        <v/>
      </c>
      <c r="BE1103" s="95">
        <f>IF(OR($BD1103=1,AND($AE1103&lt;&gt;"",$BC1103&gt;=Controls!$B$10*$AE1103)),1,0)</f>
        <v/>
      </c>
    </row>
    <row r="1104" ht="57" customHeight="1" s="79">
      <c r="A1104" s="6" t="inlineStr">
        <is>
          <t>BK</t>
        </is>
      </c>
      <c r="B1104" s="5" t="inlineStr">
        <is>
          <t>Collected - optimistic</t>
        </is>
      </c>
      <c r="C1104" s="74">
        <f>IF(OR(P2="",R2=0),"",MIN(BI2,BI2*S2/R2))</f>
        <v/>
      </c>
      <c r="D1104" s="78" t="inlineStr">
        <is>
          <t>Share of contracted payback collected stays as it was, applied to the new payback. Collections scale with the factor.</t>
        </is>
      </c>
      <c r="E1104" s="5" t="n"/>
      <c r="F1104" s="5" t="n"/>
      <c r="G1104" s="5" t="n"/>
      <c r="H1104" s="5" t="n"/>
      <c r="I1104" s="5" t="n"/>
      <c r="J1104" s="5" t="n"/>
      <c r="K1104" s="5" t="n"/>
      <c r="L1104" s="5" t="n"/>
      <c r="M1104" s="5" t="n"/>
      <c r="N1104" s="5" t="n"/>
      <c r="O1104" s="5" t="n"/>
      <c r="P1104" s="5" t="n"/>
      <c r="Q1104" s="5" t="n"/>
      <c r="R1104" s="5" t="n"/>
      <c r="S1104" s="5" t="n"/>
      <c r="T1104" s="5" t="n"/>
      <c r="U1104" s="5" t="n"/>
      <c r="V1104" s="5" t="n"/>
      <c r="W1104" s="5" t="n"/>
      <c r="X1104" s="5" t="n"/>
      <c r="Y1104" s="5" t="n"/>
      <c r="Z1104" s="5" t="n"/>
      <c r="AA1104" s="5" t="n"/>
      <c r="AB1104" s="5" t="n"/>
      <c r="AC1104" s="5" t="n"/>
      <c r="AD1104" s="5" t="n"/>
      <c r="AE1104" s="5" t="n"/>
      <c r="AF1104" s="5" t="n"/>
      <c r="AG1104" s="5" t="n"/>
      <c r="AH1104" s="5" t="n"/>
      <c r="AI1104" s="5" t="n"/>
      <c r="AJ1104" s="5" t="n"/>
      <c r="AK1104" s="92">
        <f>IF(AND($E1104&gt;=Controls!$B$5,$E1104&lt;=Controls!$B$6,OR(Controls!$E$9&lt;&gt;"Y",$BE1104=1)),1,0)</f>
        <v/>
      </c>
      <c r="AL1104" s="5" t="n"/>
      <c r="AM1104" s="5" t="n"/>
      <c r="AN1104" s="5" t="n"/>
      <c r="AO1104" s="5" t="n"/>
      <c r="AP1104" s="5" t="n"/>
      <c r="AQ1104" s="5" t="n"/>
      <c r="AR1104" s="5" t="n"/>
      <c r="AS1104" s="5" t="n"/>
      <c r="AT1104" s="5" t="n"/>
      <c r="AU1104" s="5" t="n"/>
      <c r="AV1104" s="5" t="n"/>
      <c r="AW1104" s="5" t="n"/>
      <c r="AX1104" s="5" t="n"/>
      <c r="AY1104" s="5" t="n"/>
      <c r="AZ1104" s="5" t="n"/>
      <c r="BA1104" s="5" t="n"/>
      <c r="BB1104" s="5" t="n"/>
      <c r="BC1104" s="92">
        <f>IF($E1104="","",NETWORKDAYS($E1104,Controls!$B$9,Ref!$F$4:$F$47))</f>
        <v/>
      </c>
      <c r="BD1104" s="92">
        <f>IF(OR($AH1104=1,$AJ1104=1),1,0)</f>
        <v/>
      </c>
      <c r="BE1104" s="95">
        <f>IF(OR($BD1104=1,AND($AE1104&lt;&gt;"",$BC1104&gt;=Controls!$B$10*$AE1104)),1,0)</f>
        <v/>
      </c>
    </row>
    <row r="1105" ht="45.75" customHeight="1" s="79">
      <c r="A1105" s="6" t="inlineStr">
        <is>
          <t>BM</t>
        </is>
      </c>
      <c r="B1105" s="5" t="inlineStr">
        <is>
          <t>Meets suggested box</t>
        </is>
      </c>
      <c r="C1105" s="74">
        <f>IF(AND(AK2=1,OR(G2&lt;&gt;3,N2="Renewal")),1,0)</f>
        <v/>
      </c>
      <c r="D1105" s="78" t="inlineStr">
        <is>
          <t>The 2C recommendation, fixed: no 3rd-position deal unless it is a renewal. Static by design.</t>
        </is>
      </c>
      <c r="E1105" s="5" t="n"/>
      <c r="F1105" s="5" t="n"/>
      <c r="G1105" s="5" t="n"/>
      <c r="H1105" s="5" t="n"/>
      <c r="I1105" s="5" t="n"/>
      <c r="J1105" s="5" t="n"/>
      <c r="K1105" s="5" t="n"/>
      <c r="L1105" s="5" t="n"/>
      <c r="M1105" s="5" t="n"/>
      <c r="N1105" s="5" t="n"/>
      <c r="O1105" s="5" t="n"/>
      <c r="P1105" s="5" t="n"/>
      <c r="Q1105" s="5" t="n"/>
      <c r="R1105" s="5" t="n"/>
      <c r="S1105" s="5" t="n"/>
      <c r="T1105" s="5" t="n"/>
      <c r="U1105" s="5" t="n"/>
      <c r="V1105" s="5" t="n"/>
      <c r="W1105" s="5" t="n"/>
      <c r="X1105" s="5" t="n"/>
      <c r="Y1105" s="5" t="n"/>
      <c r="Z1105" s="5" t="n"/>
      <c r="AA1105" s="5" t="n"/>
      <c r="AB1105" s="5" t="n"/>
      <c r="AC1105" s="5" t="n"/>
      <c r="AD1105" s="5" t="n"/>
      <c r="AE1105" s="5" t="n"/>
      <c r="AF1105" s="5" t="n"/>
      <c r="AG1105" s="5" t="n"/>
      <c r="AH1105" s="5" t="n"/>
      <c r="AI1105" s="5" t="n"/>
      <c r="AJ1105" s="5" t="n"/>
      <c r="AK1105" s="92">
        <f>IF(AND($E1105&gt;=Controls!$B$5,$E1105&lt;=Controls!$B$6,OR(Controls!$E$9&lt;&gt;"Y",$BE1105=1)),1,0)</f>
        <v/>
      </c>
      <c r="AL1105" s="5" t="n"/>
      <c r="AM1105" s="5" t="n"/>
      <c r="AN1105" s="5" t="n"/>
      <c r="AO1105" s="5" t="n"/>
      <c r="AP1105" s="5" t="n"/>
      <c r="AQ1105" s="5" t="n"/>
      <c r="AR1105" s="5" t="n"/>
      <c r="AS1105" s="5" t="n"/>
      <c r="AT1105" s="5" t="n"/>
      <c r="AU1105" s="5" t="n"/>
      <c r="AV1105" s="5" t="n"/>
      <c r="AW1105" s="5" t="n"/>
      <c r="AX1105" s="5" t="n"/>
      <c r="AY1105" s="5" t="n"/>
      <c r="AZ1105" s="5" t="n"/>
      <c r="BA1105" s="5" t="n"/>
      <c r="BB1105" s="5" t="n"/>
      <c r="BC1105" s="92">
        <f>IF($E1105="","",NETWORKDAYS($E1105,Controls!$B$9,Ref!$F$4:$F$47))</f>
        <v/>
      </c>
      <c r="BD1105" s="92">
        <f>IF(OR($AH1105=1,$AJ1105=1),1,0)</f>
        <v/>
      </c>
      <c r="BE1105" s="95">
        <f>IF(OR($BD1105=1,AND($AE1105&lt;&gt;"",$BC1105&gt;=Controls!$B$10*$AE1105)),1,0)</f>
        <v/>
      </c>
    </row>
    <row r="1106" ht="45.75" customHeight="1" s="79">
      <c r="A1106" s="5" t="n"/>
      <c r="B1106" s="5" t="n"/>
      <c r="C1106" s="5" t="n"/>
      <c r="D1106" s="5" t="n"/>
      <c r="E1106" s="5" t="n"/>
      <c r="F1106" s="5" t="n"/>
      <c r="G1106" s="5" t="n"/>
      <c r="H1106" s="5" t="n"/>
      <c r="I1106" s="5" t="n"/>
      <c r="J1106" s="5" t="n"/>
      <c r="K1106" s="5" t="n"/>
      <c r="L1106" s="5" t="n"/>
      <c r="M1106" s="5" t="n"/>
      <c r="N1106" s="5" t="n"/>
      <c r="O1106" s="5" t="n"/>
      <c r="P1106" s="5" t="n"/>
      <c r="Q1106" s="5" t="n"/>
      <c r="R1106" s="5" t="n"/>
      <c r="S1106" s="5" t="n"/>
      <c r="T1106" s="5" t="n"/>
      <c r="U1106" s="5" t="n"/>
      <c r="V1106" s="5" t="n"/>
      <c r="W1106" s="5" t="n"/>
      <c r="X1106" s="5" t="n"/>
      <c r="Y1106" s="5" t="n"/>
      <c r="Z1106" s="5" t="n"/>
      <c r="AA1106" s="5" t="n"/>
      <c r="AB1106" s="5" t="n"/>
      <c r="AC1106" s="5" t="n"/>
      <c r="AD1106" s="5" t="n"/>
      <c r="AE1106" s="5" t="n"/>
      <c r="AF1106" s="5" t="n"/>
      <c r="AG1106" s="5" t="n"/>
      <c r="AH1106" s="5" t="n"/>
      <c r="AI1106" s="5" t="n"/>
      <c r="AJ1106" s="5" t="n"/>
      <c r="AK1106" s="5" t="n"/>
      <c r="AL1106" s="5" t="n"/>
      <c r="AM1106" s="5" t="n"/>
      <c r="AN1106" s="5" t="n"/>
      <c r="AO1106" s="5" t="n"/>
      <c r="AP1106" s="5" t="n"/>
      <c r="AQ1106" s="5" t="n"/>
      <c r="AR1106" s="5" t="n"/>
      <c r="AS1106" s="5" t="n"/>
      <c r="AT1106" s="5" t="n"/>
      <c r="AU1106" s="5" t="n"/>
      <c r="AV1106" s="5" t="n"/>
      <c r="AW1106" s="5" t="n"/>
      <c r="AX1106" s="5" t="n"/>
      <c r="AY1106" s="5" t="n"/>
      <c r="AZ1106" s="5" t="n"/>
      <c r="BA1106" s="5" t="n"/>
      <c r="BB1106" s="5" t="n"/>
      <c r="BC1106" s="5" t="n"/>
      <c r="BD1106" s="5" t="n"/>
    </row>
    <row r="1107" ht="23.25" customHeight="1" s="79">
      <c r="A1107" s="5" t="n"/>
      <c r="B1107" s="5" t="n"/>
      <c r="C1107" s="5" t="n"/>
      <c r="D1107" s="5" t="n"/>
      <c r="E1107" s="5" t="n"/>
      <c r="F1107" s="5" t="n"/>
      <c r="G1107" s="5" t="n"/>
      <c r="H1107" s="5" t="n"/>
      <c r="I1107" s="5" t="n"/>
      <c r="J1107" s="5" t="n"/>
      <c r="K1107" s="5" t="n"/>
      <c r="L1107" s="5" t="n"/>
      <c r="M1107" s="5" t="n"/>
      <c r="N1107" s="5" t="n"/>
      <c r="O1107" s="5" t="n"/>
      <c r="P1107" s="5" t="n"/>
      <c r="Q1107" s="5" t="n"/>
      <c r="R1107" s="5" t="n"/>
      <c r="S1107" s="5" t="n"/>
      <c r="T1107" s="5" t="n"/>
      <c r="U1107" s="5" t="n"/>
      <c r="V1107" s="5" t="n"/>
      <c r="W1107" s="5" t="n"/>
      <c r="X1107" s="5" t="n"/>
      <c r="Y1107" s="5" t="n"/>
      <c r="Z1107" s="5" t="n"/>
      <c r="AA1107" s="5" t="n"/>
      <c r="AB1107" s="5" t="n"/>
      <c r="AC1107" s="5" t="n"/>
      <c r="AD1107" s="5" t="n"/>
      <c r="AE1107" s="5" t="n"/>
      <c r="AF1107" s="5" t="n"/>
      <c r="AG1107" s="5" t="n"/>
      <c r="AH1107" s="5" t="n"/>
      <c r="AI1107" s="5" t="n"/>
      <c r="AJ1107" s="5" t="n"/>
      <c r="AK1107" s="5" t="n"/>
      <c r="AL1107" s="5" t="n"/>
      <c r="AM1107" s="5" t="n"/>
      <c r="AN1107" s="5" t="n"/>
      <c r="AO1107" s="5" t="n"/>
      <c r="AP1107" s="5" t="n"/>
      <c r="AQ1107" s="5" t="n"/>
      <c r="AR1107" s="5" t="n"/>
      <c r="AS1107" s="5" t="n"/>
      <c r="AT1107" s="5" t="n"/>
      <c r="AU1107" s="5" t="n"/>
      <c r="AV1107" s="5" t="n"/>
      <c r="AW1107" s="5" t="n"/>
      <c r="AX1107" s="5" t="n"/>
      <c r="AY1107" s="5" t="n"/>
      <c r="AZ1107" s="5" t="n"/>
      <c r="BA1107" s="5" t="n"/>
      <c r="BB1107" s="5" t="n"/>
      <c r="BC1107" s="5" t="n"/>
      <c r="BD1107" s="5" t="n"/>
    </row>
    <row r="1108" ht="57" customHeight="1" s="79">
      <c r="A1108" s="5" t="n"/>
      <c r="B1108" s="5" t="n"/>
      <c r="C1108" s="5" t="n"/>
      <c r="D1108" s="5" t="n"/>
      <c r="E1108" s="5" t="n"/>
      <c r="F1108" s="5" t="n"/>
      <c r="G1108" s="5" t="n"/>
      <c r="H1108" s="5" t="n"/>
      <c r="I1108" s="5" t="n"/>
      <c r="J1108" s="5" t="n"/>
      <c r="K1108" s="5" t="n"/>
      <c r="L1108" s="5" t="n"/>
      <c r="M1108" s="5" t="n"/>
      <c r="N1108" s="5" t="n"/>
      <c r="O1108" s="5" t="n"/>
      <c r="P1108" s="5" t="n"/>
      <c r="Q1108" s="5" t="n"/>
      <c r="R1108" s="5" t="n"/>
      <c r="S1108" s="5" t="n"/>
      <c r="T1108" s="5" t="n"/>
      <c r="U1108" s="5" t="n"/>
      <c r="V1108" s="5" t="n"/>
      <c r="W1108" s="5" t="n"/>
      <c r="X1108" s="5" t="n"/>
      <c r="Y1108" s="5" t="n"/>
      <c r="Z1108" s="5" t="n"/>
      <c r="AA1108" s="5" t="n"/>
      <c r="AB1108" s="5" t="n"/>
      <c r="AC1108" s="5" t="n"/>
      <c r="AD1108" s="5" t="n"/>
      <c r="AE1108" s="5" t="n"/>
      <c r="AF1108" s="5" t="n"/>
      <c r="AG1108" s="5" t="n"/>
      <c r="AH1108" s="5" t="n"/>
      <c r="AI1108" s="5" t="n"/>
      <c r="AJ1108" s="5" t="n"/>
      <c r="AK1108" s="5" t="n"/>
      <c r="AL1108" s="5" t="n"/>
      <c r="AM1108" s="5" t="n"/>
      <c r="AN1108" s="5" t="n"/>
      <c r="AO1108" s="5" t="n"/>
      <c r="AP1108" s="5" t="n"/>
      <c r="AQ1108" s="5" t="n"/>
      <c r="AR1108" s="5" t="n"/>
      <c r="AS1108" s="5" t="n"/>
      <c r="AT1108" s="5" t="n"/>
      <c r="AU1108" s="5" t="n"/>
      <c r="AV1108" s="5" t="n"/>
      <c r="AW1108" s="5" t="n"/>
      <c r="AX1108" s="5" t="n"/>
      <c r="AY1108" s="5" t="n"/>
      <c r="AZ1108" s="5" t="n"/>
      <c r="BA1108" s="5" t="n"/>
      <c r="BB1108" s="5" t="n"/>
      <c r="BC1108" s="5" t="n"/>
      <c r="BD1108" s="5" t="n"/>
    </row>
    <row r="1109" ht="57" customHeight="1" s="79">
      <c r="A1109" s="5" t="n"/>
      <c r="B1109" s="5" t="n"/>
      <c r="C1109" s="5" t="n"/>
      <c r="D1109" s="5" t="n"/>
      <c r="E1109" s="5" t="n"/>
      <c r="F1109" s="5" t="n"/>
      <c r="G1109" s="5" t="n"/>
      <c r="H1109" s="5" t="n"/>
      <c r="I1109" s="5" t="n"/>
      <c r="J1109" s="5" t="n"/>
      <c r="K1109" s="5" t="n"/>
      <c r="L1109" s="5" t="n"/>
      <c r="M1109" s="5" t="n"/>
      <c r="N1109" s="5" t="n"/>
      <c r="O1109" s="5" t="n"/>
      <c r="P1109" s="5" t="n"/>
      <c r="Q1109" s="5" t="n"/>
      <c r="R1109" s="5" t="n"/>
      <c r="S1109" s="5" t="n"/>
      <c r="T1109" s="5" t="n"/>
      <c r="U1109" s="5" t="n"/>
      <c r="V1109" s="5" t="n"/>
      <c r="W1109" s="5" t="n"/>
      <c r="X1109" s="5" t="n"/>
      <c r="Y1109" s="5" t="n"/>
      <c r="Z1109" s="5" t="n"/>
      <c r="AA1109" s="5" t="n"/>
      <c r="AB1109" s="5" t="n"/>
      <c r="AC1109" s="5" t="n"/>
      <c r="AD1109" s="5" t="n"/>
      <c r="AE1109" s="5" t="n"/>
      <c r="AF1109" s="5" t="n"/>
      <c r="AG1109" s="5" t="n"/>
      <c r="AH1109" s="5" t="n"/>
      <c r="AI1109" s="5" t="n"/>
      <c r="AJ1109" s="5" t="n"/>
      <c r="AK1109" s="5" t="n"/>
      <c r="AL1109" s="5" t="n"/>
      <c r="AM1109" s="5" t="n"/>
      <c r="AN1109" s="5" t="n"/>
      <c r="AO1109" s="5" t="n"/>
      <c r="AP1109" s="5" t="n"/>
      <c r="AQ1109" s="5" t="n"/>
      <c r="AR1109" s="5" t="n"/>
      <c r="AS1109" s="5" t="n"/>
      <c r="AT1109" s="5" t="n"/>
      <c r="AU1109" s="5" t="n"/>
      <c r="AV1109" s="5" t="n"/>
      <c r="AW1109" s="5" t="n"/>
      <c r="AX1109" s="5" t="n"/>
      <c r="AY1109" s="5" t="n"/>
      <c r="AZ1109" s="5" t="n"/>
      <c r="BA1109" s="5" t="n"/>
      <c r="BB1109" s="5" t="n"/>
      <c r="BC1109" s="5" t="n"/>
      <c r="BD1109" s="5" t="n"/>
    </row>
    <row r="1110" ht="79.5" customHeight="1" s="79">
      <c r="A1110" s="5" t="n"/>
      <c r="B1110" s="5" t="n"/>
      <c r="C1110" s="5" t="n"/>
      <c r="D1110" s="5" t="n"/>
      <c r="E1110" s="5" t="n"/>
      <c r="F1110" s="5" t="n"/>
      <c r="G1110" s="5" t="n"/>
      <c r="H1110" s="5" t="n"/>
      <c r="I1110" s="5" t="n"/>
      <c r="J1110" s="5" t="n"/>
      <c r="K1110" s="5" t="n"/>
      <c r="L1110" s="5" t="n"/>
      <c r="M1110" s="5" t="n"/>
      <c r="N1110" s="5" t="n"/>
      <c r="O1110" s="5" t="n"/>
      <c r="P1110" s="5" t="n"/>
      <c r="Q1110" s="5" t="n"/>
      <c r="R1110" s="5" t="n"/>
      <c r="S1110" s="5" t="n"/>
      <c r="T1110" s="5" t="n"/>
      <c r="U1110" s="5" t="n"/>
      <c r="V1110" s="5" t="n"/>
      <c r="W1110" s="5" t="n"/>
      <c r="X1110" s="5" t="n"/>
      <c r="Y1110" s="5" t="n"/>
      <c r="Z1110" s="5" t="n"/>
      <c r="AA1110" s="5" t="n"/>
      <c r="AB1110" s="5" t="n"/>
      <c r="AC1110" s="5" t="n"/>
      <c r="AD1110" s="5" t="n"/>
      <c r="AE1110" s="5" t="n"/>
      <c r="AF1110" s="5" t="n"/>
      <c r="AG1110" s="5" t="n"/>
      <c r="AH1110" s="5" t="n"/>
      <c r="AI1110" s="5" t="n"/>
      <c r="AJ1110" s="5" t="n"/>
      <c r="AK1110" s="5" t="n"/>
      <c r="AL1110" s="5" t="n"/>
      <c r="AM1110" s="5" t="n"/>
      <c r="AN1110" s="5" t="n"/>
      <c r="AO1110" s="5" t="n"/>
      <c r="AP1110" s="5" t="n"/>
      <c r="AQ1110" s="5" t="n"/>
      <c r="AR1110" s="5" t="n"/>
      <c r="AS1110" s="5" t="n"/>
      <c r="AT1110" s="5" t="n"/>
      <c r="AU1110" s="5" t="n"/>
      <c r="AV1110" s="5" t="n"/>
      <c r="AW1110" s="5" t="n"/>
      <c r="AX1110" s="5" t="n"/>
      <c r="AY1110" s="5" t="n"/>
      <c r="AZ1110" s="5" t="n"/>
      <c r="BA1110" s="5" t="n"/>
      <c r="BB1110" s="5" t="n"/>
      <c r="BC1110" s="5" t="n"/>
      <c r="BD1110" s="5" t="n"/>
    </row>
    <row r="1111" ht="45.75" customHeight="1" s="79">
      <c r="A1111" s="5" t="n"/>
      <c r="B1111" s="5" t="n"/>
      <c r="C1111" s="5" t="n"/>
      <c r="D1111" s="5" t="n"/>
      <c r="E1111" s="5" t="n"/>
      <c r="F1111" s="5" t="n"/>
      <c r="G1111" s="5" t="n"/>
      <c r="H1111" s="5" t="n"/>
      <c r="I1111" s="5" t="n"/>
      <c r="J1111" s="5" t="n"/>
      <c r="K1111" s="5" t="n"/>
      <c r="L1111" s="5" t="n"/>
      <c r="M1111" s="5" t="n"/>
      <c r="N1111" s="5" t="n"/>
      <c r="O1111" s="5" t="n"/>
      <c r="P1111" s="5" t="n"/>
      <c r="Q1111" s="5" t="n"/>
      <c r="R1111" s="5" t="n"/>
      <c r="S1111" s="5" t="n"/>
      <c r="T1111" s="5" t="n"/>
      <c r="U1111" s="5" t="n"/>
      <c r="V1111" s="5" t="n"/>
      <c r="W1111" s="5" t="n"/>
      <c r="X1111" s="5" t="n"/>
      <c r="Y1111" s="5" t="n"/>
      <c r="Z1111" s="5" t="n"/>
      <c r="AA1111" s="5" t="n"/>
      <c r="AB1111" s="5" t="n"/>
      <c r="AC1111" s="5" t="n"/>
      <c r="AD1111" s="5" t="n"/>
      <c r="AE1111" s="5" t="n"/>
      <c r="AF1111" s="5" t="n"/>
      <c r="AG1111" s="5" t="n"/>
      <c r="AH1111" s="5" t="n"/>
      <c r="AI1111" s="5" t="n"/>
      <c r="AJ1111" s="5" t="n"/>
      <c r="AK1111" s="5" t="n"/>
      <c r="AL1111" s="5" t="n"/>
      <c r="AM1111" s="5" t="n"/>
      <c r="AN1111" s="5" t="n"/>
      <c r="AO1111" s="5" t="n"/>
      <c r="AP1111" s="5" t="n"/>
      <c r="AQ1111" s="5" t="n"/>
      <c r="AR1111" s="5" t="n"/>
      <c r="AS1111" s="5" t="n"/>
      <c r="AT1111" s="5" t="n"/>
      <c r="AU1111" s="5" t="n"/>
      <c r="AV1111" s="5" t="n"/>
      <c r="AW1111" s="5" t="n"/>
      <c r="AX1111" s="5" t="n"/>
      <c r="AY1111" s="5" t="n"/>
      <c r="AZ1111" s="5" t="n"/>
      <c r="BA1111" s="5" t="n"/>
      <c r="BB1111" s="5" t="n"/>
      <c r="BC1111" s="5" t="n"/>
      <c r="BD1111" s="5" t="n"/>
    </row>
  </sheetData>
  <autoFilter ref="$AU$1:$AU$1111">
    <sortState ref="AU1:AU1111">
      <sortCondition ref="AU1:AU1111"/>
    </sortState>
  </autoFilter>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BT541"/>
  <sheetViews>
    <sheetView workbookViewId="0">
      <selection activeCell="A1" sqref="A1"/>
    </sheetView>
  </sheetViews>
  <sheetFormatPr baseColWidth="8" defaultColWidth="14.43" defaultRowHeight="15" customHeight="1"/>
  <cols>
    <col width="20" customWidth="1" style="79" min="1" max="1"/>
    <col width="10.57" customWidth="1" style="79" min="2" max="3"/>
    <col width="13.71" customWidth="1" style="79" min="4" max="4"/>
    <col width="10.57" customWidth="1" style="79" min="5" max="5"/>
    <col width="12.14" customWidth="1" style="79" min="6" max="6"/>
    <col width="29.43" customWidth="1" style="79" min="7" max="9"/>
    <col width="10.57" customWidth="1" style="79" min="10" max="21"/>
    <col width="8.710000000000001" customWidth="1" style="79" min="22" max="39"/>
    <col width="20" customWidth="1" style="79" min="40" max="46"/>
    <col width="12.71" customWidth="1" style="79" min="47" max="47"/>
    <col width="8.710000000000001" customWidth="1" style="79" min="48" max="53"/>
    <col width="20" customWidth="1" style="79" min="54" max="59"/>
    <col width="19.57" customWidth="1" style="79" min="60" max="60"/>
    <col width="20" customWidth="1" style="79" min="61" max="62"/>
    <col width="20.71" customWidth="1" style="79" min="63" max="63"/>
    <col width="24.71" customWidth="1" style="79" min="64" max="64"/>
    <col width="52" customWidth="1" style="79" min="65" max="65"/>
    <col width="8.710000000000001" customWidth="1" style="79" min="66" max="67"/>
    <col width="44" customWidth="1" style="79" min="68" max="68"/>
    <col width="130" customWidth="1" style="79" min="69" max="69"/>
  </cols>
  <sheetData>
    <row r="1" ht="15" customHeight="1" s="79">
      <c r="A1" s="61" t="n"/>
      <c r="B1" s="61" t="n"/>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c r="AA1" s="61" t="n"/>
      <c r="AB1" s="61" t="n"/>
      <c r="AC1" s="61" t="n"/>
      <c r="AD1" s="61" t="n"/>
      <c r="AE1" s="61" t="n"/>
      <c r="AF1" s="61" t="n"/>
      <c r="AG1" s="61" t="n"/>
      <c r="AH1" s="61" t="n"/>
      <c r="AI1" s="61" t="n"/>
      <c r="AJ1" s="61" t="n"/>
      <c r="AK1" s="61" t="n"/>
      <c r="AL1" s="61" t="n"/>
      <c r="AM1" s="61" t="n"/>
      <c r="AN1" s="61" t="n"/>
      <c r="AO1" s="61" t="n"/>
      <c r="AP1" s="57" t="n"/>
      <c r="AQ1" s="56" t="n"/>
      <c r="AR1" s="57" t="n"/>
      <c r="AS1" s="61" t="n"/>
      <c r="AT1" s="61" t="n"/>
      <c r="AU1" s="57" t="n"/>
      <c r="AV1" s="61" t="n"/>
      <c r="AW1" s="61" t="n"/>
      <c r="AX1" s="61" t="n"/>
      <c r="AY1" s="61" t="n"/>
      <c r="AZ1" s="61" t="n"/>
      <c r="BA1" s="61" t="n"/>
      <c r="BB1" s="61" t="n"/>
      <c r="BC1" s="61" t="n"/>
      <c r="BD1" s="57" t="n"/>
      <c r="BE1" s="56" t="n"/>
      <c r="BF1" s="56" t="n"/>
      <c r="BG1" s="57" t="n"/>
      <c r="BH1" s="61" t="n"/>
      <c r="BI1" s="61" t="n"/>
      <c r="BJ1" s="61" t="n"/>
      <c r="BK1" s="61" t="n"/>
      <c r="BL1" s="61" t="n"/>
      <c r="BM1" s="61" t="n"/>
      <c r="BN1" s="61" t="n"/>
      <c r="BO1" s="61" t="n"/>
      <c r="BP1" s="61" t="n"/>
      <c r="BQ1" s="61" t="n"/>
      <c r="BR1" s="61" t="n"/>
      <c r="BS1" s="59" t="inlineStr">
        <is>
          <t xml:space="preserve">BOOK-LEVEL FIGURES </t>
        </is>
      </c>
      <c r="BT1" s="61" t="n"/>
    </row>
    <row r="2" ht="15" customHeight="1" s="79">
      <c r="A2" s="61" t="n"/>
      <c r="B2" s="61" t="n"/>
      <c r="C2" s="61" t="n"/>
      <c r="D2" s="61" t="inlineStr">
        <is>
          <t>(includes open)</t>
        </is>
      </c>
      <c r="E2" s="61" t="n"/>
      <c r="F2" s="61" t="inlineStr">
        <is>
          <t>(only default)</t>
        </is>
      </c>
      <c r="G2" s="61" t="n"/>
      <c r="H2" s="61" t="n"/>
      <c r="I2" s="61" t="n"/>
      <c r="J2" s="61" t="n"/>
      <c r="K2" s="61" t="n"/>
      <c r="L2" s="61" t="n"/>
      <c r="M2" s="61" t="n"/>
      <c r="N2" s="61" t="n"/>
      <c r="O2" s="61" t="n"/>
      <c r="P2" s="61" t="n"/>
      <c r="Q2" s="61" t="n"/>
      <c r="R2" s="61" t="n"/>
      <c r="S2" s="61" t="n"/>
      <c r="T2" s="61" t="n"/>
      <c r="U2" s="61" t="n"/>
      <c r="V2" s="61" t="n"/>
      <c r="W2" s="61" t="n"/>
      <c r="X2" s="61" t="n"/>
      <c r="Y2" s="61" t="n"/>
      <c r="Z2" s="61" t="n"/>
      <c r="AA2" s="61" t="n"/>
      <c r="AB2" s="61" t="n"/>
      <c r="AC2" s="61" t="n"/>
      <c r="AD2" s="61" t="n"/>
      <c r="AE2" s="61" t="n"/>
      <c r="AF2" s="61" t="n"/>
      <c r="AG2" s="61" t="n"/>
      <c r="AH2" s="61" t="n"/>
      <c r="AI2" s="61" t="n"/>
      <c r="AJ2" s="61" t="n"/>
      <c r="AK2" s="61" t="n"/>
      <c r="AL2" s="61" t="n"/>
      <c r="AM2" s="61" t="n"/>
      <c r="AN2" s="61" t="n"/>
      <c r="AO2" s="61" t="n"/>
      <c r="AP2" s="57" t="n"/>
      <c r="AQ2" s="56" t="n"/>
      <c r="AR2" s="57" t="n"/>
      <c r="AS2" s="61" t="n"/>
      <c r="AT2" s="61" t="n"/>
      <c r="AU2" s="57" t="n"/>
      <c r="AV2" s="61" t="n"/>
      <c r="AW2" s="61" t="n"/>
      <c r="AX2" s="61" t="n"/>
      <c r="AY2" s="61" t="n"/>
      <c r="AZ2" s="61" t="n"/>
      <c r="BA2" s="61" t="n"/>
      <c r="BB2" s="61" t="n"/>
      <c r="BC2" s="61" t="inlineStr">
        <is>
          <t>Deals</t>
        </is>
      </c>
      <c r="BD2" s="57" t="inlineStr">
        <is>
          <t>Funded</t>
        </is>
      </c>
      <c r="BE2" s="61" t="inlineStr">
        <is>
          <t>principal lost rate</t>
        </is>
      </c>
      <c r="BF2" s="61" t="inlineStr">
        <is>
          <t>return on capital</t>
        </is>
      </c>
      <c r="BG2" s="57" t="inlineStr">
        <is>
          <t>principal lost</t>
        </is>
      </c>
      <c r="BH2" s="61" t="n"/>
      <c r="BI2" s="61" t="n"/>
      <c r="BJ2" s="61" t="n"/>
      <c r="BK2" s="61" t="inlineStr">
        <is>
          <t xml:space="preserve">Verdict min deals </t>
        </is>
      </c>
      <c r="BN2" s="62" t="n"/>
      <c r="BO2" s="61" t="n"/>
      <c r="BP2" s="61" t="n"/>
      <c r="BQ2" s="61" t="n"/>
      <c r="BR2" s="61" t="n"/>
      <c r="BS2" s="61" t="inlineStr">
        <is>
          <t>Principal lost rate (book)</t>
        </is>
      </c>
      <c r="BT2" s="62">
        <f>IFERROR(SUMIFS(Data!$AN$2:$AN$1105,Data!$AK$2:$AK$1105,1)/SUMIFS(Data!$P$2:$P$1105,Data!$AK$2:$AK$1105,1),NA())</f>
        <v/>
      </c>
    </row>
    <row r="3" ht="15" customHeight="1" s="79">
      <c r="A3" s="61" t="inlineStr">
        <is>
          <t>Industry - master</t>
        </is>
      </c>
      <c r="B3" s="61" t="n"/>
      <c r="C3" s="61" t="n"/>
      <c r="D3" s="63" t="n"/>
      <c r="E3" s="61" t="n"/>
      <c r="F3" s="61" t="n"/>
      <c r="G3" s="61" t="n"/>
      <c r="H3" s="61" t="n"/>
      <c r="I3" s="61" t="n"/>
      <c r="J3" s="61" t="n"/>
      <c r="K3" s="61" t="n"/>
      <c r="L3" s="61" t="n"/>
      <c r="M3" s="61" t="n"/>
      <c r="N3" s="61" t="n"/>
      <c r="O3" s="61" t="n"/>
      <c r="P3" s="61" t="n"/>
      <c r="Q3" s="61" t="n"/>
      <c r="R3" s="61" t="n"/>
      <c r="S3" s="61" t="n"/>
      <c r="T3" s="61" t="n"/>
      <c r="U3" s="61" t="n"/>
      <c r="V3" s="61" t="n"/>
      <c r="W3" s="61" t="n"/>
      <c r="X3" s="61" t="n"/>
      <c r="Y3" s="61" t="n"/>
      <c r="Z3" s="61" t="n"/>
      <c r="AA3" s="61" t="n"/>
      <c r="AB3" s="61" t="n"/>
      <c r="AC3" s="61" t="n"/>
      <c r="AD3" s="61" t="n"/>
      <c r="AE3" s="61" t="n"/>
      <c r="AF3" s="61" t="n"/>
      <c r="AG3" s="61" t="n"/>
      <c r="AH3" s="61" t="n"/>
      <c r="AI3" s="61" t="n"/>
      <c r="AJ3" s="61" t="n"/>
      <c r="AK3" s="61" t="n"/>
      <c r="AL3" s="61" t="n"/>
      <c r="AM3" s="61" t="n"/>
      <c r="AN3" s="61" t="inlineStr">
        <is>
          <t xml:space="preserve">ind </t>
        </is>
      </c>
      <c r="AO3" s="61" t="inlineStr">
        <is>
          <t>Deals in scope</t>
        </is>
      </c>
      <c r="AP3" s="57" t="inlineStr">
        <is>
          <t>Funded $</t>
        </is>
      </c>
      <c r="AQ3" s="56" t="inlineStr">
        <is>
          <t>Principal lost rate</t>
        </is>
      </c>
      <c r="AR3" s="57" t="inlineStr">
        <is>
          <t>Principal lost $</t>
        </is>
      </c>
      <c r="AS3" s="61" t="inlineStr">
        <is>
          <t>Include? (from Controls)</t>
        </is>
      </c>
      <c r="AT3" s="61" t="inlineStr">
        <is>
          <t>Sort Key</t>
        </is>
      </c>
      <c r="AU3" s="57" t="inlineStr">
        <is>
          <t>Net profit / loss $</t>
        </is>
      </c>
      <c r="AV3" s="61" t="n"/>
      <c r="AW3" s="61" t="n"/>
      <c r="AX3" s="61" t="n"/>
      <c r="AY3" s="61" t="n"/>
      <c r="AZ3" s="61" t="n"/>
      <c r="BA3" s="61" t="n"/>
      <c r="BB3" s="61" t="n"/>
      <c r="BC3" s="61" t="n"/>
      <c r="BD3" s="57" t="n"/>
      <c r="BE3" s="56" t="n"/>
      <c r="BF3" s="56" t="n"/>
      <c r="BG3" s="57" t="n"/>
      <c r="BH3" s="61" t="n"/>
      <c r="BI3" s="61" t="n"/>
      <c r="BJ3" s="61" t="n"/>
      <c r="BK3" s="61" t="inlineStr">
        <is>
          <t>principal lost rate</t>
        </is>
      </c>
      <c r="BL3" s="61" t="inlineStr">
        <is>
          <t>return</t>
        </is>
      </c>
      <c r="BM3" s="61" t="inlineStr">
        <is>
          <t>Principal lost $</t>
        </is>
      </c>
      <c r="BN3" s="62" t="n"/>
      <c r="BO3" s="61" t="n"/>
      <c r="BP3" s="61" t="n"/>
      <c r="BQ3" s="64" t="n"/>
      <c r="BR3" s="61" t="n"/>
      <c r="BS3" s="61" t="inlineStr">
        <is>
          <t>Recovery rate (book)</t>
        </is>
      </c>
      <c r="BT3" s="62">
        <f>IFERROR(SUMIFS(Data!$S$2:$S$1105,Data!$AK$2:$AK$1105,1,Data!$AH$2:$AH$1105,1)/SUMIFS(Data!$P$2:$P$1105,Data!$AK$2:$AK$1105,1,Data!$AH$2:$AH$1105,1),NA())</f>
        <v/>
      </c>
    </row>
    <row r="4" ht="15" customHeight="1" s="79">
      <c r="A4" s="61" t="inlineStr">
        <is>
          <t>Label</t>
        </is>
      </c>
      <c r="B4" s="61" t="inlineStr">
        <is>
          <t>Funded $</t>
        </is>
      </c>
      <c r="C4" s="61" t="inlineStr">
        <is>
          <t>Collected $</t>
        </is>
      </c>
      <c r="D4" s="61" t="inlineStr">
        <is>
          <t>Net profit / loss $</t>
        </is>
      </c>
      <c r="E4" s="61" t="inlineStr">
        <is>
          <t>Commission $</t>
        </is>
      </c>
      <c r="F4" s="61" t="inlineStr">
        <is>
          <t>Principal lost $</t>
        </is>
      </c>
      <c r="G4" s="61" t="inlineStr">
        <is>
          <t>Principal lost rate</t>
        </is>
      </c>
      <c r="H4" s="61" t="inlineStr">
        <is>
          <t xml:space="preserve">Collected on Defaults </t>
        </is>
      </c>
      <c r="I4" s="61" t="inlineStr">
        <is>
          <t>Return on funded capital (%)</t>
        </is>
      </c>
      <c r="J4" s="61" t="inlineStr">
        <is>
          <t>Deals</t>
        </is>
      </c>
      <c r="K4" s="61" t="inlineStr">
        <is>
          <t>Share of funded dollars</t>
        </is>
      </c>
      <c r="L4" s="61" t="inlineStr">
        <is>
          <t>Avg deal size</t>
        </is>
      </c>
      <c r="M4" s="61" t="inlineStr">
        <is>
          <t>Avg expected term (business days)</t>
        </is>
      </c>
      <c r="N4" s="61" t="inlineStr">
        <is>
          <t>Avg expected term (payments)</t>
        </is>
      </c>
      <c r="O4" s="61" t="inlineStr">
        <is>
          <t>Avg days on book, defaulted</t>
        </is>
      </c>
      <c r="P4" s="61" t="inlineStr">
        <is>
          <t>Avg days to close</t>
        </is>
      </c>
      <c r="Q4" s="61" t="inlineStr">
        <is>
          <t>% of deals that were renewals</t>
        </is>
      </c>
      <c r="R4" s="61" t="inlineStr">
        <is>
          <t>% of funded dollars from renewals</t>
        </is>
      </c>
      <c r="S4" s="61" t="inlineStr">
        <is>
          <t>Book lost rate</t>
        </is>
      </c>
      <c r="T4" s="61" t="inlineStr">
        <is>
          <t>Book recovery</t>
        </is>
      </c>
      <c r="U4" s="61" t="inlineStr">
        <is>
          <t>Book return on funded capital</t>
        </is>
      </c>
      <c r="V4" s="61" t="inlineStr">
        <is>
          <t>Default rate (#)</t>
        </is>
      </c>
      <c r="W4" s="61" t="inlineStr">
        <is>
          <t>Chart label (name + deals)</t>
        </is>
      </c>
      <c r="X4" s="61" t="n"/>
      <c r="Y4" s="61" t="n"/>
      <c r="Z4" s="61" t="n"/>
      <c r="AA4" s="61" t="n"/>
      <c r="AB4" s="61" t="n"/>
      <c r="AC4" s="61" t="n"/>
      <c r="AD4" s="61" t="n"/>
      <c r="AE4" s="61" t="n"/>
      <c r="AF4" s="61" t="n"/>
      <c r="AG4" s="61" t="n"/>
      <c r="AH4" s="61" t="n"/>
      <c r="AI4" s="61" t="n"/>
      <c r="AJ4" s="61" t="n"/>
      <c r="AK4" s="61" t="n"/>
      <c r="AL4" s="61" t="n"/>
      <c r="AM4" s="61" t="n"/>
      <c r="AN4" s="61">
        <f>Controls!$A$40</f>
        <v/>
      </c>
      <c r="AO4" s="61">
        <f>COUNTIFS(Data!$AK$2:$AK$1105,1,Data!$AY$2:$AY$1105,$AN$4)</f>
        <v/>
      </c>
      <c r="AP4" s="57">
        <f>SUMIFS(Data!$P$2:$P$1105,Data!$AK$2:$AK$1105,1,Data!$AY$2:$AY$1105,$AN$4)</f>
        <v/>
      </c>
      <c r="AQ4" s="56">
        <f>IFERROR(SUMIFS(Data!$AN$2:$AN$1105,Data!$AK$2:$AK$1105,1,Data!$AY$2:$AY$1105,$AN$4)/$AP$4,0)</f>
        <v/>
      </c>
      <c r="AR4" s="57">
        <f>SUMIFS(Data!$AN$2:$AN$1105,Data!$AK$2:$AK$1105,1,Data!$AY$2:$AY$1105,$AN$4)</f>
        <v/>
      </c>
      <c r="AS4" s="61">
        <f>Controls!$B$40</f>
        <v/>
      </c>
      <c r="AT4" s="61">
        <f>IF(OR(AO4=0,AO4&lt;Controls!$B$20),-1000000000000000,IF(AND(Controls!$B$21="Y",$AN$5="No SIC"),-1000000000000000,IF(Controls!$B$17="Selected only",IF(AS4="Y",AP4,-1000000000000000),IF(Controls!$B$17="Top by funded $",AP4,IF(Controls!$B$17="Top by funded units",AO4,IF(Controls!$B$17="Largest principal lost $",AR4,IF(Controls!$B$17="Highest net profit $",AU4,IF(AO4&lt;Controls!$B$19,-1000000000000000,IF(Controls!$B$17="Highest principal lost rate %",AQ4,IF(Controls!$B$17="Lowest principal lost rate %",1-AQ4,AP4))))))))) +2/1000000)</f>
        <v/>
      </c>
      <c r="AU4" s="57">
        <f>SUMIFS(Data!$AM$2:$AM$1105,Data!$AK$2:$AK$1105,1,Data!$AY$2:$AY$1105,$AN$4)</f>
        <v/>
      </c>
      <c r="AV4" s="61" t="n"/>
      <c r="AW4" s="61" t="n"/>
      <c r="AX4" s="61" t="n"/>
      <c r="AY4" s="61" t="n"/>
      <c r="AZ4" s="61" t="n"/>
      <c r="BA4" s="61" t="n"/>
      <c r="BB4" s="61">
        <f>Controls!$A$40</f>
        <v/>
      </c>
      <c r="BC4" s="61">
        <f>COUNTIFS(Data!$AK$2:$AK$1105,1,Data!$AY$2:$AY$1105,$BB$4)</f>
        <v/>
      </c>
      <c r="BD4" s="57">
        <f>SUMIFS(Data!$P$2:$P$1105,Data!$AK$2:$AK$1105,1,Data!$AY$2:$AY$1105,$BB$4)</f>
        <v/>
      </c>
      <c r="BE4" s="56">
        <f>IF(COUNTIFS(Data!$AK$2:$AK$1105,1,Data!$AY$2:$AY$1105,$BB$4)&lt;Controls!$B$19,"",IFERROR(SUMIFS(Data!$AN$2:$AN$1105,Data!$AK$2:$AK$1105,1,Data!$AY$2:$AY$1105,$BB$4)/$BD$4,""))</f>
        <v/>
      </c>
      <c r="BF4" s="56">
        <f>IF(COUNTIFS(Data!$AK$2:$AK$1105,1,Data!$AY$2:$AY$1105,$BB$4)&lt;Controls!$B$19,"",IFERROR(SUMIFS(Data!$AM$2:$AM$1105,Data!$AK$2:$AK$1105,1,Data!$AY$2:$AY$1105,$BB$4)/SUMIFS(Data!$P$2:$P$1105,Data!$AK$2:$AK$1105,1,Data!$AY$2:$AY$1105,$BB$4),""))</f>
        <v/>
      </c>
      <c r="BG4" s="57">
        <f>SUMIFS(Data!$AN$2:$AN$1105,Data!$AK$2:$AK$1105,1,Data!$AY$2:$AY$1105,$BB$4)</f>
        <v/>
      </c>
      <c r="BH4" s="61" t="n"/>
      <c r="BI4" s="61" t="n"/>
      <c r="BJ4" s="61" t="n"/>
      <c r="BK4" s="61">
        <f>IF($BC$4&lt;Controls!$B$22,"",$BE$4)</f>
        <v/>
      </c>
      <c r="BL4" s="61">
        <f>IF($BC$4&lt;Controls!$B$22,"",$BF$4)</f>
        <v/>
      </c>
      <c r="BM4" s="61">
        <f>IF($BC$4&lt;Controls!$B$22,"",$BG$4)</f>
        <v/>
      </c>
      <c r="BN4" s="62" t="n"/>
      <c r="BO4" s="61" t="n"/>
      <c r="BP4" s="61" t="n"/>
      <c r="BQ4" s="61" t="n"/>
      <c r="BR4" s="61" t="n"/>
      <c r="BS4" s="61" t="inlineStr">
        <is>
          <t>Return on funded capital (book)</t>
        </is>
      </c>
      <c r="BT4" s="62">
        <f>IFERROR(SUMIFS(Data!$AM$2:$AM$1105,Data!$AK$2:$AK$1105,1)/SUMIFS(Data!$P$2:$P$1105,Data!$AK$2:$AK$1105,1),NA())</f>
        <v/>
      </c>
    </row>
    <row r="5" ht="15" customHeight="1" s="79">
      <c r="A5" s="61">
        <f t="array" ref="A5">IFERROR(IF(1&gt;Controls!$B$18,"",IF(LARGE(Calc!$AT$4:$AT$68,1)&lt;-100000000000000,"",INDEX(Calc!$AN$4:$AN$68,MATCH(LARGE(Calc!$AT$4:$AT$68,1),Calc!$AT$4:$AT$68,0)))),"")</f>
        <v/>
      </c>
      <c r="B5" s="66">
        <f>IF($A$5="",NA(),IFERROR(SUMIFS(Data!$P$2:$P$1105,Data!$AK$2:$AK$1105,1,Data!$AY$2:$AY$1105,$A$5),NA()))</f>
        <v/>
      </c>
      <c r="C5" s="66">
        <f>IF($A$5="",NA(),IFERROR(SUMIFS(Data!$S$2:$S$1105,Data!$AK$2:$AK$1105,1,Data!$AY$2:$AY$1105,$A$5),NA()))</f>
        <v/>
      </c>
      <c r="D5" s="66">
        <f>IF(ISNA($B$5),NA(),$C$5-$B$5)</f>
        <v/>
      </c>
      <c r="E5" s="66">
        <f>IF($A$5="",NA(),IFERROR(SUMIFS(Data!$Q$2:$Q$1105,Data!$AK$2:$AK$1105,1,Data!$AY$2:$AY$1105,$A$5),NA()))</f>
        <v/>
      </c>
      <c r="F5" s="66">
        <f>IF($A$5="",NA(),IFERROR(SUMIFS(Data!$AN$2:$AN$1105,Data!$AK$2:$AK$1105,1,Data!$AY$2:$AY$1105,$A$5),NA()))</f>
        <v/>
      </c>
      <c r="G5" s="62">
        <f>IF($A$5="",NA(),IF(COUNTIFS(Data!$AK$2:$AK$1105,1,Data!$AY$2:$AY$1105,$A$5)&lt;Controls!$B$19,NA(),IFERROR(SUMIFS(Data!$AN$2:$AN$1105,Data!$AK$2:$AK$1105,1,Data!$AY$2:$AY$1105,$A$5)/$B$5,NA())))</f>
        <v/>
      </c>
      <c r="H5" s="62">
        <f>IF($A$5="",NA(),IF(COUNTIFS(Data!$AK$2:$AK$1105,1,Data!$AY$2:$AY$1105,$A$5)&lt;Controls!$B$19,NA(),IFERROR(SUMIFS(Data!$S$2:$S$1105,Data!$AK$2:$AK$1105,1,Data!$AY$2:$AY$1105,$A$5,Data!$AH$2:$AH$1105,1)/SUMIFS(Data!$P$2:$P$1105,Data!$AK$2:$AK$1105,1,Data!$AY$2:$AY$1105,$A$5,Data!$AH$2:$AH$1105,1),NA())))</f>
        <v/>
      </c>
      <c r="I5" s="62">
        <f>IF(ISNA($J$5),NA(),IF($J$5&lt;Controls!$B$19,NA(),IFERROR($D$5/$B$5,NA())))</f>
        <v/>
      </c>
      <c r="J5" s="67">
        <f>IF($A$5="",NA(),IFERROR(COUNTIFS(Data!$AK$2:$AK$1105,1,Data!$AY$2:$AY$1105,$A$5),NA()))</f>
        <v/>
      </c>
      <c r="K5" s="62">
        <f>IF(ISNA($B$5),NA(),IFERROR($B$5/Calc!$BT$6,NA()))</f>
        <v/>
      </c>
      <c r="L5" s="66">
        <f>IF(ISNA($J$5),NA(),IF($J$5&lt;Controls!$B$19,NA(),IFERROR($B$5/$J$5,NA())))</f>
        <v/>
      </c>
      <c r="M5" s="67">
        <f>IF($A$5="",NA(),IF(COUNTIFS(Data!$AK$2:$AK$1105,1,Data!$AY$2:$AY$1105,$A$5)&lt;Controls!$B$19,NA(),IFERROR(AVERAGEIFS(Data!$AE$2:$AE$1105,Data!$AK$2:$AK$1105,1,Data!$AY$2:$AY$1105,$A$5),NA())))</f>
        <v/>
      </c>
      <c r="N5" s="67">
        <f>IF($A$5="",NA(),IF(COUNTIFS(Data!$AK$2:$AK$1105,1,Data!$AY$2:$AY$1105,$A$5)&lt;Controls!$B$19,NA(),IFERROR(AVERAGEIFS(Data!$AD$2:$AD$1105,Data!$AK$2:$AK$1105,1,Data!$AY$2:$AY$1105,$A$5),NA())))</f>
        <v/>
      </c>
      <c r="O5" s="67">
        <f>IF($A$5="",NA(),IF(COUNTIFS(Data!$AK$2:$AK$1105,1,Data!$AY$2:$AY$1105,$A$5)&lt;Controls!$B$19,NA(),IFERROR(AVERAGEIFS(Data!$AS$2:$AS$1105,Data!$AK$2:$AK$1105,1,Data!$AY$2:$AY$1105,$A$5),NA())))</f>
        <v/>
      </c>
      <c r="P5" s="67">
        <f>IF($A$5="",NA(),IF(COUNTIFS(Data!$AK$2:$AK$1105,1,Data!$AY$2:$AY$1105,$A$5)&lt;Controls!$B$19,NA(),IFERROR(AVERAGEIFS(Data!$AT$2:$AT$1105,Data!$AK$2:$AK$1105,1,Data!$AY$2:$AY$1105,$A$5),NA())))</f>
        <v/>
      </c>
      <c r="Q5" s="62">
        <f>IF($A$5="",NA(),IF(COUNTIFS(Data!$AK$2:$AK$1105,1,Data!$AY$2:$AY$1105,$A$5)&lt;Controls!$B$19,NA(),IFERROR(COUNTIFS(Data!$AK$2:$AK$1105,1,Data!$AY$2:$AY$1105,$A$5,Data!$N$2:$N$1105,"Renewal")/COUNTIFS(Data!$AK$2:$AK$1105,1,Data!$AY$2:$AY$1105,$A$5),NA())))</f>
        <v/>
      </c>
      <c r="R5" s="62">
        <f>IF($A$5="",NA(),IF(COUNTIFS(Data!$AK$2:$AK$1105,1,Data!$AY$2:$AY$1105,$A$5)&lt;Controls!$B$19,NA(),IFERROR(SUMIFS(Data!$P$2:$P$1105,Data!$AK$2:$AK$1105,1,Data!$AY$2:$AY$1105,$A$5,Data!$N$2:$N$1105,"Renewal")/SUMIFS(Data!$P$2:$P$1105,Data!$AK$2:$AK$1105,1,Data!$AY$2:$AY$1105,$A$5),NA())))</f>
        <v/>
      </c>
      <c r="S5" s="62">
        <f>IF($A$5="",NA(),Calc!$BT$2)</f>
        <v/>
      </c>
      <c r="T5" s="62">
        <f>IF($A$5="",NA(),Calc!$BT$3)</f>
        <v/>
      </c>
      <c r="U5" s="62">
        <f>IF($A$5="",NA(),Calc!$BT$4)</f>
        <v/>
      </c>
      <c r="V5" s="62">
        <f>IF($A$5="",NA(),IF(COUNTIFS(Data!$AK$2:$AK$1105,1,Data!$AY$2:$AY$1105,$A$5)&lt;Controls!$B$19,NA(),IFERROR(COUNTIFS(Data!$AK$2:$AK$1105,1,Data!$AY$2:$AY$1105,$A$5,Data!$AH$2:$AH$1105,1)/COUNTIFS(Data!$AK$2:$AK$1105,1,Data!$AY$2:$AY$1105,$A$5),NA())))</f>
        <v/>
      </c>
      <c r="W5" s="61">
        <f>IF($A$5="","",$A$5&amp;" ("&amp;$J$5&amp;")")</f>
        <v/>
      </c>
      <c r="X5" s="61" t="n"/>
      <c r="Y5" s="61" t="n"/>
      <c r="Z5" s="61" t="n"/>
      <c r="AA5" s="61" t="n"/>
      <c r="AB5" s="61" t="n"/>
      <c r="AC5" s="61" t="n"/>
      <c r="AD5" s="61" t="n"/>
      <c r="AE5" s="61" t="n"/>
      <c r="AF5" s="61" t="n"/>
      <c r="AG5" s="61" t="n"/>
      <c r="AH5" s="61" t="n"/>
      <c r="AI5" s="61" t="n"/>
      <c r="AJ5" s="61" t="n"/>
      <c r="AK5" s="61" t="n"/>
      <c r="AL5" s="61" t="n"/>
      <c r="AM5" s="61" t="n"/>
      <c r="AN5" s="61">
        <f>Controls!$A$41</f>
        <v/>
      </c>
      <c r="AO5" s="61">
        <f>COUNTIFS(Data!$AK$2:$AK$1105,1,Data!$AY$2:$AY$1105,$AN$5)</f>
        <v/>
      </c>
      <c r="AP5" s="57">
        <f>SUMIFS(Data!$P$2:$P$1105,Data!$AK$2:$AK$1105,1,Data!$AY$2:$AY$1105,$AN$5)</f>
        <v/>
      </c>
      <c r="AQ5" s="56">
        <f>IFERROR(SUMIFS(Data!$AN$2:$AN$1105,Data!$AK$2:$AK$1105,1,Data!$AY$2:$AY$1105,$AN$5)/$AP$5,0)</f>
        <v/>
      </c>
      <c r="AR5" s="57">
        <f>SUMIFS(Data!$AN$2:$AN$1105,Data!$AK$2:$AK$1105,1,Data!$AY$2:$AY$1105,$AN$5)</f>
        <v/>
      </c>
      <c r="AS5" s="61">
        <f>Controls!$B$41</f>
        <v/>
      </c>
      <c r="AT5" s="61">
        <f>IF(OR(AO5=0,AO5&lt;Controls!$B$20),-1000000000000000,IF(AND(Controls!$B$21="Y",$AN$5="No SIC"),-1000000000000000,IF(Controls!$B$17="Selected only",IF(AS5="Y",AP5,-1000000000000000),IF(Controls!$B$17="Top by funded $",AP5,IF(Controls!$B$17="Top by funded units",AO5,IF(Controls!$B$17="Largest principal lost $",AR5,IF(Controls!$B$17="Highest net profit $",AU5,IF(AO5&lt;Controls!$B$19,-1000000000000000,IF(Controls!$B$17="Highest principal lost rate %",AQ5,IF(Controls!$B$17="Lowest principal lost rate %",1-AQ5,AP5))))))))) +2/1000000)</f>
        <v/>
      </c>
      <c r="AU5" s="57">
        <f>SUMIFS(Data!$AM$2:$AM$1105,Data!$AK$2:$AK$1105,1,Data!$AY$2:$AY$1105,$AN$5)</f>
        <v/>
      </c>
      <c r="AV5" s="61" t="n"/>
      <c r="AW5" s="61" t="n"/>
      <c r="AX5" s="61" t="n"/>
      <c r="AY5" s="61" t="n"/>
      <c r="AZ5" s="61" t="n"/>
      <c r="BA5" s="61" t="n"/>
      <c r="BB5" s="61">
        <f>Controls!$A$41</f>
        <v/>
      </c>
      <c r="BC5" s="61">
        <f>COUNTIFS(Data!$AK$2:$AK$1105,1,Data!$AY$2:$AY$1105,$BB$5)</f>
        <v/>
      </c>
      <c r="BD5" s="57">
        <f>SUMIFS(Data!$P$2:$P$1105,Data!$AK$2:$AK$1105,1,Data!$AY$2:$AY$1105,$BB$5)</f>
        <v/>
      </c>
      <c r="BE5" s="56">
        <f>IF(COUNTIFS(Data!$AK$2:$AK$1105,1,Data!$AY$2:$AY$1105,$BB$5)&lt;Controls!$B$19,"",IFERROR(SUMIFS(Data!$AN$2:$AN$1105,Data!$AK$2:$AK$1105,1,Data!$AY$2:$AY$1105,$BB$5)/$BD$5,""))</f>
        <v/>
      </c>
      <c r="BF5" s="56">
        <f>IF(COUNTIFS(Data!$AK$2:$AK$1105,1,Data!$AY$2:$AY$1105,$BB$5)&lt;Controls!$B$19,"",IFERROR(SUMIFS(Data!$AM$2:$AM$1105,Data!$AK$2:$AK$1105,1,Data!$AY$2:$AY$1105,$BB$5)/SUMIFS(Data!$P$2:$P$1105,Data!$AK$2:$AK$1105,1,Data!$AY$2:$AY$1105,$BB$5),""))</f>
        <v/>
      </c>
      <c r="BG5" s="57">
        <f>SUMIFS(Data!$AN$2:$AN$1105,Data!$AK$2:$AK$1105,1,Data!$AY$2:$AY$1105,$BB$5)</f>
        <v/>
      </c>
      <c r="BH5" s="61" t="n"/>
      <c r="BI5" s="61" t="n"/>
      <c r="BJ5" s="61" t="n"/>
      <c r="BK5" s="61">
        <f>IF($BC$5&lt;Controls!$B$22,"",$BE$5)</f>
        <v/>
      </c>
      <c r="BL5" s="61">
        <f>IF($BC$5&lt;Controls!$B$22,"",$BF$5)</f>
        <v/>
      </c>
      <c r="BM5" s="61">
        <f>IF($BC$5&lt;Controls!$B$22,"",$BG$5)</f>
        <v/>
      </c>
      <c r="BN5" s="61" t="n"/>
      <c r="BO5" s="61" t="n"/>
      <c r="BP5" s="61" t="n"/>
      <c r="BQ5" s="64" t="n"/>
      <c r="BR5" s="61" t="n"/>
      <c r="BS5" s="61" t="inlineStr">
        <is>
          <t>Return on resolved capital (book)</t>
        </is>
      </c>
      <c r="BT5" s="62">
        <f>IFERROR(SUMIFS(Data!$AM$2:$AM$1105,Data!$AK$2:$AK$1105,1,Data!$AI$2:$AI$1105,1)/SUMIFS(Data!$P$2:$P$1105,Data!$AK$2:$AK$1105,1,Data!$AI$2:$AI$1105,1),NA())</f>
        <v/>
      </c>
    </row>
    <row r="6" ht="15" customHeight="1" s="79">
      <c r="A6" s="61">
        <f t="array" ref="A6">IFERROR(IF(2&gt;Controls!$B$18,"",IF(LARGE(Calc!$AT$4:$AT$68,2)&lt;-100000000000000,"",INDEX(Calc!$AN$4:$AN$68,MATCH(LARGE(Calc!$AT$4:$AT$68,2),Calc!$AT$4:$AT$68,0)))),"")</f>
        <v/>
      </c>
      <c r="B6" s="66">
        <f>IF($A$6="",NA(),IFERROR(SUMIFS(Data!$P$2:$P$1105,Data!$AK$2:$AK$1105,1,Data!$AY$2:$AY$1105,$A$6),NA()))</f>
        <v/>
      </c>
      <c r="C6" s="66">
        <f>IF($A$6="",NA(),IFERROR(SUMIFS(Data!$S$2:$S$1105,Data!$AK$2:$AK$1105,1,Data!$AY$2:$AY$1105,$A$6),NA()))</f>
        <v/>
      </c>
      <c r="D6" s="66">
        <f>IF(ISNA($B$6),NA(),$C$6-$B$6)</f>
        <v/>
      </c>
      <c r="E6" s="66">
        <f>IF($A$6="",NA(),IFERROR(SUMIFS(Data!$Q$2:$Q$1105,Data!$AK$2:$AK$1105,1,Data!$AY$2:$AY$1105,$A$6),NA()))</f>
        <v/>
      </c>
      <c r="F6" s="66">
        <f>IF($A$6="",NA(),IFERROR(SUMIFS(Data!$AN$2:$AN$1105,Data!$AK$2:$AK$1105,1,Data!$AY$2:$AY$1105,$A$6),NA()))</f>
        <v/>
      </c>
      <c r="G6" s="62">
        <f>IF($A$6="",NA(),IF(COUNTIFS(Data!$AK$2:$AK$1105,1,Data!$AY$2:$AY$1105,$A$6)&lt;Controls!$B$19,NA(),IFERROR(SUMIFS(Data!$AN$2:$AN$1105,Data!$AK$2:$AK$1105,1,Data!$AY$2:$AY$1105,$A$6)/$B$6,NA())))</f>
        <v/>
      </c>
      <c r="H6" s="62">
        <f>IF($A$6="",NA(),IF(COUNTIFS(Data!$AK$2:$AK$1105,1,Data!$AY$2:$AY$1105,$A$6)&lt;Controls!$B$19,NA(),IFERROR(SUMIFS(Data!$S$2:$S$1105,Data!$AK$2:$AK$1105,1,Data!$AY$2:$AY$1105,$A$6,Data!$AH$2:$AH$1105,1)/SUMIFS(Data!$P$2:$P$1105,Data!$AK$2:$AK$1105,1,Data!$AY$2:$AY$1105,$A$6,Data!$AH$2:$AH$1105,1),NA())))</f>
        <v/>
      </c>
      <c r="I6" s="62">
        <f>IF(ISNA($J$6),NA(),IF($J$6&lt;Controls!$B$19,NA(),IFERROR($D$6/$B$6,NA())))</f>
        <v/>
      </c>
      <c r="J6" s="67">
        <f>IF($A$6="",NA(),IFERROR(COUNTIFS(Data!$AK$2:$AK$1105,1,Data!$AY$2:$AY$1105,$A$6),NA()))</f>
        <v/>
      </c>
      <c r="K6" s="62">
        <f>IF(ISNA($B$6),NA(),IFERROR($B$6/Calc!$BT$6,NA()))</f>
        <v/>
      </c>
      <c r="L6" s="66">
        <f>IF(ISNA($J$6),NA(),IF($J$6&lt;Controls!$B$19,NA(),IFERROR($B$6/$J$6,NA())))</f>
        <v/>
      </c>
      <c r="M6" s="67">
        <f>IF($A$6="",NA(),IF(COUNTIFS(Data!$AK$2:$AK$1105,1,Data!$AY$2:$AY$1105,$A$6)&lt;Controls!$B$19,NA(),IFERROR(AVERAGEIFS(Data!$AE$2:$AE$1105,Data!$AK$2:$AK$1105,1,Data!$AY$2:$AY$1105,$A$6),NA())))</f>
        <v/>
      </c>
      <c r="N6" s="67">
        <f>IF($A$6="",NA(),IF(COUNTIFS(Data!$AK$2:$AK$1105,1,Data!$AY$2:$AY$1105,$A$6)&lt;Controls!$B$19,NA(),IFERROR(AVERAGEIFS(Data!$AD$2:$AD$1105,Data!$AK$2:$AK$1105,1,Data!$AY$2:$AY$1105,$A$6),NA())))</f>
        <v/>
      </c>
      <c r="O6" s="67">
        <f>IF($A$6="",NA(),IF(COUNTIFS(Data!$AK$2:$AK$1105,1,Data!$AY$2:$AY$1105,$A$6)&lt;Controls!$B$19,NA(),IFERROR(AVERAGEIFS(Data!$AS$2:$AS$1105,Data!$AK$2:$AK$1105,1,Data!$AY$2:$AY$1105,$A$6),NA())))</f>
        <v/>
      </c>
      <c r="P6" s="67">
        <f>IF($A$6="",NA(),IF(COUNTIFS(Data!$AK$2:$AK$1105,1,Data!$AY$2:$AY$1105,$A$6)&lt;Controls!$B$19,NA(),IFERROR(AVERAGEIFS(Data!$AT$2:$AT$1105,Data!$AK$2:$AK$1105,1,Data!$AY$2:$AY$1105,$A$6),NA())))</f>
        <v/>
      </c>
      <c r="Q6" s="62">
        <f>IF($A$6="",NA(),IF(COUNTIFS(Data!$AK$2:$AK$1105,1,Data!$AY$2:$AY$1105,$A$6)&lt;Controls!$B$19,NA(),IFERROR(COUNTIFS(Data!$AK$2:$AK$1105,1,Data!$AY$2:$AY$1105,$A$6,Data!$N$2:$N$1105,"Renewal")/COUNTIFS(Data!$AK$2:$AK$1105,1,Data!$AY$2:$AY$1105,$A$6),NA())))</f>
        <v/>
      </c>
      <c r="R6" s="62">
        <f>IF($A$6="",NA(),IF(COUNTIFS(Data!$AK$2:$AK$1105,1,Data!$AY$2:$AY$1105,$A$6)&lt;Controls!$B$19,NA(),IFERROR(SUMIFS(Data!$P$2:$P$1105,Data!$AK$2:$AK$1105,1,Data!$AY$2:$AY$1105,$A$6,Data!$N$2:$N$1105,"Renewal")/SUMIFS(Data!$P$2:$P$1105,Data!$AK$2:$AK$1105,1,Data!$AY$2:$AY$1105,$A$6),NA())))</f>
        <v/>
      </c>
      <c r="S6" s="62">
        <f>IF($A$6="",NA(),Calc!$BT$2)</f>
        <v/>
      </c>
      <c r="T6" s="62">
        <f>IF($A$6="",NA(),Calc!$BT$3)</f>
        <v/>
      </c>
      <c r="U6" s="62">
        <f>IF($A$6="",NA(),Calc!$BT$4)</f>
        <v/>
      </c>
      <c r="V6" s="62">
        <f>IF($A$6="",NA(),IF(COUNTIFS(Data!$AK$2:$AK$1105,1,Data!$AY$2:$AY$1105,$A$6)&lt;Controls!$B$19,NA(),IFERROR(COUNTIFS(Data!$AK$2:$AK$1105,1,Data!$AY$2:$AY$1105,$A$6,Data!$AH$2:$AH$1105,1)/COUNTIFS(Data!$AK$2:$AK$1105,1,Data!$AY$2:$AY$1105,$A$6),NA())))</f>
        <v/>
      </c>
      <c r="W6" s="61">
        <f>IF($A$6="","",$A$6&amp;" ("&amp;$J$6&amp;")")</f>
        <v/>
      </c>
      <c r="X6" s="61" t="n"/>
      <c r="Y6" s="61" t="n"/>
      <c r="Z6" s="61" t="n"/>
      <c r="AA6" s="61" t="n"/>
      <c r="AB6" s="61" t="n"/>
      <c r="AC6" s="61" t="n"/>
      <c r="AD6" s="61" t="n"/>
      <c r="AE6" s="61" t="n"/>
      <c r="AF6" s="61" t="n"/>
      <c r="AG6" s="61" t="n"/>
      <c r="AH6" s="61" t="n"/>
      <c r="AI6" s="61" t="n"/>
      <c r="AJ6" s="61" t="n"/>
      <c r="AK6" s="61" t="n"/>
      <c r="AL6" s="61" t="n"/>
      <c r="AM6" s="61" t="n"/>
      <c r="AN6" s="61">
        <f>Controls!$A$42</f>
        <v/>
      </c>
      <c r="AO6" s="61">
        <f>COUNTIFS(Data!$AK$2:$AK$1105,1,Data!$AY$2:$AY$1105,$AN$6)</f>
        <v/>
      </c>
      <c r="AP6" s="57">
        <f>SUMIFS(Data!$P$2:$P$1105,Data!$AK$2:$AK$1105,1,Data!$AY$2:$AY$1105,$AN$6)</f>
        <v/>
      </c>
      <c r="AQ6" s="56">
        <f>IFERROR(SUMIFS(Data!$AN$2:$AN$1105,Data!$AK$2:$AK$1105,1,Data!$AY$2:$AY$1105,$AN$6)/$AP$6,0)</f>
        <v/>
      </c>
      <c r="AR6" s="57">
        <f>SUMIFS(Data!$AN$2:$AN$1105,Data!$AK$2:$AK$1105,1,Data!$AY$2:$AY$1105,$AN$6)</f>
        <v/>
      </c>
      <c r="AS6" s="61">
        <f>Controls!$B$42</f>
        <v/>
      </c>
      <c r="AT6" s="61">
        <f>IF(OR(AO6=0,AO6&lt;Controls!$B$20),-1000000000000000,IF(AND(Controls!$B$21="Y",$AN$6="No SIC"),-1000000000000000,IF(Controls!$B$17="Selected only",IF(AS6="Y",AP6,-1000000000000000),IF(Controls!$B$17="Top by funded $",AP6,IF(Controls!$B$17="Top by funded units",AO6,IF(Controls!$B$17="Largest principal lost $",AR6,IF(Controls!$B$17="Highest net profit $",AU6,IF(AO6&lt;Controls!$B$19,-1000000000000000,IF(Controls!$B$17="Highest principal lost rate %",AQ6,IF(Controls!$B$17="Lowest principal lost rate %",1-AQ6,AP6))))))))) +3/1000000)</f>
        <v/>
      </c>
      <c r="AU6" s="57">
        <f>SUMIFS(Data!$AM$2:$AM$1105,Data!$AK$2:$AK$1105,1,Data!$AY$2:$AY$1105,$AN$6)</f>
        <v/>
      </c>
      <c r="AV6" s="61" t="n"/>
      <c r="AW6" s="61" t="n"/>
      <c r="AX6" s="61" t="n"/>
      <c r="AY6" s="61" t="n"/>
      <c r="AZ6" s="61" t="n"/>
      <c r="BA6" s="61" t="n"/>
      <c r="BB6" s="61">
        <f>Controls!$A$42</f>
        <v/>
      </c>
      <c r="BC6" s="61">
        <f>COUNTIFS(Data!$AK$2:$AK$1105,1,Data!$AY$2:$AY$1105,$BB$6)</f>
        <v/>
      </c>
      <c r="BD6" s="57">
        <f>SUMIFS(Data!$P$2:$P$1105,Data!$AK$2:$AK$1105,1,Data!$AY$2:$AY$1105,$BB$6)</f>
        <v/>
      </c>
      <c r="BE6" s="56">
        <f>IF(COUNTIFS(Data!$AK$2:$AK$1105,1,Data!$AY$2:$AY$1105,$BB$6)&lt;Controls!$B$19,"",IFERROR(SUMIFS(Data!$AN$2:$AN$1105,Data!$AK$2:$AK$1105,1,Data!$AY$2:$AY$1105,$BB$6)/$BD$6,""))</f>
        <v/>
      </c>
      <c r="BF6" s="56">
        <f>IF(COUNTIFS(Data!$AK$2:$AK$1105,1,Data!$AY$2:$AY$1105,$BB$6)&lt;Controls!$B$19,"",IFERROR(SUMIFS(Data!$AM$2:$AM$1105,Data!$AK$2:$AK$1105,1,Data!$AY$2:$AY$1105,$BB$6)/SUMIFS(Data!$P$2:$P$1105,Data!$AK$2:$AK$1105,1,Data!$AY$2:$AY$1105,$BB$6),""))</f>
        <v/>
      </c>
      <c r="BG6" s="57">
        <f>SUMIFS(Data!$AN$2:$AN$1105,Data!$AK$2:$AK$1105,1,Data!$AY$2:$AY$1105,$BB$6)</f>
        <v/>
      </c>
      <c r="BH6" s="61" t="n"/>
      <c r="BI6" s="61" t="n"/>
      <c r="BJ6" s="61" t="n"/>
      <c r="BK6" s="61">
        <f>IF($BC$6&lt;Controls!$B$22,"",$BE$6)</f>
        <v/>
      </c>
      <c r="BL6" s="61">
        <f>IF($BC$6&lt;Controls!$B$22,"",$BF$6)</f>
        <v/>
      </c>
      <c r="BM6" s="61">
        <f>IF($BC$6&lt;Controls!$B$22,"",$BG$6)</f>
        <v/>
      </c>
      <c r="BN6" s="61" t="n"/>
      <c r="BO6" s="61" t="n"/>
      <c r="BP6" s="61" t="n"/>
      <c r="BQ6" s="61" t="n"/>
      <c r="BR6" s="61" t="n"/>
      <c r="BS6" s="61" t="inlineStr">
        <is>
          <t>Funded $ (book)</t>
        </is>
      </c>
      <c r="BT6" s="66">
        <f>SUMIFS(Data!$P$2:$P$1105,Data!$AK$2:$AK$1105,1)</f>
        <v/>
      </c>
    </row>
    <row r="7" ht="15" customHeight="1" s="79">
      <c r="A7" s="61">
        <f t="array" ref="A7">IFERROR(IF(3&gt;Controls!$B$18,"",IF(LARGE(Calc!$AT$4:$AT$68,3)&lt;-100000000000000,"",INDEX(Calc!$AN$4:$AN$68,MATCH(LARGE(Calc!$AT$4:$AT$68,3),Calc!$AT$4:$AT$68,0)))),"")</f>
        <v/>
      </c>
      <c r="B7" s="66">
        <f>IF($A$7="",NA(),IFERROR(SUMIFS(Data!$P$2:$P$1105,Data!$AK$2:$AK$1105,1,Data!$AY$2:$AY$1105,$A$7),NA()))</f>
        <v/>
      </c>
      <c r="C7" s="66">
        <f>IF($A$7="",NA(),IFERROR(SUMIFS(Data!$S$2:$S$1105,Data!$AK$2:$AK$1105,1,Data!$AY$2:$AY$1105,$A$7),NA()))</f>
        <v/>
      </c>
      <c r="D7" s="66">
        <f>IF(ISNA($B$7),NA(),$C$7-$B$7)</f>
        <v/>
      </c>
      <c r="E7" s="66">
        <f>IF($A$7="",NA(),IFERROR(SUMIFS(Data!$Q$2:$Q$1105,Data!$AK$2:$AK$1105,1,Data!$AY$2:$AY$1105,$A$7),NA()))</f>
        <v/>
      </c>
      <c r="F7" s="66">
        <f>IF($A$7="",NA(),IFERROR(SUMIFS(Data!$AN$2:$AN$1105,Data!$AK$2:$AK$1105,1,Data!$AY$2:$AY$1105,$A$7),NA()))</f>
        <v/>
      </c>
      <c r="G7" s="62">
        <f>IF($A$7="",NA(),IF(COUNTIFS(Data!$AK$2:$AK$1105,1,Data!$AY$2:$AY$1105,$A$7)&lt;Controls!$B$19,NA(),IFERROR(SUMIFS(Data!$AN$2:$AN$1105,Data!$AK$2:$AK$1105,1,Data!$AY$2:$AY$1105,$A$7)/$B$7,NA())))</f>
        <v/>
      </c>
      <c r="H7" s="62">
        <f>IF($A$7="",NA(),IF(COUNTIFS(Data!$AK$2:$AK$1105,1,Data!$AY$2:$AY$1105,$A$7)&lt;Controls!$B$19,NA(),IFERROR(SUMIFS(Data!$S$2:$S$1105,Data!$AK$2:$AK$1105,1,Data!$AY$2:$AY$1105,$A$7,Data!$AH$2:$AH$1105,1)/SUMIFS(Data!$P$2:$P$1105,Data!$AK$2:$AK$1105,1,Data!$AY$2:$AY$1105,$A$7,Data!$AH$2:$AH$1105,1),NA())))</f>
        <v/>
      </c>
      <c r="I7" s="62">
        <f>IF(ISNA($J$7),NA(),IF($J$7&lt;Controls!$B$19,NA(),IFERROR($D$7/$B$7,NA())))</f>
        <v/>
      </c>
      <c r="J7" s="67">
        <f>IF($A$7="",NA(),IFERROR(COUNTIFS(Data!$AK$2:$AK$1105,1,Data!$AY$2:$AY$1105,$A$7),NA()))</f>
        <v/>
      </c>
      <c r="K7" s="62">
        <f>IF(ISNA($B$7),NA(),IFERROR($B$7/Calc!$BT$6,NA()))</f>
        <v/>
      </c>
      <c r="L7" s="66">
        <f>IF(ISNA($J$7),NA(),IF($J$7&lt;Controls!$B$19,NA(),IFERROR($B$7/$J$7,NA())))</f>
        <v/>
      </c>
      <c r="M7" s="67">
        <f>IF($A$7="",NA(),IF(COUNTIFS(Data!$AK$2:$AK$1105,1,Data!$AY$2:$AY$1105,$A$7)&lt;Controls!$B$19,NA(),IFERROR(AVERAGEIFS(Data!$AE$2:$AE$1105,Data!$AK$2:$AK$1105,1,Data!$AY$2:$AY$1105,$A$7),NA())))</f>
        <v/>
      </c>
      <c r="N7" s="67">
        <f>IF($A$7="",NA(),IF(COUNTIFS(Data!$AK$2:$AK$1105,1,Data!$AY$2:$AY$1105,$A$7)&lt;Controls!$B$19,NA(),IFERROR(AVERAGEIFS(Data!$AD$2:$AD$1105,Data!$AK$2:$AK$1105,1,Data!$AY$2:$AY$1105,$A$7),NA())))</f>
        <v/>
      </c>
      <c r="O7" s="67">
        <f>IF($A$7="",NA(),IF(COUNTIFS(Data!$AK$2:$AK$1105,1,Data!$AY$2:$AY$1105,$A$7)&lt;Controls!$B$19,NA(),IFERROR(AVERAGEIFS(Data!$AS$2:$AS$1105,Data!$AK$2:$AK$1105,1,Data!$AY$2:$AY$1105,$A$7),NA())))</f>
        <v/>
      </c>
      <c r="P7" s="67">
        <f>IF($A$7="",NA(),IF(COUNTIFS(Data!$AK$2:$AK$1105,1,Data!$AY$2:$AY$1105,$A$7)&lt;Controls!$B$19,NA(),IFERROR(AVERAGEIFS(Data!$AT$2:$AT$1105,Data!$AK$2:$AK$1105,1,Data!$AY$2:$AY$1105,$A$7),NA())))</f>
        <v/>
      </c>
      <c r="Q7" s="62">
        <f>IF($A$7="",NA(),IF(COUNTIFS(Data!$AK$2:$AK$1105,1,Data!$AY$2:$AY$1105,$A$7)&lt;Controls!$B$19,NA(),IFERROR(COUNTIFS(Data!$AK$2:$AK$1105,1,Data!$AY$2:$AY$1105,$A$7,Data!$N$2:$N$1105,"Renewal")/COUNTIFS(Data!$AK$2:$AK$1105,1,Data!$AY$2:$AY$1105,$A$7),NA())))</f>
        <v/>
      </c>
      <c r="R7" s="62">
        <f>IF($A$7="",NA(),IF(COUNTIFS(Data!$AK$2:$AK$1105,1,Data!$AY$2:$AY$1105,$A$7)&lt;Controls!$B$19,NA(),IFERROR(SUMIFS(Data!$P$2:$P$1105,Data!$AK$2:$AK$1105,1,Data!$AY$2:$AY$1105,$A$7,Data!$N$2:$N$1105,"Renewal")/SUMIFS(Data!$P$2:$P$1105,Data!$AK$2:$AK$1105,1,Data!$AY$2:$AY$1105,$A$7),NA())))</f>
        <v/>
      </c>
      <c r="S7" s="62">
        <f>IF($A$7="",NA(),Calc!$BT$2)</f>
        <v/>
      </c>
      <c r="T7" s="62">
        <f>IF($A$7="",NA(),Calc!$BT$3)</f>
        <v/>
      </c>
      <c r="U7" s="62">
        <f>IF($A$7="",NA(),Calc!$BT$4)</f>
        <v/>
      </c>
      <c r="V7" s="62">
        <f>IF($A$7="",NA(),IF(COUNTIFS(Data!$AK$2:$AK$1105,1,Data!$AY$2:$AY$1105,$A$7)&lt;Controls!$B$19,NA(),IFERROR(COUNTIFS(Data!$AK$2:$AK$1105,1,Data!$AY$2:$AY$1105,$A$7,Data!$AH$2:$AH$1105,1)/COUNTIFS(Data!$AK$2:$AK$1105,1,Data!$AY$2:$AY$1105,$A$7),NA())))</f>
        <v/>
      </c>
      <c r="W7" s="61">
        <f>IF($A$7="","",$A$7&amp;" ("&amp;$J$7&amp;")")</f>
        <v/>
      </c>
      <c r="X7" s="61" t="n"/>
      <c r="Y7" s="61" t="n"/>
      <c r="Z7" s="61" t="n"/>
      <c r="AA7" s="61" t="n"/>
      <c r="AB7" s="61" t="n"/>
      <c r="AC7" s="61" t="n"/>
      <c r="AD7" s="61" t="n"/>
      <c r="AE7" s="61" t="n"/>
      <c r="AF7" s="61" t="n"/>
      <c r="AG7" s="61" t="n"/>
      <c r="AH7" s="61" t="n"/>
      <c r="AI7" s="61" t="n"/>
      <c r="AJ7" s="61" t="n"/>
      <c r="AK7" s="61" t="n"/>
      <c r="AL7" s="61" t="n"/>
      <c r="AM7" s="61" t="n"/>
      <c r="AN7" s="61">
        <f>Controls!$A$43</f>
        <v/>
      </c>
      <c r="AO7" s="61">
        <f>COUNTIFS(Data!$AK$2:$AK$1105,1,Data!$AY$2:$AY$1105,$AN$7)</f>
        <v/>
      </c>
      <c r="AP7" s="57">
        <f>SUMIFS(Data!$P$2:$P$1105,Data!$AK$2:$AK$1105,1,Data!$AY$2:$AY$1105,$AN$7)</f>
        <v/>
      </c>
      <c r="AQ7" s="56">
        <f>IFERROR(SUMIFS(Data!$AN$2:$AN$1105,Data!$AK$2:$AK$1105,1,Data!$AY$2:$AY$1105,$AN$7)/$AP$7,0)</f>
        <v/>
      </c>
      <c r="AR7" s="57">
        <f>SUMIFS(Data!$AN$2:$AN$1105,Data!$AK$2:$AK$1105,1,Data!$AY$2:$AY$1105,$AN$7)</f>
        <v/>
      </c>
      <c r="AS7" s="61">
        <f>Controls!$B$43</f>
        <v/>
      </c>
      <c r="AT7" s="57">
        <f>IF(OR(AO7=0,AO7&lt;Controls!$B$20),-1000000000000000,IF(AND(Controls!$B$21="Y",$AN$7="No SIC"),-1000000000000000,IF(Controls!$B$17="Selected only",IF(AS7="Y",AP7,-1000000000000000),IF(Controls!$B$17="Top by funded $",AP7,IF(Controls!$B$17="Top by funded units",AO7,IF(Controls!$B$17="Largest principal lost $",AR7,IF(Controls!$B$17="Highest net profit $",AU7,IF(AO7&lt;Controls!$B$19,-1000000000000000,IF(Controls!$B$17="Highest principal lost rate %",AQ7,IF(Controls!$B$17="Lowest principal lost rate %",1-AQ7,AP7))))))))) +4/1000000)</f>
        <v/>
      </c>
      <c r="AU7" s="57">
        <f>SUMIFS(Data!$AM$2:$AM$1105,Data!$AK$2:$AK$1105,1,Data!$AY$2:$AY$1105,$AN$7)</f>
        <v/>
      </c>
      <c r="AV7" s="61" t="n"/>
      <c r="AW7" s="61" t="n"/>
      <c r="AX7" s="61" t="n"/>
      <c r="AY7" s="61" t="n"/>
      <c r="AZ7" s="61" t="n"/>
      <c r="BA7" s="61" t="n"/>
      <c r="BB7" s="61">
        <f>Controls!$A$43</f>
        <v/>
      </c>
      <c r="BC7" s="61">
        <f>COUNTIFS(Data!$AK$2:$AK$1105,1,Data!$AY$2:$AY$1105,$BB$7)</f>
        <v/>
      </c>
      <c r="BD7" s="57">
        <f>SUMIFS(Data!$P$2:$P$1105,Data!$AK$2:$AK$1105,1,Data!$AY$2:$AY$1105,$BB$7)</f>
        <v/>
      </c>
      <c r="BE7" s="56">
        <f>IF(COUNTIFS(Data!$AK$2:$AK$1105,1,Data!$AY$2:$AY$1105,$BB$7)&lt;Controls!$B$19,"",IFERROR(SUMIFS(Data!$AN$2:$AN$1105,Data!$AK$2:$AK$1105,1,Data!$AY$2:$AY$1105,$BB$7)/$BD$7,""))</f>
        <v/>
      </c>
      <c r="BF7" s="56">
        <f>IF(COUNTIFS(Data!$AK$2:$AK$1105,1,Data!$AY$2:$AY$1105,$BB$7)&lt;Controls!$B$19,"",IFERROR(SUMIFS(Data!$AM$2:$AM$1105,Data!$AK$2:$AK$1105,1,Data!$AY$2:$AY$1105,$BB$7)/SUMIFS(Data!$P$2:$P$1105,Data!$AK$2:$AK$1105,1,Data!$AY$2:$AY$1105,$BB$7),""))</f>
        <v/>
      </c>
      <c r="BG7" s="57">
        <f>SUMIFS(Data!$AN$2:$AN$1105,Data!$AK$2:$AK$1105,1,Data!$AY$2:$AY$1105,$BB$7)</f>
        <v/>
      </c>
      <c r="BH7" s="61" t="n"/>
      <c r="BI7" s="61" t="n"/>
      <c r="BJ7" s="61" t="n"/>
      <c r="BK7" s="56">
        <f>IF($BC$7&lt;Controls!$B$22,"",$BE$7)</f>
        <v/>
      </c>
      <c r="BL7" s="56">
        <f>IF($BC$7&lt;Controls!$B$22,"",$BF$7)</f>
        <v/>
      </c>
      <c r="BM7" s="57">
        <f>IF($BC$7&lt;Controls!$B$22,"",$BG$7)</f>
        <v/>
      </c>
      <c r="BN7" s="61" t="n"/>
      <c r="BO7" s="61" t="n"/>
      <c r="BP7" s="61" t="n"/>
      <c r="BQ7" s="64" t="n"/>
      <c r="BR7" s="61" t="n"/>
      <c r="BS7" s="61" t="n"/>
      <c r="BT7" s="61" t="n"/>
    </row>
    <row r="8" ht="15" customHeight="1" s="79">
      <c r="A8" s="61">
        <f t="array" ref="A8">IFERROR(IF(4&gt;Controls!$B$18,"",IF(LARGE(Calc!$AT$4:$AT$68,4)&lt;-100000000000000,"",INDEX(Calc!$AN$4:$AN$68,MATCH(LARGE(Calc!$AT$4:$AT$68,4),Calc!$AT$4:$AT$68,0)))),"")</f>
        <v/>
      </c>
      <c r="B8" s="66">
        <f>IF($A$8="",NA(),IFERROR(SUMIFS(Data!$P$2:$P$1105,Data!$AK$2:$AK$1105,1,Data!$AY$2:$AY$1105,$A$8),NA()))</f>
        <v/>
      </c>
      <c r="C8" s="66">
        <f>IF($A$8="",NA(),IFERROR(SUMIFS(Data!$S$2:$S$1105,Data!$AK$2:$AK$1105,1,Data!$AY$2:$AY$1105,$A$8),NA()))</f>
        <v/>
      </c>
      <c r="D8" s="66">
        <f>IF(ISNA($B$8),NA(),$C$8-$B$8)</f>
        <v/>
      </c>
      <c r="E8" s="66">
        <f>IF($A$8="",NA(),IFERROR(SUMIFS(Data!$Q$2:$Q$1105,Data!$AK$2:$AK$1105,1,Data!$AY$2:$AY$1105,$A$8),NA()))</f>
        <v/>
      </c>
      <c r="F8" s="66">
        <f>IF($A$8="",NA(),IFERROR(SUMIFS(Data!$AN$2:$AN$1105,Data!$AK$2:$AK$1105,1,Data!$AY$2:$AY$1105,$A$8),NA()))</f>
        <v/>
      </c>
      <c r="G8" s="62">
        <f>IF($A$8="",NA(),IF(COUNTIFS(Data!$AK$2:$AK$1105,1,Data!$AY$2:$AY$1105,$A$8)&lt;Controls!$B$19,NA(),IFERROR(SUMIFS(Data!$AN$2:$AN$1105,Data!$AK$2:$AK$1105,1,Data!$AY$2:$AY$1105,$A$8)/$B$8,NA())))</f>
        <v/>
      </c>
      <c r="H8" s="62">
        <f>IF($A$8="",NA(),IF(COUNTIFS(Data!$AK$2:$AK$1105,1,Data!$AY$2:$AY$1105,$A$8)&lt;Controls!$B$19,NA(),IFERROR(SUMIFS(Data!$S$2:$S$1105,Data!$AK$2:$AK$1105,1,Data!$AY$2:$AY$1105,$A$8,Data!$AH$2:$AH$1105,1)/SUMIFS(Data!$P$2:$P$1105,Data!$AK$2:$AK$1105,1,Data!$AY$2:$AY$1105,$A$8,Data!$AH$2:$AH$1105,1),NA())))</f>
        <v/>
      </c>
      <c r="I8" s="62">
        <f>IF(ISNA($J$8),NA(),IF($J$8&lt;Controls!$B$19,NA(),IFERROR($D$8/$B$8,NA())))</f>
        <v/>
      </c>
      <c r="J8" s="67">
        <f>IF($A$8="",NA(),IFERROR(COUNTIFS(Data!$AK$2:$AK$1105,1,Data!$AY$2:$AY$1105,$A$8),NA()))</f>
        <v/>
      </c>
      <c r="K8" s="62">
        <f>IF(ISNA($B$8),NA(),IFERROR($B$8/Calc!$BT$6,NA()))</f>
        <v/>
      </c>
      <c r="L8" s="66">
        <f>IF(ISNA($J$8),NA(),IF($J$8&lt;Controls!$B$19,NA(),IFERROR($B$8/$J$8,NA())))</f>
        <v/>
      </c>
      <c r="M8" s="67">
        <f>IF($A$8="",NA(),IF(COUNTIFS(Data!$AK$2:$AK$1105,1,Data!$AY$2:$AY$1105,$A$8)&lt;Controls!$B$19,NA(),IFERROR(AVERAGEIFS(Data!$AE$2:$AE$1105,Data!$AK$2:$AK$1105,1,Data!$AY$2:$AY$1105,$A$8),NA())))</f>
        <v/>
      </c>
      <c r="N8" s="67">
        <f>IF($A$8="",NA(),IF(COUNTIFS(Data!$AK$2:$AK$1105,1,Data!$AY$2:$AY$1105,$A$8)&lt;Controls!$B$19,NA(),IFERROR(AVERAGEIFS(Data!$AD$2:$AD$1105,Data!$AK$2:$AK$1105,1,Data!$AY$2:$AY$1105,$A$8),NA())))</f>
        <v/>
      </c>
      <c r="O8" s="67">
        <f>IF($A$8="",NA(),IF(COUNTIFS(Data!$AK$2:$AK$1105,1,Data!$AY$2:$AY$1105,$A$8)&lt;Controls!$B$19,NA(),IFERROR(AVERAGEIFS(Data!$AS$2:$AS$1105,Data!$AK$2:$AK$1105,1,Data!$AY$2:$AY$1105,$A$8),NA())))</f>
        <v/>
      </c>
      <c r="P8" s="67">
        <f>IF($A$8="",NA(),IF(COUNTIFS(Data!$AK$2:$AK$1105,1,Data!$AY$2:$AY$1105,$A$8)&lt;Controls!$B$19,NA(),IFERROR(AVERAGEIFS(Data!$AT$2:$AT$1105,Data!$AK$2:$AK$1105,1,Data!$AY$2:$AY$1105,$A$8),NA())))</f>
        <v/>
      </c>
      <c r="Q8" s="62">
        <f>IF($A$8="",NA(),IF(COUNTIFS(Data!$AK$2:$AK$1105,1,Data!$AY$2:$AY$1105,$A$8)&lt;Controls!$B$19,NA(),IFERROR(COUNTIFS(Data!$AK$2:$AK$1105,1,Data!$AY$2:$AY$1105,$A$8,Data!$N$2:$N$1105,"Renewal")/COUNTIFS(Data!$AK$2:$AK$1105,1,Data!$AY$2:$AY$1105,$A$8),NA())))</f>
        <v/>
      </c>
      <c r="R8" s="62">
        <f>IF($A$8="",NA(),IF(COUNTIFS(Data!$AK$2:$AK$1105,1,Data!$AY$2:$AY$1105,$A$8)&lt;Controls!$B$19,NA(),IFERROR(SUMIFS(Data!$P$2:$P$1105,Data!$AK$2:$AK$1105,1,Data!$AY$2:$AY$1105,$A$8,Data!$N$2:$N$1105,"Renewal")/SUMIFS(Data!$P$2:$P$1105,Data!$AK$2:$AK$1105,1,Data!$AY$2:$AY$1105,$A$8),NA())))</f>
        <v/>
      </c>
      <c r="S8" s="62">
        <f>IF($A$8="",NA(),Calc!$BT$2)</f>
        <v/>
      </c>
      <c r="T8" s="62">
        <f>IF($A$8="",NA(),Calc!$BT$3)</f>
        <v/>
      </c>
      <c r="U8" s="62">
        <f>IF($A$8="",NA(),Calc!$BT$4)</f>
        <v/>
      </c>
      <c r="V8" s="62">
        <f>IF($A$8="",NA(),IF(COUNTIFS(Data!$AK$2:$AK$1105,1,Data!$AY$2:$AY$1105,$A$8)&lt;Controls!$B$19,NA(),IFERROR(COUNTIFS(Data!$AK$2:$AK$1105,1,Data!$AY$2:$AY$1105,$A$8,Data!$AH$2:$AH$1105,1)/COUNTIFS(Data!$AK$2:$AK$1105,1,Data!$AY$2:$AY$1105,$A$8),NA())))</f>
        <v/>
      </c>
      <c r="W8" s="61">
        <f>IF($A$8="","",$A$8&amp;" ("&amp;$J$8&amp;")")</f>
        <v/>
      </c>
      <c r="X8" s="61" t="n"/>
      <c r="Y8" s="61" t="n"/>
      <c r="Z8" s="61" t="n"/>
      <c r="AA8" s="61" t="n"/>
      <c r="AB8" s="61" t="n"/>
      <c r="AC8" s="61" t="n"/>
      <c r="AD8" s="61" t="n"/>
      <c r="AE8" s="61" t="n"/>
      <c r="AF8" s="61" t="n"/>
      <c r="AG8" s="61" t="n"/>
      <c r="AH8" s="61" t="n"/>
      <c r="AI8" s="61" t="n"/>
      <c r="AJ8" s="61" t="n"/>
      <c r="AK8" s="61" t="n"/>
      <c r="AL8" s="61" t="n"/>
      <c r="AM8" s="61" t="n"/>
      <c r="AN8" s="61">
        <f>Controls!$A$44</f>
        <v/>
      </c>
      <c r="AO8" s="61">
        <f>COUNTIFS(Data!$AK$2:$AK$1105,1,Data!$AY$2:$AY$1105,$AN$8)</f>
        <v/>
      </c>
      <c r="AP8" s="57">
        <f>SUMIFS(Data!$P$2:$P$1105,Data!$AK$2:$AK$1105,1,Data!$AY$2:$AY$1105,$AN$8)</f>
        <v/>
      </c>
      <c r="AQ8" s="56">
        <f>IFERROR(SUMIFS(Data!$AN$2:$AN$1105,Data!$AK$2:$AK$1105,1,Data!$AY$2:$AY$1105,$AN$8)/$AP$8,0)</f>
        <v/>
      </c>
      <c r="AR8" s="57">
        <f>SUMIFS(Data!$AN$2:$AN$1105,Data!$AK$2:$AK$1105,1,Data!$AY$2:$AY$1105,$AN$8)</f>
        <v/>
      </c>
      <c r="AS8" s="61">
        <f>Controls!$B$44</f>
        <v/>
      </c>
      <c r="AT8" s="61">
        <f>IF(OR(AO8=0,AO8&lt;Controls!$B$20),-1000000000000000,IF(AND(Controls!$B$21="Y",$AN$8="No SIC"),-1000000000000000,IF(Controls!$B$17="Selected only",IF(AS8="Y",AP8,-1000000000000000),IF(Controls!$B$17="Top by funded $",AP8,IF(Controls!$B$17="Top by funded units",AO8,IF(Controls!$B$17="Largest principal lost $",AR8,IF(Controls!$B$17="Highest net profit $",AU8,IF(AO8&lt;Controls!$B$19,-1000000000000000,IF(Controls!$B$17="Highest principal lost rate %",AQ8,IF(Controls!$B$17="Lowest principal lost rate %",1-AQ8,AP8))))))))) +5/1000000)</f>
        <v/>
      </c>
      <c r="AU8" s="57">
        <f>SUMIFS(Data!$AM$2:$AM$1105,Data!$AK$2:$AK$1105,1,Data!$AY$2:$AY$1105,$AN$8)</f>
        <v/>
      </c>
      <c r="AV8" s="61" t="n"/>
      <c r="AW8" s="61" t="n"/>
      <c r="AX8" s="61" t="n"/>
      <c r="AY8" s="61" t="n"/>
      <c r="AZ8" s="61" t="n"/>
      <c r="BA8" s="61" t="n"/>
      <c r="BB8" s="61">
        <f>Controls!$A$44</f>
        <v/>
      </c>
      <c r="BC8" s="61">
        <f>COUNTIFS(Data!$AK$2:$AK$1105,1,Data!$AY$2:$AY$1105,$BB$8)</f>
        <v/>
      </c>
      <c r="BD8" s="57">
        <f>SUMIFS(Data!$P$2:$P$1105,Data!$AK$2:$AK$1105,1,Data!$AY$2:$AY$1105,$BB$8)</f>
        <v/>
      </c>
      <c r="BE8" s="56">
        <f>IF(COUNTIFS(Data!$AK$2:$AK$1105,1,Data!$AY$2:$AY$1105,$BB$8)&lt;Controls!$B$19,"",IFERROR(SUMIFS(Data!$AN$2:$AN$1105,Data!$AK$2:$AK$1105,1,Data!$AY$2:$AY$1105,$BB$8)/$BD$8,""))</f>
        <v/>
      </c>
      <c r="BF8" s="56">
        <f>IF(COUNTIFS(Data!$AK$2:$AK$1105,1,Data!$AY$2:$AY$1105,$BB$8)&lt;Controls!$B$19,"",IFERROR(SUMIFS(Data!$AM$2:$AM$1105,Data!$AK$2:$AK$1105,1,Data!$AY$2:$AY$1105,$BB$8)/SUMIFS(Data!$P$2:$P$1105,Data!$AK$2:$AK$1105,1,Data!$AY$2:$AY$1105,$BB$8),""))</f>
        <v/>
      </c>
      <c r="BG8" s="57">
        <f>SUMIFS(Data!$AN$2:$AN$1105,Data!$AK$2:$AK$1105,1,Data!$AY$2:$AY$1105,$BB$8)</f>
        <v/>
      </c>
      <c r="BH8" s="61" t="n"/>
      <c r="BI8" s="61" t="n"/>
      <c r="BJ8" s="61" t="n"/>
      <c r="BK8" s="61">
        <f>IF($BC$8&lt;Controls!$B$22,"",$BE$8)</f>
        <v/>
      </c>
      <c r="BL8" s="61">
        <f>IF($BC$8&lt;Controls!$B$22,"",$BF$8)</f>
        <v/>
      </c>
      <c r="BM8" s="61">
        <f>IF($BC$8&lt;Controls!$B$22,"",$BG$8)</f>
        <v/>
      </c>
      <c r="BN8" s="61" t="n"/>
      <c r="BO8" s="61" t="n"/>
      <c r="BP8" s="61" t="n"/>
      <c r="BQ8" s="61" t="n"/>
      <c r="BR8" s="61" t="n"/>
      <c r="BS8" s="61" t="n"/>
      <c r="BT8" s="61" t="n"/>
    </row>
    <row r="9" ht="15" customHeight="1" s="79">
      <c r="A9" s="61">
        <f t="array" ref="A9">IFERROR(IF(5&gt;Controls!$B$18,"",IF(LARGE(Calc!$AT$4:$AT$68,5)&lt;-100000000000000,"",INDEX(Calc!$AN$4:$AN$68,MATCH(LARGE(Calc!$AT$4:$AT$68,5),Calc!$AT$4:$AT$68,0)))),"")</f>
        <v/>
      </c>
      <c r="B9" s="66">
        <f>IF($A$9="",NA(),IFERROR(SUMIFS(Data!$P$2:$P$1105,Data!$AK$2:$AK$1105,1,Data!$AY$2:$AY$1105,$A$9),NA()))</f>
        <v/>
      </c>
      <c r="C9" s="66">
        <f>IF($A$9="",NA(),IFERROR(SUMIFS(Data!$S$2:$S$1105,Data!$AK$2:$AK$1105,1,Data!$AY$2:$AY$1105,$A$9),NA()))</f>
        <v/>
      </c>
      <c r="D9" s="66">
        <f>IF(ISNA($B$9),NA(),$C$9-$B$9)</f>
        <v/>
      </c>
      <c r="E9" s="66">
        <f>IF($A$9="",NA(),IFERROR(SUMIFS(Data!$Q$2:$Q$1105,Data!$AK$2:$AK$1105,1,Data!$AY$2:$AY$1105,$A$9),NA()))</f>
        <v/>
      </c>
      <c r="F9" s="66">
        <f>IF($A$9="",NA(),IFERROR(SUMIFS(Data!$AN$2:$AN$1105,Data!$AK$2:$AK$1105,1,Data!$AY$2:$AY$1105,$A$9),NA()))</f>
        <v/>
      </c>
      <c r="G9" s="62">
        <f>IF($A$9="",NA(),IF(COUNTIFS(Data!$AK$2:$AK$1105,1,Data!$AY$2:$AY$1105,$A$9)&lt;Controls!$B$19,NA(),IFERROR(SUMIFS(Data!$AN$2:$AN$1105,Data!$AK$2:$AK$1105,1,Data!$AY$2:$AY$1105,$A$9)/$B$9,NA())))</f>
        <v/>
      </c>
      <c r="H9" s="62">
        <f>IF($A$9="",NA(),IF(COUNTIFS(Data!$AK$2:$AK$1105,1,Data!$AY$2:$AY$1105,$A$9)&lt;Controls!$B$19,NA(),IFERROR(SUMIFS(Data!$S$2:$S$1105,Data!$AK$2:$AK$1105,1,Data!$AY$2:$AY$1105,$A$9,Data!$AH$2:$AH$1105,1)/SUMIFS(Data!$P$2:$P$1105,Data!$AK$2:$AK$1105,1,Data!$AY$2:$AY$1105,$A$9,Data!$AH$2:$AH$1105,1),NA())))</f>
        <v/>
      </c>
      <c r="I9" s="62">
        <f>IF(ISNA($J$9),NA(),IF($J$9&lt;Controls!$B$19,NA(),IFERROR($D$9/$B$9,NA())))</f>
        <v/>
      </c>
      <c r="J9" s="67">
        <f>IF($A$9="",NA(),IFERROR(COUNTIFS(Data!$AK$2:$AK$1105,1,Data!$AY$2:$AY$1105,$A$9),NA()))</f>
        <v/>
      </c>
      <c r="K9" s="62">
        <f>IF(ISNA($B$9),NA(),IFERROR($B$9/Calc!$BT$6,NA()))</f>
        <v/>
      </c>
      <c r="L9" s="66">
        <f>IF(ISNA($J$9),NA(),IF($J$9&lt;Controls!$B$19,NA(),IFERROR($B$9/$J$9,NA())))</f>
        <v/>
      </c>
      <c r="M9" s="67">
        <f>IF($A$9="",NA(),IF(COUNTIFS(Data!$AK$2:$AK$1105,1,Data!$AY$2:$AY$1105,$A$9)&lt;Controls!$B$19,NA(),IFERROR(AVERAGEIFS(Data!$AE$2:$AE$1105,Data!$AK$2:$AK$1105,1,Data!$AY$2:$AY$1105,$A$9),NA())))</f>
        <v/>
      </c>
      <c r="N9" s="67">
        <f>IF($A$9="",NA(),IF(COUNTIFS(Data!$AK$2:$AK$1105,1,Data!$AY$2:$AY$1105,$A$9)&lt;Controls!$B$19,NA(),IFERROR(AVERAGEIFS(Data!$AD$2:$AD$1105,Data!$AK$2:$AK$1105,1,Data!$AY$2:$AY$1105,$A$9),NA())))</f>
        <v/>
      </c>
      <c r="O9" s="67">
        <f>IF($A$9="",NA(),IF(COUNTIFS(Data!$AK$2:$AK$1105,1,Data!$AY$2:$AY$1105,$A$9)&lt;Controls!$B$19,NA(),IFERROR(AVERAGEIFS(Data!$AS$2:$AS$1105,Data!$AK$2:$AK$1105,1,Data!$AY$2:$AY$1105,$A$9),NA())))</f>
        <v/>
      </c>
      <c r="P9" s="67">
        <f>IF($A$9="",NA(),IF(COUNTIFS(Data!$AK$2:$AK$1105,1,Data!$AY$2:$AY$1105,$A$9)&lt;Controls!$B$19,NA(),IFERROR(AVERAGEIFS(Data!$AT$2:$AT$1105,Data!$AK$2:$AK$1105,1,Data!$AY$2:$AY$1105,$A$9),NA())))</f>
        <v/>
      </c>
      <c r="Q9" s="62">
        <f>IF($A$9="",NA(),IF(COUNTIFS(Data!$AK$2:$AK$1105,1,Data!$AY$2:$AY$1105,$A$9)&lt;Controls!$B$19,NA(),IFERROR(COUNTIFS(Data!$AK$2:$AK$1105,1,Data!$AY$2:$AY$1105,$A$9,Data!$N$2:$N$1105,"Renewal")/COUNTIFS(Data!$AK$2:$AK$1105,1,Data!$AY$2:$AY$1105,$A$9),NA())))</f>
        <v/>
      </c>
      <c r="R9" s="62">
        <f>IF($A$9="",NA(),IF(COUNTIFS(Data!$AK$2:$AK$1105,1,Data!$AY$2:$AY$1105,$A$9)&lt;Controls!$B$19,NA(),IFERROR(SUMIFS(Data!$P$2:$P$1105,Data!$AK$2:$AK$1105,1,Data!$AY$2:$AY$1105,$A$9,Data!$N$2:$N$1105,"Renewal")/SUMIFS(Data!$P$2:$P$1105,Data!$AK$2:$AK$1105,1,Data!$AY$2:$AY$1105,$A$9),NA())))</f>
        <v/>
      </c>
      <c r="S9" s="62">
        <f>IF($A$9="",NA(),Calc!$BT$2)</f>
        <v/>
      </c>
      <c r="T9" s="62">
        <f>IF($A$9="",NA(),Calc!$BT$3)</f>
        <v/>
      </c>
      <c r="U9" s="62">
        <f>IF($A$9="",NA(),Calc!$BT$4)</f>
        <v/>
      </c>
      <c r="V9" s="62">
        <f>IF($A$9="",NA(),IF(COUNTIFS(Data!$AK$2:$AK$1105,1,Data!$AY$2:$AY$1105,$A$9)&lt;Controls!$B$19,NA(),IFERROR(COUNTIFS(Data!$AK$2:$AK$1105,1,Data!$AY$2:$AY$1105,$A$9,Data!$AH$2:$AH$1105,1)/COUNTIFS(Data!$AK$2:$AK$1105,1,Data!$AY$2:$AY$1105,$A$9),NA())))</f>
        <v/>
      </c>
      <c r="W9" s="61">
        <f>IF($A$9="","",$A$9&amp;" ("&amp;$J$9&amp;")")</f>
        <v/>
      </c>
      <c r="X9" s="61" t="n"/>
      <c r="Y9" s="61" t="n"/>
      <c r="Z9" s="61" t="n"/>
      <c r="AA9" s="61" t="n"/>
      <c r="AB9" s="61" t="n"/>
      <c r="AC9" s="61" t="n"/>
      <c r="AD9" s="61" t="n"/>
      <c r="AE9" s="61" t="n"/>
      <c r="AF9" s="61" t="n"/>
      <c r="AG9" s="61" t="n"/>
      <c r="AH9" s="61" t="n"/>
      <c r="AI9" s="61" t="n"/>
      <c r="AJ9" s="61" t="n"/>
      <c r="AK9" s="61" t="n"/>
      <c r="AL9" s="61" t="n"/>
      <c r="AM9" s="61" t="n"/>
      <c r="AN9" s="61">
        <f>Controls!$A$45</f>
        <v/>
      </c>
      <c r="AO9" s="61">
        <f>COUNTIFS(Data!$AK$2:$AK$1105,1,Data!$AY$2:$AY$1105,$AN$9)</f>
        <v/>
      </c>
      <c r="AP9" s="57">
        <f>SUMIFS(Data!$P$2:$P$1105,Data!$AK$2:$AK$1105,1,Data!$AY$2:$AY$1105,$AN$9)</f>
        <v/>
      </c>
      <c r="AQ9" s="56">
        <f>IFERROR(SUMIFS(Data!$AN$2:$AN$1105,Data!$AK$2:$AK$1105,1,Data!$AY$2:$AY$1105,$AN$9)/$AP$9,0)</f>
        <v/>
      </c>
      <c r="AR9" s="57">
        <f>SUMIFS(Data!$AN$2:$AN$1105,Data!$AK$2:$AK$1105,1,Data!$AY$2:$AY$1105,$AN$9)</f>
        <v/>
      </c>
      <c r="AS9" s="61">
        <f>Controls!$B$45</f>
        <v/>
      </c>
      <c r="AT9" s="61">
        <f>IF(OR(AO9=0,AO9&lt;Controls!$B$20),-1000000000000000,IF(AND(Controls!$B$21="Y",$AN$9="No SIC"),-1000000000000000,IF(Controls!$B$17="Selected only",IF(AS9="Y",AP9,-1000000000000000),IF(Controls!$B$17="Top by funded $",AP9,IF(Controls!$B$17="Top by funded units",AO9,IF(Controls!$B$17="Largest principal lost $",AR9,IF(Controls!$B$17="Highest net profit $",AU9,IF(AO9&lt;Controls!$B$19,-1000000000000000,IF(Controls!$B$17="Highest principal lost rate %",AQ9,IF(Controls!$B$17="Lowest principal lost rate %",1-AQ9,AP9))))))))) +6/1000000)</f>
        <v/>
      </c>
      <c r="AU9" s="57">
        <f>SUMIFS(Data!$AM$2:$AM$1105,Data!$AK$2:$AK$1105,1,Data!$AY$2:$AY$1105,$AN$9)</f>
        <v/>
      </c>
      <c r="AV9" s="61" t="n"/>
      <c r="AW9" s="61" t="n"/>
      <c r="AX9" s="61" t="n"/>
      <c r="AY9" s="61" t="n"/>
      <c r="AZ9" s="61" t="n"/>
      <c r="BA9" s="61" t="n"/>
      <c r="BB9" s="61">
        <f>Controls!$A$45</f>
        <v/>
      </c>
      <c r="BC9" s="61">
        <f>COUNTIFS(Data!$AK$2:$AK$1105,1,Data!$AY$2:$AY$1105,$BB$9)</f>
        <v/>
      </c>
      <c r="BD9" s="57">
        <f>SUMIFS(Data!$P$2:$P$1105,Data!$AK$2:$AK$1105,1,Data!$AY$2:$AY$1105,$BB$9)</f>
        <v/>
      </c>
      <c r="BE9" s="56">
        <f>IF(COUNTIFS(Data!$AK$2:$AK$1105,1,Data!$AY$2:$AY$1105,$BB$9)&lt;Controls!$B$19,"",IFERROR(SUMIFS(Data!$AN$2:$AN$1105,Data!$AK$2:$AK$1105,1,Data!$AY$2:$AY$1105,$BB$9)/$BD$9,""))</f>
        <v/>
      </c>
      <c r="BF9" s="56">
        <f>IF(COUNTIFS(Data!$AK$2:$AK$1105,1,Data!$AY$2:$AY$1105,$BB$9)&lt;Controls!$B$19,"",IFERROR(SUMIFS(Data!$AM$2:$AM$1105,Data!$AK$2:$AK$1105,1,Data!$AY$2:$AY$1105,$BB$9)/SUMIFS(Data!$P$2:$P$1105,Data!$AK$2:$AK$1105,1,Data!$AY$2:$AY$1105,$BB$9),""))</f>
        <v/>
      </c>
      <c r="BG9" s="57">
        <f>SUMIFS(Data!$AN$2:$AN$1105,Data!$AK$2:$AK$1105,1,Data!$AY$2:$AY$1105,$BB$9)</f>
        <v/>
      </c>
      <c r="BH9" s="61" t="n"/>
      <c r="BI9" s="61" t="n"/>
      <c r="BJ9" s="61" t="n"/>
      <c r="BK9" s="56">
        <f>IF($BC$9&lt;Controls!$B$22,"",$BE$9)</f>
        <v/>
      </c>
      <c r="BL9" s="56">
        <f>IF($BC$9&lt;Controls!$B$22,"",$BF$9)</f>
        <v/>
      </c>
      <c r="BM9" s="57">
        <f>IF($BC$9&lt;Controls!$B$22,"",$BG$9)</f>
        <v/>
      </c>
      <c r="BN9" s="61" t="n"/>
      <c r="BO9" s="61" t="n"/>
      <c r="BP9" s="61" t="n"/>
      <c r="BQ9" s="64" t="n"/>
      <c r="BR9" s="61" t="n"/>
      <c r="BS9" s="61" t="n"/>
      <c r="BT9" s="61" t="n"/>
    </row>
    <row r="10" ht="15" customHeight="1" s="79">
      <c r="A10" s="61">
        <f t="array" ref="A10">IFERROR(IF(6&gt;Controls!$B$18,"",IF(LARGE(Calc!$AT$4:$AT$68,6)&lt;-100000000000000,"",INDEX(Calc!$AN$4:$AN$68,MATCH(LARGE(Calc!$AT$4:$AT$68,6),Calc!$AT$4:$AT$68,0)))),"")</f>
        <v/>
      </c>
      <c r="B10" s="66">
        <f>IF($A$10="",NA(),IFERROR(SUMIFS(Data!$P$2:$P$1105,Data!$AK$2:$AK$1105,1,Data!$AY$2:$AY$1105,$A$10),NA()))</f>
        <v/>
      </c>
      <c r="C10" s="66">
        <f>IF($A$10="",NA(),IFERROR(SUMIFS(Data!$S$2:$S$1105,Data!$AK$2:$AK$1105,1,Data!$AY$2:$AY$1105,$A$10),NA()))</f>
        <v/>
      </c>
      <c r="D10" s="66">
        <f>IF(ISNA($B$10),NA(),$C$10-$B$10)</f>
        <v/>
      </c>
      <c r="E10" s="66">
        <f>IF($A$10="",NA(),IFERROR(SUMIFS(Data!$Q$2:$Q$1105,Data!$AK$2:$AK$1105,1,Data!$AY$2:$AY$1105,$A$10),NA()))</f>
        <v/>
      </c>
      <c r="F10" s="66">
        <f>IF($A$10="",NA(),IFERROR(SUMIFS(Data!$AN$2:$AN$1105,Data!$AK$2:$AK$1105,1,Data!$AY$2:$AY$1105,$A$10),NA()))</f>
        <v/>
      </c>
      <c r="G10" s="62">
        <f>IF($A$10="",NA(),IF(COUNTIFS(Data!$AK$2:$AK$1105,1,Data!$AY$2:$AY$1105,$A$10)&lt;Controls!$B$19,NA(),IFERROR(SUMIFS(Data!$AN$2:$AN$1105,Data!$AK$2:$AK$1105,1,Data!$AY$2:$AY$1105,$A$10)/$B$10,NA())))</f>
        <v/>
      </c>
      <c r="H10" s="62">
        <f>IF($A$10="",NA(),IF(COUNTIFS(Data!$AK$2:$AK$1105,1,Data!$AY$2:$AY$1105,$A$10)&lt;Controls!$B$19,NA(),IFERROR(SUMIFS(Data!$S$2:$S$1105,Data!$AK$2:$AK$1105,1,Data!$AY$2:$AY$1105,$A$10,Data!$AH$2:$AH$1105,1)/SUMIFS(Data!$P$2:$P$1105,Data!$AK$2:$AK$1105,1,Data!$AY$2:$AY$1105,$A$10,Data!$AH$2:$AH$1105,1),NA())))</f>
        <v/>
      </c>
      <c r="I10" s="62">
        <f>IF(ISNA($J$10),NA(),IF($J$10&lt;Controls!$B$19,NA(),IFERROR($D$10/$B$10,NA())))</f>
        <v/>
      </c>
      <c r="J10" s="67">
        <f>IF($A$10="",NA(),IFERROR(COUNTIFS(Data!$AK$2:$AK$1105,1,Data!$AY$2:$AY$1105,$A$10),NA()))</f>
        <v/>
      </c>
      <c r="K10" s="62">
        <f>IF(ISNA($B$10),NA(),IFERROR($B$10/Calc!$BT$6,NA()))</f>
        <v/>
      </c>
      <c r="L10" s="66">
        <f>IF(ISNA($J$10),NA(),IF($J$10&lt;Controls!$B$19,NA(),IFERROR($B$10/$J$10,NA())))</f>
        <v/>
      </c>
      <c r="M10" s="67">
        <f>IF($A$10="",NA(),IF(COUNTIFS(Data!$AK$2:$AK$1105,1,Data!$AY$2:$AY$1105,$A$10)&lt;Controls!$B$19,NA(),IFERROR(AVERAGEIFS(Data!$AE$2:$AE$1105,Data!$AK$2:$AK$1105,1,Data!$AY$2:$AY$1105,$A$10),NA())))</f>
        <v/>
      </c>
      <c r="N10" s="67">
        <f>IF($A$10="",NA(),IF(COUNTIFS(Data!$AK$2:$AK$1105,1,Data!$AY$2:$AY$1105,$A$10)&lt;Controls!$B$19,NA(),IFERROR(AVERAGEIFS(Data!$AD$2:$AD$1105,Data!$AK$2:$AK$1105,1,Data!$AY$2:$AY$1105,$A$10),NA())))</f>
        <v/>
      </c>
      <c r="O10" s="67">
        <f>IF($A$10="",NA(),IF(COUNTIFS(Data!$AK$2:$AK$1105,1,Data!$AY$2:$AY$1105,$A$10)&lt;Controls!$B$19,NA(),IFERROR(AVERAGEIFS(Data!$AS$2:$AS$1105,Data!$AK$2:$AK$1105,1,Data!$AY$2:$AY$1105,$A$10),NA())))</f>
        <v/>
      </c>
      <c r="P10" s="67">
        <f>IF($A$10="",NA(),IF(COUNTIFS(Data!$AK$2:$AK$1105,1,Data!$AY$2:$AY$1105,$A$10)&lt;Controls!$B$19,NA(),IFERROR(AVERAGEIFS(Data!$AT$2:$AT$1105,Data!$AK$2:$AK$1105,1,Data!$AY$2:$AY$1105,$A$10),NA())))</f>
        <v/>
      </c>
      <c r="Q10" s="62">
        <f>IF($A$10="",NA(),IF(COUNTIFS(Data!$AK$2:$AK$1105,1,Data!$AY$2:$AY$1105,$A$10)&lt;Controls!$B$19,NA(),IFERROR(COUNTIFS(Data!$AK$2:$AK$1105,1,Data!$AY$2:$AY$1105,$A$10,Data!$N$2:$N$1105,"Renewal")/COUNTIFS(Data!$AK$2:$AK$1105,1,Data!$AY$2:$AY$1105,$A$10),NA())))</f>
        <v/>
      </c>
      <c r="R10" s="62">
        <f>IF($A$10="",NA(),IF(COUNTIFS(Data!$AK$2:$AK$1105,1,Data!$AY$2:$AY$1105,$A$10)&lt;Controls!$B$19,NA(),IFERROR(SUMIFS(Data!$P$2:$P$1105,Data!$AK$2:$AK$1105,1,Data!$AY$2:$AY$1105,$A$10,Data!$N$2:$N$1105,"Renewal")/SUMIFS(Data!$P$2:$P$1105,Data!$AK$2:$AK$1105,1,Data!$AY$2:$AY$1105,$A$10),NA())))</f>
        <v/>
      </c>
      <c r="S10" s="62">
        <f>IF($A$10="",NA(),Calc!$BT$2)</f>
        <v/>
      </c>
      <c r="T10" s="62">
        <f>IF($A$10="",NA(),Calc!$BT$3)</f>
        <v/>
      </c>
      <c r="U10" s="62">
        <f>IF($A$10="",NA(),Calc!$BT$4)</f>
        <v/>
      </c>
      <c r="V10" s="62">
        <f>IF($A$10="",NA(),IF(COUNTIFS(Data!$AK$2:$AK$1105,1,Data!$AY$2:$AY$1105,$A$10)&lt;Controls!$B$19,NA(),IFERROR(COUNTIFS(Data!$AK$2:$AK$1105,1,Data!$AY$2:$AY$1105,$A$10,Data!$AH$2:$AH$1105,1)/COUNTIFS(Data!$AK$2:$AK$1105,1,Data!$AY$2:$AY$1105,$A$10),NA())))</f>
        <v/>
      </c>
      <c r="W10" s="61">
        <f>IF($A$10="","",$A$10&amp;" ("&amp;$J$10&amp;")")</f>
        <v/>
      </c>
      <c r="X10" s="61" t="n"/>
      <c r="Y10" s="61" t="n"/>
      <c r="Z10" s="61" t="n"/>
      <c r="AA10" s="61" t="n"/>
      <c r="AB10" s="61" t="n"/>
      <c r="AC10" s="61" t="n"/>
      <c r="AD10" s="61" t="n"/>
      <c r="AE10" s="61" t="n"/>
      <c r="AF10" s="61" t="n"/>
      <c r="AG10" s="61" t="n"/>
      <c r="AH10" s="61" t="n"/>
      <c r="AI10" s="61" t="n"/>
      <c r="AJ10" s="61" t="n"/>
      <c r="AK10" s="61" t="n"/>
      <c r="AL10" s="61" t="n"/>
      <c r="AM10" s="61" t="n"/>
      <c r="AN10" s="61">
        <f>Controls!$A$46</f>
        <v/>
      </c>
      <c r="AO10" s="61">
        <f>COUNTIFS(Data!$AK$2:$AK$1105,1,Data!$AY$2:$AY$1105,$AN$10)</f>
        <v/>
      </c>
      <c r="AP10" s="57">
        <f>SUMIFS(Data!$P$2:$P$1105,Data!$AK$2:$AK$1105,1,Data!$AY$2:$AY$1105,$AN$10)</f>
        <v/>
      </c>
      <c r="AQ10" s="56">
        <f>IFERROR(SUMIFS(Data!$AN$2:$AN$1105,Data!$AK$2:$AK$1105,1,Data!$AY$2:$AY$1105,$AN$10)/$AP$10,0)</f>
        <v/>
      </c>
      <c r="AR10" s="57">
        <f>SUMIFS(Data!$AN$2:$AN$1105,Data!$AK$2:$AK$1105,1,Data!$AY$2:$AY$1105,$AN$10)</f>
        <v/>
      </c>
      <c r="AS10" s="61">
        <f>Controls!$B$46</f>
        <v/>
      </c>
      <c r="AT10" s="61">
        <f>IF(OR(AO10=0,AO10&lt;Controls!$B$20),-1000000000000000,IF(AND(Controls!$B$21="Y",$AN$10="No SIC"),-1000000000000000,IF(Controls!$B$17="Selected only",IF(AS10="Y",AP10,-1000000000000000),IF(Controls!$B$17="Top by funded $",AP10,IF(Controls!$B$17="Top by funded units",AO10,IF(Controls!$B$17="Largest principal lost $",AR10,IF(Controls!$B$17="Highest net profit $",AU10,IF(AO10&lt;Controls!$B$19,-1000000000000000,IF(Controls!$B$17="Highest principal lost rate %",AQ10,IF(Controls!$B$17="Lowest principal lost rate %",1-AQ10,AP10))))))))) +7/1000000)</f>
        <v/>
      </c>
      <c r="AU10" s="57">
        <f>SUMIFS(Data!$AM$2:$AM$1105,Data!$AK$2:$AK$1105,1,Data!$AY$2:$AY$1105,$AN$10)</f>
        <v/>
      </c>
      <c r="AV10" s="61" t="n"/>
      <c r="AW10" s="61" t="n"/>
      <c r="AX10" s="61" t="n"/>
      <c r="AY10" s="61" t="n"/>
      <c r="AZ10" s="61" t="n"/>
      <c r="BA10" s="61" t="n"/>
      <c r="BB10" s="61">
        <f>Controls!$A$46</f>
        <v/>
      </c>
      <c r="BC10" s="61">
        <f>COUNTIFS(Data!$AK$2:$AK$1105,1,Data!$AY$2:$AY$1105,$BB$10)</f>
        <v/>
      </c>
      <c r="BD10" s="57">
        <f>SUMIFS(Data!$P$2:$P$1105,Data!$AK$2:$AK$1105,1,Data!$AY$2:$AY$1105,$BB$10)</f>
        <v/>
      </c>
      <c r="BE10" s="56">
        <f>IF(COUNTIFS(Data!$AK$2:$AK$1105,1,Data!$AY$2:$AY$1105,$BB$10)&lt;Controls!$B$19,"",IFERROR(SUMIFS(Data!$AN$2:$AN$1105,Data!$AK$2:$AK$1105,1,Data!$AY$2:$AY$1105,$BB$10)/$BD$10,""))</f>
        <v/>
      </c>
      <c r="BF10" s="56">
        <f>IF(COUNTIFS(Data!$AK$2:$AK$1105,1,Data!$AY$2:$AY$1105,$BB$10)&lt;Controls!$B$19,"",IFERROR(SUMIFS(Data!$AM$2:$AM$1105,Data!$AK$2:$AK$1105,1,Data!$AY$2:$AY$1105,$BB$10)/SUMIFS(Data!$P$2:$P$1105,Data!$AK$2:$AK$1105,1,Data!$AY$2:$AY$1105,$BB$10),""))</f>
        <v/>
      </c>
      <c r="BG10" s="57">
        <f>SUMIFS(Data!$AN$2:$AN$1105,Data!$AK$2:$AK$1105,1,Data!$AY$2:$AY$1105,$BB$10)</f>
        <v/>
      </c>
      <c r="BH10" s="61" t="n"/>
      <c r="BI10" s="61" t="n"/>
      <c r="BJ10" s="61" t="n"/>
      <c r="BK10" s="61">
        <f>IF($BC$10&lt;Controls!$B$22,"",$BE$10)</f>
        <v/>
      </c>
      <c r="BL10" s="61">
        <f>IF($BC$10&lt;Controls!$B$22,"",$BF$10)</f>
        <v/>
      </c>
      <c r="BM10" s="61">
        <f>IF($BC$10&lt;Controls!$B$22,"",$BG$10)</f>
        <v/>
      </c>
      <c r="BN10" s="61" t="n"/>
      <c r="BO10" s="61" t="n"/>
      <c r="BP10" s="61" t="n"/>
      <c r="BQ10" s="61" t="n"/>
      <c r="BR10" s="61" t="n"/>
      <c r="BS10" s="61" t="n"/>
      <c r="BT10" s="61" t="n"/>
    </row>
    <row r="11" ht="15" customHeight="1" s="79">
      <c r="A11" s="61">
        <f t="array" ref="A11">IFERROR(IF(7&gt;Controls!$B$18,"",IF(LARGE(Calc!$AT$4:$AT$68,7)&lt;-100000000000000,"",INDEX(Calc!$AN$4:$AN$68,MATCH(LARGE(Calc!$AT$4:$AT$68,7),Calc!$AT$4:$AT$68,0)))),"")</f>
        <v/>
      </c>
      <c r="B11" s="66">
        <f>IF($A$11="",NA(),IFERROR(SUMIFS(Data!$P$2:$P$1105,Data!$AK$2:$AK$1105,1,Data!$AY$2:$AY$1105,$A$11),NA()))</f>
        <v/>
      </c>
      <c r="C11" s="66">
        <f>IF($A$11="",NA(),IFERROR(SUMIFS(Data!$S$2:$S$1105,Data!$AK$2:$AK$1105,1,Data!$AY$2:$AY$1105,$A$11),NA()))</f>
        <v/>
      </c>
      <c r="D11" s="66">
        <f>IF(ISNA($B$11),NA(),$C$11-$B$11)</f>
        <v/>
      </c>
      <c r="E11" s="66">
        <f>IF($A$11="",NA(),IFERROR(SUMIFS(Data!$Q$2:$Q$1105,Data!$AK$2:$AK$1105,1,Data!$AY$2:$AY$1105,$A$11),NA()))</f>
        <v/>
      </c>
      <c r="F11" s="66">
        <f>IF($A$11="",NA(),IFERROR(SUMIFS(Data!$AN$2:$AN$1105,Data!$AK$2:$AK$1105,1,Data!$AY$2:$AY$1105,$A$11),NA()))</f>
        <v/>
      </c>
      <c r="G11" s="62">
        <f>IF($A$11="",NA(),IF(COUNTIFS(Data!$AK$2:$AK$1105,1,Data!$AY$2:$AY$1105,$A$11)&lt;Controls!$B$19,NA(),IFERROR(SUMIFS(Data!$AN$2:$AN$1105,Data!$AK$2:$AK$1105,1,Data!$AY$2:$AY$1105,$A$11)/$B$11,NA())))</f>
        <v/>
      </c>
      <c r="H11" s="62">
        <f>IF($A$11="",NA(),IF(COUNTIFS(Data!$AK$2:$AK$1105,1,Data!$AY$2:$AY$1105,$A$11)&lt;Controls!$B$19,NA(),IFERROR(SUMIFS(Data!$S$2:$S$1105,Data!$AK$2:$AK$1105,1,Data!$AY$2:$AY$1105,$A$11,Data!$AH$2:$AH$1105,1)/SUMIFS(Data!$P$2:$P$1105,Data!$AK$2:$AK$1105,1,Data!$AY$2:$AY$1105,$A$11,Data!$AH$2:$AH$1105,1),NA())))</f>
        <v/>
      </c>
      <c r="I11" s="62">
        <f>IF(ISNA($J$11),NA(),IF($J$11&lt;Controls!$B$19,NA(),IFERROR($D$11/$B$11,NA())))</f>
        <v/>
      </c>
      <c r="J11" s="67">
        <f>IF($A$11="",NA(),IFERROR(COUNTIFS(Data!$AK$2:$AK$1105,1,Data!$AY$2:$AY$1105,$A$11),NA()))</f>
        <v/>
      </c>
      <c r="K11" s="62">
        <f>IF(ISNA($B$11),NA(),IFERROR($B$11/Calc!$BT$6,NA()))</f>
        <v/>
      </c>
      <c r="L11" s="66">
        <f>IF(ISNA($J$11),NA(),IF($J$11&lt;Controls!$B$19,NA(),IFERROR($B$11/$J$11,NA())))</f>
        <v/>
      </c>
      <c r="M11" s="67">
        <f>IF($A$11="",NA(),IF(COUNTIFS(Data!$AK$2:$AK$1105,1,Data!$AY$2:$AY$1105,$A$11)&lt;Controls!$B$19,NA(),IFERROR(AVERAGEIFS(Data!$AE$2:$AE$1105,Data!$AK$2:$AK$1105,1,Data!$AY$2:$AY$1105,$A$11),NA())))</f>
        <v/>
      </c>
      <c r="N11" s="67">
        <f>IF($A$11="",NA(),IF(COUNTIFS(Data!$AK$2:$AK$1105,1,Data!$AY$2:$AY$1105,$A$11)&lt;Controls!$B$19,NA(),IFERROR(AVERAGEIFS(Data!$AD$2:$AD$1105,Data!$AK$2:$AK$1105,1,Data!$AY$2:$AY$1105,$A$11),NA())))</f>
        <v/>
      </c>
      <c r="O11" s="67">
        <f>IF($A$11="",NA(),IF(COUNTIFS(Data!$AK$2:$AK$1105,1,Data!$AY$2:$AY$1105,$A$11)&lt;Controls!$B$19,NA(),IFERROR(AVERAGEIFS(Data!$AS$2:$AS$1105,Data!$AK$2:$AK$1105,1,Data!$AY$2:$AY$1105,$A$11),NA())))</f>
        <v/>
      </c>
      <c r="P11" s="67">
        <f>IF($A$11="",NA(),IF(COUNTIFS(Data!$AK$2:$AK$1105,1,Data!$AY$2:$AY$1105,$A$11)&lt;Controls!$B$19,NA(),IFERROR(AVERAGEIFS(Data!$AT$2:$AT$1105,Data!$AK$2:$AK$1105,1,Data!$AY$2:$AY$1105,$A$11),NA())))</f>
        <v/>
      </c>
      <c r="Q11" s="62">
        <f>IF($A$11="",NA(),IF(COUNTIFS(Data!$AK$2:$AK$1105,1,Data!$AY$2:$AY$1105,$A$11)&lt;Controls!$B$19,NA(),IFERROR(COUNTIFS(Data!$AK$2:$AK$1105,1,Data!$AY$2:$AY$1105,$A$11,Data!$N$2:$N$1105,"Renewal")/COUNTIFS(Data!$AK$2:$AK$1105,1,Data!$AY$2:$AY$1105,$A$11),NA())))</f>
        <v/>
      </c>
      <c r="R11" s="62">
        <f>IF($A$11="",NA(),IF(COUNTIFS(Data!$AK$2:$AK$1105,1,Data!$AY$2:$AY$1105,$A$11)&lt;Controls!$B$19,NA(),IFERROR(SUMIFS(Data!$P$2:$P$1105,Data!$AK$2:$AK$1105,1,Data!$AY$2:$AY$1105,$A$11,Data!$N$2:$N$1105,"Renewal")/SUMIFS(Data!$P$2:$P$1105,Data!$AK$2:$AK$1105,1,Data!$AY$2:$AY$1105,$A$11),NA())))</f>
        <v/>
      </c>
      <c r="S11" s="62">
        <f>IF($A$11="",NA(),Calc!$BT$2)</f>
        <v/>
      </c>
      <c r="T11" s="62">
        <f>IF($A$11="",NA(),Calc!$BT$3)</f>
        <v/>
      </c>
      <c r="U11" s="62">
        <f>IF($A$11="",NA(),Calc!$BT$4)</f>
        <v/>
      </c>
      <c r="V11" s="62">
        <f>IF($A$11="",NA(),IF(COUNTIFS(Data!$AK$2:$AK$1105,1,Data!$AY$2:$AY$1105,$A$11)&lt;Controls!$B$19,NA(),IFERROR(COUNTIFS(Data!$AK$2:$AK$1105,1,Data!$AY$2:$AY$1105,$A$11,Data!$AH$2:$AH$1105,1)/COUNTIFS(Data!$AK$2:$AK$1105,1,Data!$AY$2:$AY$1105,$A$11),NA())))</f>
        <v/>
      </c>
      <c r="W11" s="61">
        <f>IF($A$11="","",$A$11&amp;" ("&amp;$J$11&amp;")")</f>
        <v/>
      </c>
      <c r="X11" s="61" t="n"/>
      <c r="Y11" s="61" t="n"/>
      <c r="Z11" s="61" t="n"/>
      <c r="AA11" s="61" t="n"/>
      <c r="AB11" s="61" t="n"/>
      <c r="AC11" s="61" t="n"/>
      <c r="AD11" s="61" t="n"/>
      <c r="AE11" s="61" t="n"/>
      <c r="AF11" s="61" t="n"/>
      <c r="AG11" s="61" t="n"/>
      <c r="AH11" s="61" t="n"/>
      <c r="AI11" s="61" t="n"/>
      <c r="AJ11" s="61" t="n"/>
      <c r="AK11" s="61" t="n"/>
      <c r="AL11" s="61" t="n"/>
      <c r="AM11" s="61" t="n"/>
      <c r="AN11" s="61">
        <f>Controls!$A$47</f>
        <v/>
      </c>
      <c r="AO11" s="61">
        <f>COUNTIFS(Data!$AK$2:$AK$1105,1,Data!$AY$2:$AY$1105,$AN$11)</f>
        <v/>
      </c>
      <c r="AP11" s="57">
        <f>SUMIFS(Data!$P$2:$P$1105,Data!$AK$2:$AK$1105,1,Data!$AY$2:$AY$1105,$AN$11)</f>
        <v/>
      </c>
      <c r="AQ11" s="56">
        <f>IFERROR(SUMIFS(Data!$AN$2:$AN$1105,Data!$AK$2:$AK$1105,1,Data!$AY$2:$AY$1105,$AN$11)/$AP$11,0)</f>
        <v/>
      </c>
      <c r="AR11" s="57">
        <f>SUMIFS(Data!$AN$2:$AN$1105,Data!$AK$2:$AK$1105,1,Data!$AY$2:$AY$1105,$AN$11)</f>
        <v/>
      </c>
      <c r="AS11" s="61">
        <f>Controls!$B$47</f>
        <v/>
      </c>
      <c r="AT11" s="61">
        <f>IF(OR(AO11=0,AO11&lt;Controls!$B$20),-1000000000000000,IF(AND(Controls!$B$21="Y",$AN$11="No SIC"),-1000000000000000,IF(Controls!$B$17="Selected only",IF(AS11="Y",AP11,-1000000000000000),IF(Controls!$B$17="Top by funded $",AP11,IF(Controls!$B$17="Top by funded units",AO11,IF(Controls!$B$17="Largest principal lost $",AR11,IF(Controls!$B$17="Highest net profit $",AU11,IF(AO11&lt;Controls!$B$19,-1000000000000000,IF(Controls!$B$17="Highest principal lost rate %",AQ11,IF(Controls!$B$17="Lowest principal lost rate %",1-AQ11,AP11))))))))) +8/1000000)</f>
        <v/>
      </c>
      <c r="AU11" s="57">
        <f>SUMIFS(Data!$AM$2:$AM$1105,Data!$AK$2:$AK$1105,1,Data!$AY$2:$AY$1105,$AN$11)</f>
        <v/>
      </c>
      <c r="AV11" s="61" t="n"/>
      <c r="AW11" s="61" t="n"/>
      <c r="AX11" s="61" t="n"/>
      <c r="AY11" s="61" t="n"/>
      <c r="AZ11" s="61" t="n"/>
      <c r="BA11" s="61" t="n"/>
      <c r="BB11" s="61">
        <f>Controls!$A$47</f>
        <v/>
      </c>
      <c r="BC11" s="61">
        <f>COUNTIFS(Data!$AK$2:$AK$1105,1,Data!$AY$2:$AY$1105,$BB$11)</f>
        <v/>
      </c>
      <c r="BD11" s="57">
        <f>SUMIFS(Data!$P$2:$P$1105,Data!$AK$2:$AK$1105,1,Data!$AY$2:$AY$1105,$BB$11)</f>
        <v/>
      </c>
      <c r="BE11" s="56">
        <f>IF(COUNTIFS(Data!$AK$2:$AK$1105,1,Data!$AY$2:$AY$1105,$BB$11)&lt;Controls!$B$19,"",IFERROR(SUMIFS(Data!$AN$2:$AN$1105,Data!$AK$2:$AK$1105,1,Data!$AY$2:$AY$1105,$BB$11)/$BD$11,""))</f>
        <v/>
      </c>
      <c r="BF11" s="56">
        <f>IF(COUNTIFS(Data!$AK$2:$AK$1105,1,Data!$AY$2:$AY$1105,$BB$11)&lt;Controls!$B$19,"",IFERROR(SUMIFS(Data!$AM$2:$AM$1105,Data!$AK$2:$AK$1105,1,Data!$AY$2:$AY$1105,$BB$11)/SUMIFS(Data!$P$2:$P$1105,Data!$AK$2:$AK$1105,1,Data!$AY$2:$AY$1105,$BB$11),""))</f>
        <v/>
      </c>
      <c r="BG11" s="57">
        <f>SUMIFS(Data!$AN$2:$AN$1105,Data!$AK$2:$AK$1105,1,Data!$AY$2:$AY$1105,$BB$11)</f>
        <v/>
      </c>
      <c r="BH11" s="61" t="n"/>
      <c r="BI11" s="61" t="n"/>
      <c r="BJ11" s="61" t="n"/>
      <c r="BK11" s="61">
        <f>IF($BC$11&lt;Controls!$B$22,"",$BE$11)</f>
        <v/>
      </c>
      <c r="BL11" s="61">
        <f>IF($BC$11&lt;Controls!$B$22,"",$BF$11)</f>
        <v/>
      </c>
      <c r="BM11" s="61">
        <f>IF($BC$11&lt;Controls!$B$22,"",$BG$11)</f>
        <v/>
      </c>
      <c r="BN11" s="61" t="n"/>
      <c r="BO11" s="61" t="n"/>
      <c r="BP11" s="61" t="n"/>
      <c r="BQ11" s="64" t="n"/>
      <c r="BR11" s="61" t="n"/>
      <c r="BS11" s="61" t="n"/>
      <c r="BT11" s="61" t="n"/>
    </row>
    <row r="12" ht="15" customHeight="1" s="79">
      <c r="A12" s="61">
        <f t="array" ref="A12">IFERROR(IF(8&gt;Controls!$B$18,"",IF(LARGE(Calc!$AT$4:$AT$68,8)&lt;-100000000000000,"",INDEX(Calc!$AN$4:$AN$68,MATCH(LARGE(Calc!$AT$4:$AT$68,8),Calc!$AT$4:$AT$68,0)))),"")</f>
        <v/>
      </c>
      <c r="B12" s="66">
        <f>IF($A$12="",NA(),IFERROR(SUMIFS(Data!$P$2:$P$1105,Data!$AK$2:$AK$1105,1,Data!$AY$2:$AY$1105,$A$12),NA()))</f>
        <v/>
      </c>
      <c r="C12" s="66">
        <f>IF($A$12="",NA(),IFERROR(SUMIFS(Data!$S$2:$S$1105,Data!$AK$2:$AK$1105,1,Data!$AY$2:$AY$1105,$A$12),NA()))</f>
        <v/>
      </c>
      <c r="D12" s="66">
        <f>IF(ISNA($B$12),NA(),$C$12-$B$12)</f>
        <v/>
      </c>
      <c r="E12" s="66">
        <f>IF($A$12="",NA(),IFERROR(SUMIFS(Data!$Q$2:$Q$1105,Data!$AK$2:$AK$1105,1,Data!$AY$2:$AY$1105,$A$12),NA()))</f>
        <v/>
      </c>
      <c r="F12" s="66">
        <f>IF($A$12="",NA(),IFERROR(SUMIFS(Data!$AN$2:$AN$1105,Data!$AK$2:$AK$1105,1,Data!$AY$2:$AY$1105,$A$12),NA()))</f>
        <v/>
      </c>
      <c r="G12" s="62">
        <f>IF($A$12="",NA(),IF(COUNTIFS(Data!$AK$2:$AK$1105,1,Data!$AY$2:$AY$1105,$A$12)&lt;Controls!$B$19,NA(),IFERROR(SUMIFS(Data!$AN$2:$AN$1105,Data!$AK$2:$AK$1105,1,Data!$AY$2:$AY$1105,$A$12)/$B$12,NA())))</f>
        <v/>
      </c>
      <c r="H12" s="62">
        <f>IF($A$12="",NA(),IF(COUNTIFS(Data!$AK$2:$AK$1105,1,Data!$AY$2:$AY$1105,$A$12)&lt;Controls!$B$19,NA(),IFERROR(SUMIFS(Data!$S$2:$S$1105,Data!$AK$2:$AK$1105,1,Data!$AY$2:$AY$1105,$A$12,Data!$AH$2:$AH$1105,1)/SUMIFS(Data!$P$2:$P$1105,Data!$AK$2:$AK$1105,1,Data!$AY$2:$AY$1105,$A$12,Data!$AH$2:$AH$1105,1),NA())))</f>
        <v/>
      </c>
      <c r="I12" s="62">
        <f>IF(ISNA($J$12),NA(),IF($J$12&lt;Controls!$B$19,NA(),IFERROR($D$12/$B$12,NA())))</f>
        <v/>
      </c>
      <c r="J12" s="67">
        <f>IF($A$12="",NA(),IFERROR(COUNTIFS(Data!$AK$2:$AK$1105,1,Data!$AY$2:$AY$1105,$A$12),NA()))</f>
        <v/>
      </c>
      <c r="K12" s="62">
        <f>IF(ISNA($B$12),NA(),IFERROR($B$12/Calc!$BT$6,NA()))</f>
        <v/>
      </c>
      <c r="L12" s="66">
        <f>IF(ISNA($J$12),NA(),IF($J$12&lt;Controls!$B$19,NA(),IFERROR($B$12/$J$12,NA())))</f>
        <v/>
      </c>
      <c r="M12" s="67">
        <f>IF($A$12="",NA(),IF(COUNTIFS(Data!$AK$2:$AK$1105,1,Data!$AY$2:$AY$1105,$A$12)&lt;Controls!$B$19,NA(),IFERROR(AVERAGEIFS(Data!$AE$2:$AE$1105,Data!$AK$2:$AK$1105,1,Data!$AY$2:$AY$1105,$A$12),NA())))</f>
        <v/>
      </c>
      <c r="N12" s="67">
        <f>IF($A$12="",NA(),IF(COUNTIFS(Data!$AK$2:$AK$1105,1,Data!$AY$2:$AY$1105,$A$12)&lt;Controls!$B$19,NA(),IFERROR(AVERAGEIFS(Data!$AD$2:$AD$1105,Data!$AK$2:$AK$1105,1,Data!$AY$2:$AY$1105,$A$12),NA())))</f>
        <v/>
      </c>
      <c r="O12" s="67">
        <f>IF($A$12="",NA(),IF(COUNTIFS(Data!$AK$2:$AK$1105,1,Data!$AY$2:$AY$1105,$A$12)&lt;Controls!$B$19,NA(),IFERROR(AVERAGEIFS(Data!$AS$2:$AS$1105,Data!$AK$2:$AK$1105,1,Data!$AY$2:$AY$1105,$A$12),NA())))</f>
        <v/>
      </c>
      <c r="P12" s="67">
        <f>IF($A$12="",NA(),IF(COUNTIFS(Data!$AK$2:$AK$1105,1,Data!$AY$2:$AY$1105,$A$12)&lt;Controls!$B$19,NA(),IFERROR(AVERAGEIFS(Data!$AT$2:$AT$1105,Data!$AK$2:$AK$1105,1,Data!$AY$2:$AY$1105,$A$12),NA())))</f>
        <v/>
      </c>
      <c r="Q12" s="62">
        <f>IF($A$12="",NA(),IF(COUNTIFS(Data!$AK$2:$AK$1105,1,Data!$AY$2:$AY$1105,$A$12)&lt;Controls!$B$19,NA(),IFERROR(COUNTIFS(Data!$AK$2:$AK$1105,1,Data!$AY$2:$AY$1105,$A$12,Data!$N$2:$N$1105,"Renewal")/COUNTIFS(Data!$AK$2:$AK$1105,1,Data!$AY$2:$AY$1105,$A$12),NA())))</f>
        <v/>
      </c>
      <c r="R12" s="62">
        <f>IF($A$12="",NA(),IF(COUNTIFS(Data!$AK$2:$AK$1105,1,Data!$AY$2:$AY$1105,$A$12)&lt;Controls!$B$19,NA(),IFERROR(SUMIFS(Data!$P$2:$P$1105,Data!$AK$2:$AK$1105,1,Data!$AY$2:$AY$1105,$A$12,Data!$N$2:$N$1105,"Renewal")/SUMIFS(Data!$P$2:$P$1105,Data!$AK$2:$AK$1105,1,Data!$AY$2:$AY$1105,$A$12),NA())))</f>
        <v/>
      </c>
      <c r="S12" s="62">
        <f>IF($A$12="",NA(),Calc!$BT$2)</f>
        <v/>
      </c>
      <c r="T12" s="62">
        <f>IF($A$12="",NA(),Calc!$BT$3)</f>
        <v/>
      </c>
      <c r="U12" s="62">
        <f>IF($A$12="",NA(),Calc!$BT$4)</f>
        <v/>
      </c>
      <c r="V12" s="62">
        <f>IF($A$12="",NA(),IF(COUNTIFS(Data!$AK$2:$AK$1105,1,Data!$AY$2:$AY$1105,$A$12)&lt;Controls!$B$19,NA(),IFERROR(COUNTIFS(Data!$AK$2:$AK$1105,1,Data!$AY$2:$AY$1105,$A$12,Data!$AH$2:$AH$1105,1)/COUNTIFS(Data!$AK$2:$AK$1105,1,Data!$AY$2:$AY$1105,$A$12),NA())))</f>
        <v/>
      </c>
      <c r="W12" s="61">
        <f>IF($A$12="","",$A$12&amp;" ("&amp;$J$12&amp;")")</f>
        <v/>
      </c>
      <c r="X12" s="61" t="n"/>
      <c r="Y12" s="61" t="n"/>
      <c r="Z12" s="61" t="n"/>
      <c r="AA12" s="61" t="n"/>
      <c r="AB12" s="61" t="n"/>
      <c r="AC12" s="61" t="n"/>
      <c r="AD12" s="61" t="n"/>
      <c r="AE12" s="61" t="n"/>
      <c r="AF12" s="61" t="n"/>
      <c r="AG12" s="61" t="n"/>
      <c r="AH12" s="61" t="n"/>
      <c r="AI12" s="61" t="n"/>
      <c r="AJ12" s="61" t="n"/>
      <c r="AK12" s="61" t="n"/>
      <c r="AL12" s="61" t="n"/>
      <c r="AM12" s="61" t="n"/>
      <c r="AN12" s="61">
        <f>Controls!$A$48</f>
        <v/>
      </c>
      <c r="AO12" s="61">
        <f>COUNTIFS(Data!$AK$2:$AK$1105,1,Data!$AY$2:$AY$1105,$AN$12)</f>
        <v/>
      </c>
      <c r="AP12" s="57">
        <f>SUMIFS(Data!$P$2:$P$1105,Data!$AK$2:$AK$1105,1,Data!$AY$2:$AY$1105,$AN$12)</f>
        <v/>
      </c>
      <c r="AQ12" s="56">
        <f>IFERROR(SUMIFS(Data!$AN$2:$AN$1105,Data!$AK$2:$AK$1105,1,Data!$AY$2:$AY$1105,$AN$12)/$AP$12,0)</f>
        <v/>
      </c>
      <c r="AR12" s="57">
        <f>SUMIFS(Data!$AN$2:$AN$1105,Data!$AK$2:$AK$1105,1,Data!$AY$2:$AY$1105,$AN$12)</f>
        <v/>
      </c>
      <c r="AS12" s="61">
        <f>Controls!$B$48</f>
        <v/>
      </c>
      <c r="AT12" s="61">
        <f>IF(OR(AO12=0,AO12&lt;Controls!$B$20),-1000000000000000,IF(AND(Controls!$B$21="Y",$AN$12="No SIC"),-1000000000000000,IF(Controls!$B$17="Selected only",IF(AS12="Y",AP12,-1000000000000000),IF(Controls!$B$17="Top by funded $",AP12,IF(Controls!$B$17="Top by funded units",AO12,IF(Controls!$B$17="Largest principal lost $",AR12,IF(Controls!$B$17="Highest net profit $",AU12,IF(AO12&lt;Controls!$B$19,-1000000000000000,IF(Controls!$B$17="Highest principal lost rate %",AQ12,IF(Controls!$B$17="Lowest principal lost rate %",1-AQ12,AP12))))))))) +9/1000000)</f>
        <v/>
      </c>
      <c r="AU12" s="57">
        <f>SUMIFS(Data!$AM$2:$AM$1105,Data!$AK$2:$AK$1105,1,Data!$AY$2:$AY$1105,$AN$12)</f>
        <v/>
      </c>
      <c r="AV12" s="61" t="n"/>
      <c r="AW12" s="61" t="n"/>
      <c r="AX12" s="61" t="n"/>
      <c r="AY12" s="61" t="n"/>
      <c r="AZ12" s="61" t="n"/>
      <c r="BA12" s="61" t="n"/>
      <c r="BB12" s="61">
        <f>Controls!$A$48</f>
        <v/>
      </c>
      <c r="BC12" s="61">
        <f>COUNTIFS(Data!$AK$2:$AK$1105,1,Data!$AY$2:$AY$1105,$BB$12)</f>
        <v/>
      </c>
      <c r="BD12" s="57">
        <f>SUMIFS(Data!$P$2:$P$1105,Data!$AK$2:$AK$1105,1,Data!$AY$2:$AY$1105,$BB$12)</f>
        <v/>
      </c>
      <c r="BE12" s="56">
        <f>IF(COUNTIFS(Data!$AK$2:$AK$1105,1,Data!$AY$2:$AY$1105,$BB$12)&lt;Controls!$B$19,"",IFERROR(SUMIFS(Data!$AN$2:$AN$1105,Data!$AK$2:$AK$1105,1,Data!$AY$2:$AY$1105,$BB$12)/$BD$12,""))</f>
        <v/>
      </c>
      <c r="BF12" s="56">
        <f>IF(COUNTIFS(Data!$AK$2:$AK$1105,1,Data!$AY$2:$AY$1105,$BB$12)&lt;Controls!$B$19,"",IFERROR(SUMIFS(Data!$AM$2:$AM$1105,Data!$AK$2:$AK$1105,1,Data!$AY$2:$AY$1105,$BB$12)/SUMIFS(Data!$P$2:$P$1105,Data!$AK$2:$AK$1105,1,Data!$AY$2:$AY$1105,$BB$12),""))</f>
        <v/>
      </c>
      <c r="BG12" s="57">
        <f>SUMIFS(Data!$AN$2:$AN$1105,Data!$AK$2:$AK$1105,1,Data!$AY$2:$AY$1105,$BB$12)</f>
        <v/>
      </c>
      <c r="BH12" s="61" t="n"/>
      <c r="BI12" s="61" t="n"/>
      <c r="BJ12" s="61" t="n"/>
      <c r="BK12" s="56">
        <f>IF($BC$12&lt;Controls!$B$22,"",$BE$12)</f>
        <v/>
      </c>
      <c r="BL12" s="56">
        <f>IF($BC$12&lt;Controls!$B$22,"",$BF$12)</f>
        <v/>
      </c>
      <c r="BM12" s="57">
        <f>IF($BC$12&lt;Controls!$B$22,"",$BG$12)</f>
        <v/>
      </c>
      <c r="BN12" s="61" t="n"/>
      <c r="BO12" s="61" t="n"/>
      <c r="BP12" s="61" t="n"/>
      <c r="BQ12" s="61" t="n"/>
      <c r="BR12" s="61" t="n"/>
      <c r="BS12" s="61" t="n"/>
      <c r="BT12" s="61" t="n"/>
    </row>
    <row r="13" ht="15" customHeight="1" s="79">
      <c r="A13" s="61">
        <f t="array" ref="A13">IFERROR(IF(9&gt;Controls!$B$18,"",IF(LARGE(Calc!$AT$4:$AT$68,9)&lt;-100000000000000,"",INDEX(Calc!$AN$4:$AN$68,MATCH(LARGE(Calc!$AT$4:$AT$68,9),Calc!$AT$4:$AT$68,0)))),"")</f>
        <v/>
      </c>
      <c r="B13" s="66">
        <f>IF($A$13="",NA(),IFERROR(SUMIFS(Data!$P$2:$P$1105,Data!$AK$2:$AK$1105,1,Data!$AY$2:$AY$1105,$A$13),NA()))</f>
        <v/>
      </c>
      <c r="C13" s="66">
        <f>IF($A$13="",NA(),IFERROR(SUMIFS(Data!$S$2:$S$1105,Data!$AK$2:$AK$1105,1,Data!$AY$2:$AY$1105,$A$13),NA()))</f>
        <v/>
      </c>
      <c r="D13" s="66">
        <f>IF(ISNA($B$13),NA(),$C$13-$B$13)</f>
        <v/>
      </c>
      <c r="E13" s="66">
        <f>IF($A$13="",NA(),IFERROR(SUMIFS(Data!$Q$2:$Q$1105,Data!$AK$2:$AK$1105,1,Data!$AY$2:$AY$1105,$A$13),NA()))</f>
        <v/>
      </c>
      <c r="F13" s="66">
        <f>IF($A$13="",NA(),IFERROR(SUMIFS(Data!$AN$2:$AN$1105,Data!$AK$2:$AK$1105,1,Data!$AY$2:$AY$1105,$A$13),NA()))</f>
        <v/>
      </c>
      <c r="G13" s="62">
        <f>IF($A$13="",NA(),IF(COUNTIFS(Data!$AK$2:$AK$1105,1,Data!$AY$2:$AY$1105,$A$13)&lt;Controls!$B$19,NA(),IFERROR(SUMIFS(Data!$AN$2:$AN$1105,Data!$AK$2:$AK$1105,1,Data!$AY$2:$AY$1105,$A$13)/$B$13,NA())))</f>
        <v/>
      </c>
      <c r="H13" s="62">
        <f>IF($A$13="",NA(),IF(COUNTIFS(Data!$AK$2:$AK$1105,1,Data!$AY$2:$AY$1105,$A$13)&lt;Controls!$B$19,NA(),IFERROR(SUMIFS(Data!$S$2:$S$1105,Data!$AK$2:$AK$1105,1,Data!$AY$2:$AY$1105,$A$13,Data!$AH$2:$AH$1105,1)/SUMIFS(Data!$P$2:$P$1105,Data!$AK$2:$AK$1105,1,Data!$AY$2:$AY$1105,$A$13,Data!$AH$2:$AH$1105,1),NA())))</f>
        <v/>
      </c>
      <c r="I13" s="62">
        <f>IF(ISNA($J$13),NA(),IF($J$13&lt;Controls!$B$19,NA(),IFERROR($D$13/$B$13,NA())))</f>
        <v/>
      </c>
      <c r="J13" s="67">
        <f>IF($A$13="",NA(),IFERROR(COUNTIFS(Data!$AK$2:$AK$1105,1,Data!$AY$2:$AY$1105,$A$13),NA()))</f>
        <v/>
      </c>
      <c r="K13" s="62">
        <f>IF(ISNA($B$13),NA(),IFERROR($B$13/Calc!$BT$6,NA()))</f>
        <v/>
      </c>
      <c r="L13" s="66">
        <f>IF(ISNA($J$13),NA(),IF($J$13&lt;Controls!$B$19,NA(),IFERROR($B$13/$J$13,NA())))</f>
        <v/>
      </c>
      <c r="M13" s="67">
        <f>IF($A$13="",NA(),IF(COUNTIFS(Data!$AK$2:$AK$1105,1,Data!$AY$2:$AY$1105,$A$13)&lt;Controls!$B$19,NA(),IFERROR(AVERAGEIFS(Data!$AE$2:$AE$1105,Data!$AK$2:$AK$1105,1,Data!$AY$2:$AY$1105,$A$13),NA())))</f>
        <v/>
      </c>
      <c r="N13" s="67">
        <f>IF($A$13="",NA(),IF(COUNTIFS(Data!$AK$2:$AK$1105,1,Data!$AY$2:$AY$1105,$A$13)&lt;Controls!$B$19,NA(),IFERROR(AVERAGEIFS(Data!$AD$2:$AD$1105,Data!$AK$2:$AK$1105,1,Data!$AY$2:$AY$1105,$A$13),NA())))</f>
        <v/>
      </c>
      <c r="O13" s="67">
        <f>IF($A$13="",NA(),IF(COUNTIFS(Data!$AK$2:$AK$1105,1,Data!$AY$2:$AY$1105,$A$13)&lt;Controls!$B$19,NA(),IFERROR(AVERAGEIFS(Data!$AS$2:$AS$1105,Data!$AK$2:$AK$1105,1,Data!$AY$2:$AY$1105,$A$13),NA())))</f>
        <v/>
      </c>
      <c r="P13" s="67">
        <f>IF($A$13="",NA(),IF(COUNTIFS(Data!$AK$2:$AK$1105,1,Data!$AY$2:$AY$1105,$A$13)&lt;Controls!$B$19,NA(),IFERROR(AVERAGEIFS(Data!$AT$2:$AT$1105,Data!$AK$2:$AK$1105,1,Data!$AY$2:$AY$1105,$A$13),NA())))</f>
        <v/>
      </c>
      <c r="Q13" s="62">
        <f>IF($A$13="",NA(),IF(COUNTIFS(Data!$AK$2:$AK$1105,1,Data!$AY$2:$AY$1105,$A$13)&lt;Controls!$B$19,NA(),IFERROR(COUNTIFS(Data!$AK$2:$AK$1105,1,Data!$AY$2:$AY$1105,$A$13,Data!$N$2:$N$1105,"Renewal")/COUNTIFS(Data!$AK$2:$AK$1105,1,Data!$AY$2:$AY$1105,$A$13),NA())))</f>
        <v/>
      </c>
      <c r="R13" s="62">
        <f>IF($A$13="",NA(),IF(COUNTIFS(Data!$AK$2:$AK$1105,1,Data!$AY$2:$AY$1105,$A$13)&lt;Controls!$B$19,NA(),IFERROR(SUMIFS(Data!$P$2:$P$1105,Data!$AK$2:$AK$1105,1,Data!$AY$2:$AY$1105,$A$13,Data!$N$2:$N$1105,"Renewal")/SUMIFS(Data!$P$2:$P$1105,Data!$AK$2:$AK$1105,1,Data!$AY$2:$AY$1105,$A$13),NA())))</f>
        <v/>
      </c>
      <c r="S13" s="62">
        <f>IF($A$13="",NA(),Calc!$BT$2)</f>
        <v/>
      </c>
      <c r="T13" s="62">
        <f>IF($A$13="",NA(),Calc!$BT$3)</f>
        <v/>
      </c>
      <c r="U13" s="62">
        <f>IF($A$13="",NA(),Calc!$BT$4)</f>
        <v/>
      </c>
      <c r="V13" s="62">
        <f>IF($A$13="",NA(),IF(COUNTIFS(Data!$AK$2:$AK$1105,1,Data!$AY$2:$AY$1105,$A$13)&lt;Controls!$B$19,NA(),IFERROR(COUNTIFS(Data!$AK$2:$AK$1105,1,Data!$AY$2:$AY$1105,$A$13,Data!$AH$2:$AH$1105,1)/COUNTIFS(Data!$AK$2:$AK$1105,1,Data!$AY$2:$AY$1105,$A$13),NA())))</f>
        <v/>
      </c>
      <c r="W13" s="61">
        <f>IF($A$13="","",$A$13&amp;" ("&amp;$J$13&amp;")")</f>
        <v/>
      </c>
      <c r="X13" s="61" t="n"/>
      <c r="Y13" s="61" t="n"/>
      <c r="Z13" s="61" t="n"/>
      <c r="AA13" s="61" t="n"/>
      <c r="AB13" s="61" t="n"/>
      <c r="AC13" s="61" t="n"/>
      <c r="AD13" s="61" t="n"/>
      <c r="AE13" s="61" t="n"/>
      <c r="AF13" s="61" t="n"/>
      <c r="AG13" s="61" t="n"/>
      <c r="AH13" s="61" t="n"/>
      <c r="AI13" s="61" t="n"/>
      <c r="AJ13" s="61" t="n"/>
      <c r="AK13" s="61" t="n"/>
      <c r="AL13" s="61" t="n"/>
      <c r="AM13" s="61" t="n"/>
      <c r="AN13" s="61">
        <f>Controls!$A$49</f>
        <v/>
      </c>
      <c r="AO13" s="61">
        <f>COUNTIFS(Data!$AK$2:$AK$1105,1,Data!$AY$2:$AY$1105,$AN$13)</f>
        <v/>
      </c>
      <c r="AP13" s="57">
        <f>SUMIFS(Data!$P$2:$P$1105,Data!$AK$2:$AK$1105,1,Data!$AY$2:$AY$1105,$AN$13)</f>
        <v/>
      </c>
      <c r="AQ13" s="56">
        <f>IFERROR(SUMIFS(Data!$AN$2:$AN$1105,Data!$AK$2:$AK$1105,1,Data!$AY$2:$AY$1105,$AN$13)/$AP$13,0)</f>
        <v/>
      </c>
      <c r="AR13" s="57">
        <f>SUMIFS(Data!$AN$2:$AN$1105,Data!$AK$2:$AK$1105,1,Data!$AY$2:$AY$1105,$AN$13)</f>
        <v/>
      </c>
      <c r="AS13" s="61">
        <f>Controls!$B$49</f>
        <v/>
      </c>
      <c r="AT13" s="61">
        <f>IF(OR(AO13=0,AO13&lt;Controls!$B$20),-1000000000000000,IF(AND(Controls!$B$21="Y",$AN$13="No SIC"),-1000000000000000,IF(Controls!$B$17="Selected only",IF(AS13="Y",AP13,-1000000000000000),IF(Controls!$B$17="Top by funded $",AP13,IF(Controls!$B$17="Top by funded units",AO13,IF(Controls!$B$17="Largest principal lost $",AR13,IF(Controls!$B$17="Highest net profit $",AU13,IF(AO13&lt;Controls!$B$19,-1000000000000000,IF(Controls!$B$17="Highest principal lost rate %",AQ13,IF(Controls!$B$17="Lowest principal lost rate %",1-AQ13,AP13))))))))) +10/1000000)</f>
        <v/>
      </c>
      <c r="AU13" s="57">
        <f>SUMIFS(Data!$AM$2:$AM$1105,Data!$AK$2:$AK$1105,1,Data!$AY$2:$AY$1105,$AN$13)</f>
        <v/>
      </c>
      <c r="AV13" s="61" t="n"/>
      <c r="AW13" s="61" t="n"/>
      <c r="AX13" s="61" t="n"/>
      <c r="AY13" s="61" t="n"/>
      <c r="AZ13" s="61" t="n"/>
      <c r="BA13" s="61" t="n"/>
      <c r="BB13" s="61">
        <f>Controls!$A$49</f>
        <v/>
      </c>
      <c r="BC13" s="61">
        <f>COUNTIFS(Data!$AK$2:$AK$1105,1,Data!$AY$2:$AY$1105,$BB$13)</f>
        <v/>
      </c>
      <c r="BD13" s="57">
        <f>SUMIFS(Data!$P$2:$P$1105,Data!$AK$2:$AK$1105,1,Data!$AY$2:$AY$1105,$BB$13)</f>
        <v/>
      </c>
      <c r="BE13" s="56">
        <f>IF(COUNTIFS(Data!$AK$2:$AK$1105,1,Data!$AY$2:$AY$1105,$BB$13)&lt;Controls!$B$19,"",IFERROR(SUMIFS(Data!$AN$2:$AN$1105,Data!$AK$2:$AK$1105,1,Data!$AY$2:$AY$1105,$BB$13)/$BD$13,""))</f>
        <v/>
      </c>
      <c r="BF13" s="56">
        <f>IF(COUNTIFS(Data!$AK$2:$AK$1105,1,Data!$AY$2:$AY$1105,$BB$13)&lt;Controls!$B$19,"",IFERROR(SUMIFS(Data!$AM$2:$AM$1105,Data!$AK$2:$AK$1105,1,Data!$AY$2:$AY$1105,$BB$13)/SUMIFS(Data!$P$2:$P$1105,Data!$AK$2:$AK$1105,1,Data!$AY$2:$AY$1105,$BB$13),""))</f>
        <v/>
      </c>
      <c r="BG13" s="57">
        <f>SUMIFS(Data!$AN$2:$AN$1105,Data!$AK$2:$AK$1105,1,Data!$AY$2:$AY$1105,$BB$13)</f>
        <v/>
      </c>
      <c r="BH13" s="61" t="n"/>
      <c r="BI13" s="61" t="n"/>
      <c r="BJ13" s="61" t="n"/>
      <c r="BK13" s="56">
        <f>IF($BC$13&lt;Controls!$B$22,"",$BE$13)</f>
        <v/>
      </c>
      <c r="BL13" s="56">
        <f>IF($BC$13&lt;Controls!$B$22,"",$BF$13)</f>
        <v/>
      </c>
      <c r="BM13" s="57">
        <f>IF($BC$13&lt;Controls!$B$22,"",$BG$13)</f>
        <v/>
      </c>
      <c r="BN13" s="61" t="n"/>
      <c r="BO13" s="61" t="n"/>
      <c r="BP13" s="61" t="n"/>
      <c r="BQ13" s="64" t="n"/>
      <c r="BR13" s="61" t="n"/>
      <c r="BS13" s="61" t="n"/>
      <c r="BT13" s="61" t="n"/>
    </row>
    <row r="14" ht="15" customHeight="1" s="79">
      <c r="A14" s="61">
        <f t="array" ref="A14">IFERROR(IF(10&gt;Controls!$B$18,"",IF(LARGE(Calc!$AT$4:$AT$68,10)&lt;-100000000000000,"",INDEX(Calc!$AN$4:$AN$68,MATCH(LARGE(Calc!$AT$4:$AT$68,10),Calc!$AT$4:$AT$68,0)))),"")</f>
        <v/>
      </c>
      <c r="B14" s="66">
        <f>IF($A$14="",NA(),IFERROR(SUMIFS(Data!$P$2:$P$1105,Data!$AK$2:$AK$1105,1,Data!$AY$2:$AY$1105,$A$14),NA()))</f>
        <v/>
      </c>
      <c r="C14" s="66">
        <f>IF($A$14="",NA(),IFERROR(SUMIFS(Data!$S$2:$S$1105,Data!$AK$2:$AK$1105,1,Data!$AY$2:$AY$1105,$A$14),NA()))</f>
        <v/>
      </c>
      <c r="D14" s="66">
        <f>IF(ISNA($B$14),NA(),$C$14-$B$14)</f>
        <v/>
      </c>
      <c r="E14" s="66">
        <f>IF($A$14="",NA(),IFERROR(SUMIFS(Data!$Q$2:$Q$1105,Data!$AK$2:$AK$1105,1,Data!$AY$2:$AY$1105,$A$14),NA()))</f>
        <v/>
      </c>
      <c r="F14" s="66">
        <f>IF($A$14="",NA(),IFERROR(SUMIFS(Data!$AN$2:$AN$1105,Data!$AK$2:$AK$1105,1,Data!$AY$2:$AY$1105,$A$14),NA()))</f>
        <v/>
      </c>
      <c r="G14" s="62">
        <f>IF($A$14="",NA(),IF(COUNTIFS(Data!$AK$2:$AK$1105,1,Data!$AY$2:$AY$1105,$A$14)&lt;Controls!$B$19,NA(),IFERROR(SUMIFS(Data!$AN$2:$AN$1105,Data!$AK$2:$AK$1105,1,Data!$AY$2:$AY$1105,$A$14)/$B$14,NA())))</f>
        <v/>
      </c>
      <c r="H14" s="62">
        <f>IF($A$14="",NA(),IF(COUNTIFS(Data!$AK$2:$AK$1105,1,Data!$AY$2:$AY$1105,$A$14)&lt;Controls!$B$19,NA(),IFERROR(SUMIFS(Data!$S$2:$S$1105,Data!$AK$2:$AK$1105,1,Data!$AY$2:$AY$1105,$A$14,Data!$AH$2:$AH$1105,1)/SUMIFS(Data!$P$2:$P$1105,Data!$AK$2:$AK$1105,1,Data!$AY$2:$AY$1105,$A$14,Data!$AH$2:$AH$1105,1),NA())))</f>
        <v/>
      </c>
      <c r="I14" s="62">
        <f>IF(ISNA($J$14),NA(),IF($J$14&lt;Controls!$B$19,NA(),IFERROR($D$14/$B$14,NA())))</f>
        <v/>
      </c>
      <c r="J14" s="67">
        <f>IF($A$14="",NA(),IFERROR(COUNTIFS(Data!$AK$2:$AK$1105,1,Data!$AY$2:$AY$1105,$A$14),NA()))</f>
        <v/>
      </c>
      <c r="K14" s="62">
        <f>IF(ISNA($B$14),NA(),IFERROR($B$14/Calc!$BT$6,NA()))</f>
        <v/>
      </c>
      <c r="L14" s="66">
        <f>IF(ISNA($J$14),NA(),IF($J$14&lt;Controls!$B$19,NA(),IFERROR($B$14/$J$14,NA())))</f>
        <v/>
      </c>
      <c r="M14" s="67">
        <f>IF($A$14="",NA(),IF(COUNTIFS(Data!$AK$2:$AK$1105,1,Data!$AY$2:$AY$1105,$A$14)&lt;Controls!$B$19,NA(),IFERROR(AVERAGEIFS(Data!$AE$2:$AE$1105,Data!$AK$2:$AK$1105,1,Data!$AY$2:$AY$1105,$A$14),NA())))</f>
        <v/>
      </c>
      <c r="N14" s="67">
        <f>IF($A$14="",NA(),IF(COUNTIFS(Data!$AK$2:$AK$1105,1,Data!$AY$2:$AY$1105,$A$14)&lt;Controls!$B$19,NA(),IFERROR(AVERAGEIFS(Data!$AD$2:$AD$1105,Data!$AK$2:$AK$1105,1,Data!$AY$2:$AY$1105,$A$14),NA())))</f>
        <v/>
      </c>
      <c r="O14" s="67">
        <f>IF($A$14="",NA(),IF(COUNTIFS(Data!$AK$2:$AK$1105,1,Data!$AY$2:$AY$1105,$A$14)&lt;Controls!$B$19,NA(),IFERROR(AVERAGEIFS(Data!$AS$2:$AS$1105,Data!$AK$2:$AK$1105,1,Data!$AY$2:$AY$1105,$A$14),NA())))</f>
        <v/>
      </c>
      <c r="P14" s="67">
        <f>IF($A$14="",NA(),IF(COUNTIFS(Data!$AK$2:$AK$1105,1,Data!$AY$2:$AY$1105,$A$14)&lt;Controls!$B$19,NA(),IFERROR(AVERAGEIFS(Data!$AT$2:$AT$1105,Data!$AK$2:$AK$1105,1,Data!$AY$2:$AY$1105,$A$14),NA())))</f>
        <v/>
      </c>
      <c r="Q14" s="62">
        <f>IF($A$14="",NA(),IF(COUNTIFS(Data!$AK$2:$AK$1105,1,Data!$AY$2:$AY$1105,$A$14)&lt;Controls!$B$19,NA(),IFERROR(COUNTIFS(Data!$AK$2:$AK$1105,1,Data!$AY$2:$AY$1105,$A$14,Data!$N$2:$N$1105,"Renewal")/COUNTIFS(Data!$AK$2:$AK$1105,1,Data!$AY$2:$AY$1105,$A$14),NA())))</f>
        <v/>
      </c>
      <c r="R14" s="62">
        <f>IF($A$14="",NA(),IF(COUNTIFS(Data!$AK$2:$AK$1105,1,Data!$AY$2:$AY$1105,$A$14)&lt;Controls!$B$19,NA(),IFERROR(SUMIFS(Data!$P$2:$P$1105,Data!$AK$2:$AK$1105,1,Data!$AY$2:$AY$1105,$A$14,Data!$N$2:$N$1105,"Renewal")/SUMIFS(Data!$P$2:$P$1105,Data!$AK$2:$AK$1105,1,Data!$AY$2:$AY$1105,$A$14),NA())))</f>
        <v/>
      </c>
      <c r="S14" s="62">
        <f>IF($A$14="",NA(),Calc!$BT$2)</f>
        <v/>
      </c>
      <c r="T14" s="62">
        <f>IF($A$14="",NA(),Calc!$BT$3)</f>
        <v/>
      </c>
      <c r="U14" s="62">
        <f>IF($A$14="",NA(),Calc!$BT$4)</f>
        <v/>
      </c>
      <c r="V14" s="62">
        <f>IF($A$14="",NA(),IF(COUNTIFS(Data!$AK$2:$AK$1105,1,Data!$AY$2:$AY$1105,$A$14)&lt;Controls!$B$19,NA(),IFERROR(COUNTIFS(Data!$AK$2:$AK$1105,1,Data!$AY$2:$AY$1105,$A$14,Data!$AH$2:$AH$1105,1)/COUNTIFS(Data!$AK$2:$AK$1105,1,Data!$AY$2:$AY$1105,$A$14),NA())))</f>
        <v/>
      </c>
      <c r="W14" s="61">
        <f>IF($A$14="","",$A$14&amp;" ("&amp;$J$14&amp;")")</f>
        <v/>
      </c>
      <c r="X14" s="61" t="n"/>
      <c r="Y14" s="61" t="n"/>
      <c r="Z14" s="61" t="n"/>
      <c r="AA14" s="61" t="n"/>
      <c r="AB14" s="61" t="n"/>
      <c r="AC14" s="61" t="n"/>
      <c r="AD14" s="61" t="n"/>
      <c r="AE14" s="61" t="n"/>
      <c r="AF14" s="61" t="n"/>
      <c r="AG14" s="61" t="n"/>
      <c r="AH14" s="61" t="n"/>
      <c r="AI14" s="61" t="n"/>
      <c r="AJ14" s="61" t="n"/>
      <c r="AK14" s="61" t="n"/>
      <c r="AL14" s="61" t="n"/>
      <c r="AM14" s="61" t="n"/>
      <c r="AN14" s="61">
        <f>Controls!$A$50</f>
        <v/>
      </c>
      <c r="AO14" s="61">
        <f>COUNTIFS(Data!$AK$2:$AK$1105,1,Data!$AY$2:$AY$1105,$AN$14)</f>
        <v/>
      </c>
      <c r="AP14" s="57">
        <f>SUMIFS(Data!$P$2:$P$1105,Data!$AK$2:$AK$1105,1,Data!$AY$2:$AY$1105,$AN$14)</f>
        <v/>
      </c>
      <c r="AQ14" s="56">
        <f>IFERROR(SUMIFS(Data!$AN$2:$AN$1105,Data!$AK$2:$AK$1105,1,Data!$AY$2:$AY$1105,$AN$14)/$AP$14,0)</f>
        <v/>
      </c>
      <c r="AR14" s="57">
        <f>SUMIFS(Data!$AN$2:$AN$1105,Data!$AK$2:$AK$1105,1,Data!$AY$2:$AY$1105,$AN$14)</f>
        <v/>
      </c>
      <c r="AS14" s="61">
        <f>Controls!$B$50</f>
        <v/>
      </c>
      <c r="AT14" s="61">
        <f>IF(OR(AO14=0,AO14&lt;Controls!$B$20),-1000000000000000,IF(AND(Controls!$B$21="Y",$AN$14="No SIC"),-1000000000000000,IF(Controls!$B$17="Selected only",IF(AS14="Y",AP14,-1000000000000000),IF(Controls!$B$17="Top by funded $",AP14,IF(Controls!$B$17="Top by funded units",AO14,IF(Controls!$B$17="Largest principal lost $",AR14,IF(Controls!$B$17="Highest net profit $",AU14,IF(AO14&lt;Controls!$B$19,-1000000000000000,IF(Controls!$B$17="Highest principal lost rate %",AQ14,IF(Controls!$B$17="Lowest principal lost rate %",1-AQ14,AP14))))))))) +11/1000000)</f>
        <v/>
      </c>
      <c r="AU14" s="57">
        <f>SUMIFS(Data!$AM$2:$AM$1105,Data!$AK$2:$AK$1105,1,Data!$AY$2:$AY$1105,$AN$14)</f>
        <v/>
      </c>
      <c r="AV14" s="61" t="n"/>
      <c r="AW14" s="61" t="n"/>
      <c r="AX14" s="61" t="n"/>
      <c r="AY14" s="61" t="n"/>
      <c r="AZ14" s="61" t="n"/>
      <c r="BA14" s="61" t="n"/>
      <c r="BB14" s="61">
        <f>Controls!$A$50</f>
        <v/>
      </c>
      <c r="BC14" s="61">
        <f>COUNTIFS(Data!$AK$2:$AK$1105,1,Data!$AY$2:$AY$1105,$BB$14)</f>
        <v/>
      </c>
      <c r="BD14" s="57">
        <f>SUMIFS(Data!$P$2:$P$1105,Data!$AK$2:$AK$1105,1,Data!$AY$2:$AY$1105,$BB$14)</f>
        <v/>
      </c>
      <c r="BE14" s="56">
        <f>IF(COUNTIFS(Data!$AK$2:$AK$1105,1,Data!$AY$2:$AY$1105,$BB$14)&lt;Controls!$B$19,"",IFERROR(SUMIFS(Data!$AN$2:$AN$1105,Data!$AK$2:$AK$1105,1,Data!$AY$2:$AY$1105,$BB$14)/$BD$14,""))</f>
        <v/>
      </c>
      <c r="BF14" s="56">
        <f>IF(COUNTIFS(Data!$AK$2:$AK$1105,1,Data!$AY$2:$AY$1105,$BB$14)&lt;Controls!$B$19,"",IFERROR(SUMIFS(Data!$AM$2:$AM$1105,Data!$AK$2:$AK$1105,1,Data!$AY$2:$AY$1105,$BB$14)/SUMIFS(Data!$P$2:$P$1105,Data!$AK$2:$AK$1105,1,Data!$AY$2:$AY$1105,$BB$14),""))</f>
        <v/>
      </c>
      <c r="BG14" s="57">
        <f>SUMIFS(Data!$AN$2:$AN$1105,Data!$AK$2:$AK$1105,1,Data!$AY$2:$AY$1105,$BB$14)</f>
        <v/>
      </c>
      <c r="BH14" s="61" t="n"/>
      <c r="BI14" s="61" t="n"/>
      <c r="BJ14" s="61" t="n"/>
      <c r="BK14" s="61">
        <f>IF($BC$14&lt;Controls!$B$22,"",$BE$14)</f>
        <v/>
      </c>
      <c r="BL14" s="61">
        <f>IF($BC$14&lt;Controls!$B$22,"",$BF$14)</f>
        <v/>
      </c>
      <c r="BM14" s="61">
        <f>IF($BC$14&lt;Controls!$B$22,"",$BG$14)</f>
        <v/>
      </c>
      <c r="BN14" s="61" t="n"/>
      <c r="BO14" s="61" t="n"/>
      <c r="BP14" s="61" t="n"/>
      <c r="BQ14" s="61" t="n"/>
      <c r="BR14" s="61" t="n"/>
      <c r="BS14" s="61" t="n"/>
      <c r="BT14" s="61" t="n"/>
    </row>
    <row r="15" ht="41.25" customHeight="1" s="79">
      <c r="A15" s="61">
        <f t="array" ref="A15">IFERROR(IF(11&gt;Controls!$B$18,"",IF(LARGE(Calc!$AT$4:$AT$68,11)&lt;-100000000000000,"",INDEX(Calc!$AN$4:$AN$68,MATCH(LARGE(Calc!$AT$4:$AT$68,11),Calc!$AT$4:$AT$68,0)))),"")</f>
        <v/>
      </c>
      <c r="B15" s="66">
        <f>IF($A$15="",NA(),IFERROR(SUMIFS(Data!$P$2:$P$1105,Data!$AK$2:$AK$1105,1,Data!$AY$2:$AY$1105,$A$15),NA()))</f>
        <v/>
      </c>
      <c r="C15" s="66">
        <f>IF($A$15="",NA(),IFERROR(SUMIFS(Data!$S$2:$S$1105,Data!$AK$2:$AK$1105,1,Data!$AY$2:$AY$1105,$A$15),NA()))</f>
        <v/>
      </c>
      <c r="D15" s="66">
        <f>IF(ISNA($B$15),NA(),$C$15-$B$15)</f>
        <v/>
      </c>
      <c r="E15" s="66">
        <f>IF($A$15="",NA(),IFERROR(SUMIFS(Data!$Q$2:$Q$1105,Data!$AK$2:$AK$1105,1,Data!$AY$2:$AY$1105,$A$15),NA()))</f>
        <v/>
      </c>
      <c r="F15" s="66">
        <f>IF($A$15="",NA(),IFERROR(SUMIFS(Data!$AN$2:$AN$1105,Data!$AK$2:$AK$1105,1,Data!$AY$2:$AY$1105,$A$15),NA()))</f>
        <v/>
      </c>
      <c r="G15" s="62">
        <f>IF($A$15="",NA(),IF(COUNTIFS(Data!$AK$2:$AK$1105,1,Data!$AY$2:$AY$1105,$A$15)&lt;Controls!$B$19,NA(),IFERROR(SUMIFS(Data!$AN$2:$AN$1105,Data!$AK$2:$AK$1105,1,Data!$AY$2:$AY$1105,$A$15)/$B$15,NA())))</f>
        <v/>
      </c>
      <c r="H15" s="62">
        <f>IF($A$15="",NA(),IF(COUNTIFS(Data!$AK$2:$AK$1105,1,Data!$AY$2:$AY$1105,$A$15)&lt;Controls!$B$19,NA(),IFERROR(SUMIFS(Data!$S$2:$S$1105,Data!$AK$2:$AK$1105,1,Data!$AY$2:$AY$1105,$A$15,Data!$AH$2:$AH$1105,1)/SUMIFS(Data!$P$2:$P$1105,Data!$AK$2:$AK$1105,1,Data!$AY$2:$AY$1105,$A$15,Data!$AH$2:$AH$1105,1),NA())))</f>
        <v/>
      </c>
      <c r="I15" s="62">
        <f>IF(ISNA($J$15),NA(),IF($J$15&lt;Controls!$B$19,NA(),IFERROR($D$15/$B$15,NA())))</f>
        <v/>
      </c>
      <c r="J15" s="67">
        <f>IF($A$15="",NA(),IFERROR(COUNTIFS(Data!$AK$2:$AK$1105,1,Data!$AY$2:$AY$1105,$A$15),NA()))</f>
        <v/>
      </c>
      <c r="K15" s="62">
        <f>IF(ISNA($B$15),NA(),IFERROR($B$15/Calc!$BT$6,NA()))</f>
        <v/>
      </c>
      <c r="L15" s="66">
        <f>IF(ISNA($J$15),NA(),IF($J$15&lt;Controls!$B$19,NA(),IFERROR($B$15/$J$15,NA())))</f>
        <v/>
      </c>
      <c r="M15" s="67">
        <f>IF($A$15="",NA(),IF(COUNTIFS(Data!$AK$2:$AK$1105,1,Data!$AY$2:$AY$1105,$A$15)&lt;Controls!$B$19,NA(),IFERROR(AVERAGEIFS(Data!$AE$2:$AE$1105,Data!$AK$2:$AK$1105,1,Data!$AY$2:$AY$1105,$A$15),NA())))</f>
        <v/>
      </c>
      <c r="N15" s="67">
        <f>IF($A$15="",NA(),IF(COUNTIFS(Data!$AK$2:$AK$1105,1,Data!$AY$2:$AY$1105,$A$15)&lt;Controls!$B$19,NA(),IFERROR(AVERAGEIFS(Data!$AD$2:$AD$1105,Data!$AK$2:$AK$1105,1,Data!$AY$2:$AY$1105,$A$15),NA())))</f>
        <v/>
      </c>
      <c r="O15" s="67">
        <f>IF($A$15="",NA(),IF(COUNTIFS(Data!$AK$2:$AK$1105,1,Data!$AY$2:$AY$1105,$A$15)&lt;Controls!$B$19,NA(),IFERROR(AVERAGEIFS(Data!$AS$2:$AS$1105,Data!$AK$2:$AK$1105,1,Data!$AY$2:$AY$1105,$A$15),NA())))</f>
        <v/>
      </c>
      <c r="P15" s="67">
        <f>IF($A$15="",NA(),IF(COUNTIFS(Data!$AK$2:$AK$1105,1,Data!$AY$2:$AY$1105,$A$15)&lt;Controls!$B$19,NA(),IFERROR(AVERAGEIFS(Data!$AT$2:$AT$1105,Data!$AK$2:$AK$1105,1,Data!$AY$2:$AY$1105,$A$15),NA())))</f>
        <v/>
      </c>
      <c r="Q15" s="62">
        <f>IF($A$15="",NA(),IF(COUNTIFS(Data!$AK$2:$AK$1105,1,Data!$AY$2:$AY$1105,$A$15)&lt;Controls!$B$19,NA(),IFERROR(COUNTIFS(Data!$AK$2:$AK$1105,1,Data!$AY$2:$AY$1105,$A$15,Data!$N$2:$N$1105,"Renewal")/COUNTIFS(Data!$AK$2:$AK$1105,1,Data!$AY$2:$AY$1105,$A$15),NA())))</f>
        <v/>
      </c>
      <c r="R15" s="62">
        <f>IF($A$15="",NA(),IF(COUNTIFS(Data!$AK$2:$AK$1105,1,Data!$AY$2:$AY$1105,$A$15)&lt;Controls!$B$19,NA(),IFERROR(SUMIFS(Data!$P$2:$P$1105,Data!$AK$2:$AK$1105,1,Data!$AY$2:$AY$1105,$A$15,Data!$N$2:$N$1105,"Renewal")/SUMIFS(Data!$P$2:$P$1105,Data!$AK$2:$AK$1105,1,Data!$AY$2:$AY$1105,$A$15),NA())))</f>
        <v/>
      </c>
      <c r="S15" s="62">
        <f>IF($A$15="",NA(),Calc!$BT$2)</f>
        <v/>
      </c>
      <c r="T15" s="62">
        <f>IF($A$15="",NA(),Calc!$BT$3)</f>
        <v/>
      </c>
      <c r="U15" s="62">
        <f>IF($A$15="",NA(),Calc!$BT$4)</f>
        <v/>
      </c>
      <c r="V15" s="62">
        <f>IF($A$15="",NA(),IF(COUNTIFS(Data!$AK$2:$AK$1105,1,Data!$AY$2:$AY$1105,$A$15)&lt;Controls!$B$19,NA(),IFERROR(COUNTIFS(Data!$AK$2:$AK$1105,1,Data!$AY$2:$AY$1105,$A$15,Data!$AH$2:$AH$1105,1)/COUNTIFS(Data!$AK$2:$AK$1105,1,Data!$AY$2:$AY$1105,$A$15),NA())))</f>
        <v/>
      </c>
      <c r="W15" s="61">
        <f>IF($A$15="","",$A$15&amp;" ("&amp;$J$15&amp;")")</f>
        <v/>
      </c>
      <c r="X15" s="61" t="n"/>
      <c r="Y15" s="61" t="n"/>
      <c r="Z15" s="61" t="n"/>
      <c r="AA15" s="61" t="n"/>
      <c r="AB15" s="61" t="n"/>
      <c r="AC15" s="61" t="n"/>
      <c r="AD15" s="61" t="n"/>
      <c r="AE15" s="61" t="n"/>
      <c r="AF15" s="61" t="n"/>
      <c r="AG15" s="61" t="n"/>
      <c r="AH15" s="61" t="n"/>
      <c r="AI15" s="61" t="n"/>
      <c r="AJ15" s="61" t="n"/>
      <c r="AK15" s="61" t="n"/>
      <c r="AL15" s="61" t="n"/>
      <c r="AM15" s="61" t="n"/>
      <c r="AN15" s="61">
        <f>Controls!$A$51</f>
        <v/>
      </c>
      <c r="AO15" s="61">
        <f>COUNTIFS(Data!$AK$2:$AK$1105,1,Data!$AY$2:$AY$1105,$AN$15)</f>
        <v/>
      </c>
      <c r="AP15" s="57">
        <f>SUMIFS(Data!$P$2:$P$1105,Data!$AK$2:$AK$1105,1,Data!$AY$2:$AY$1105,$AN$15)</f>
        <v/>
      </c>
      <c r="AQ15" s="56">
        <f>IFERROR(SUMIFS(Data!$AN$2:$AN$1105,Data!$AK$2:$AK$1105,1,Data!$AY$2:$AY$1105,$AN$15)/$AP$15,0)</f>
        <v/>
      </c>
      <c r="AR15" s="57">
        <f>SUMIFS(Data!$AN$2:$AN$1105,Data!$AK$2:$AK$1105,1,Data!$AY$2:$AY$1105,$AN$15)</f>
        <v/>
      </c>
      <c r="AS15" s="61">
        <f>Controls!$B$51</f>
        <v/>
      </c>
      <c r="AT15" s="61">
        <f>IF(OR(AO15=0,AO15&lt;Controls!$B$20),-1000000000000000,IF(AND(Controls!$B$21="Y",$AN$15="No SIC"),-1000000000000000,IF(Controls!$B$17="Selected only",IF(AS15="Y",AP15,-1000000000000000),IF(Controls!$B$17="Top by funded $",AP15,IF(Controls!$B$17="Top by funded units",AO15,IF(Controls!$B$17="Largest principal lost $",AR15,IF(Controls!$B$17="Highest net profit $",AU15,IF(AO15&lt;Controls!$B$19,-1000000000000000,IF(Controls!$B$17="Highest principal lost rate %",AQ15,IF(Controls!$B$17="Lowest principal lost rate %",1-AQ15,AP15))))))))) +12/1000000)</f>
        <v/>
      </c>
      <c r="AU15" s="57">
        <f>SUMIFS(Data!$AM$2:$AM$1105,Data!$AK$2:$AK$1105,1,Data!$AY$2:$AY$1105,$AN$15)</f>
        <v/>
      </c>
      <c r="AV15" s="61" t="n"/>
      <c r="AW15" s="61" t="n"/>
      <c r="AX15" s="61" t="n"/>
      <c r="AY15" s="61" t="n"/>
      <c r="AZ15" s="61" t="n"/>
      <c r="BA15" s="61" t="n"/>
      <c r="BB15" s="61">
        <f>Controls!$A$51</f>
        <v/>
      </c>
      <c r="BC15" s="61">
        <f>COUNTIFS(Data!$AK$2:$AK$1105,1,Data!$AY$2:$AY$1105,$BB$15)</f>
        <v/>
      </c>
      <c r="BD15" s="57">
        <f>SUMIFS(Data!$P$2:$P$1105,Data!$AK$2:$AK$1105,1,Data!$AY$2:$AY$1105,$BB$15)</f>
        <v/>
      </c>
      <c r="BE15" s="56">
        <f>IF(COUNTIFS(Data!$AK$2:$AK$1105,1,Data!$AY$2:$AY$1105,$BB$15)&lt;Controls!$B$19,"",IFERROR(SUMIFS(Data!$AN$2:$AN$1105,Data!$AK$2:$AK$1105,1,Data!$AY$2:$AY$1105,$BB$15)/$BD$15,""))</f>
        <v/>
      </c>
      <c r="BF15" s="56">
        <f>IF(COUNTIFS(Data!$AK$2:$AK$1105,1,Data!$AY$2:$AY$1105,$BB$15)&lt;Controls!$B$19,"",IFERROR(SUMIFS(Data!$AM$2:$AM$1105,Data!$AK$2:$AK$1105,1,Data!$AY$2:$AY$1105,$BB$15)/SUMIFS(Data!$P$2:$P$1105,Data!$AK$2:$AK$1105,1,Data!$AY$2:$AY$1105,$BB$15),""))</f>
        <v/>
      </c>
      <c r="BG15" s="57">
        <f>SUMIFS(Data!$AN$2:$AN$1105,Data!$AK$2:$AK$1105,1,Data!$AY$2:$AY$1105,$BB$15)</f>
        <v/>
      </c>
      <c r="BH15" s="61" t="n"/>
      <c r="BI15" s="61" t="n"/>
      <c r="BJ15" s="61" t="n"/>
      <c r="BK15" s="56">
        <f>IF($BC$15&lt;Controls!$B$22,"",$BE$15)</f>
        <v/>
      </c>
      <c r="BL15" s="56">
        <f>IF($BC$15&lt;Controls!$B$22,"",$BF$15)</f>
        <v/>
      </c>
      <c r="BM15" s="57">
        <f>IF($BC$15&lt;Controls!$B$22,"",$BG$15)</f>
        <v/>
      </c>
      <c r="BN15" s="61" t="n"/>
      <c r="BO15" s="61" t="n"/>
      <c r="BP15" s="61" t="n"/>
      <c r="BQ15" s="64" t="n"/>
      <c r="BR15" s="61" t="n"/>
      <c r="BS15" s="61" t="n"/>
      <c r="BT15" s="61" t="n"/>
    </row>
    <row r="16" ht="15" customHeight="1" s="79">
      <c r="A16" s="61">
        <f t="array" ref="A16">IFERROR(IF(12&gt;Controls!$B$18,"",IF(LARGE(Calc!$AT$4:$AT$68,12)&lt;-100000000000000,"",INDEX(Calc!$AN$4:$AN$68,MATCH(LARGE(Calc!$AT$4:$AT$68,12),Calc!$AT$4:$AT$68,0)))),"")</f>
        <v/>
      </c>
      <c r="B16" s="66">
        <f>IF($A$16="",NA(),IFERROR(SUMIFS(Data!$P$2:$P$1105,Data!$AK$2:$AK$1105,1,Data!$AY$2:$AY$1105,$A$16),NA()))</f>
        <v/>
      </c>
      <c r="C16" s="66">
        <f>IF($A$16="",NA(),IFERROR(SUMIFS(Data!$S$2:$S$1105,Data!$AK$2:$AK$1105,1,Data!$AY$2:$AY$1105,$A$16),NA()))</f>
        <v/>
      </c>
      <c r="D16" s="66">
        <f>IF(ISNA($B$16),NA(),$C$16-$B$16)</f>
        <v/>
      </c>
      <c r="E16" s="66">
        <f>IF($A$16="",NA(),IFERROR(SUMIFS(Data!$Q$2:$Q$1105,Data!$AK$2:$AK$1105,1,Data!$AY$2:$AY$1105,$A$16),NA()))</f>
        <v/>
      </c>
      <c r="F16" s="66">
        <f>IF($A$16="",NA(),IFERROR(SUMIFS(Data!$AN$2:$AN$1105,Data!$AK$2:$AK$1105,1,Data!$AY$2:$AY$1105,$A$16),NA()))</f>
        <v/>
      </c>
      <c r="G16" s="62">
        <f>IF($A$16="",NA(),IF(COUNTIFS(Data!$AK$2:$AK$1105,1,Data!$AY$2:$AY$1105,$A$16)&lt;Controls!$B$19,NA(),IFERROR(SUMIFS(Data!$AN$2:$AN$1105,Data!$AK$2:$AK$1105,1,Data!$AY$2:$AY$1105,$A$16)/$B$16,NA())))</f>
        <v/>
      </c>
      <c r="H16" s="62">
        <f>IF($A$16="",NA(),IF(COUNTIFS(Data!$AK$2:$AK$1105,1,Data!$AY$2:$AY$1105,$A$16)&lt;Controls!$B$19,NA(),IFERROR(SUMIFS(Data!$S$2:$S$1105,Data!$AK$2:$AK$1105,1,Data!$AY$2:$AY$1105,$A$16,Data!$AH$2:$AH$1105,1)/SUMIFS(Data!$P$2:$P$1105,Data!$AK$2:$AK$1105,1,Data!$AY$2:$AY$1105,$A$16,Data!$AH$2:$AH$1105,1),NA())))</f>
        <v/>
      </c>
      <c r="I16" s="62">
        <f>IF(ISNA($J$16),NA(),IF($J$16&lt;Controls!$B$19,NA(),IFERROR($D$16/$B$16,NA())))</f>
        <v/>
      </c>
      <c r="J16" s="67">
        <f>IF($A$16="",NA(),IFERROR(COUNTIFS(Data!$AK$2:$AK$1105,1,Data!$AY$2:$AY$1105,$A$16),NA()))</f>
        <v/>
      </c>
      <c r="K16" s="62">
        <f>IF(ISNA($B$16),NA(),IFERROR($B$16/Calc!$BT$6,NA()))</f>
        <v/>
      </c>
      <c r="L16" s="66">
        <f>IF(ISNA($J$16),NA(),IF($J$16&lt;Controls!$B$19,NA(),IFERROR($B$16/$J$16,NA())))</f>
        <v/>
      </c>
      <c r="M16" s="67">
        <f>IF($A$16="",NA(),IF(COUNTIFS(Data!$AK$2:$AK$1105,1,Data!$AY$2:$AY$1105,$A$16)&lt;Controls!$B$19,NA(),IFERROR(AVERAGEIFS(Data!$AE$2:$AE$1105,Data!$AK$2:$AK$1105,1,Data!$AY$2:$AY$1105,$A$16),NA())))</f>
        <v/>
      </c>
      <c r="N16" s="67">
        <f>IF($A$16="",NA(),IF(COUNTIFS(Data!$AK$2:$AK$1105,1,Data!$AY$2:$AY$1105,$A$16)&lt;Controls!$B$19,NA(),IFERROR(AVERAGEIFS(Data!$AD$2:$AD$1105,Data!$AK$2:$AK$1105,1,Data!$AY$2:$AY$1105,$A$16),NA())))</f>
        <v/>
      </c>
      <c r="O16" s="67">
        <f>IF($A$16="",NA(),IF(COUNTIFS(Data!$AK$2:$AK$1105,1,Data!$AY$2:$AY$1105,$A$16)&lt;Controls!$B$19,NA(),IFERROR(AVERAGEIFS(Data!$AS$2:$AS$1105,Data!$AK$2:$AK$1105,1,Data!$AY$2:$AY$1105,$A$16),NA())))</f>
        <v/>
      </c>
      <c r="P16" s="67">
        <f>IF($A$16="",NA(),IF(COUNTIFS(Data!$AK$2:$AK$1105,1,Data!$AY$2:$AY$1105,$A$16)&lt;Controls!$B$19,NA(),IFERROR(AVERAGEIFS(Data!$AT$2:$AT$1105,Data!$AK$2:$AK$1105,1,Data!$AY$2:$AY$1105,$A$16),NA())))</f>
        <v/>
      </c>
      <c r="Q16" s="62">
        <f>IF($A$16="",NA(),IF(COUNTIFS(Data!$AK$2:$AK$1105,1,Data!$AY$2:$AY$1105,$A$16)&lt;Controls!$B$19,NA(),IFERROR(COUNTIFS(Data!$AK$2:$AK$1105,1,Data!$AY$2:$AY$1105,$A$16,Data!$N$2:$N$1105,"Renewal")/COUNTIFS(Data!$AK$2:$AK$1105,1,Data!$AY$2:$AY$1105,$A$16),NA())))</f>
        <v/>
      </c>
      <c r="R16" s="62">
        <f>IF($A$16="",NA(),IF(COUNTIFS(Data!$AK$2:$AK$1105,1,Data!$AY$2:$AY$1105,$A$16)&lt;Controls!$B$19,NA(),IFERROR(SUMIFS(Data!$P$2:$P$1105,Data!$AK$2:$AK$1105,1,Data!$AY$2:$AY$1105,$A$16,Data!$N$2:$N$1105,"Renewal")/SUMIFS(Data!$P$2:$P$1105,Data!$AK$2:$AK$1105,1,Data!$AY$2:$AY$1105,$A$16),NA())))</f>
        <v/>
      </c>
      <c r="S16" s="62">
        <f>IF($A$16="",NA(),Calc!$BT$2)</f>
        <v/>
      </c>
      <c r="T16" s="62">
        <f>IF($A$16="",NA(),Calc!$BT$3)</f>
        <v/>
      </c>
      <c r="U16" s="62">
        <f>IF($A$16="",NA(),Calc!$BT$4)</f>
        <v/>
      </c>
      <c r="V16" s="62">
        <f>IF($A$16="",NA(),IF(COUNTIFS(Data!$AK$2:$AK$1105,1,Data!$AY$2:$AY$1105,$A$16)&lt;Controls!$B$19,NA(),IFERROR(COUNTIFS(Data!$AK$2:$AK$1105,1,Data!$AY$2:$AY$1105,$A$16,Data!$AH$2:$AH$1105,1)/COUNTIFS(Data!$AK$2:$AK$1105,1,Data!$AY$2:$AY$1105,$A$16),NA())))</f>
        <v/>
      </c>
      <c r="W16" s="61">
        <f>IF($A$16="","",$A$16&amp;" ("&amp;$J$16&amp;")")</f>
        <v/>
      </c>
      <c r="X16" s="61" t="n"/>
      <c r="Y16" s="61" t="n"/>
      <c r="Z16" s="61" t="n"/>
      <c r="AA16" s="61" t="n"/>
      <c r="AB16" s="61" t="n"/>
      <c r="AC16" s="61" t="n"/>
      <c r="AD16" s="61" t="n"/>
      <c r="AE16" s="61" t="n"/>
      <c r="AF16" s="61" t="n"/>
      <c r="AG16" s="61" t="n"/>
      <c r="AH16" s="61" t="n"/>
      <c r="AI16" s="61" t="n"/>
      <c r="AJ16" s="61" t="n"/>
      <c r="AK16" s="61" t="n"/>
      <c r="AL16" s="61" t="n"/>
      <c r="AM16" s="61" t="n"/>
      <c r="AN16" s="61">
        <f>Controls!$A$52</f>
        <v/>
      </c>
      <c r="AO16" s="61">
        <f>COUNTIFS(Data!$AK$2:$AK$1105,1,Data!$AY$2:$AY$1105,$AN$16)</f>
        <v/>
      </c>
      <c r="AP16" s="57">
        <f>SUMIFS(Data!$P$2:$P$1105,Data!$AK$2:$AK$1105,1,Data!$AY$2:$AY$1105,$AN$16)</f>
        <v/>
      </c>
      <c r="AQ16" s="56">
        <f>IFERROR(SUMIFS(Data!$AN$2:$AN$1105,Data!$AK$2:$AK$1105,1,Data!$AY$2:$AY$1105,$AN$16)/$AP$16,0)</f>
        <v/>
      </c>
      <c r="AR16" s="57">
        <f>SUMIFS(Data!$AN$2:$AN$1105,Data!$AK$2:$AK$1105,1,Data!$AY$2:$AY$1105,$AN$16)</f>
        <v/>
      </c>
      <c r="AS16" s="61">
        <f>Controls!$B$52</f>
        <v/>
      </c>
      <c r="AT16" s="61">
        <f>IF(OR(AO16=0,AO16&lt;Controls!$B$20),-1000000000000000,IF(AND(Controls!$B$21="Y",$AN$16="No SIC"),-1000000000000000,IF(Controls!$B$17="Selected only",IF(AS16="Y",AP16,-1000000000000000),IF(Controls!$B$17="Top by funded $",AP16,IF(Controls!$B$17="Top by funded units",AO16,IF(Controls!$B$17="Largest principal lost $",AR16,IF(Controls!$B$17="Highest net profit $",AU16,IF(AO16&lt;Controls!$B$19,-1000000000000000,IF(Controls!$B$17="Highest principal lost rate %",AQ16,IF(Controls!$B$17="Lowest principal lost rate %",1-AQ16,AP16))))))))) +13/1000000)</f>
        <v/>
      </c>
      <c r="AU16" s="57">
        <f>SUMIFS(Data!$AM$2:$AM$1105,Data!$AK$2:$AK$1105,1,Data!$AY$2:$AY$1105,$AN$16)</f>
        <v/>
      </c>
      <c r="AV16" s="61" t="n"/>
      <c r="AW16" s="61" t="n"/>
      <c r="AX16" s="61" t="n"/>
      <c r="AY16" s="61" t="n"/>
      <c r="AZ16" s="61" t="n"/>
      <c r="BA16" s="61" t="n"/>
      <c r="BB16" s="61">
        <f>Controls!$A$52</f>
        <v/>
      </c>
      <c r="BC16" s="61">
        <f>COUNTIFS(Data!$AK$2:$AK$1105,1,Data!$AY$2:$AY$1105,$BB$16)</f>
        <v/>
      </c>
      <c r="BD16" s="57">
        <f>SUMIFS(Data!$P$2:$P$1105,Data!$AK$2:$AK$1105,1,Data!$AY$2:$AY$1105,$BB$16)</f>
        <v/>
      </c>
      <c r="BE16" s="56">
        <f>IF(COUNTIFS(Data!$AK$2:$AK$1105,1,Data!$AY$2:$AY$1105,$BB$16)&lt;Controls!$B$19,"",IFERROR(SUMIFS(Data!$AN$2:$AN$1105,Data!$AK$2:$AK$1105,1,Data!$AY$2:$AY$1105,$BB$16)/$BD$16,""))</f>
        <v/>
      </c>
      <c r="BF16" s="56">
        <f>IF(COUNTIFS(Data!$AK$2:$AK$1105,1,Data!$AY$2:$AY$1105,$BB$16)&lt;Controls!$B$19,"",IFERROR(SUMIFS(Data!$AM$2:$AM$1105,Data!$AK$2:$AK$1105,1,Data!$AY$2:$AY$1105,$BB$16)/SUMIFS(Data!$P$2:$P$1105,Data!$AK$2:$AK$1105,1,Data!$AY$2:$AY$1105,$BB$16),""))</f>
        <v/>
      </c>
      <c r="BG16" s="57">
        <f>SUMIFS(Data!$AN$2:$AN$1105,Data!$AK$2:$AK$1105,1,Data!$AY$2:$AY$1105,$BB$16)</f>
        <v/>
      </c>
      <c r="BH16" s="61" t="n"/>
      <c r="BI16" s="61" t="n"/>
      <c r="BJ16" s="61" t="n"/>
      <c r="BK16" s="61">
        <f>IF($BC$16&lt;Controls!$B$22,"",$BE$16)</f>
        <v/>
      </c>
      <c r="BL16" s="61">
        <f>IF($BC$16&lt;Controls!$B$22,"",$BF$16)</f>
        <v/>
      </c>
      <c r="BM16" s="61">
        <f>IF($BC$16&lt;Controls!$B$22,"",$BG$16)</f>
        <v/>
      </c>
      <c r="BN16" s="61" t="n"/>
      <c r="BO16" s="61" t="n"/>
      <c r="BP16" s="61" t="n"/>
      <c r="BQ16" s="61" t="n"/>
      <c r="BR16" s="61" t="n"/>
      <c r="BS16" s="61" t="n"/>
      <c r="BT16" s="61" t="n"/>
    </row>
    <row r="17" ht="41.25" customHeight="1" s="79">
      <c r="A17" s="61">
        <f t="array" ref="A17">IFERROR(IF(13&gt;Controls!$B$18,"",IF(LARGE(Calc!$AT$4:$AT$68,13)&lt;-100000000000000,"",INDEX(Calc!$AN$4:$AN$68,MATCH(LARGE(Calc!$AT$4:$AT$68,13),Calc!$AT$4:$AT$68,0)))),"")</f>
        <v/>
      </c>
      <c r="B17" s="66">
        <f>IF($A$17="",NA(),IFERROR(SUMIFS(Data!$P$2:$P$1105,Data!$AK$2:$AK$1105,1,Data!$AY$2:$AY$1105,$A$17),NA()))</f>
        <v/>
      </c>
      <c r="C17" s="66">
        <f>IF($A$17="",NA(),IFERROR(SUMIFS(Data!$S$2:$S$1105,Data!$AK$2:$AK$1105,1,Data!$AY$2:$AY$1105,$A$17),NA()))</f>
        <v/>
      </c>
      <c r="D17" s="66">
        <f>IF(ISNA($B$17),NA(),$C$17-$B$17)</f>
        <v/>
      </c>
      <c r="E17" s="66">
        <f>IF($A$17="",NA(),IFERROR(SUMIFS(Data!$Q$2:$Q$1105,Data!$AK$2:$AK$1105,1,Data!$AY$2:$AY$1105,$A$17),NA()))</f>
        <v/>
      </c>
      <c r="F17" s="66">
        <f>IF($A$17="",NA(),IFERROR(SUMIFS(Data!$AN$2:$AN$1105,Data!$AK$2:$AK$1105,1,Data!$AY$2:$AY$1105,$A$17),NA()))</f>
        <v/>
      </c>
      <c r="G17" s="62">
        <f>IF($A$17="",NA(),IF(COUNTIFS(Data!$AK$2:$AK$1105,1,Data!$AY$2:$AY$1105,$A$17)&lt;Controls!$B$19,NA(),IFERROR(SUMIFS(Data!$AN$2:$AN$1105,Data!$AK$2:$AK$1105,1,Data!$AY$2:$AY$1105,$A$17)/$B$17,NA())))</f>
        <v/>
      </c>
      <c r="H17" s="62">
        <f>IF($A$17="",NA(),IF(COUNTIFS(Data!$AK$2:$AK$1105,1,Data!$AY$2:$AY$1105,$A$17)&lt;Controls!$B$19,NA(),IFERROR(SUMIFS(Data!$S$2:$S$1105,Data!$AK$2:$AK$1105,1,Data!$AY$2:$AY$1105,$A$17,Data!$AH$2:$AH$1105,1)/SUMIFS(Data!$P$2:$P$1105,Data!$AK$2:$AK$1105,1,Data!$AY$2:$AY$1105,$A$17,Data!$AH$2:$AH$1105,1),NA())))</f>
        <v/>
      </c>
      <c r="I17" s="62">
        <f>IF(ISNA($J$17),NA(),IF($J$17&lt;Controls!$B$19,NA(),IFERROR($D$17/$B$17,NA())))</f>
        <v/>
      </c>
      <c r="J17" s="67">
        <f>IF($A$17="",NA(),IFERROR(COUNTIFS(Data!$AK$2:$AK$1105,1,Data!$AY$2:$AY$1105,$A$17),NA()))</f>
        <v/>
      </c>
      <c r="K17" s="62">
        <f>IF(ISNA($B$17),NA(),IFERROR($B$17/Calc!$BT$6,NA()))</f>
        <v/>
      </c>
      <c r="L17" s="66">
        <f>IF(ISNA($J$17),NA(),IF($J$17&lt;Controls!$B$19,NA(),IFERROR($B$17/$J$17,NA())))</f>
        <v/>
      </c>
      <c r="M17" s="67">
        <f>IF($A$17="",NA(),IF(COUNTIFS(Data!$AK$2:$AK$1105,1,Data!$AY$2:$AY$1105,$A$17)&lt;Controls!$B$19,NA(),IFERROR(AVERAGEIFS(Data!$AE$2:$AE$1105,Data!$AK$2:$AK$1105,1,Data!$AY$2:$AY$1105,$A$17),NA())))</f>
        <v/>
      </c>
      <c r="N17" s="67">
        <f>IF($A$17="",NA(),IF(COUNTIFS(Data!$AK$2:$AK$1105,1,Data!$AY$2:$AY$1105,$A$17)&lt;Controls!$B$19,NA(),IFERROR(AVERAGEIFS(Data!$AD$2:$AD$1105,Data!$AK$2:$AK$1105,1,Data!$AY$2:$AY$1105,$A$17),NA())))</f>
        <v/>
      </c>
      <c r="O17" s="67">
        <f>IF($A$17="",NA(),IF(COUNTIFS(Data!$AK$2:$AK$1105,1,Data!$AY$2:$AY$1105,$A$17)&lt;Controls!$B$19,NA(),IFERROR(AVERAGEIFS(Data!$AS$2:$AS$1105,Data!$AK$2:$AK$1105,1,Data!$AY$2:$AY$1105,$A$17),NA())))</f>
        <v/>
      </c>
      <c r="P17" s="67">
        <f>IF($A$17="",NA(),IF(COUNTIFS(Data!$AK$2:$AK$1105,1,Data!$AY$2:$AY$1105,$A$17)&lt;Controls!$B$19,NA(),IFERROR(AVERAGEIFS(Data!$AT$2:$AT$1105,Data!$AK$2:$AK$1105,1,Data!$AY$2:$AY$1105,$A$17),NA())))</f>
        <v/>
      </c>
      <c r="Q17" s="62">
        <f>IF($A$17="",NA(),IF(COUNTIFS(Data!$AK$2:$AK$1105,1,Data!$AY$2:$AY$1105,$A$17)&lt;Controls!$B$19,NA(),IFERROR(COUNTIFS(Data!$AK$2:$AK$1105,1,Data!$AY$2:$AY$1105,$A$17,Data!$N$2:$N$1105,"Renewal")/COUNTIFS(Data!$AK$2:$AK$1105,1,Data!$AY$2:$AY$1105,$A$17),NA())))</f>
        <v/>
      </c>
      <c r="R17" s="62">
        <f>IF($A$17="",NA(),IF(COUNTIFS(Data!$AK$2:$AK$1105,1,Data!$AY$2:$AY$1105,$A$17)&lt;Controls!$B$19,NA(),IFERROR(SUMIFS(Data!$P$2:$P$1105,Data!$AK$2:$AK$1105,1,Data!$AY$2:$AY$1105,$A$17,Data!$N$2:$N$1105,"Renewal")/SUMIFS(Data!$P$2:$P$1105,Data!$AK$2:$AK$1105,1,Data!$AY$2:$AY$1105,$A$17),NA())))</f>
        <v/>
      </c>
      <c r="S17" s="62">
        <f>IF($A$17="",NA(),Calc!$BT$2)</f>
        <v/>
      </c>
      <c r="T17" s="62">
        <f>IF($A$17="",NA(),Calc!$BT$3)</f>
        <v/>
      </c>
      <c r="U17" s="62">
        <f>IF($A$17="",NA(),Calc!$BT$4)</f>
        <v/>
      </c>
      <c r="V17" s="62">
        <f>IF($A$17="",NA(),IF(COUNTIFS(Data!$AK$2:$AK$1105,1,Data!$AY$2:$AY$1105,$A$17)&lt;Controls!$B$19,NA(),IFERROR(COUNTIFS(Data!$AK$2:$AK$1105,1,Data!$AY$2:$AY$1105,$A$17,Data!$AH$2:$AH$1105,1)/COUNTIFS(Data!$AK$2:$AK$1105,1,Data!$AY$2:$AY$1105,$A$17),NA())))</f>
        <v/>
      </c>
      <c r="W17" s="61">
        <f>IF($A$17="","",$A$17&amp;" ("&amp;$J$17&amp;")")</f>
        <v/>
      </c>
      <c r="X17" s="61" t="n"/>
      <c r="Y17" s="61" t="n"/>
      <c r="Z17" s="61" t="n"/>
      <c r="AA17" s="61" t="n"/>
      <c r="AB17" s="61" t="n"/>
      <c r="AC17" s="61" t="n"/>
      <c r="AD17" s="61" t="n"/>
      <c r="AE17" s="61" t="n"/>
      <c r="AF17" s="61" t="n"/>
      <c r="AG17" s="61" t="n"/>
      <c r="AH17" s="61" t="n"/>
      <c r="AI17" s="61" t="n"/>
      <c r="AJ17" s="61" t="n"/>
      <c r="AK17" s="61" t="n"/>
      <c r="AL17" s="61" t="n"/>
      <c r="AM17" s="61" t="n"/>
      <c r="AN17" s="61">
        <f>Controls!$A$53</f>
        <v/>
      </c>
      <c r="AO17" s="61">
        <f>COUNTIFS(Data!$AK$2:$AK$1105,1,Data!$AY$2:$AY$1105,$AN$17)</f>
        <v/>
      </c>
      <c r="AP17" s="57">
        <f>SUMIFS(Data!$P$2:$P$1105,Data!$AK$2:$AK$1105,1,Data!$AY$2:$AY$1105,$AN$17)</f>
        <v/>
      </c>
      <c r="AQ17" s="56">
        <f>IFERROR(SUMIFS(Data!$AN$2:$AN$1105,Data!$AK$2:$AK$1105,1,Data!$AY$2:$AY$1105,$AN$17)/$AP$17,0)</f>
        <v/>
      </c>
      <c r="AR17" s="57">
        <f>SUMIFS(Data!$AN$2:$AN$1105,Data!$AK$2:$AK$1105,1,Data!$AY$2:$AY$1105,$AN$17)</f>
        <v/>
      </c>
      <c r="AS17" s="61">
        <f>Controls!$B$53</f>
        <v/>
      </c>
      <c r="AT17" s="61">
        <f>IF(OR(AO17=0,AO17&lt;Controls!$B$20),-1000000000000000,IF(AND(Controls!$B$21="Y",$AN$17="No SIC"),-1000000000000000,IF(Controls!$B$17="Selected only",IF(AS17="Y",AP17,-1000000000000000),IF(Controls!$B$17="Top by funded $",AP17,IF(Controls!$B$17="Top by funded units",AO17,IF(Controls!$B$17="Largest principal lost $",AR17,IF(Controls!$B$17="Highest net profit $",AU17,IF(AO17&lt;Controls!$B$19,-1000000000000000,IF(Controls!$B$17="Highest principal lost rate %",AQ17,IF(Controls!$B$17="Lowest principal lost rate %",1-AQ17,AP17))))))))) +14/1000000)</f>
        <v/>
      </c>
      <c r="AU17" s="57">
        <f>SUMIFS(Data!$AM$2:$AM$1105,Data!$AK$2:$AK$1105,1,Data!$AY$2:$AY$1105,$AN$17)</f>
        <v/>
      </c>
      <c r="AV17" s="61" t="n"/>
      <c r="AW17" s="61" t="n"/>
      <c r="AX17" s="61" t="n"/>
      <c r="AY17" s="61" t="n"/>
      <c r="AZ17" s="61" t="n"/>
      <c r="BA17" s="61" t="n"/>
      <c r="BB17" s="61">
        <f>Controls!$A$53</f>
        <v/>
      </c>
      <c r="BC17" s="61">
        <f>COUNTIFS(Data!$AK$2:$AK$1105,1,Data!$AY$2:$AY$1105,$BB$17)</f>
        <v/>
      </c>
      <c r="BD17" s="57">
        <f>SUMIFS(Data!$P$2:$P$1105,Data!$AK$2:$AK$1105,1,Data!$AY$2:$AY$1105,$BB$17)</f>
        <v/>
      </c>
      <c r="BE17" s="56">
        <f>IF(COUNTIFS(Data!$AK$2:$AK$1105,1,Data!$AY$2:$AY$1105,$BB$17)&lt;Controls!$B$19,"",IFERROR(SUMIFS(Data!$AN$2:$AN$1105,Data!$AK$2:$AK$1105,1,Data!$AY$2:$AY$1105,$BB$17)/$BD$17,""))</f>
        <v/>
      </c>
      <c r="BF17" s="56">
        <f>IF(COUNTIFS(Data!$AK$2:$AK$1105,1,Data!$AY$2:$AY$1105,$BB$17)&lt;Controls!$B$19,"",IFERROR(SUMIFS(Data!$AM$2:$AM$1105,Data!$AK$2:$AK$1105,1,Data!$AY$2:$AY$1105,$BB$17)/SUMIFS(Data!$P$2:$P$1105,Data!$AK$2:$AK$1105,1,Data!$AY$2:$AY$1105,$BB$17),""))</f>
        <v/>
      </c>
      <c r="BG17" s="57">
        <f>SUMIFS(Data!$AN$2:$AN$1105,Data!$AK$2:$AK$1105,1,Data!$AY$2:$AY$1105,$BB$17)</f>
        <v/>
      </c>
      <c r="BH17" s="61" t="n"/>
      <c r="BI17" s="61" t="n"/>
      <c r="BJ17" s="61" t="n"/>
      <c r="BK17" s="61">
        <f>IF($BC$17&lt;Controls!$B$22,"",$BE$17)</f>
        <v/>
      </c>
      <c r="BL17" s="61">
        <f>IF($BC$17&lt;Controls!$B$22,"",$BF$17)</f>
        <v/>
      </c>
      <c r="BM17" s="61">
        <f>IF($BC$17&lt;Controls!$B$22,"",$BG$17)</f>
        <v/>
      </c>
      <c r="BN17" s="61" t="n"/>
      <c r="BO17" s="61" t="n"/>
      <c r="BP17" s="61" t="n"/>
      <c r="BQ17" s="64" t="n"/>
      <c r="BR17" s="61" t="n"/>
      <c r="BS17" s="61" t="n"/>
      <c r="BT17" s="61" t="n"/>
    </row>
    <row r="18" ht="15" customHeight="1" s="79">
      <c r="A18" s="61">
        <f t="array" ref="A18">IFERROR(IF(14&gt;Controls!$B$18,"",IF(LARGE(Calc!$AT$4:$AT$68,14)&lt;-100000000000000,"",INDEX(Calc!$AN$4:$AN$68,MATCH(LARGE(Calc!$AT$4:$AT$68,14),Calc!$AT$4:$AT$68,0)))),"")</f>
        <v/>
      </c>
      <c r="B18" s="66">
        <f>IF($A$18="",NA(),IFERROR(SUMIFS(Data!$P$2:$P$1105,Data!$AK$2:$AK$1105,1,Data!$AY$2:$AY$1105,$A$18),NA()))</f>
        <v/>
      </c>
      <c r="C18" s="66">
        <f>IF($A$18="",NA(),IFERROR(SUMIFS(Data!$S$2:$S$1105,Data!$AK$2:$AK$1105,1,Data!$AY$2:$AY$1105,$A$18),NA()))</f>
        <v/>
      </c>
      <c r="D18" s="66">
        <f>IF(ISNA($B$18),NA(),$C$18-$B$18)</f>
        <v/>
      </c>
      <c r="E18" s="66">
        <f>IF($A$18="",NA(),IFERROR(SUMIFS(Data!$Q$2:$Q$1105,Data!$AK$2:$AK$1105,1,Data!$AY$2:$AY$1105,$A$18),NA()))</f>
        <v/>
      </c>
      <c r="F18" s="66">
        <f>IF($A$18="",NA(),IFERROR(SUMIFS(Data!$AN$2:$AN$1105,Data!$AK$2:$AK$1105,1,Data!$AY$2:$AY$1105,$A$18),NA()))</f>
        <v/>
      </c>
      <c r="G18" s="62">
        <f>IF($A$18="",NA(),IF(COUNTIFS(Data!$AK$2:$AK$1105,1,Data!$AY$2:$AY$1105,$A$18)&lt;Controls!$B$19,NA(),IFERROR(SUMIFS(Data!$AN$2:$AN$1105,Data!$AK$2:$AK$1105,1,Data!$AY$2:$AY$1105,$A$18)/$B$18,NA())))</f>
        <v/>
      </c>
      <c r="H18" s="62">
        <f>IF($A$18="",NA(),IF(COUNTIFS(Data!$AK$2:$AK$1105,1,Data!$AY$2:$AY$1105,$A$18)&lt;Controls!$B$19,NA(),IFERROR(SUMIFS(Data!$S$2:$S$1105,Data!$AK$2:$AK$1105,1,Data!$AY$2:$AY$1105,$A$18,Data!$AH$2:$AH$1105,1)/SUMIFS(Data!$P$2:$P$1105,Data!$AK$2:$AK$1105,1,Data!$AY$2:$AY$1105,$A$18,Data!$AH$2:$AH$1105,1),NA())))</f>
        <v/>
      </c>
      <c r="I18" s="62">
        <f>IF(ISNA($J$18),NA(),IF($J$18&lt;Controls!$B$19,NA(),IFERROR($D$18/$B$18,NA())))</f>
        <v/>
      </c>
      <c r="J18" s="67">
        <f>IF($A$18="",NA(),IFERROR(COUNTIFS(Data!$AK$2:$AK$1105,1,Data!$AY$2:$AY$1105,$A$18),NA()))</f>
        <v/>
      </c>
      <c r="K18" s="62">
        <f>IF(ISNA($B$18),NA(),IFERROR($B$18/Calc!$BT$6,NA()))</f>
        <v/>
      </c>
      <c r="L18" s="66">
        <f>IF(ISNA($J$18),NA(),IF($J$18&lt;Controls!$B$19,NA(),IFERROR($B$18/$J$18,NA())))</f>
        <v/>
      </c>
      <c r="M18" s="67">
        <f>IF($A$18="",NA(),IF(COUNTIFS(Data!$AK$2:$AK$1105,1,Data!$AY$2:$AY$1105,$A$18)&lt;Controls!$B$19,NA(),IFERROR(AVERAGEIFS(Data!$AE$2:$AE$1105,Data!$AK$2:$AK$1105,1,Data!$AY$2:$AY$1105,$A$18),NA())))</f>
        <v/>
      </c>
      <c r="N18" s="67">
        <f>IF($A$18="",NA(),IF(COUNTIFS(Data!$AK$2:$AK$1105,1,Data!$AY$2:$AY$1105,$A$18)&lt;Controls!$B$19,NA(),IFERROR(AVERAGEIFS(Data!$AD$2:$AD$1105,Data!$AK$2:$AK$1105,1,Data!$AY$2:$AY$1105,$A$18),NA())))</f>
        <v/>
      </c>
      <c r="O18" s="67">
        <f>IF($A$18="",NA(),IF(COUNTIFS(Data!$AK$2:$AK$1105,1,Data!$AY$2:$AY$1105,$A$18)&lt;Controls!$B$19,NA(),IFERROR(AVERAGEIFS(Data!$AS$2:$AS$1105,Data!$AK$2:$AK$1105,1,Data!$AY$2:$AY$1105,$A$18),NA())))</f>
        <v/>
      </c>
      <c r="P18" s="67">
        <f>IF($A$18="",NA(),IF(COUNTIFS(Data!$AK$2:$AK$1105,1,Data!$AY$2:$AY$1105,$A$18)&lt;Controls!$B$19,NA(),IFERROR(AVERAGEIFS(Data!$AT$2:$AT$1105,Data!$AK$2:$AK$1105,1,Data!$AY$2:$AY$1105,$A$18),NA())))</f>
        <v/>
      </c>
      <c r="Q18" s="62">
        <f>IF($A$18="",NA(),IF(COUNTIFS(Data!$AK$2:$AK$1105,1,Data!$AY$2:$AY$1105,$A$18)&lt;Controls!$B$19,NA(),IFERROR(COUNTIFS(Data!$AK$2:$AK$1105,1,Data!$AY$2:$AY$1105,$A$18,Data!$N$2:$N$1105,"Renewal")/COUNTIFS(Data!$AK$2:$AK$1105,1,Data!$AY$2:$AY$1105,$A$18),NA())))</f>
        <v/>
      </c>
      <c r="R18" s="62">
        <f>IF($A$18="",NA(),IF(COUNTIFS(Data!$AK$2:$AK$1105,1,Data!$AY$2:$AY$1105,$A$18)&lt;Controls!$B$19,NA(),IFERROR(SUMIFS(Data!$P$2:$P$1105,Data!$AK$2:$AK$1105,1,Data!$AY$2:$AY$1105,$A$18,Data!$N$2:$N$1105,"Renewal")/SUMIFS(Data!$P$2:$P$1105,Data!$AK$2:$AK$1105,1,Data!$AY$2:$AY$1105,$A$18),NA())))</f>
        <v/>
      </c>
      <c r="S18" s="62">
        <f>IF($A$18="",NA(),Calc!$BT$2)</f>
        <v/>
      </c>
      <c r="T18" s="62">
        <f>IF($A$18="",NA(),Calc!$BT$3)</f>
        <v/>
      </c>
      <c r="U18" s="62">
        <f>IF($A$18="",NA(),Calc!$BT$4)</f>
        <v/>
      </c>
      <c r="V18" s="62">
        <f>IF($A$18="",NA(),IF(COUNTIFS(Data!$AK$2:$AK$1105,1,Data!$AY$2:$AY$1105,$A$18)&lt;Controls!$B$19,NA(),IFERROR(COUNTIFS(Data!$AK$2:$AK$1105,1,Data!$AY$2:$AY$1105,$A$18,Data!$AH$2:$AH$1105,1)/COUNTIFS(Data!$AK$2:$AK$1105,1,Data!$AY$2:$AY$1105,$A$18),NA())))</f>
        <v/>
      </c>
      <c r="W18" s="61">
        <f>IF($A$18="","",$A$18&amp;" ("&amp;$J$18&amp;")")</f>
        <v/>
      </c>
      <c r="X18" s="61" t="n"/>
      <c r="Y18" s="61" t="n"/>
      <c r="Z18" s="61" t="n"/>
      <c r="AA18" s="61" t="n"/>
      <c r="AB18" s="61" t="n"/>
      <c r="AC18" s="61" t="n"/>
      <c r="AD18" s="61" t="n"/>
      <c r="AE18" s="61" t="n"/>
      <c r="AF18" s="61" t="n"/>
      <c r="AG18" s="61" t="n"/>
      <c r="AH18" s="61" t="n"/>
      <c r="AI18" s="61" t="n"/>
      <c r="AJ18" s="61" t="n"/>
      <c r="AK18" s="61" t="n"/>
      <c r="AL18" s="61" t="n"/>
      <c r="AM18" s="61" t="n"/>
      <c r="AN18" s="61">
        <f>Controls!$A$54</f>
        <v/>
      </c>
      <c r="AO18" s="61">
        <f>COUNTIFS(Data!$AK$2:$AK$1105,1,Data!$AY$2:$AY$1105,$AN$18)</f>
        <v/>
      </c>
      <c r="AP18" s="57">
        <f>SUMIFS(Data!$P$2:$P$1105,Data!$AK$2:$AK$1105,1,Data!$AY$2:$AY$1105,$AN$18)</f>
        <v/>
      </c>
      <c r="AQ18" s="56">
        <f>IFERROR(SUMIFS(Data!$AN$2:$AN$1105,Data!$AK$2:$AK$1105,1,Data!$AY$2:$AY$1105,$AN$18)/$AP$18,0)</f>
        <v/>
      </c>
      <c r="AR18" s="57">
        <f>SUMIFS(Data!$AN$2:$AN$1105,Data!$AK$2:$AK$1105,1,Data!$AY$2:$AY$1105,$AN$18)</f>
        <v/>
      </c>
      <c r="AS18" s="61">
        <f>Controls!$B$54</f>
        <v/>
      </c>
      <c r="AT18" s="61">
        <f>IF(OR(AO18=0,AO18&lt;Controls!$B$20),-1000000000000000,IF(AND(Controls!$B$21="Y",$AN$18="No SIC"),-1000000000000000,IF(Controls!$B$17="Selected only",IF(AS18="Y",AP18,-1000000000000000),IF(Controls!$B$17="Top by funded $",AP18,IF(Controls!$B$17="Top by funded units",AO18,IF(Controls!$B$17="Largest principal lost $",AR18,IF(Controls!$B$17="Highest net profit $",AU18,IF(AO18&lt;Controls!$B$19,-1000000000000000,IF(Controls!$B$17="Highest principal lost rate %",AQ18,IF(Controls!$B$17="Lowest principal lost rate %",1-AQ18,AP18))))))))) +15/1000000)</f>
        <v/>
      </c>
      <c r="AU18" s="57">
        <f>SUMIFS(Data!$AM$2:$AM$1105,Data!$AK$2:$AK$1105,1,Data!$AY$2:$AY$1105,$AN$18)</f>
        <v/>
      </c>
      <c r="AV18" s="61" t="n"/>
      <c r="AW18" s="61" t="n"/>
      <c r="AX18" s="61" t="n"/>
      <c r="AY18" s="61" t="n"/>
      <c r="AZ18" s="61" t="n"/>
      <c r="BA18" s="61" t="n"/>
      <c r="BB18" s="61">
        <f>Controls!$A$54</f>
        <v/>
      </c>
      <c r="BC18" s="61">
        <f>COUNTIFS(Data!$AK$2:$AK$1105,1,Data!$AY$2:$AY$1105,$BB$18)</f>
        <v/>
      </c>
      <c r="BD18" s="57">
        <f>SUMIFS(Data!$P$2:$P$1105,Data!$AK$2:$AK$1105,1,Data!$AY$2:$AY$1105,$BB$18)</f>
        <v/>
      </c>
      <c r="BE18" s="56">
        <f>IF(COUNTIFS(Data!$AK$2:$AK$1105,1,Data!$AY$2:$AY$1105,$BB$18)&lt;Controls!$B$19,"",IFERROR(SUMIFS(Data!$AN$2:$AN$1105,Data!$AK$2:$AK$1105,1,Data!$AY$2:$AY$1105,$BB$18)/$BD$18,""))</f>
        <v/>
      </c>
      <c r="BF18" s="56">
        <f>IF(COUNTIFS(Data!$AK$2:$AK$1105,1,Data!$AY$2:$AY$1105,$BB$18)&lt;Controls!$B$19,"",IFERROR(SUMIFS(Data!$AM$2:$AM$1105,Data!$AK$2:$AK$1105,1,Data!$AY$2:$AY$1105,$BB$18)/SUMIFS(Data!$P$2:$P$1105,Data!$AK$2:$AK$1105,1,Data!$AY$2:$AY$1105,$BB$18),""))</f>
        <v/>
      </c>
      <c r="BG18" s="57">
        <f>SUMIFS(Data!$AN$2:$AN$1105,Data!$AK$2:$AK$1105,1,Data!$AY$2:$AY$1105,$BB$18)</f>
        <v/>
      </c>
      <c r="BH18" s="61" t="n"/>
      <c r="BI18" s="61" t="n"/>
      <c r="BJ18" s="61" t="n"/>
      <c r="BK18" s="56">
        <f>IF($BC$18&lt;Controls!$B$22,"",$BE$18)</f>
        <v/>
      </c>
      <c r="BL18" s="56">
        <f>IF($BC$18&lt;Controls!$B$22,"",$BF$18)</f>
        <v/>
      </c>
      <c r="BM18" s="57">
        <f>IF($BC$18&lt;Controls!$B$22,"",$BG$18)</f>
        <v/>
      </c>
      <c r="BN18" s="61" t="n"/>
      <c r="BO18" s="61" t="n"/>
      <c r="BP18" s="61" t="n"/>
      <c r="BQ18" s="61" t="n"/>
      <c r="BR18" s="61" t="n"/>
      <c r="BS18" s="61" t="n"/>
      <c r="BT18" s="61" t="n"/>
    </row>
    <row r="19" ht="27.75" customHeight="1" s="79">
      <c r="A19" s="61">
        <f t="array" ref="A19">IFERROR(IF(15&gt;Controls!$B$18,"",IF(LARGE(Calc!$AT$4:$AT$68,15)&lt;-100000000000000,"",INDEX(Calc!$AN$4:$AN$68,MATCH(LARGE(Calc!$AT$4:$AT$68,15),Calc!$AT$4:$AT$68,0)))),"")</f>
        <v/>
      </c>
      <c r="B19" s="66">
        <f>IF($A$19="",NA(),IFERROR(SUMIFS(Data!$P$2:$P$1105,Data!$AK$2:$AK$1105,1,Data!$AY$2:$AY$1105,$A$19),NA()))</f>
        <v/>
      </c>
      <c r="C19" s="66">
        <f>IF($A$19="",NA(),IFERROR(SUMIFS(Data!$S$2:$S$1105,Data!$AK$2:$AK$1105,1,Data!$AY$2:$AY$1105,$A$19),NA()))</f>
        <v/>
      </c>
      <c r="D19" s="66">
        <f>IF(ISNA($B$19),NA(),$C$19-$B$19)</f>
        <v/>
      </c>
      <c r="E19" s="66">
        <f>IF($A$19="",NA(),IFERROR(SUMIFS(Data!$Q$2:$Q$1105,Data!$AK$2:$AK$1105,1,Data!$AY$2:$AY$1105,$A$19),NA()))</f>
        <v/>
      </c>
      <c r="F19" s="66">
        <f>IF($A$19="",NA(),IFERROR(SUMIFS(Data!$AN$2:$AN$1105,Data!$AK$2:$AK$1105,1,Data!$AY$2:$AY$1105,$A$19),NA()))</f>
        <v/>
      </c>
      <c r="G19" s="62">
        <f>IF($A$19="",NA(),IF(COUNTIFS(Data!$AK$2:$AK$1105,1,Data!$AY$2:$AY$1105,$A$19)&lt;Controls!$B$19,NA(),IFERROR(SUMIFS(Data!$AN$2:$AN$1105,Data!$AK$2:$AK$1105,1,Data!$AY$2:$AY$1105,$A$19)/$B$19,NA())))</f>
        <v/>
      </c>
      <c r="H19" s="62">
        <f>IF($A$19="",NA(),IF(COUNTIFS(Data!$AK$2:$AK$1105,1,Data!$AY$2:$AY$1105,$A$19)&lt;Controls!$B$19,NA(),IFERROR(SUMIFS(Data!$S$2:$S$1105,Data!$AK$2:$AK$1105,1,Data!$AY$2:$AY$1105,$A$19,Data!$AH$2:$AH$1105,1)/SUMIFS(Data!$P$2:$P$1105,Data!$AK$2:$AK$1105,1,Data!$AY$2:$AY$1105,$A$19,Data!$AH$2:$AH$1105,1),NA())))</f>
        <v/>
      </c>
      <c r="I19" s="62">
        <f>IF(ISNA($J$19),NA(),IF($J$19&lt;Controls!$B$19,NA(),IFERROR($D$19/$B$19,NA())))</f>
        <v/>
      </c>
      <c r="J19" s="67">
        <f>IF($A$19="",NA(),IFERROR(COUNTIFS(Data!$AK$2:$AK$1105,1,Data!$AY$2:$AY$1105,$A$19),NA()))</f>
        <v/>
      </c>
      <c r="K19" s="62">
        <f>IF(ISNA($B$19),NA(),IFERROR($B$19/Calc!$BT$6,NA()))</f>
        <v/>
      </c>
      <c r="L19" s="66">
        <f>IF(ISNA($J$19),NA(),IF($J$19&lt;Controls!$B$19,NA(),IFERROR($B$19/$J$19,NA())))</f>
        <v/>
      </c>
      <c r="M19" s="67">
        <f>IF($A$19="",NA(),IF(COUNTIFS(Data!$AK$2:$AK$1105,1,Data!$AY$2:$AY$1105,$A$19)&lt;Controls!$B$19,NA(),IFERROR(AVERAGEIFS(Data!$AE$2:$AE$1105,Data!$AK$2:$AK$1105,1,Data!$AY$2:$AY$1105,$A$19),NA())))</f>
        <v/>
      </c>
      <c r="N19" s="67">
        <f>IF($A$19="",NA(),IF(COUNTIFS(Data!$AK$2:$AK$1105,1,Data!$AY$2:$AY$1105,$A$19)&lt;Controls!$B$19,NA(),IFERROR(AVERAGEIFS(Data!$AD$2:$AD$1105,Data!$AK$2:$AK$1105,1,Data!$AY$2:$AY$1105,$A$19),NA())))</f>
        <v/>
      </c>
      <c r="O19" s="67">
        <f>IF($A$19="",NA(),IF(COUNTIFS(Data!$AK$2:$AK$1105,1,Data!$AY$2:$AY$1105,$A$19)&lt;Controls!$B$19,NA(),IFERROR(AVERAGEIFS(Data!$AS$2:$AS$1105,Data!$AK$2:$AK$1105,1,Data!$AY$2:$AY$1105,$A$19),NA())))</f>
        <v/>
      </c>
      <c r="P19" s="67">
        <f>IF($A$19="",NA(),IF(COUNTIFS(Data!$AK$2:$AK$1105,1,Data!$AY$2:$AY$1105,$A$19)&lt;Controls!$B$19,NA(),IFERROR(AVERAGEIFS(Data!$AT$2:$AT$1105,Data!$AK$2:$AK$1105,1,Data!$AY$2:$AY$1105,$A$19),NA())))</f>
        <v/>
      </c>
      <c r="Q19" s="62">
        <f>IF($A$19="",NA(),IF(COUNTIFS(Data!$AK$2:$AK$1105,1,Data!$AY$2:$AY$1105,$A$19)&lt;Controls!$B$19,NA(),IFERROR(COUNTIFS(Data!$AK$2:$AK$1105,1,Data!$AY$2:$AY$1105,$A$19,Data!$N$2:$N$1105,"Renewal")/COUNTIFS(Data!$AK$2:$AK$1105,1,Data!$AY$2:$AY$1105,$A$19),NA())))</f>
        <v/>
      </c>
      <c r="R19" s="62">
        <f>IF($A$19="",NA(),IF(COUNTIFS(Data!$AK$2:$AK$1105,1,Data!$AY$2:$AY$1105,$A$19)&lt;Controls!$B$19,NA(),IFERROR(SUMIFS(Data!$P$2:$P$1105,Data!$AK$2:$AK$1105,1,Data!$AY$2:$AY$1105,$A$19,Data!$N$2:$N$1105,"Renewal")/SUMIFS(Data!$P$2:$P$1105,Data!$AK$2:$AK$1105,1,Data!$AY$2:$AY$1105,$A$19),NA())))</f>
        <v/>
      </c>
      <c r="S19" s="62">
        <f>IF($A$19="",NA(),Calc!$BT$2)</f>
        <v/>
      </c>
      <c r="T19" s="62">
        <f>IF($A$19="",NA(),Calc!$BT$3)</f>
        <v/>
      </c>
      <c r="U19" s="62">
        <f>IF($A$19="",NA(),Calc!$BT$4)</f>
        <v/>
      </c>
      <c r="V19" s="62">
        <f>IF($A$19="",NA(),IF(COUNTIFS(Data!$AK$2:$AK$1105,1,Data!$AY$2:$AY$1105,$A$19)&lt;Controls!$B$19,NA(),IFERROR(COUNTIFS(Data!$AK$2:$AK$1105,1,Data!$AY$2:$AY$1105,$A$19,Data!$AH$2:$AH$1105,1)/COUNTIFS(Data!$AK$2:$AK$1105,1,Data!$AY$2:$AY$1105,$A$19),NA())))</f>
        <v/>
      </c>
      <c r="W19" s="61">
        <f>IF($A$19="","",$A$19&amp;" ("&amp;$J$19&amp;")")</f>
        <v/>
      </c>
      <c r="X19" s="61" t="n"/>
      <c r="Y19" s="61" t="n"/>
      <c r="Z19" s="61" t="n"/>
      <c r="AA19" s="61" t="n"/>
      <c r="AB19" s="61" t="n"/>
      <c r="AC19" s="61" t="n"/>
      <c r="AD19" s="61" t="n"/>
      <c r="AE19" s="61" t="n"/>
      <c r="AF19" s="61" t="n"/>
      <c r="AG19" s="61" t="n"/>
      <c r="AH19" s="61" t="n"/>
      <c r="AI19" s="61" t="n"/>
      <c r="AJ19" s="61" t="n"/>
      <c r="AK19" s="61" t="n"/>
      <c r="AL19" s="61" t="n"/>
      <c r="AM19" s="61" t="n"/>
      <c r="AN19" s="61">
        <f>Controls!$A$55</f>
        <v/>
      </c>
      <c r="AO19" s="61">
        <f>COUNTIFS(Data!$AK$2:$AK$1105,1,Data!$AY$2:$AY$1105,$AN$19)</f>
        <v/>
      </c>
      <c r="AP19" s="57">
        <f>SUMIFS(Data!$P$2:$P$1105,Data!$AK$2:$AK$1105,1,Data!$AY$2:$AY$1105,$AN$19)</f>
        <v/>
      </c>
      <c r="AQ19" s="56">
        <f>IFERROR(SUMIFS(Data!$AN$2:$AN$1105,Data!$AK$2:$AK$1105,1,Data!$AY$2:$AY$1105,$AN$19)/$AP$19,0)</f>
        <v/>
      </c>
      <c r="AR19" s="57">
        <f>SUMIFS(Data!$AN$2:$AN$1105,Data!$AK$2:$AK$1105,1,Data!$AY$2:$AY$1105,$AN$19)</f>
        <v/>
      </c>
      <c r="AS19" s="61">
        <f>Controls!$B$55</f>
        <v/>
      </c>
      <c r="AT19" s="61">
        <f>IF(OR(AO19=0,AO19&lt;Controls!$B$20),-1000000000000000,IF(AND(Controls!$B$21="Y",$AN$19="No SIC"),-1000000000000000,IF(Controls!$B$17="Selected only",IF(AS19="Y",AP19,-1000000000000000),IF(Controls!$B$17="Top by funded $",AP19,IF(Controls!$B$17="Top by funded units",AO19,IF(Controls!$B$17="Largest principal lost $",AR19,IF(Controls!$B$17="Highest net profit $",AU19,IF(AO19&lt;Controls!$B$19,-1000000000000000,IF(Controls!$B$17="Highest principal lost rate %",AQ19,IF(Controls!$B$17="Lowest principal lost rate %",1-AQ19,AP19))))))))) +16/1000000)</f>
        <v/>
      </c>
      <c r="AU19" s="57">
        <f>SUMIFS(Data!$AM$2:$AM$1105,Data!$AK$2:$AK$1105,1,Data!$AY$2:$AY$1105,$AN$19)</f>
        <v/>
      </c>
      <c r="AV19" s="61" t="n"/>
      <c r="AW19" s="61" t="n"/>
      <c r="AX19" s="61" t="n"/>
      <c r="AY19" s="61" t="n"/>
      <c r="AZ19" s="61" t="n"/>
      <c r="BA19" s="61" t="n"/>
      <c r="BB19" s="61">
        <f>Controls!$A$55</f>
        <v/>
      </c>
      <c r="BC19" s="61">
        <f>COUNTIFS(Data!$AK$2:$AK$1105,1,Data!$AY$2:$AY$1105,$BB$19)</f>
        <v/>
      </c>
      <c r="BD19" s="57">
        <f>SUMIFS(Data!$P$2:$P$1105,Data!$AK$2:$AK$1105,1,Data!$AY$2:$AY$1105,$BB$19)</f>
        <v/>
      </c>
      <c r="BE19" s="56">
        <f>IF(COUNTIFS(Data!$AK$2:$AK$1105,1,Data!$AY$2:$AY$1105,$BB$19)&lt;Controls!$B$19,"",IFERROR(SUMIFS(Data!$AN$2:$AN$1105,Data!$AK$2:$AK$1105,1,Data!$AY$2:$AY$1105,$BB$19)/$BD$19,""))</f>
        <v/>
      </c>
      <c r="BF19" s="56">
        <f>IF(COUNTIFS(Data!$AK$2:$AK$1105,1,Data!$AY$2:$AY$1105,$BB$19)&lt;Controls!$B$19,"",IFERROR(SUMIFS(Data!$AM$2:$AM$1105,Data!$AK$2:$AK$1105,1,Data!$AY$2:$AY$1105,$BB$19)/SUMIFS(Data!$P$2:$P$1105,Data!$AK$2:$AK$1105,1,Data!$AY$2:$AY$1105,$BB$19),""))</f>
        <v/>
      </c>
      <c r="BG19" s="57">
        <f>SUMIFS(Data!$AN$2:$AN$1105,Data!$AK$2:$AK$1105,1,Data!$AY$2:$AY$1105,$BB$19)</f>
        <v/>
      </c>
      <c r="BH19" s="61" t="n"/>
      <c r="BI19" s="61" t="n"/>
      <c r="BJ19" s="61" t="n"/>
      <c r="BK19" s="61">
        <f>IF($BC$19&lt;Controls!$B$22,"",$BE$19)</f>
        <v/>
      </c>
      <c r="BL19" s="61">
        <f>IF($BC$19&lt;Controls!$B$22,"",$BF$19)</f>
        <v/>
      </c>
      <c r="BM19" s="61">
        <f>IF($BC$19&lt;Controls!$B$22,"",$BG$19)</f>
        <v/>
      </c>
      <c r="BN19" s="61" t="n"/>
      <c r="BO19" s="61" t="n"/>
      <c r="BP19" s="61" t="n"/>
      <c r="BQ19" s="64" t="n"/>
      <c r="BR19" s="61" t="n"/>
      <c r="BS19" s="61" t="n"/>
      <c r="BT19" s="61" t="n"/>
    </row>
    <row r="20" ht="15" customHeight="1" s="79">
      <c r="A20" s="61">
        <f t="array" ref="A20">IFERROR(IF(16&gt;Controls!$B$18,"",IF(LARGE(Calc!$AT$4:$AT$68,16)&lt;-100000000000000,"",INDEX(Calc!$AN$4:$AN$68,MATCH(LARGE(Calc!$AT$4:$AT$68,16),Calc!$AT$4:$AT$68,0)))),"")</f>
        <v/>
      </c>
      <c r="B20" s="66">
        <f>IF($A$20="",NA(),IFERROR(SUMIFS(Data!$P$2:$P$1105,Data!$AK$2:$AK$1105,1,Data!$AY$2:$AY$1105,$A$20),NA()))</f>
        <v/>
      </c>
      <c r="C20" s="66">
        <f>IF($A$20="",NA(),IFERROR(SUMIFS(Data!$S$2:$S$1105,Data!$AK$2:$AK$1105,1,Data!$AY$2:$AY$1105,$A$20),NA()))</f>
        <v/>
      </c>
      <c r="D20" s="66">
        <f>IF(ISNA($B$20),NA(),$C$20-$B$20)</f>
        <v/>
      </c>
      <c r="E20" s="66">
        <f>IF($A$20="",NA(),IFERROR(SUMIFS(Data!$Q$2:$Q$1105,Data!$AK$2:$AK$1105,1,Data!$AY$2:$AY$1105,$A$20),NA()))</f>
        <v/>
      </c>
      <c r="F20" s="66">
        <f>IF($A$20="",NA(),IFERROR(SUMIFS(Data!$AN$2:$AN$1105,Data!$AK$2:$AK$1105,1,Data!$AY$2:$AY$1105,$A$20),NA()))</f>
        <v/>
      </c>
      <c r="G20" s="62">
        <f>IF($A$20="",NA(),IF(COUNTIFS(Data!$AK$2:$AK$1105,1,Data!$AY$2:$AY$1105,$A$20)&lt;Controls!$B$19,NA(),IFERROR(SUMIFS(Data!$AN$2:$AN$1105,Data!$AK$2:$AK$1105,1,Data!$AY$2:$AY$1105,$A$20)/$B$20,NA())))</f>
        <v/>
      </c>
      <c r="H20" s="62">
        <f>IF($A$20="",NA(),IF(COUNTIFS(Data!$AK$2:$AK$1105,1,Data!$AY$2:$AY$1105,$A$20)&lt;Controls!$B$19,NA(),IFERROR(SUMIFS(Data!$S$2:$S$1105,Data!$AK$2:$AK$1105,1,Data!$AY$2:$AY$1105,$A$20,Data!$AH$2:$AH$1105,1)/SUMIFS(Data!$P$2:$P$1105,Data!$AK$2:$AK$1105,1,Data!$AY$2:$AY$1105,$A$20,Data!$AH$2:$AH$1105,1),NA())))</f>
        <v/>
      </c>
      <c r="I20" s="62">
        <f>IF(ISNA($J$20),NA(),IF($J$20&lt;Controls!$B$19,NA(),IFERROR($D$20/$B$20,NA())))</f>
        <v/>
      </c>
      <c r="J20" s="67">
        <f>IF($A$20="",NA(),IFERROR(COUNTIFS(Data!$AK$2:$AK$1105,1,Data!$AY$2:$AY$1105,$A$20),NA()))</f>
        <v/>
      </c>
      <c r="K20" s="62">
        <f>IF(ISNA($B$20),NA(),IFERROR($B$20/Calc!$BT$6,NA()))</f>
        <v/>
      </c>
      <c r="L20" s="66">
        <f>IF(ISNA($J$20),NA(),IF($J$20&lt;Controls!$B$19,NA(),IFERROR($B$20/$J$20,NA())))</f>
        <v/>
      </c>
      <c r="M20" s="67">
        <f>IF($A$20="",NA(),IF(COUNTIFS(Data!$AK$2:$AK$1105,1,Data!$AY$2:$AY$1105,$A$20)&lt;Controls!$B$19,NA(),IFERROR(AVERAGEIFS(Data!$AE$2:$AE$1105,Data!$AK$2:$AK$1105,1,Data!$AY$2:$AY$1105,$A$20),NA())))</f>
        <v/>
      </c>
      <c r="N20" s="67">
        <f>IF($A$20="",NA(),IF(COUNTIFS(Data!$AK$2:$AK$1105,1,Data!$AY$2:$AY$1105,$A$20)&lt;Controls!$B$19,NA(),IFERROR(AVERAGEIFS(Data!$AD$2:$AD$1105,Data!$AK$2:$AK$1105,1,Data!$AY$2:$AY$1105,$A$20),NA())))</f>
        <v/>
      </c>
      <c r="O20" s="67">
        <f>IF($A$20="",NA(),IF(COUNTIFS(Data!$AK$2:$AK$1105,1,Data!$AY$2:$AY$1105,$A$20)&lt;Controls!$B$19,NA(),IFERROR(AVERAGEIFS(Data!$AS$2:$AS$1105,Data!$AK$2:$AK$1105,1,Data!$AY$2:$AY$1105,$A$20),NA())))</f>
        <v/>
      </c>
      <c r="P20" s="67">
        <f>IF($A$20="",NA(),IF(COUNTIFS(Data!$AK$2:$AK$1105,1,Data!$AY$2:$AY$1105,$A$20)&lt;Controls!$B$19,NA(),IFERROR(AVERAGEIFS(Data!$AT$2:$AT$1105,Data!$AK$2:$AK$1105,1,Data!$AY$2:$AY$1105,$A$20),NA())))</f>
        <v/>
      </c>
      <c r="Q20" s="62">
        <f>IF($A$20="",NA(),IF(COUNTIFS(Data!$AK$2:$AK$1105,1,Data!$AY$2:$AY$1105,$A$20)&lt;Controls!$B$19,NA(),IFERROR(COUNTIFS(Data!$AK$2:$AK$1105,1,Data!$AY$2:$AY$1105,$A$20,Data!$N$2:$N$1105,"Renewal")/COUNTIFS(Data!$AK$2:$AK$1105,1,Data!$AY$2:$AY$1105,$A$20),NA())))</f>
        <v/>
      </c>
      <c r="R20" s="62">
        <f>IF($A$20="",NA(),IF(COUNTIFS(Data!$AK$2:$AK$1105,1,Data!$AY$2:$AY$1105,$A$20)&lt;Controls!$B$19,NA(),IFERROR(SUMIFS(Data!$P$2:$P$1105,Data!$AK$2:$AK$1105,1,Data!$AY$2:$AY$1105,$A$20,Data!$N$2:$N$1105,"Renewal")/SUMIFS(Data!$P$2:$P$1105,Data!$AK$2:$AK$1105,1,Data!$AY$2:$AY$1105,$A$20),NA())))</f>
        <v/>
      </c>
      <c r="S20" s="62">
        <f>IF($A$20="",NA(),Calc!$BT$2)</f>
        <v/>
      </c>
      <c r="T20" s="62">
        <f>IF($A$20="",NA(),Calc!$BT$3)</f>
        <v/>
      </c>
      <c r="U20" s="62">
        <f>IF($A$20="",NA(),Calc!$BT$4)</f>
        <v/>
      </c>
      <c r="V20" s="62">
        <f>IF($A$20="",NA(),IF(COUNTIFS(Data!$AK$2:$AK$1105,1,Data!$AY$2:$AY$1105,$A$20)&lt;Controls!$B$19,NA(),IFERROR(COUNTIFS(Data!$AK$2:$AK$1105,1,Data!$AY$2:$AY$1105,$A$20,Data!$AH$2:$AH$1105,1)/COUNTIFS(Data!$AK$2:$AK$1105,1,Data!$AY$2:$AY$1105,$A$20),NA())))</f>
        <v/>
      </c>
      <c r="W20" s="61">
        <f>IF($A$20="","",$A$20&amp;" ("&amp;$J$20&amp;")")</f>
        <v/>
      </c>
      <c r="X20" s="61" t="n"/>
      <c r="Y20" s="61" t="n"/>
      <c r="Z20" s="61" t="n"/>
      <c r="AA20" s="61" t="n"/>
      <c r="AB20" s="61" t="n"/>
      <c r="AC20" s="61" t="n"/>
      <c r="AD20" s="61" t="n"/>
      <c r="AE20" s="61" t="n"/>
      <c r="AF20" s="61" t="n"/>
      <c r="AG20" s="61" t="n"/>
      <c r="AH20" s="61" t="n"/>
      <c r="AI20" s="61" t="n"/>
      <c r="AJ20" s="61" t="n"/>
      <c r="AK20" s="61" t="n"/>
      <c r="AL20" s="61" t="n"/>
      <c r="AM20" s="61" t="n"/>
      <c r="AN20" s="61">
        <f>Controls!$A$56</f>
        <v/>
      </c>
      <c r="AO20" s="61">
        <f>COUNTIFS(Data!$AK$2:$AK$1105,1,Data!$AY$2:$AY$1105,$AN$20)</f>
        <v/>
      </c>
      <c r="AP20" s="57">
        <f>SUMIFS(Data!$P$2:$P$1105,Data!$AK$2:$AK$1105,1,Data!$AY$2:$AY$1105,$AN$20)</f>
        <v/>
      </c>
      <c r="AQ20" s="56">
        <f>IFERROR(SUMIFS(Data!$AN$2:$AN$1105,Data!$AK$2:$AK$1105,1,Data!$AY$2:$AY$1105,$AN$20)/$AP$20,0)</f>
        <v/>
      </c>
      <c r="AR20" s="57">
        <f>SUMIFS(Data!$AN$2:$AN$1105,Data!$AK$2:$AK$1105,1,Data!$AY$2:$AY$1105,$AN$20)</f>
        <v/>
      </c>
      <c r="AS20" s="61">
        <f>Controls!$B$56</f>
        <v/>
      </c>
      <c r="AT20" s="61">
        <f>IF(OR(AO20=0,AO20&lt;Controls!$B$20),-1000000000000000,IF(AND(Controls!$B$21="Y",$AN$20="No SIC"),-1000000000000000,IF(Controls!$B$17="Selected only",IF(AS20="Y",AP20,-1000000000000000),IF(Controls!$B$17="Top by funded $",AP20,IF(Controls!$B$17="Top by funded units",AO20,IF(Controls!$B$17="Largest principal lost $",AR20,IF(Controls!$B$17="Highest net profit $",AU20,IF(AO20&lt;Controls!$B$19,-1000000000000000,IF(Controls!$B$17="Highest principal lost rate %",AQ20,IF(Controls!$B$17="Lowest principal lost rate %",1-AQ20,AP20))))))))) +17/1000000)</f>
        <v/>
      </c>
      <c r="AU20" s="57">
        <f>SUMIFS(Data!$AM$2:$AM$1105,Data!$AK$2:$AK$1105,1,Data!$AY$2:$AY$1105,$AN$20)</f>
        <v/>
      </c>
      <c r="AV20" s="61" t="n"/>
      <c r="AW20" s="61" t="n"/>
      <c r="AX20" s="61" t="n"/>
      <c r="AY20" s="61" t="n"/>
      <c r="AZ20" s="61" t="n"/>
      <c r="BA20" s="61" t="n"/>
      <c r="BB20" s="61">
        <f>Controls!$A$56</f>
        <v/>
      </c>
      <c r="BC20" s="61">
        <f>COUNTIFS(Data!$AK$2:$AK$1105,1,Data!$AY$2:$AY$1105,$BB$20)</f>
        <v/>
      </c>
      <c r="BD20" s="57">
        <f>SUMIFS(Data!$P$2:$P$1105,Data!$AK$2:$AK$1105,1,Data!$AY$2:$AY$1105,$BB$20)</f>
        <v/>
      </c>
      <c r="BE20" s="56">
        <f>IF(COUNTIFS(Data!$AK$2:$AK$1105,1,Data!$AY$2:$AY$1105,$BB$20)&lt;Controls!$B$19,"",IFERROR(SUMIFS(Data!$AN$2:$AN$1105,Data!$AK$2:$AK$1105,1,Data!$AY$2:$AY$1105,$BB$20)/$BD$20,""))</f>
        <v/>
      </c>
      <c r="BF20" s="56">
        <f>IF(COUNTIFS(Data!$AK$2:$AK$1105,1,Data!$AY$2:$AY$1105,$BB$20)&lt;Controls!$B$19,"",IFERROR(SUMIFS(Data!$AM$2:$AM$1105,Data!$AK$2:$AK$1105,1,Data!$AY$2:$AY$1105,$BB$20)/SUMIFS(Data!$P$2:$P$1105,Data!$AK$2:$AK$1105,1,Data!$AY$2:$AY$1105,$BB$20),""))</f>
        <v/>
      </c>
      <c r="BG20" s="57">
        <f>SUMIFS(Data!$AN$2:$AN$1105,Data!$AK$2:$AK$1105,1,Data!$AY$2:$AY$1105,$BB$20)</f>
        <v/>
      </c>
      <c r="BH20" s="61" t="n"/>
      <c r="BI20" s="61" t="n"/>
      <c r="BJ20" s="61" t="n"/>
      <c r="BK20" s="61">
        <f>IF($BC$20&lt;Controls!$B$22,"",$BE$20)</f>
        <v/>
      </c>
      <c r="BL20" s="61">
        <f>IF($BC$20&lt;Controls!$B$22,"",$BF$20)</f>
        <v/>
      </c>
      <c r="BM20" s="61">
        <f>IF($BC$20&lt;Controls!$B$22,"",$BG$20)</f>
        <v/>
      </c>
      <c r="BN20" s="61" t="n"/>
      <c r="BO20" s="61" t="n"/>
      <c r="BP20" s="61" t="n"/>
      <c r="BQ20" s="61" t="n"/>
      <c r="BR20" s="61" t="n"/>
      <c r="BS20" s="61" t="n"/>
      <c r="BT20" s="61" t="n"/>
    </row>
    <row r="21" ht="15.75" customHeight="1" s="79">
      <c r="A21" s="61">
        <f t="array" ref="A21">IFERROR(IF(17&gt;Controls!$B$18,"",IF(LARGE(Calc!$AT$4:$AT$68,17)&lt;-100000000000000,"",INDEX(Calc!$AN$4:$AN$68,MATCH(LARGE(Calc!$AT$4:$AT$68,17),Calc!$AT$4:$AT$68,0)))),"")</f>
        <v/>
      </c>
      <c r="B21" s="66">
        <f>IF($A$21="",NA(),IFERROR(SUMIFS(Data!$P$2:$P$1105,Data!$AK$2:$AK$1105,1,Data!$AY$2:$AY$1105,$A$21),NA()))</f>
        <v/>
      </c>
      <c r="C21" s="66">
        <f>IF($A$21="",NA(),IFERROR(SUMIFS(Data!$S$2:$S$1105,Data!$AK$2:$AK$1105,1,Data!$AY$2:$AY$1105,$A$21),NA()))</f>
        <v/>
      </c>
      <c r="D21" s="66">
        <f>IF(ISNA($B$21),NA(),$C$21-$B$21)</f>
        <v/>
      </c>
      <c r="E21" s="66">
        <f>IF($A$21="",NA(),IFERROR(SUMIFS(Data!$Q$2:$Q$1105,Data!$AK$2:$AK$1105,1,Data!$AY$2:$AY$1105,$A$21),NA()))</f>
        <v/>
      </c>
      <c r="F21" s="66">
        <f>IF($A$21="",NA(),IFERROR(SUMIFS(Data!$AN$2:$AN$1105,Data!$AK$2:$AK$1105,1,Data!$AY$2:$AY$1105,$A$21),NA()))</f>
        <v/>
      </c>
      <c r="G21" s="62">
        <f>IF($A$21="",NA(),IF(COUNTIFS(Data!$AK$2:$AK$1105,1,Data!$AY$2:$AY$1105,$A$21)&lt;Controls!$B$19,NA(),IFERROR(SUMIFS(Data!$AN$2:$AN$1105,Data!$AK$2:$AK$1105,1,Data!$AY$2:$AY$1105,$A$21)/$B$21,NA())))</f>
        <v/>
      </c>
      <c r="H21" s="62">
        <f>IF($A$21="",NA(),IF(COUNTIFS(Data!$AK$2:$AK$1105,1,Data!$AY$2:$AY$1105,$A$21)&lt;Controls!$B$19,NA(),IFERROR(SUMIFS(Data!$S$2:$S$1105,Data!$AK$2:$AK$1105,1,Data!$AY$2:$AY$1105,$A$21,Data!$AH$2:$AH$1105,1)/SUMIFS(Data!$P$2:$P$1105,Data!$AK$2:$AK$1105,1,Data!$AY$2:$AY$1105,$A$21,Data!$AH$2:$AH$1105,1),NA())))</f>
        <v/>
      </c>
      <c r="I21" s="62">
        <f>IF(ISNA($J$21),NA(),IF($J$21&lt;Controls!$B$19,NA(),IFERROR($D$21/$B$21,NA())))</f>
        <v/>
      </c>
      <c r="J21" s="67">
        <f>IF($A$21="",NA(),IFERROR(COUNTIFS(Data!$AK$2:$AK$1105,1,Data!$AY$2:$AY$1105,$A$21),NA()))</f>
        <v/>
      </c>
      <c r="K21" s="62">
        <f>IF(ISNA($B$21),NA(),IFERROR($B$21/Calc!$BT$6,NA()))</f>
        <v/>
      </c>
      <c r="L21" s="66">
        <f>IF(ISNA($J$21),NA(),IF($J$21&lt;Controls!$B$19,NA(),IFERROR($B$21/$J$21,NA())))</f>
        <v/>
      </c>
      <c r="M21" s="67">
        <f>IF($A$21="",NA(),IF(COUNTIFS(Data!$AK$2:$AK$1105,1,Data!$AY$2:$AY$1105,$A$21)&lt;Controls!$B$19,NA(),IFERROR(AVERAGEIFS(Data!$AE$2:$AE$1105,Data!$AK$2:$AK$1105,1,Data!$AY$2:$AY$1105,$A$21),NA())))</f>
        <v/>
      </c>
      <c r="N21" s="67">
        <f>IF($A$21="",NA(),IF(COUNTIFS(Data!$AK$2:$AK$1105,1,Data!$AY$2:$AY$1105,$A$21)&lt;Controls!$B$19,NA(),IFERROR(AVERAGEIFS(Data!$AD$2:$AD$1105,Data!$AK$2:$AK$1105,1,Data!$AY$2:$AY$1105,$A$21),NA())))</f>
        <v/>
      </c>
      <c r="O21" s="67">
        <f>IF($A$21="",NA(),IF(COUNTIFS(Data!$AK$2:$AK$1105,1,Data!$AY$2:$AY$1105,$A$21)&lt;Controls!$B$19,NA(),IFERROR(AVERAGEIFS(Data!$AS$2:$AS$1105,Data!$AK$2:$AK$1105,1,Data!$AY$2:$AY$1105,$A$21),NA())))</f>
        <v/>
      </c>
      <c r="P21" s="67">
        <f>IF($A$21="",NA(),IF(COUNTIFS(Data!$AK$2:$AK$1105,1,Data!$AY$2:$AY$1105,$A$21)&lt;Controls!$B$19,NA(),IFERROR(AVERAGEIFS(Data!$AT$2:$AT$1105,Data!$AK$2:$AK$1105,1,Data!$AY$2:$AY$1105,$A$21),NA())))</f>
        <v/>
      </c>
      <c r="Q21" s="62">
        <f>IF($A$21="",NA(),IF(COUNTIFS(Data!$AK$2:$AK$1105,1,Data!$AY$2:$AY$1105,$A$21)&lt;Controls!$B$19,NA(),IFERROR(COUNTIFS(Data!$AK$2:$AK$1105,1,Data!$AY$2:$AY$1105,$A$21,Data!$N$2:$N$1105,"Renewal")/COUNTIFS(Data!$AK$2:$AK$1105,1,Data!$AY$2:$AY$1105,$A$21),NA())))</f>
        <v/>
      </c>
      <c r="R21" s="62">
        <f>IF($A$21="",NA(),IF(COUNTIFS(Data!$AK$2:$AK$1105,1,Data!$AY$2:$AY$1105,$A$21)&lt;Controls!$B$19,NA(),IFERROR(SUMIFS(Data!$P$2:$P$1105,Data!$AK$2:$AK$1105,1,Data!$AY$2:$AY$1105,$A$21,Data!$N$2:$N$1105,"Renewal")/SUMIFS(Data!$P$2:$P$1105,Data!$AK$2:$AK$1105,1,Data!$AY$2:$AY$1105,$A$21),NA())))</f>
        <v/>
      </c>
      <c r="S21" s="62">
        <f>IF($A$21="",NA(),Calc!$BT$2)</f>
        <v/>
      </c>
      <c r="T21" s="62">
        <f>IF($A$21="",NA(),Calc!$BT$3)</f>
        <v/>
      </c>
      <c r="U21" s="62">
        <f>IF($A$21="",NA(),Calc!$BT$4)</f>
        <v/>
      </c>
      <c r="V21" s="62">
        <f>IF($A$21="",NA(),IF(COUNTIFS(Data!$AK$2:$AK$1105,1,Data!$AY$2:$AY$1105,$A$21)&lt;Controls!$B$19,NA(),IFERROR(COUNTIFS(Data!$AK$2:$AK$1105,1,Data!$AY$2:$AY$1105,$A$21,Data!$AH$2:$AH$1105,1)/COUNTIFS(Data!$AK$2:$AK$1105,1,Data!$AY$2:$AY$1105,$A$21),NA())))</f>
        <v/>
      </c>
      <c r="W21" s="61">
        <f>IF($A$21="","",$A$21&amp;" ("&amp;$J$21&amp;")")</f>
        <v/>
      </c>
      <c r="X21" s="61" t="n"/>
      <c r="Y21" s="61" t="n"/>
      <c r="Z21" s="61" t="n"/>
      <c r="AA21" s="61" t="n"/>
      <c r="AB21" s="61" t="n"/>
      <c r="AC21" s="61" t="n"/>
      <c r="AD21" s="61" t="n"/>
      <c r="AE21" s="61" t="n"/>
      <c r="AF21" s="61" t="n"/>
      <c r="AG21" s="61" t="n"/>
      <c r="AH21" s="61" t="n"/>
      <c r="AI21" s="61" t="n"/>
      <c r="AJ21" s="61" t="n"/>
      <c r="AK21" s="61" t="n"/>
      <c r="AL21" s="61" t="n"/>
      <c r="AM21" s="61" t="n"/>
      <c r="AN21" s="61">
        <f>Controls!$A$57</f>
        <v/>
      </c>
      <c r="AO21" s="61">
        <f>COUNTIFS(Data!$AK$2:$AK$1105,1,Data!$AY$2:$AY$1105,$AN$21)</f>
        <v/>
      </c>
      <c r="AP21" s="57">
        <f>SUMIFS(Data!$P$2:$P$1105,Data!$AK$2:$AK$1105,1,Data!$AY$2:$AY$1105,$AN$21)</f>
        <v/>
      </c>
      <c r="AQ21" s="56">
        <f>IFERROR(SUMIFS(Data!$AN$2:$AN$1105,Data!$AK$2:$AK$1105,1,Data!$AY$2:$AY$1105,$AN$21)/$AP$21,0)</f>
        <v/>
      </c>
      <c r="AR21" s="57">
        <f>SUMIFS(Data!$AN$2:$AN$1105,Data!$AK$2:$AK$1105,1,Data!$AY$2:$AY$1105,$AN$21)</f>
        <v/>
      </c>
      <c r="AS21" s="61">
        <f>Controls!$B$57</f>
        <v/>
      </c>
      <c r="AT21" s="61">
        <f>IF(OR(AO21=0,AO21&lt;Controls!$B$20),-1000000000000000,IF(AND(Controls!$B$21="Y",$AN$21="No SIC"),-1000000000000000,IF(Controls!$B$17="Selected only",IF(AS21="Y",AP21,-1000000000000000),IF(Controls!$B$17="Top by funded $",AP21,IF(Controls!$B$17="Top by funded units",AO21,IF(Controls!$B$17="Largest principal lost $",AR21,IF(Controls!$B$17="Highest net profit $",AU21,IF(AO21&lt;Controls!$B$19,-1000000000000000,IF(Controls!$B$17="Highest principal lost rate %",AQ21,IF(Controls!$B$17="Lowest principal lost rate %",1-AQ21,AP21))))))))) +18/1000000)</f>
        <v/>
      </c>
      <c r="AU21" s="57">
        <f>SUMIFS(Data!$AM$2:$AM$1105,Data!$AK$2:$AK$1105,1,Data!$AY$2:$AY$1105,$AN$21)</f>
        <v/>
      </c>
      <c r="AV21" s="61" t="n"/>
      <c r="AW21" s="61" t="n"/>
      <c r="AX21" s="61" t="n"/>
      <c r="AY21" s="61" t="n"/>
      <c r="AZ21" s="61" t="n"/>
      <c r="BA21" s="61" t="n"/>
      <c r="BB21" s="61">
        <f>Controls!$A$57</f>
        <v/>
      </c>
      <c r="BC21" s="61">
        <f>COUNTIFS(Data!$AK$2:$AK$1105,1,Data!$AY$2:$AY$1105,$BB$21)</f>
        <v/>
      </c>
      <c r="BD21" s="57">
        <f>SUMIFS(Data!$P$2:$P$1105,Data!$AK$2:$AK$1105,1,Data!$AY$2:$AY$1105,$BB$21)</f>
        <v/>
      </c>
      <c r="BE21" s="56">
        <f>IF(COUNTIFS(Data!$AK$2:$AK$1105,1,Data!$AY$2:$AY$1105,$BB$21)&lt;Controls!$B$19,"",IFERROR(SUMIFS(Data!$AN$2:$AN$1105,Data!$AK$2:$AK$1105,1,Data!$AY$2:$AY$1105,$BB$21)/$BD$21,""))</f>
        <v/>
      </c>
      <c r="BF21" s="56">
        <f>IF(COUNTIFS(Data!$AK$2:$AK$1105,1,Data!$AY$2:$AY$1105,$BB$21)&lt;Controls!$B$19,"",IFERROR(SUMIFS(Data!$AM$2:$AM$1105,Data!$AK$2:$AK$1105,1,Data!$AY$2:$AY$1105,$BB$21)/SUMIFS(Data!$P$2:$P$1105,Data!$AK$2:$AK$1105,1,Data!$AY$2:$AY$1105,$BB$21),""))</f>
        <v/>
      </c>
      <c r="BG21" s="57">
        <f>SUMIFS(Data!$AN$2:$AN$1105,Data!$AK$2:$AK$1105,1,Data!$AY$2:$AY$1105,$BB$21)</f>
        <v/>
      </c>
      <c r="BH21" s="61" t="n"/>
      <c r="BI21" s="61" t="n"/>
      <c r="BJ21" s="61" t="n"/>
      <c r="BK21" s="56">
        <f>IF($BC$21&lt;Controls!$B$22,"",$BE$21)</f>
        <v/>
      </c>
      <c r="BL21" s="56">
        <f>IF($BC$21&lt;Controls!$B$22,"",$BF$21)</f>
        <v/>
      </c>
      <c r="BM21" s="57">
        <f>IF($BC$21&lt;Controls!$B$22,"",$BG$21)</f>
        <v/>
      </c>
      <c r="BN21" s="61" t="n"/>
      <c r="BO21" s="61" t="n"/>
      <c r="BP21" s="61" t="n"/>
      <c r="BQ21" s="64" t="n"/>
      <c r="BR21" s="61" t="n"/>
      <c r="BS21" s="61" t="n"/>
      <c r="BT21" s="61" t="n"/>
    </row>
    <row r="22" ht="15.75" customHeight="1" s="79">
      <c r="A22" s="61">
        <f t="array" ref="A22">IFERROR(IF(18&gt;Controls!$B$18,"",IF(LARGE(Calc!$AT$4:$AT$68,18)&lt;-100000000000000,"",INDEX(Calc!$AN$4:$AN$68,MATCH(LARGE(Calc!$AT$4:$AT$68,18),Calc!$AT$4:$AT$68,0)))),"")</f>
        <v/>
      </c>
      <c r="B22" s="66">
        <f>IF($A$22="",NA(),IFERROR(SUMIFS(Data!$P$2:$P$1105,Data!$AK$2:$AK$1105,1,Data!$AY$2:$AY$1105,$A$22),NA()))</f>
        <v/>
      </c>
      <c r="C22" s="66">
        <f>IF($A$22="",NA(),IFERROR(SUMIFS(Data!$S$2:$S$1105,Data!$AK$2:$AK$1105,1,Data!$AY$2:$AY$1105,$A$22),NA()))</f>
        <v/>
      </c>
      <c r="D22" s="66">
        <f>IF(ISNA($B$22),NA(),$C$22-$B$22)</f>
        <v/>
      </c>
      <c r="E22" s="66">
        <f>IF($A$22="",NA(),IFERROR(SUMIFS(Data!$Q$2:$Q$1105,Data!$AK$2:$AK$1105,1,Data!$AY$2:$AY$1105,$A$22),NA()))</f>
        <v/>
      </c>
      <c r="F22" s="66">
        <f>IF($A$22="",NA(),IFERROR(SUMIFS(Data!$AN$2:$AN$1105,Data!$AK$2:$AK$1105,1,Data!$AY$2:$AY$1105,$A$22),NA()))</f>
        <v/>
      </c>
      <c r="G22" s="62">
        <f>IF($A$22="",NA(),IF(COUNTIFS(Data!$AK$2:$AK$1105,1,Data!$AY$2:$AY$1105,$A$22)&lt;Controls!$B$19,NA(),IFERROR(SUMIFS(Data!$AN$2:$AN$1105,Data!$AK$2:$AK$1105,1,Data!$AY$2:$AY$1105,$A$22)/$B$22,NA())))</f>
        <v/>
      </c>
      <c r="H22" s="62">
        <f>IF($A$22="",NA(),IF(COUNTIFS(Data!$AK$2:$AK$1105,1,Data!$AY$2:$AY$1105,$A$22)&lt;Controls!$B$19,NA(),IFERROR(SUMIFS(Data!$S$2:$S$1105,Data!$AK$2:$AK$1105,1,Data!$AY$2:$AY$1105,$A$22,Data!$AH$2:$AH$1105,1)/SUMIFS(Data!$P$2:$P$1105,Data!$AK$2:$AK$1105,1,Data!$AY$2:$AY$1105,$A$22,Data!$AH$2:$AH$1105,1),NA())))</f>
        <v/>
      </c>
      <c r="I22" s="62">
        <f>IF(ISNA($J$22),NA(),IF($J$22&lt;Controls!$B$19,NA(),IFERROR($D$22/$B$22,NA())))</f>
        <v/>
      </c>
      <c r="J22" s="67">
        <f>IF($A$22="",NA(),IFERROR(COUNTIFS(Data!$AK$2:$AK$1105,1,Data!$AY$2:$AY$1105,$A$22),NA()))</f>
        <v/>
      </c>
      <c r="K22" s="62">
        <f>IF(ISNA($B$22),NA(),IFERROR($B$22/Calc!$BT$6,NA()))</f>
        <v/>
      </c>
      <c r="L22" s="66">
        <f>IF(ISNA($J$22),NA(),IF($J$22&lt;Controls!$B$19,NA(),IFERROR($B$22/$J$22,NA())))</f>
        <v/>
      </c>
      <c r="M22" s="67">
        <f>IF($A$22="",NA(),IF(COUNTIFS(Data!$AK$2:$AK$1105,1,Data!$AY$2:$AY$1105,$A$22)&lt;Controls!$B$19,NA(),IFERROR(AVERAGEIFS(Data!$AE$2:$AE$1105,Data!$AK$2:$AK$1105,1,Data!$AY$2:$AY$1105,$A$22),NA())))</f>
        <v/>
      </c>
      <c r="N22" s="67">
        <f>IF($A$22="",NA(),IF(COUNTIFS(Data!$AK$2:$AK$1105,1,Data!$AY$2:$AY$1105,$A$22)&lt;Controls!$B$19,NA(),IFERROR(AVERAGEIFS(Data!$AD$2:$AD$1105,Data!$AK$2:$AK$1105,1,Data!$AY$2:$AY$1105,$A$22),NA())))</f>
        <v/>
      </c>
      <c r="O22" s="67">
        <f>IF($A$22="",NA(),IF(COUNTIFS(Data!$AK$2:$AK$1105,1,Data!$AY$2:$AY$1105,$A$22)&lt;Controls!$B$19,NA(),IFERROR(AVERAGEIFS(Data!$AS$2:$AS$1105,Data!$AK$2:$AK$1105,1,Data!$AY$2:$AY$1105,$A$22),NA())))</f>
        <v/>
      </c>
      <c r="P22" s="67">
        <f>IF($A$22="",NA(),IF(COUNTIFS(Data!$AK$2:$AK$1105,1,Data!$AY$2:$AY$1105,$A$22)&lt;Controls!$B$19,NA(),IFERROR(AVERAGEIFS(Data!$AT$2:$AT$1105,Data!$AK$2:$AK$1105,1,Data!$AY$2:$AY$1105,$A$22),NA())))</f>
        <v/>
      </c>
      <c r="Q22" s="62">
        <f>IF($A$22="",NA(),IF(COUNTIFS(Data!$AK$2:$AK$1105,1,Data!$AY$2:$AY$1105,$A$22)&lt;Controls!$B$19,NA(),IFERROR(COUNTIFS(Data!$AK$2:$AK$1105,1,Data!$AY$2:$AY$1105,$A$22,Data!$N$2:$N$1105,"Renewal")/COUNTIFS(Data!$AK$2:$AK$1105,1,Data!$AY$2:$AY$1105,$A$22),NA())))</f>
        <v/>
      </c>
      <c r="R22" s="62">
        <f>IF($A$22="",NA(),IF(COUNTIFS(Data!$AK$2:$AK$1105,1,Data!$AY$2:$AY$1105,$A$22)&lt;Controls!$B$19,NA(),IFERROR(SUMIFS(Data!$P$2:$P$1105,Data!$AK$2:$AK$1105,1,Data!$AY$2:$AY$1105,$A$22,Data!$N$2:$N$1105,"Renewal")/SUMIFS(Data!$P$2:$P$1105,Data!$AK$2:$AK$1105,1,Data!$AY$2:$AY$1105,$A$22),NA())))</f>
        <v/>
      </c>
      <c r="S22" s="62">
        <f>IF($A$22="",NA(),Calc!$BT$2)</f>
        <v/>
      </c>
      <c r="T22" s="62">
        <f>IF($A$22="",NA(),Calc!$BT$3)</f>
        <v/>
      </c>
      <c r="U22" s="62">
        <f>IF($A$22="",NA(),Calc!$BT$4)</f>
        <v/>
      </c>
      <c r="V22" s="62">
        <f>IF($A$22="",NA(),IF(COUNTIFS(Data!$AK$2:$AK$1105,1,Data!$AY$2:$AY$1105,$A$22)&lt;Controls!$B$19,NA(),IFERROR(COUNTIFS(Data!$AK$2:$AK$1105,1,Data!$AY$2:$AY$1105,$A$22,Data!$AH$2:$AH$1105,1)/COUNTIFS(Data!$AK$2:$AK$1105,1,Data!$AY$2:$AY$1105,$A$22),NA())))</f>
        <v/>
      </c>
      <c r="W22" s="61">
        <f>IF($A$22="","",$A$22&amp;" ("&amp;$J$22&amp;")")</f>
        <v/>
      </c>
      <c r="X22" s="61" t="n"/>
      <c r="Y22" s="61" t="n"/>
      <c r="Z22" s="61" t="n"/>
      <c r="AA22" s="61" t="n"/>
      <c r="AB22" s="61" t="n"/>
      <c r="AC22" s="61" t="n"/>
      <c r="AD22" s="61" t="n"/>
      <c r="AE22" s="61" t="n"/>
      <c r="AF22" s="61" t="n"/>
      <c r="AG22" s="61" t="n"/>
      <c r="AH22" s="61" t="n"/>
      <c r="AI22" s="61" t="n"/>
      <c r="AJ22" s="61" t="n"/>
      <c r="AK22" s="61" t="n"/>
      <c r="AL22" s="61" t="n"/>
      <c r="AM22" s="61" t="n"/>
      <c r="AN22" s="61">
        <f>Controls!$A$58</f>
        <v/>
      </c>
      <c r="AO22" s="61">
        <f>COUNTIFS(Data!$AK$2:$AK$1105,1,Data!$AY$2:$AY$1105,$AN$22)</f>
        <v/>
      </c>
      <c r="AP22" s="57">
        <f>SUMIFS(Data!$P$2:$P$1105,Data!$AK$2:$AK$1105,1,Data!$AY$2:$AY$1105,$AN$22)</f>
        <v/>
      </c>
      <c r="AQ22" s="56">
        <f>IFERROR(SUMIFS(Data!$AN$2:$AN$1105,Data!$AK$2:$AK$1105,1,Data!$AY$2:$AY$1105,$AN$22)/$AP$22,0)</f>
        <v/>
      </c>
      <c r="AR22" s="57">
        <f>SUMIFS(Data!$AN$2:$AN$1105,Data!$AK$2:$AK$1105,1,Data!$AY$2:$AY$1105,$AN$22)</f>
        <v/>
      </c>
      <c r="AS22" s="61">
        <f>Controls!$B$58</f>
        <v/>
      </c>
      <c r="AT22" s="57">
        <f>IF(OR(AO22=0,AO22&lt;Controls!$B$20),-1000000000000000,IF(AND(Controls!$B$21="Y",$AN$22="No SIC"),-1000000000000000,IF(Controls!$B$17="Selected only",IF(AS22="Y",AP22,-1000000000000000),IF(Controls!$B$17="Top by funded $",AP22,IF(Controls!$B$17="Top by funded units",AO22,IF(Controls!$B$17="Largest principal lost $",AR22,IF(Controls!$B$17="Highest net profit $",AU22,IF(AO22&lt;Controls!$B$19,-1000000000000000,IF(Controls!$B$17="Highest principal lost rate %",AQ22,IF(Controls!$B$17="Lowest principal lost rate %",1-AQ22,AP22))))))))) +19/1000000)</f>
        <v/>
      </c>
      <c r="AU22" s="57">
        <f>SUMIFS(Data!$AM$2:$AM$1105,Data!$AK$2:$AK$1105,1,Data!$AY$2:$AY$1105,$AN$22)</f>
        <v/>
      </c>
      <c r="AV22" s="61" t="n"/>
      <c r="AW22" s="61" t="n"/>
      <c r="AX22" s="61" t="n"/>
      <c r="AY22" s="61" t="n"/>
      <c r="AZ22" s="61" t="n"/>
      <c r="BA22" s="61" t="n"/>
      <c r="BB22" s="61">
        <f>Controls!$A$58</f>
        <v/>
      </c>
      <c r="BC22" s="61">
        <f>COUNTIFS(Data!$AK$2:$AK$1105,1,Data!$AY$2:$AY$1105,$BB$22)</f>
        <v/>
      </c>
      <c r="BD22" s="57">
        <f>SUMIFS(Data!$P$2:$P$1105,Data!$AK$2:$AK$1105,1,Data!$AY$2:$AY$1105,$BB$22)</f>
        <v/>
      </c>
      <c r="BE22" s="56">
        <f>IF(COUNTIFS(Data!$AK$2:$AK$1105,1,Data!$AY$2:$AY$1105,$BB$22)&lt;Controls!$B$19,"",IFERROR(SUMIFS(Data!$AN$2:$AN$1105,Data!$AK$2:$AK$1105,1,Data!$AY$2:$AY$1105,$BB$22)/$BD$22,""))</f>
        <v/>
      </c>
      <c r="BF22" s="56">
        <f>IF(COUNTIFS(Data!$AK$2:$AK$1105,1,Data!$AY$2:$AY$1105,$BB$22)&lt;Controls!$B$19,"",IFERROR(SUMIFS(Data!$AM$2:$AM$1105,Data!$AK$2:$AK$1105,1,Data!$AY$2:$AY$1105,$BB$22)/SUMIFS(Data!$P$2:$P$1105,Data!$AK$2:$AK$1105,1,Data!$AY$2:$AY$1105,$BB$22),""))</f>
        <v/>
      </c>
      <c r="BG22" s="57">
        <f>SUMIFS(Data!$AN$2:$AN$1105,Data!$AK$2:$AK$1105,1,Data!$AY$2:$AY$1105,$BB$22)</f>
        <v/>
      </c>
      <c r="BH22" s="61" t="n"/>
      <c r="BI22" s="61" t="n"/>
      <c r="BJ22" s="61" t="n"/>
      <c r="BK22" s="56">
        <f>IF($BC$22&lt;Controls!$B$22,"",$BE$22)</f>
        <v/>
      </c>
      <c r="BL22" s="56">
        <f>IF($BC$22&lt;Controls!$B$22,"",$BF$22)</f>
        <v/>
      </c>
      <c r="BM22" s="57">
        <f>IF($BC$22&lt;Controls!$B$22,"",$BG$22)</f>
        <v/>
      </c>
      <c r="BN22" s="61" t="n"/>
      <c r="BO22" s="61" t="n"/>
      <c r="BP22" s="61" t="n"/>
      <c r="BQ22" s="61" t="n"/>
      <c r="BR22" s="61" t="n"/>
      <c r="BS22" s="61" t="n"/>
      <c r="BT22" s="61" t="n"/>
    </row>
    <row r="23" ht="15.75" customHeight="1" s="79">
      <c r="A23" s="61">
        <f t="array" ref="A23">IFERROR(IF(19&gt;Controls!$B$18,"",IF(LARGE(Calc!$AT$4:$AT$68,19)&lt;-100000000000000,"",INDEX(Calc!$AN$4:$AN$68,MATCH(LARGE(Calc!$AT$4:$AT$68,19),Calc!$AT$4:$AT$68,0)))),"")</f>
        <v/>
      </c>
      <c r="B23" s="66">
        <f>IF($A$23="",NA(),IFERROR(SUMIFS(Data!$P$2:$P$1105,Data!$AK$2:$AK$1105,1,Data!$AY$2:$AY$1105,$A$23),NA()))</f>
        <v/>
      </c>
      <c r="C23" s="66">
        <f>IF($A$23="",NA(),IFERROR(SUMIFS(Data!$S$2:$S$1105,Data!$AK$2:$AK$1105,1,Data!$AY$2:$AY$1105,$A$23),NA()))</f>
        <v/>
      </c>
      <c r="D23" s="66">
        <f>IF(ISNA($B$23),NA(),$C$23-$B$23)</f>
        <v/>
      </c>
      <c r="E23" s="66">
        <f>IF($A$23="",NA(),IFERROR(SUMIFS(Data!$Q$2:$Q$1105,Data!$AK$2:$AK$1105,1,Data!$AY$2:$AY$1105,$A$23),NA()))</f>
        <v/>
      </c>
      <c r="F23" s="66">
        <f>IF($A$23="",NA(),IFERROR(SUMIFS(Data!$AN$2:$AN$1105,Data!$AK$2:$AK$1105,1,Data!$AY$2:$AY$1105,$A$23),NA()))</f>
        <v/>
      </c>
      <c r="G23" s="62">
        <f>IF($A$23="",NA(),IF(COUNTIFS(Data!$AK$2:$AK$1105,1,Data!$AY$2:$AY$1105,$A$23)&lt;Controls!$B$19,NA(),IFERROR(SUMIFS(Data!$AN$2:$AN$1105,Data!$AK$2:$AK$1105,1,Data!$AY$2:$AY$1105,$A$23)/$B$23,NA())))</f>
        <v/>
      </c>
      <c r="H23" s="62">
        <f>IF($A$23="",NA(),IF(COUNTIFS(Data!$AK$2:$AK$1105,1,Data!$AY$2:$AY$1105,$A$23)&lt;Controls!$B$19,NA(),IFERROR(SUMIFS(Data!$S$2:$S$1105,Data!$AK$2:$AK$1105,1,Data!$AY$2:$AY$1105,$A$23,Data!$AH$2:$AH$1105,1)/SUMIFS(Data!$P$2:$P$1105,Data!$AK$2:$AK$1105,1,Data!$AY$2:$AY$1105,$A$23,Data!$AH$2:$AH$1105,1),NA())))</f>
        <v/>
      </c>
      <c r="I23" s="62">
        <f>IF(ISNA($J$23),NA(),IF($J$23&lt;Controls!$B$19,NA(),IFERROR($D$23/$B$23,NA())))</f>
        <v/>
      </c>
      <c r="J23" s="67">
        <f>IF($A$23="",NA(),IFERROR(COUNTIFS(Data!$AK$2:$AK$1105,1,Data!$AY$2:$AY$1105,$A$23),NA()))</f>
        <v/>
      </c>
      <c r="K23" s="62">
        <f>IF(ISNA($B$23),NA(),IFERROR($B$23/Calc!$BT$6,NA()))</f>
        <v/>
      </c>
      <c r="L23" s="66">
        <f>IF(ISNA($J$23),NA(),IF($J$23&lt;Controls!$B$19,NA(),IFERROR($B$23/$J$23,NA())))</f>
        <v/>
      </c>
      <c r="M23" s="67">
        <f>IF($A$23="",NA(),IF(COUNTIFS(Data!$AK$2:$AK$1105,1,Data!$AY$2:$AY$1105,$A$23)&lt;Controls!$B$19,NA(),IFERROR(AVERAGEIFS(Data!$AE$2:$AE$1105,Data!$AK$2:$AK$1105,1,Data!$AY$2:$AY$1105,$A$23),NA())))</f>
        <v/>
      </c>
      <c r="N23" s="67">
        <f>IF($A$23="",NA(),IF(COUNTIFS(Data!$AK$2:$AK$1105,1,Data!$AY$2:$AY$1105,$A$23)&lt;Controls!$B$19,NA(),IFERROR(AVERAGEIFS(Data!$AD$2:$AD$1105,Data!$AK$2:$AK$1105,1,Data!$AY$2:$AY$1105,$A$23),NA())))</f>
        <v/>
      </c>
      <c r="O23" s="67">
        <f>IF($A$23="",NA(),IF(COUNTIFS(Data!$AK$2:$AK$1105,1,Data!$AY$2:$AY$1105,$A$23)&lt;Controls!$B$19,NA(),IFERROR(AVERAGEIFS(Data!$AS$2:$AS$1105,Data!$AK$2:$AK$1105,1,Data!$AY$2:$AY$1105,$A$23),NA())))</f>
        <v/>
      </c>
      <c r="P23" s="67">
        <f>IF($A$23="",NA(),IF(COUNTIFS(Data!$AK$2:$AK$1105,1,Data!$AY$2:$AY$1105,$A$23)&lt;Controls!$B$19,NA(),IFERROR(AVERAGEIFS(Data!$AT$2:$AT$1105,Data!$AK$2:$AK$1105,1,Data!$AY$2:$AY$1105,$A$23),NA())))</f>
        <v/>
      </c>
      <c r="Q23" s="62">
        <f>IF($A$23="",NA(),IF(COUNTIFS(Data!$AK$2:$AK$1105,1,Data!$AY$2:$AY$1105,$A$23)&lt;Controls!$B$19,NA(),IFERROR(COUNTIFS(Data!$AK$2:$AK$1105,1,Data!$AY$2:$AY$1105,$A$23,Data!$N$2:$N$1105,"Renewal")/COUNTIFS(Data!$AK$2:$AK$1105,1,Data!$AY$2:$AY$1105,$A$23),NA())))</f>
        <v/>
      </c>
      <c r="R23" s="62">
        <f>IF($A$23="",NA(),IF(COUNTIFS(Data!$AK$2:$AK$1105,1,Data!$AY$2:$AY$1105,$A$23)&lt;Controls!$B$19,NA(),IFERROR(SUMIFS(Data!$P$2:$P$1105,Data!$AK$2:$AK$1105,1,Data!$AY$2:$AY$1105,$A$23,Data!$N$2:$N$1105,"Renewal")/SUMIFS(Data!$P$2:$P$1105,Data!$AK$2:$AK$1105,1,Data!$AY$2:$AY$1105,$A$23),NA())))</f>
        <v/>
      </c>
      <c r="S23" s="62">
        <f>IF($A$23="",NA(),Calc!$BT$2)</f>
        <v/>
      </c>
      <c r="T23" s="62">
        <f>IF($A$23="",NA(),Calc!$BT$3)</f>
        <v/>
      </c>
      <c r="U23" s="62">
        <f>IF($A$23="",NA(),Calc!$BT$4)</f>
        <v/>
      </c>
      <c r="V23" s="62">
        <f>IF($A$23="",NA(),IF(COUNTIFS(Data!$AK$2:$AK$1105,1,Data!$AY$2:$AY$1105,$A$23)&lt;Controls!$B$19,NA(),IFERROR(COUNTIFS(Data!$AK$2:$AK$1105,1,Data!$AY$2:$AY$1105,$A$23,Data!$AH$2:$AH$1105,1)/COUNTIFS(Data!$AK$2:$AK$1105,1,Data!$AY$2:$AY$1105,$A$23),NA())))</f>
        <v/>
      </c>
      <c r="W23" s="61">
        <f>IF($A$23="","",$A$23&amp;" ("&amp;$J$23&amp;")")</f>
        <v/>
      </c>
      <c r="X23" s="61" t="n"/>
      <c r="Y23" s="61" t="n"/>
      <c r="Z23" s="61" t="n"/>
      <c r="AA23" s="61" t="n"/>
      <c r="AB23" s="61" t="n"/>
      <c r="AC23" s="61" t="n"/>
      <c r="AD23" s="61" t="n"/>
      <c r="AE23" s="61" t="n"/>
      <c r="AF23" s="61" t="n"/>
      <c r="AG23" s="61" t="n"/>
      <c r="AH23" s="61" t="n"/>
      <c r="AI23" s="61" t="n"/>
      <c r="AJ23" s="61" t="n"/>
      <c r="AK23" s="61" t="n"/>
      <c r="AL23" s="61" t="n"/>
      <c r="AM23" s="61" t="n"/>
      <c r="AN23" s="61">
        <f>Controls!$A$59</f>
        <v/>
      </c>
      <c r="AO23" s="61">
        <f>COUNTIFS(Data!$AK$2:$AK$1105,1,Data!$AY$2:$AY$1105,$AN$23)</f>
        <v/>
      </c>
      <c r="AP23" s="57">
        <f>SUMIFS(Data!$P$2:$P$1105,Data!$AK$2:$AK$1105,1,Data!$AY$2:$AY$1105,$AN$23)</f>
        <v/>
      </c>
      <c r="AQ23" s="56">
        <f>IFERROR(SUMIFS(Data!$AN$2:$AN$1105,Data!$AK$2:$AK$1105,1,Data!$AY$2:$AY$1105,$AN$23)/$AP$23,0)</f>
        <v/>
      </c>
      <c r="AR23" s="57">
        <f>SUMIFS(Data!$AN$2:$AN$1105,Data!$AK$2:$AK$1105,1,Data!$AY$2:$AY$1105,$AN$23)</f>
        <v/>
      </c>
      <c r="AS23" s="61">
        <f>Controls!$B$59</f>
        <v/>
      </c>
      <c r="AT23" s="61">
        <f>IF(OR(AO23=0,AO23&lt;Controls!$B$20),-1000000000000000,IF(AND(Controls!$B$21="Y",$AN$23="No SIC"),-1000000000000000,IF(Controls!$B$17="Selected only",IF(AS23="Y",AP23,-1000000000000000),IF(Controls!$B$17="Top by funded $",AP23,IF(Controls!$B$17="Top by funded units",AO23,IF(Controls!$B$17="Largest principal lost $",AR23,IF(Controls!$B$17="Highest net profit $",AU23,IF(AO23&lt;Controls!$B$19,-1000000000000000,IF(Controls!$B$17="Highest principal lost rate %",AQ23,IF(Controls!$B$17="Lowest principal lost rate %",1-AQ23,AP23))))))))) +20/1000000)</f>
        <v/>
      </c>
      <c r="AU23" s="57">
        <f>SUMIFS(Data!$AM$2:$AM$1105,Data!$AK$2:$AK$1105,1,Data!$AY$2:$AY$1105,$AN$23)</f>
        <v/>
      </c>
      <c r="AV23" s="61" t="n"/>
      <c r="AW23" s="61" t="n"/>
      <c r="AX23" s="61" t="n"/>
      <c r="AY23" s="61" t="n"/>
      <c r="AZ23" s="61" t="n"/>
      <c r="BA23" s="61" t="n"/>
      <c r="BB23" s="61">
        <f>Controls!$A$59</f>
        <v/>
      </c>
      <c r="BC23" s="61">
        <f>COUNTIFS(Data!$AK$2:$AK$1105,1,Data!$AY$2:$AY$1105,$BB$23)</f>
        <v/>
      </c>
      <c r="BD23" s="57">
        <f>SUMIFS(Data!$P$2:$P$1105,Data!$AK$2:$AK$1105,1,Data!$AY$2:$AY$1105,$BB$23)</f>
        <v/>
      </c>
      <c r="BE23" s="56">
        <f>IF(COUNTIFS(Data!$AK$2:$AK$1105,1,Data!$AY$2:$AY$1105,$BB$23)&lt;Controls!$B$19,"",IFERROR(SUMIFS(Data!$AN$2:$AN$1105,Data!$AK$2:$AK$1105,1,Data!$AY$2:$AY$1105,$BB$23)/$BD$23,""))</f>
        <v/>
      </c>
      <c r="BF23" s="56">
        <f>IF(COUNTIFS(Data!$AK$2:$AK$1105,1,Data!$AY$2:$AY$1105,$BB$23)&lt;Controls!$B$19,"",IFERROR(SUMIFS(Data!$AM$2:$AM$1105,Data!$AK$2:$AK$1105,1,Data!$AY$2:$AY$1105,$BB$23)/SUMIFS(Data!$P$2:$P$1105,Data!$AK$2:$AK$1105,1,Data!$AY$2:$AY$1105,$BB$23),""))</f>
        <v/>
      </c>
      <c r="BG23" s="57">
        <f>SUMIFS(Data!$AN$2:$AN$1105,Data!$AK$2:$AK$1105,1,Data!$AY$2:$AY$1105,$BB$23)</f>
        <v/>
      </c>
      <c r="BH23" s="61" t="n"/>
      <c r="BI23" s="61" t="n"/>
      <c r="BJ23" s="61" t="n"/>
      <c r="BK23" s="61">
        <f>IF($BC$23&lt;Controls!$B$22,"",$BE$23)</f>
        <v/>
      </c>
      <c r="BL23" s="61">
        <f>IF($BC$23&lt;Controls!$B$22,"",$BF$23)</f>
        <v/>
      </c>
      <c r="BM23" s="61">
        <f>IF($BC$23&lt;Controls!$B$22,"",$BG$23)</f>
        <v/>
      </c>
      <c r="BN23" s="61" t="n"/>
      <c r="BO23" s="61" t="n"/>
      <c r="BP23" s="61" t="n"/>
      <c r="BQ23" s="64" t="n"/>
      <c r="BR23" s="61" t="n"/>
      <c r="BS23" s="61" t="n"/>
      <c r="BT23" s="61" t="n"/>
    </row>
    <row r="24" ht="15.75" customHeight="1" s="79">
      <c r="A24" s="61">
        <f t="array" ref="A24">IFERROR(IF(20&gt;Controls!$B$18,"",IF(LARGE(Calc!$AT$4:$AT$68,20)&lt;-100000000000000,"",INDEX(Calc!$AN$4:$AN$68,MATCH(LARGE(Calc!$AT$4:$AT$68,20),Calc!$AT$4:$AT$68,0)))),"")</f>
        <v/>
      </c>
      <c r="B24" s="66">
        <f>IF($A$24="",NA(),IFERROR(SUMIFS(Data!$P$2:$P$1105,Data!$AK$2:$AK$1105,1,Data!$AY$2:$AY$1105,$A$24),NA()))</f>
        <v/>
      </c>
      <c r="C24" s="66">
        <f>IF($A$24="",NA(),IFERROR(SUMIFS(Data!$S$2:$S$1105,Data!$AK$2:$AK$1105,1,Data!$AY$2:$AY$1105,$A$24),NA()))</f>
        <v/>
      </c>
      <c r="D24" s="66">
        <f>IF(ISNA($B$24),NA(),$C$24-$B$24)</f>
        <v/>
      </c>
      <c r="E24" s="66">
        <f>IF($A$24="",NA(),IFERROR(SUMIFS(Data!$Q$2:$Q$1105,Data!$AK$2:$AK$1105,1,Data!$AY$2:$AY$1105,$A$24),NA()))</f>
        <v/>
      </c>
      <c r="F24" s="66">
        <f>IF($A$24="",NA(),IFERROR(SUMIFS(Data!$AN$2:$AN$1105,Data!$AK$2:$AK$1105,1,Data!$AY$2:$AY$1105,$A$24),NA()))</f>
        <v/>
      </c>
      <c r="G24" s="62">
        <f>IF($A$24="",NA(),IF(COUNTIFS(Data!$AK$2:$AK$1105,1,Data!$AY$2:$AY$1105,$A$24)&lt;Controls!$B$19,NA(),IFERROR(SUMIFS(Data!$AN$2:$AN$1105,Data!$AK$2:$AK$1105,1,Data!$AY$2:$AY$1105,$A$24)/$B$24,NA())))</f>
        <v/>
      </c>
      <c r="H24" s="62">
        <f>IF($A$24="",NA(),IF(COUNTIFS(Data!$AK$2:$AK$1105,1,Data!$AY$2:$AY$1105,$A$24)&lt;Controls!$B$19,NA(),IFERROR(SUMIFS(Data!$S$2:$S$1105,Data!$AK$2:$AK$1105,1,Data!$AY$2:$AY$1105,$A$24,Data!$AH$2:$AH$1105,1)/SUMIFS(Data!$P$2:$P$1105,Data!$AK$2:$AK$1105,1,Data!$AY$2:$AY$1105,$A$24,Data!$AH$2:$AH$1105,1),NA())))</f>
        <v/>
      </c>
      <c r="I24" s="62">
        <f>IF(ISNA($J$24),NA(),IF($J$24&lt;Controls!$B$19,NA(),IFERROR($D$24/$B$24,NA())))</f>
        <v/>
      </c>
      <c r="J24" s="67">
        <f>IF($A$24="",NA(),IFERROR(COUNTIFS(Data!$AK$2:$AK$1105,1,Data!$AY$2:$AY$1105,$A$24),NA()))</f>
        <v/>
      </c>
      <c r="K24" s="62">
        <f>IF(ISNA($B$24),NA(),IFERROR($B$24/Calc!$BT$6,NA()))</f>
        <v/>
      </c>
      <c r="L24" s="66">
        <f>IF(ISNA($J$24),NA(),IF($J$24&lt;Controls!$B$19,NA(),IFERROR($B$24/$J$24,NA())))</f>
        <v/>
      </c>
      <c r="M24" s="67">
        <f>IF($A$24="",NA(),IF(COUNTIFS(Data!$AK$2:$AK$1105,1,Data!$AY$2:$AY$1105,$A$24)&lt;Controls!$B$19,NA(),IFERROR(AVERAGEIFS(Data!$AE$2:$AE$1105,Data!$AK$2:$AK$1105,1,Data!$AY$2:$AY$1105,$A$24),NA())))</f>
        <v/>
      </c>
      <c r="N24" s="67">
        <f>IF($A$24="",NA(),IF(COUNTIFS(Data!$AK$2:$AK$1105,1,Data!$AY$2:$AY$1105,$A$24)&lt;Controls!$B$19,NA(),IFERROR(AVERAGEIFS(Data!$AD$2:$AD$1105,Data!$AK$2:$AK$1105,1,Data!$AY$2:$AY$1105,$A$24),NA())))</f>
        <v/>
      </c>
      <c r="O24" s="67">
        <f>IF($A$24="",NA(),IF(COUNTIFS(Data!$AK$2:$AK$1105,1,Data!$AY$2:$AY$1105,$A$24)&lt;Controls!$B$19,NA(),IFERROR(AVERAGEIFS(Data!$AS$2:$AS$1105,Data!$AK$2:$AK$1105,1,Data!$AY$2:$AY$1105,$A$24),NA())))</f>
        <v/>
      </c>
      <c r="P24" s="67">
        <f>IF($A$24="",NA(),IF(COUNTIFS(Data!$AK$2:$AK$1105,1,Data!$AY$2:$AY$1105,$A$24)&lt;Controls!$B$19,NA(),IFERROR(AVERAGEIFS(Data!$AT$2:$AT$1105,Data!$AK$2:$AK$1105,1,Data!$AY$2:$AY$1105,$A$24),NA())))</f>
        <v/>
      </c>
      <c r="Q24" s="62">
        <f>IF($A$24="",NA(),IF(COUNTIFS(Data!$AK$2:$AK$1105,1,Data!$AY$2:$AY$1105,$A$24)&lt;Controls!$B$19,NA(),IFERROR(COUNTIFS(Data!$AK$2:$AK$1105,1,Data!$AY$2:$AY$1105,$A$24,Data!$N$2:$N$1105,"Renewal")/COUNTIFS(Data!$AK$2:$AK$1105,1,Data!$AY$2:$AY$1105,$A$24),NA())))</f>
        <v/>
      </c>
      <c r="R24" s="62">
        <f>IF($A$24="",NA(),IF(COUNTIFS(Data!$AK$2:$AK$1105,1,Data!$AY$2:$AY$1105,$A$24)&lt;Controls!$B$19,NA(),IFERROR(SUMIFS(Data!$P$2:$P$1105,Data!$AK$2:$AK$1105,1,Data!$AY$2:$AY$1105,$A$24,Data!$N$2:$N$1105,"Renewal")/SUMIFS(Data!$P$2:$P$1105,Data!$AK$2:$AK$1105,1,Data!$AY$2:$AY$1105,$A$24),NA())))</f>
        <v/>
      </c>
      <c r="S24" s="62">
        <f>IF($A$24="",NA(),Calc!$BT$2)</f>
        <v/>
      </c>
      <c r="T24" s="62">
        <f>IF($A$24="",NA(),Calc!$BT$3)</f>
        <v/>
      </c>
      <c r="U24" s="62">
        <f>IF($A$24="",NA(),Calc!$BT$4)</f>
        <v/>
      </c>
      <c r="V24" s="62">
        <f>IF($A$24="",NA(),IF(COUNTIFS(Data!$AK$2:$AK$1105,1,Data!$AY$2:$AY$1105,$A$24)&lt;Controls!$B$19,NA(),IFERROR(COUNTIFS(Data!$AK$2:$AK$1105,1,Data!$AY$2:$AY$1105,$A$24,Data!$AH$2:$AH$1105,1)/COUNTIFS(Data!$AK$2:$AK$1105,1,Data!$AY$2:$AY$1105,$A$24),NA())))</f>
        <v/>
      </c>
      <c r="W24" s="61">
        <f>IF($A$24="","",$A$24&amp;" ("&amp;$J$24&amp;")")</f>
        <v/>
      </c>
      <c r="X24" s="61" t="n"/>
      <c r="Y24" s="61" t="n"/>
      <c r="Z24" s="61" t="n"/>
      <c r="AA24" s="61" t="n"/>
      <c r="AB24" s="61" t="n"/>
      <c r="AC24" s="61" t="n"/>
      <c r="AD24" s="61" t="n"/>
      <c r="AE24" s="61" t="n"/>
      <c r="AF24" s="61" t="n"/>
      <c r="AG24" s="61" t="n"/>
      <c r="AH24" s="61" t="n"/>
      <c r="AI24" s="61" t="n"/>
      <c r="AJ24" s="61" t="n"/>
      <c r="AK24" s="61" t="n"/>
      <c r="AL24" s="61" t="n"/>
      <c r="AM24" s="61" t="n"/>
      <c r="AN24" s="61">
        <f>Controls!$A$60</f>
        <v/>
      </c>
      <c r="AO24" s="61">
        <f>COUNTIFS(Data!$AK$2:$AK$1105,1,Data!$AY$2:$AY$1105,$AN$24)</f>
        <v/>
      </c>
      <c r="AP24" s="57">
        <f>SUMIFS(Data!$P$2:$P$1105,Data!$AK$2:$AK$1105,1,Data!$AY$2:$AY$1105,$AN$24)</f>
        <v/>
      </c>
      <c r="AQ24" s="56">
        <f>IFERROR(SUMIFS(Data!$AN$2:$AN$1105,Data!$AK$2:$AK$1105,1,Data!$AY$2:$AY$1105,$AN$24)/$AP$24,0)</f>
        <v/>
      </c>
      <c r="AR24" s="57">
        <f>SUMIFS(Data!$AN$2:$AN$1105,Data!$AK$2:$AK$1105,1,Data!$AY$2:$AY$1105,$AN$24)</f>
        <v/>
      </c>
      <c r="AS24" s="61">
        <f>Controls!$B$60</f>
        <v/>
      </c>
      <c r="AT24" s="61">
        <f>IF(OR(AO24=0,AO24&lt;Controls!$B$20),-1000000000000000,IF(AND(Controls!$B$21="Y",$AN$24="No SIC"),-1000000000000000,IF(Controls!$B$17="Selected only",IF(AS24="Y",AP24,-1000000000000000),IF(Controls!$B$17="Top by funded $",AP24,IF(Controls!$B$17="Top by funded units",AO24,IF(Controls!$B$17="Largest principal lost $",AR24,IF(Controls!$B$17="Highest net profit $",AU24,IF(AO24&lt;Controls!$B$19,-1000000000000000,IF(Controls!$B$17="Highest principal lost rate %",AQ24,IF(Controls!$B$17="Lowest principal lost rate %",1-AQ24,AP24))))))))) +21/1000000)</f>
        <v/>
      </c>
      <c r="AU24" s="57">
        <f>SUMIFS(Data!$AM$2:$AM$1105,Data!$AK$2:$AK$1105,1,Data!$AY$2:$AY$1105,$AN$24)</f>
        <v/>
      </c>
      <c r="AV24" s="61" t="n"/>
      <c r="AW24" s="61" t="n"/>
      <c r="AX24" s="61" t="n"/>
      <c r="AY24" s="61" t="n"/>
      <c r="AZ24" s="61" t="n"/>
      <c r="BA24" s="61" t="n"/>
      <c r="BB24" s="61">
        <f>Controls!$A$60</f>
        <v/>
      </c>
      <c r="BC24" s="61">
        <f>COUNTIFS(Data!$AK$2:$AK$1105,1,Data!$AY$2:$AY$1105,$BB$24)</f>
        <v/>
      </c>
      <c r="BD24" s="57">
        <f>SUMIFS(Data!$P$2:$P$1105,Data!$AK$2:$AK$1105,1,Data!$AY$2:$AY$1105,$BB$24)</f>
        <v/>
      </c>
      <c r="BE24" s="56">
        <f>IF(COUNTIFS(Data!$AK$2:$AK$1105,1,Data!$AY$2:$AY$1105,$BB$24)&lt;Controls!$B$19,"",IFERROR(SUMIFS(Data!$AN$2:$AN$1105,Data!$AK$2:$AK$1105,1,Data!$AY$2:$AY$1105,$BB$24)/$BD$24,""))</f>
        <v/>
      </c>
      <c r="BF24" s="56">
        <f>IF(COUNTIFS(Data!$AK$2:$AK$1105,1,Data!$AY$2:$AY$1105,$BB$24)&lt;Controls!$B$19,"",IFERROR(SUMIFS(Data!$AM$2:$AM$1105,Data!$AK$2:$AK$1105,1,Data!$AY$2:$AY$1105,$BB$24)/SUMIFS(Data!$P$2:$P$1105,Data!$AK$2:$AK$1105,1,Data!$AY$2:$AY$1105,$BB$24),""))</f>
        <v/>
      </c>
      <c r="BG24" s="57">
        <f>SUMIFS(Data!$AN$2:$AN$1105,Data!$AK$2:$AK$1105,1,Data!$AY$2:$AY$1105,$BB$24)</f>
        <v/>
      </c>
      <c r="BH24" s="61" t="n"/>
      <c r="BI24" s="61" t="n"/>
      <c r="BJ24" s="61" t="n"/>
      <c r="BK24" s="61">
        <f>IF($BC$24&lt;Controls!$B$22,"",$BE$24)</f>
        <v/>
      </c>
      <c r="BL24" s="61">
        <f>IF($BC$24&lt;Controls!$B$22,"",$BF$24)</f>
        <v/>
      </c>
      <c r="BM24" s="61">
        <f>IF($BC$24&lt;Controls!$B$22,"",$BG$24)</f>
        <v/>
      </c>
      <c r="BN24" s="61" t="n"/>
      <c r="BO24" s="61" t="n"/>
      <c r="BP24" s="61" t="n"/>
      <c r="BQ24" s="61" t="n"/>
      <c r="BR24" s="61" t="n"/>
      <c r="BS24" s="61" t="n"/>
      <c r="BT24" s="61" t="n"/>
    </row>
    <row r="25" ht="15.75" customHeight="1" s="79">
      <c r="A25" s="61">
        <f t="array" ref="A25">IFERROR(IF(21&gt;Controls!$B$18,"",IF(LARGE(Calc!$AT$4:$AT$68,21)&lt;-100000000000000,"",INDEX(Calc!$AN$4:$AN$68,MATCH(LARGE(Calc!$AT$4:$AT$68,21),Calc!$AT$4:$AT$68,0)))),"")</f>
        <v/>
      </c>
      <c r="B25" s="66">
        <f>IF($A$25="",NA(),IFERROR(SUMIFS(Data!$P$2:$P$1105,Data!$AK$2:$AK$1105,1,Data!$AY$2:$AY$1105,$A$25),NA()))</f>
        <v/>
      </c>
      <c r="C25" s="66">
        <f>IF($A$25="",NA(),IFERROR(SUMIFS(Data!$S$2:$S$1105,Data!$AK$2:$AK$1105,1,Data!$AY$2:$AY$1105,$A$25),NA()))</f>
        <v/>
      </c>
      <c r="D25" s="66">
        <f>IF(ISNA($B$25),NA(),$C$25-$B$25)</f>
        <v/>
      </c>
      <c r="E25" s="66">
        <f>IF($A$25="",NA(),IFERROR(SUMIFS(Data!$Q$2:$Q$1105,Data!$AK$2:$AK$1105,1,Data!$AY$2:$AY$1105,$A$25),NA()))</f>
        <v/>
      </c>
      <c r="F25" s="66">
        <f>IF($A$25="",NA(),IFERROR(SUMIFS(Data!$AN$2:$AN$1105,Data!$AK$2:$AK$1105,1,Data!$AY$2:$AY$1105,$A$25),NA()))</f>
        <v/>
      </c>
      <c r="G25" s="62">
        <f>IF($A$25="",NA(),IF(COUNTIFS(Data!$AK$2:$AK$1105,1,Data!$AY$2:$AY$1105,$A$25)&lt;Controls!$B$19,NA(),IFERROR(SUMIFS(Data!$AN$2:$AN$1105,Data!$AK$2:$AK$1105,1,Data!$AY$2:$AY$1105,$A$25)/$B$25,NA())))</f>
        <v/>
      </c>
      <c r="H25" s="62">
        <f>IF($A$25="",NA(),IF(COUNTIFS(Data!$AK$2:$AK$1105,1,Data!$AY$2:$AY$1105,$A$25)&lt;Controls!$B$19,NA(),IFERROR(SUMIFS(Data!$S$2:$S$1105,Data!$AK$2:$AK$1105,1,Data!$AY$2:$AY$1105,$A$25,Data!$AH$2:$AH$1105,1)/SUMIFS(Data!$P$2:$P$1105,Data!$AK$2:$AK$1105,1,Data!$AY$2:$AY$1105,$A$25,Data!$AH$2:$AH$1105,1),NA())))</f>
        <v/>
      </c>
      <c r="I25" s="62">
        <f>IF(ISNA($J$25),NA(),IF($J$25&lt;Controls!$B$19,NA(),IFERROR($D$25/$B$25,NA())))</f>
        <v/>
      </c>
      <c r="J25" s="67">
        <f>IF($A$25="",NA(),IFERROR(COUNTIFS(Data!$AK$2:$AK$1105,1,Data!$AY$2:$AY$1105,$A$25),NA()))</f>
        <v/>
      </c>
      <c r="K25" s="62">
        <f>IF(ISNA($B$25),NA(),IFERROR($B$25/Calc!$BT$6,NA()))</f>
        <v/>
      </c>
      <c r="L25" s="66">
        <f>IF(ISNA($J$25),NA(),IF($J$25&lt;Controls!$B$19,NA(),IFERROR($B$25/$J$25,NA())))</f>
        <v/>
      </c>
      <c r="M25" s="67">
        <f>IF($A$25="",NA(),IF(COUNTIFS(Data!$AK$2:$AK$1105,1,Data!$AY$2:$AY$1105,$A$25)&lt;Controls!$B$19,NA(),IFERROR(AVERAGEIFS(Data!$AE$2:$AE$1105,Data!$AK$2:$AK$1105,1,Data!$AY$2:$AY$1105,$A$25),NA())))</f>
        <v/>
      </c>
      <c r="N25" s="67">
        <f>IF($A$25="",NA(),IF(COUNTIFS(Data!$AK$2:$AK$1105,1,Data!$AY$2:$AY$1105,$A$25)&lt;Controls!$B$19,NA(),IFERROR(AVERAGEIFS(Data!$AD$2:$AD$1105,Data!$AK$2:$AK$1105,1,Data!$AY$2:$AY$1105,$A$25),NA())))</f>
        <v/>
      </c>
      <c r="O25" s="67">
        <f>IF($A$25="",NA(),IF(COUNTIFS(Data!$AK$2:$AK$1105,1,Data!$AY$2:$AY$1105,$A$25)&lt;Controls!$B$19,NA(),IFERROR(AVERAGEIFS(Data!$AS$2:$AS$1105,Data!$AK$2:$AK$1105,1,Data!$AY$2:$AY$1105,$A$25),NA())))</f>
        <v/>
      </c>
      <c r="P25" s="67">
        <f>IF($A$25="",NA(),IF(COUNTIFS(Data!$AK$2:$AK$1105,1,Data!$AY$2:$AY$1105,$A$25)&lt;Controls!$B$19,NA(),IFERROR(AVERAGEIFS(Data!$AT$2:$AT$1105,Data!$AK$2:$AK$1105,1,Data!$AY$2:$AY$1105,$A$25),NA())))</f>
        <v/>
      </c>
      <c r="Q25" s="62">
        <f>IF($A$25="",NA(),IF(COUNTIFS(Data!$AK$2:$AK$1105,1,Data!$AY$2:$AY$1105,$A$25)&lt;Controls!$B$19,NA(),IFERROR(COUNTIFS(Data!$AK$2:$AK$1105,1,Data!$AY$2:$AY$1105,$A$25,Data!$N$2:$N$1105,"Renewal")/COUNTIFS(Data!$AK$2:$AK$1105,1,Data!$AY$2:$AY$1105,$A$25),NA())))</f>
        <v/>
      </c>
      <c r="R25" s="62">
        <f>IF($A$25="",NA(),IF(COUNTIFS(Data!$AK$2:$AK$1105,1,Data!$AY$2:$AY$1105,$A$25)&lt;Controls!$B$19,NA(),IFERROR(SUMIFS(Data!$P$2:$P$1105,Data!$AK$2:$AK$1105,1,Data!$AY$2:$AY$1105,$A$25,Data!$N$2:$N$1105,"Renewal")/SUMIFS(Data!$P$2:$P$1105,Data!$AK$2:$AK$1105,1,Data!$AY$2:$AY$1105,$A$25),NA())))</f>
        <v/>
      </c>
      <c r="S25" s="62">
        <f>IF($A$25="",NA(),Calc!$BT$2)</f>
        <v/>
      </c>
      <c r="T25" s="62">
        <f>IF($A$25="",NA(),Calc!$BT$3)</f>
        <v/>
      </c>
      <c r="U25" s="62">
        <f>IF($A$25="",NA(),Calc!$BT$4)</f>
        <v/>
      </c>
      <c r="V25" s="62">
        <f>IF($A$25="",NA(),IF(COUNTIFS(Data!$AK$2:$AK$1105,1,Data!$AY$2:$AY$1105,$A$25)&lt;Controls!$B$19,NA(),IFERROR(COUNTIFS(Data!$AK$2:$AK$1105,1,Data!$AY$2:$AY$1105,$A$25,Data!$AH$2:$AH$1105,1)/COUNTIFS(Data!$AK$2:$AK$1105,1,Data!$AY$2:$AY$1105,$A$25),NA())))</f>
        <v/>
      </c>
      <c r="W25" s="61">
        <f>IF($A$25="","",$A$25&amp;" ("&amp;$J$25&amp;")")</f>
        <v/>
      </c>
      <c r="X25" s="61" t="n"/>
      <c r="Y25" s="61" t="n"/>
      <c r="Z25" s="61" t="n"/>
      <c r="AA25" s="61" t="n"/>
      <c r="AB25" s="61" t="n"/>
      <c r="AC25" s="61" t="n"/>
      <c r="AD25" s="61" t="n"/>
      <c r="AE25" s="61" t="n"/>
      <c r="AF25" s="61" t="n"/>
      <c r="AG25" s="61" t="n"/>
      <c r="AH25" s="61" t="n"/>
      <c r="AI25" s="61" t="n"/>
      <c r="AJ25" s="61" t="n"/>
      <c r="AK25" s="61" t="n"/>
      <c r="AL25" s="61" t="n"/>
      <c r="AM25" s="61" t="n"/>
      <c r="AN25" s="61">
        <f>Controls!$A$61</f>
        <v/>
      </c>
      <c r="AO25" s="61">
        <f>COUNTIFS(Data!$AK$2:$AK$1105,1,Data!$AY$2:$AY$1105,$AN$25)</f>
        <v/>
      </c>
      <c r="AP25" s="57">
        <f>SUMIFS(Data!$P$2:$P$1105,Data!$AK$2:$AK$1105,1,Data!$AY$2:$AY$1105,$AN$25)</f>
        <v/>
      </c>
      <c r="AQ25" s="56">
        <f>IFERROR(SUMIFS(Data!$AN$2:$AN$1105,Data!$AK$2:$AK$1105,1,Data!$AY$2:$AY$1105,$AN$25)/$AP$25,0)</f>
        <v/>
      </c>
      <c r="AR25" s="57">
        <f>SUMIFS(Data!$AN$2:$AN$1105,Data!$AK$2:$AK$1105,1,Data!$AY$2:$AY$1105,$AN$25)</f>
        <v/>
      </c>
      <c r="AS25" s="61">
        <f>Controls!$B$61</f>
        <v/>
      </c>
      <c r="AT25" s="61">
        <f>IF(OR(AO25=0,AO25&lt;Controls!$B$20),-1000000000000000,IF(AND(Controls!$B$21="Y",$AN$25="No SIC"),-1000000000000000,IF(Controls!$B$17="Selected only",IF(AS25="Y",AP25,-1000000000000000),IF(Controls!$B$17="Top by funded $",AP25,IF(Controls!$B$17="Top by funded units",AO25,IF(Controls!$B$17="Largest principal lost $",AR25,IF(Controls!$B$17="Highest net profit $",AU25,IF(AO25&lt;Controls!$B$19,-1000000000000000,IF(Controls!$B$17="Highest principal lost rate %",AQ25,IF(Controls!$B$17="Lowest principal lost rate %",1-AQ25,AP25))))))))) +22/1000000)</f>
        <v/>
      </c>
      <c r="AU25" s="57">
        <f>SUMIFS(Data!$AM$2:$AM$1105,Data!$AK$2:$AK$1105,1,Data!$AY$2:$AY$1105,$AN$25)</f>
        <v/>
      </c>
      <c r="AV25" s="61" t="n"/>
      <c r="AW25" s="61" t="n"/>
      <c r="AX25" s="61" t="n"/>
      <c r="AY25" s="61" t="n"/>
      <c r="AZ25" s="61" t="n"/>
      <c r="BA25" s="61" t="n"/>
      <c r="BB25" s="61">
        <f>Controls!$A$61</f>
        <v/>
      </c>
      <c r="BC25" s="61">
        <f>COUNTIFS(Data!$AK$2:$AK$1105,1,Data!$AY$2:$AY$1105,$BB$25)</f>
        <v/>
      </c>
      <c r="BD25" s="57">
        <f>SUMIFS(Data!$P$2:$P$1105,Data!$AK$2:$AK$1105,1,Data!$AY$2:$AY$1105,$BB$25)</f>
        <v/>
      </c>
      <c r="BE25" s="56">
        <f>IF(COUNTIFS(Data!$AK$2:$AK$1105,1,Data!$AY$2:$AY$1105,$BB$25)&lt;Controls!$B$19,"",IFERROR(SUMIFS(Data!$AN$2:$AN$1105,Data!$AK$2:$AK$1105,1,Data!$AY$2:$AY$1105,$BB$25)/$BD$25,""))</f>
        <v/>
      </c>
      <c r="BF25" s="56">
        <f>IF(COUNTIFS(Data!$AK$2:$AK$1105,1,Data!$AY$2:$AY$1105,$BB$25)&lt;Controls!$B$19,"",IFERROR(SUMIFS(Data!$AM$2:$AM$1105,Data!$AK$2:$AK$1105,1,Data!$AY$2:$AY$1105,$BB$25)/SUMIFS(Data!$P$2:$P$1105,Data!$AK$2:$AK$1105,1,Data!$AY$2:$AY$1105,$BB$25),""))</f>
        <v/>
      </c>
      <c r="BG25" s="57">
        <f>SUMIFS(Data!$AN$2:$AN$1105,Data!$AK$2:$AK$1105,1,Data!$AY$2:$AY$1105,$BB$25)</f>
        <v/>
      </c>
      <c r="BH25" s="61" t="n"/>
      <c r="BI25" s="61" t="n"/>
      <c r="BJ25" s="61" t="n"/>
      <c r="BK25" s="61">
        <f>IF($BC$25&lt;Controls!$B$22,"",$BE$25)</f>
        <v/>
      </c>
      <c r="BL25" s="61">
        <f>IF($BC$25&lt;Controls!$B$22,"",$BF$25)</f>
        <v/>
      </c>
      <c r="BM25" s="61">
        <f>IF($BC$25&lt;Controls!$B$22,"",$BG$25)</f>
        <v/>
      </c>
      <c r="BN25" s="61" t="n"/>
      <c r="BO25" s="61" t="n"/>
      <c r="BP25" s="61" t="n"/>
      <c r="BQ25" s="64" t="n"/>
      <c r="BR25" s="61" t="n"/>
      <c r="BS25" s="61" t="n"/>
      <c r="BT25" s="61" t="n"/>
    </row>
    <row r="26" ht="15.75" customHeight="1" s="79">
      <c r="A26" s="61">
        <f t="array" ref="A26">IFERROR(IF(22&gt;Controls!$B$18,"",IF(LARGE(Calc!$AT$4:$AT$68,22)&lt;-100000000000000,"",INDEX(Calc!$AN$4:$AN$68,MATCH(LARGE(Calc!$AT$4:$AT$68,22),Calc!$AT$4:$AT$68,0)))),"")</f>
        <v/>
      </c>
      <c r="B26" s="66">
        <f>IF($A$26="",NA(),IFERROR(SUMIFS(Data!$P$2:$P$1105,Data!$AK$2:$AK$1105,1,Data!$AY$2:$AY$1105,$A$26),NA()))</f>
        <v/>
      </c>
      <c r="C26" s="66">
        <f>IF($A$26="",NA(),IFERROR(SUMIFS(Data!$S$2:$S$1105,Data!$AK$2:$AK$1105,1,Data!$AY$2:$AY$1105,$A$26),NA()))</f>
        <v/>
      </c>
      <c r="D26" s="66">
        <f>IF(ISNA($B$26),NA(),$C$26-$B$26)</f>
        <v/>
      </c>
      <c r="E26" s="66">
        <f>IF($A$26="",NA(),IFERROR(SUMIFS(Data!$Q$2:$Q$1105,Data!$AK$2:$AK$1105,1,Data!$AY$2:$AY$1105,$A$26),NA()))</f>
        <v/>
      </c>
      <c r="F26" s="66">
        <f>IF($A$26="",NA(),IFERROR(SUMIFS(Data!$AN$2:$AN$1105,Data!$AK$2:$AK$1105,1,Data!$AY$2:$AY$1105,$A$26),NA()))</f>
        <v/>
      </c>
      <c r="G26" s="62">
        <f>IF($A$26="",NA(),IF(COUNTIFS(Data!$AK$2:$AK$1105,1,Data!$AY$2:$AY$1105,$A$26)&lt;Controls!$B$19,NA(),IFERROR(SUMIFS(Data!$AN$2:$AN$1105,Data!$AK$2:$AK$1105,1,Data!$AY$2:$AY$1105,$A$26)/$B$26,NA())))</f>
        <v/>
      </c>
      <c r="H26" s="62">
        <f>IF($A$26="",NA(),IF(COUNTIFS(Data!$AK$2:$AK$1105,1,Data!$AY$2:$AY$1105,$A$26)&lt;Controls!$B$19,NA(),IFERROR(SUMIFS(Data!$S$2:$S$1105,Data!$AK$2:$AK$1105,1,Data!$AY$2:$AY$1105,$A$26,Data!$AH$2:$AH$1105,1)/SUMIFS(Data!$P$2:$P$1105,Data!$AK$2:$AK$1105,1,Data!$AY$2:$AY$1105,$A$26,Data!$AH$2:$AH$1105,1),NA())))</f>
        <v/>
      </c>
      <c r="I26" s="62">
        <f>IF(ISNA($J$26),NA(),IF($J$26&lt;Controls!$B$19,NA(),IFERROR($D$26/$B$26,NA())))</f>
        <v/>
      </c>
      <c r="J26" s="67">
        <f>IF($A$26="",NA(),IFERROR(COUNTIFS(Data!$AK$2:$AK$1105,1,Data!$AY$2:$AY$1105,$A$26),NA()))</f>
        <v/>
      </c>
      <c r="K26" s="62">
        <f>IF(ISNA($B$26),NA(),IFERROR($B$26/Calc!$BT$6,NA()))</f>
        <v/>
      </c>
      <c r="L26" s="66">
        <f>IF(ISNA($J$26),NA(),IF($J$26&lt;Controls!$B$19,NA(),IFERROR($B$26/$J$26,NA())))</f>
        <v/>
      </c>
      <c r="M26" s="67">
        <f>IF($A$26="",NA(),IF(COUNTIFS(Data!$AK$2:$AK$1105,1,Data!$AY$2:$AY$1105,$A$26)&lt;Controls!$B$19,NA(),IFERROR(AVERAGEIFS(Data!$AE$2:$AE$1105,Data!$AK$2:$AK$1105,1,Data!$AY$2:$AY$1105,$A$26),NA())))</f>
        <v/>
      </c>
      <c r="N26" s="67">
        <f>IF($A$26="",NA(),IF(COUNTIFS(Data!$AK$2:$AK$1105,1,Data!$AY$2:$AY$1105,$A$26)&lt;Controls!$B$19,NA(),IFERROR(AVERAGEIFS(Data!$AD$2:$AD$1105,Data!$AK$2:$AK$1105,1,Data!$AY$2:$AY$1105,$A$26),NA())))</f>
        <v/>
      </c>
      <c r="O26" s="67">
        <f>IF($A$26="",NA(),IF(COUNTIFS(Data!$AK$2:$AK$1105,1,Data!$AY$2:$AY$1105,$A$26)&lt;Controls!$B$19,NA(),IFERROR(AVERAGEIFS(Data!$AS$2:$AS$1105,Data!$AK$2:$AK$1105,1,Data!$AY$2:$AY$1105,$A$26),NA())))</f>
        <v/>
      </c>
      <c r="P26" s="67">
        <f>IF($A$26="",NA(),IF(COUNTIFS(Data!$AK$2:$AK$1105,1,Data!$AY$2:$AY$1105,$A$26)&lt;Controls!$B$19,NA(),IFERROR(AVERAGEIFS(Data!$AT$2:$AT$1105,Data!$AK$2:$AK$1105,1,Data!$AY$2:$AY$1105,$A$26),NA())))</f>
        <v/>
      </c>
      <c r="Q26" s="62">
        <f>IF($A$26="",NA(),IF(COUNTIFS(Data!$AK$2:$AK$1105,1,Data!$AY$2:$AY$1105,$A$26)&lt;Controls!$B$19,NA(),IFERROR(COUNTIFS(Data!$AK$2:$AK$1105,1,Data!$AY$2:$AY$1105,$A$26,Data!$N$2:$N$1105,"Renewal")/COUNTIFS(Data!$AK$2:$AK$1105,1,Data!$AY$2:$AY$1105,$A$26),NA())))</f>
        <v/>
      </c>
      <c r="R26" s="62">
        <f>IF($A$26="",NA(),IF(COUNTIFS(Data!$AK$2:$AK$1105,1,Data!$AY$2:$AY$1105,$A$26)&lt;Controls!$B$19,NA(),IFERROR(SUMIFS(Data!$P$2:$P$1105,Data!$AK$2:$AK$1105,1,Data!$AY$2:$AY$1105,$A$26,Data!$N$2:$N$1105,"Renewal")/SUMIFS(Data!$P$2:$P$1105,Data!$AK$2:$AK$1105,1,Data!$AY$2:$AY$1105,$A$26),NA())))</f>
        <v/>
      </c>
      <c r="S26" s="62">
        <f>IF($A$26="",NA(),Calc!$BT$2)</f>
        <v/>
      </c>
      <c r="T26" s="62">
        <f>IF($A$26="",NA(),Calc!$BT$3)</f>
        <v/>
      </c>
      <c r="U26" s="62">
        <f>IF($A$26="",NA(),Calc!$BT$4)</f>
        <v/>
      </c>
      <c r="V26" s="62">
        <f>IF($A$26="",NA(),IF(COUNTIFS(Data!$AK$2:$AK$1105,1,Data!$AY$2:$AY$1105,$A$26)&lt;Controls!$B$19,NA(),IFERROR(COUNTIFS(Data!$AK$2:$AK$1105,1,Data!$AY$2:$AY$1105,$A$26,Data!$AH$2:$AH$1105,1)/COUNTIFS(Data!$AK$2:$AK$1105,1,Data!$AY$2:$AY$1105,$A$26),NA())))</f>
        <v/>
      </c>
      <c r="W26" s="61">
        <f>IF($A$26="","",$A$26&amp;" ("&amp;$J$26&amp;")")</f>
        <v/>
      </c>
      <c r="X26" s="61" t="n"/>
      <c r="Y26" s="61" t="n"/>
      <c r="Z26" s="61" t="n"/>
      <c r="AA26" s="61" t="n"/>
      <c r="AB26" s="61" t="n"/>
      <c r="AC26" s="61" t="n"/>
      <c r="AD26" s="61" t="n"/>
      <c r="AE26" s="61" t="n"/>
      <c r="AF26" s="61" t="n"/>
      <c r="AG26" s="61" t="n"/>
      <c r="AH26" s="61" t="n"/>
      <c r="AI26" s="61" t="n"/>
      <c r="AJ26" s="61" t="n"/>
      <c r="AK26" s="61" t="n"/>
      <c r="AL26" s="61" t="n"/>
      <c r="AM26" s="61" t="n"/>
      <c r="AN26" s="61">
        <f>Controls!$A$62</f>
        <v/>
      </c>
      <c r="AO26" s="61">
        <f>COUNTIFS(Data!$AK$2:$AK$1105,1,Data!$AY$2:$AY$1105,$AN$26)</f>
        <v/>
      </c>
      <c r="AP26" s="57">
        <f>SUMIFS(Data!$P$2:$P$1105,Data!$AK$2:$AK$1105,1,Data!$AY$2:$AY$1105,$AN$26)</f>
        <v/>
      </c>
      <c r="AQ26" s="56">
        <f>IFERROR(SUMIFS(Data!$AN$2:$AN$1105,Data!$AK$2:$AK$1105,1,Data!$AY$2:$AY$1105,$AN$26)/$AP$26,0)</f>
        <v/>
      </c>
      <c r="AR26" s="57">
        <f>SUMIFS(Data!$AN$2:$AN$1105,Data!$AK$2:$AK$1105,1,Data!$AY$2:$AY$1105,$AN$26)</f>
        <v/>
      </c>
      <c r="AS26" s="61">
        <f>Controls!$B$62</f>
        <v/>
      </c>
      <c r="AT26" s="61">
        <f>IF(OR(AO26=0,AO26&lt;Controls!$B$20),-1000000000000000,IF(AND(Controls!$B$21="Y",$AN$26="No SIC"),-1000000000000000,IF(Controls!$B$17="Selected only",IF(AS26="Y",AP26,-1000000000000000),IF(Controls!$B$17="Top by funded $",AP26,IF(Controls!$B$17="Top by funded units",AO26,IF(Controls!$B$17="Largest principal lost $",AR26,IF(Controls!$B$17="Highest net profit $",AU26,IF(AO26&lt;Controls!$B$19,-1000000000000000,IF(Controls!$B$17="Highest principal lost rate %",AQ26,IF(Controls!$B$17="Lowest principal lost rate %",1-AQ26,AP26))))))))) +23/1000000)</f>
        <v/>
      </c>
      <c r="AU26" s="57">
        <f>SUMIFS(Data!$AM$2:$AM$1105,Data!$AK$2:$AK$1105,1,Data!$AY$2:$AY$1105,$AN$26)</f>
        <v/>
      </c>
      <c r="AV26" s="61" t="n"/>
      <c r="AW26" s="61" t="n"/>
      <c r="AX26" s="61" t="n"/>
      <c r="AY26" s="61" t="n"/>
      <c r="AZ26" s="61" t="n"/>
      <c r="BA26" s="61" t="n"/>
      <c r="BB26" s="61">
        <f>Controls!$A$62</f>
        <v/>
      </c>
      <c r="BC26" s="61">
        <f>COUNTIFS(Data!$AK$2:$AK$1105,1,Data!$AY$2:$AY$1105,$BB$26)</f>
        <v/>
      </c>
      <c r="BD26" s="57">
        <f>SUMIFS(Data!$P$2:$P$1105,Data!$AK$2:$AK$1105,1,Data!$AY$2:$AY$1105,$BB$26)</f>
        <v/>
      </c>
      <c r="BE26" s="56">
        <f>IF(COUNTIFS(Data!$AK$2:$AK$1105,1,Data!$AY$2:$AY$1105,$BB$26)&lt;Controls!$B$19,"",IFERROR(SUMIFS(Data!$AN$2:$AN$1105,Data!$AK$2:$AK$1105,1,Data!$AY$2:$AY$1105,$BB$26)/$BD$26,""))</f>
        <v/>
      </c>
      <c r="BF26" s="56">
        <f>IF(COUNTIFS(Data!$AK$2:$AK$1105,1,Data!$AY$2:$AY$1105,$BB$26)&lt;Controls!$B$19,"",IFERROR(SUMIFS(Data!$AM$2:$AM$1105,Data!$AK$2:$AK$1105,1,Data!$AY$2:$AY$1105,$BB$26)/SUMIFS(Data!$P$2:$P$1105,Data!$AK$2:$AK$1105,1,Data!$AY$2:$AY$1105,$BB$26),""))</f>
        <v/>
      </c>
      <c r="BG26" s="57">
        <f>SUMIFS(Data!$AN$2:$AN$1105,Data!$AK$2:$AK$1105,1,Data!$AY$2:$AY$1105,$BB$26)</f>
        <v/>
      </c>
      <c r="BH26" s="61" t="n"/>
      <c r="BI26" s="61" t="n"/>
      <c r="BJ26" s="61" t="n"/>
      <c r="BK26" s="61">
        <f>IF($BC$26&lt;Controls!$B$22,"",$BE$26)</f>
        <v/>
      </c>
      <c r="BL26" s="61">
        <f>IF($BC$26&lt;Controls!$B$22,"",$BF$26)</f>
        <v/>
      </c>
      <c r="BM26" s="61">
        <f>IF($BC$26&lt;Controls!$B$22,"",$BG$26)</f>
        <v/>
      </c>
      <c r="BN26" s="61" t="n"/>
      <c r="BO26" s="61" t="n"/>
      <c r="BP26" s="61" t="n"/>
      <c r="BQ26" s="61" t="n"/>
      <c r="BR26" s="61" t="n"/>
      <c r="BS26" s="61" t="n"/>
      <c r="BT26" s="61" t="n"/>
    </row>
    <row r="27" ht="15.75" customHeight="1" s="79">
      <c r="A27" s="61">
        <f t="array" ref="A27">IFERROR(IF(23&gt;Controls!$B$18,"",IF(LARGE(Calc!$AT$4:$AT$68,23)&lt;-100000000000000,"",INDEX(Calc!$AN$4:$AN$68,MATCH(LARGE(Calc!$AT$4:$AT$68,23),Calc!$AT$4:$AT$68,0)))),"")</f>
        <v/>
      </c>
      <c r="B27" s="66">
        <f>IF($A$27="",NA(),IFERROR(SUMIFS(Data!$P$2:$P$1105,Data!$AK$2:$AK$1105,1,Data!$AY$2:$AY$1105,$A$27),NA()))</f>
        <v/>
      </c>
      <c r="C27" s="66">
        <f>IF($A$27="",NA(),IFERROR(SUMIFS(Data!$S$2:$S$1105,Data!$AK$2:$AK$1105,1,Data!$AY$2:$AY$1105,$A$27),NA()))</f>
        <v/>
      </c>
      <c r="D27" s="66">
        <f>IF(ISNA($B$27),NA(),$C$27-$B$27)</f>
        <v/>
      </c>
      <c r="E27" s="66">
        <f>IF($A$27="",NA(),IFERROR(SUMIFS(Data!$Q$2:$Q$1105,Data!$AK$2:$AK$1105,1,Data!$AY$2:$AY$1105,$A$27),NA()))</f>
        <v/>
      </c>
      <c r="F27" s="66">
        <f>IF($A$27="",NA(),IFERROR(SUMIFS(Data!$AN$2:$AN$1105,Data!$AK$2:$AK$1105,1,Data!$AY$2:$AY$1105,$A$27),NA()))</f>
        <v/>
      </c>
      <c r="G27" s="62">
        <f>IF($A$27="",NA(),IF(COUNTIFS(Data!$AK$2:$AK$1105,1,Data!$AY$2:$AY$1105,$A$27)&lt;Controls!$B$19,NA(),IFERROR(SUMIFS(Data!$AN$2:$AN$1105,Data!$AK$2:$AK$1105,1,Data!$AY$2:$AY$1105,$A$27)/$B$27,NA())))</f>
        <v/>
      </c>
      <c r="H27" s="62">
        <f>IF($A$27="",NA(),IF(COUNTIFS(Data!$AK$2:$AK$1105,1,Data!$AY$2:$AY$1105,$A$27)&lt;Controls!$B$19,NA(),IFERROR(SUMIFS(Data!$S$2:$S$1105,Data!$AK$2:$AK$1105,1,Data!$AY$2:$AY$1105,$A$27,Data!$AH$2:$AH$1105,1)/SUMIFS(Data!$P$2:$P$1105,Data!$AK$2:$AK$1105,1,Data!$AY$2:$AY$1105,$A$27,Data!$AH$2:$AH$1105,1),NA())))</f>
        <v/>
      </c>
      <c r="I27" s="62">
        <f>IF(ISNA($J$27),NA(),IF($J$27&lt;Controls!$B$19,NA(),IFERROR($D$27/$B$27,NA())))</f>
        <v/>
      </c>
      <c r="J27" s="67">
        <f>IF($A$27="",NA(),IFERROR(COUNTIFS(Data!$AK$2:$AK$1105,1,Data!$AY$2:$AY$1105,$A$27),NA()))</f>
        <v/>
      </c>
      <c r="K27" s="62">
        <f>IF(ISNA($B$27),NA(),IFERROR($B$27/Calc!$BT$6,NA()))</f>
        <v/>
      </c>
      <c r="L27" s="66">
        <f>IF(ISNA($J$27),NA(),IF($J$27&lt;Controls!$B$19,NA(),IFERROR($B$27/$J$27,NA())))</f>
        <v/>
      </c>
      <c r="M27" s="67">
        <f>IF($A$27="",NA(),IF(COUNTIFS(Data!$AK$2:$AK$1105,1,Data!$AY$2:$AY$1105,$A$27)&lt;Controls!$B$19,NA(),IFERROR(AVERAGEIFS(Data!$AE$2:$AE$1105,Data!$AK$2:$AK$1105,1,Data!$AY$2:$AY$1105,$A$27),NA())))</f>
        <v/>
      </c>
      <c r="N27" s="67">
        <f>IF($A$27="",NA(),IF(COUNTIFS(Data!$AK$2:$AK$1105,1,Data!$AY$2:$AY$1105,$A$27)&lt;Controls!$B$19,NA(),IFERROR(AVERAGEIFS(Data!$AD$2:$AD$1105,Data!$AK$2:$AK$1105,1,Data!$AY$2:$AY$1105,$A$27),NA())))</f>
        <v/>
      </c>
      <c r="O27" s="67">
        <f>IF($A$27="",NA(),IF(COUNTIFS(Data!$AK$2:$AK$1105,1,Data!$AY$2:$AY$1105,$A$27)&lt;Controls!$B$19,NA(),IFERROR(AVERAGEIFS(Data!$AS$2:$AS$1105,Data!$AK$2:$AK$1105,1,Data!$AY$2:$AY$1105,$A$27),NA())))</f>
        <v/>
      </c>
      <c r="P27" s="67">
        <f>IF($A$27="",NA(),IF(COUNTIFS(Data!$AK$2:$AK$1105,1,Data!$AY$2:$AY$1105,$A$27)&lt;Controls!$B$19,NA(),IFERROR(AVERAGEIFS(Data!$AT$2:$AT$1105,Data!$AK$2:$AK$1105,1,Data!$AY$2:$AY$1105,$A$27),NA())))</f>
        <v/>
      </c>
      <c r="Q27" s="62">
        <f>IF($A$27="",NA(),IF(COUNTIFS(Data!$AK$2:$AK$1105,1,Data!$AY$2:$AY$1105,$A$27)&lt;Controls!$B$19,NA(),IFERROR(COUNTIFS(Data!$AK$2:$AK$1105,1,Data!$AY$2:$AY$1105,$A$27,Data!$N$2:$N$1105,"Renewal")/COUNTIFS(Data!$AK$2:$AK$1105,1,Data!$AY$2:$AY$1105,$A$27),NA())))</f>
        <v/>
      </c>
      <c r="R27" s="62">
        <f>IF($A$27="",NA(),IF(COUNTIFS(Data!$AK$2:$AK$1105,1,Data!$AY$2:$AY$1105,$A$27)&lt;Controls!$B$19,NA(),IFERROR(SUMIFS(Data!$P$2:$P$1105,Data!$AK$2:$AK$1105,1,Data!$AY$2:$AY$1105,$A$27,Data!$N$2:$N$1105,"Renewal")/SUMIFS(Data!$P$2:$P$1105,Data!$AK$2:$AK$1105,1,Data!$AY$2:$AY$1105,$A$27),NA())))</f>
        <v/>
      </c>
      <c r="S27" s="62">
        <f>IF($A$27="",NA(),Calc!$BT$2)</f>
        <v/>
      </c>
      <c r="T27" s="62">
        <f>IF($A$27="",NA(),Calc!$BT$3)</f>
        <v/>
      </c>
      <c r="U27" s="62">
        <f>IF($A$27="",NA(),Calc!$BT$4)</f>
        <v/>
      </c>
      <c r="V27" s="62">
        <f>IF($A$27="",NA(),IF(COUNTIFS(Data!$AK$2:$AK$1105,1,Data!$AY$2:$AY$1105,$A$27)&lt;Controls!$B$19,NA(),IFERROR(COUNTIFS(Data!$AK$2:$AK$1105,1,Data!$AY$2:$AY$1105,$A$27,Data!$AH$2:$AH$1105,1)/COUNTIFS(Data!$AK$2:$AK$1105,1,Data!$AY$2:$AY$1105,$A$27),NA())))</f>
        <v/>
      </c>
      <c r="W27" s="61">
        <f>IF($A$27="","",$A$27&amp;" ("&amp;$J$27&amp;")")</f>
        <v/>
      </c>
      <c r="X27" s="61" t="n"/>
      <c r="Y27" s="61" t="n"/>
      <c r="Z27" s="61" t="n"/>
      <c r="AA27" s="61" t="n"/>
      <c r="AB27" s="61" t="n"/>
      <c r="AC27" s="61" t="n"/>
      <c r="AD27" s="61" t="n"/>
      <c r="AE27" s="61" t="n"/>
      <c r="AF27" s="61" t="n"/>
      <c r="AG27" s="61" t="n"/>
      <c r="AH27" s="61" t="n"/>
      <c r="AI27" s="61" t="n"/>
      <c r="AJ27" s="61" t="n"/>
      <c r="AK27" s="61" t="n"/>
      <c r="AL27" s="61" t="n"/>
      <c r="AM27" s="61" t="n"/>
      <c r="AN27" s="61">
        <f>Controls!$A$63</f>
        <v/>
      </c>
      <c r="AO27" s="61">
        <f>COUNTIFS(Data!$AK$2:$AK$1105,1,Data!$AY$2:$AY$1105,$AN$27)</f>
        <v/>
      </c>
      <c r="AP27" s="57">
        <f>SUMIFS(Data!$P$2:$P$1105,Data!$AK$2:$AK$1105,1,Data!$AY$2:$AY$1105,$AN$27)</f>
        <v/>
      </c>
      <c r="AQ27" s="56">
        <f>IFERROR(SUMIFS(Data!$AN$2:$AN$1105,Data!$AK$2:$AK$1105,1,Data!$AY$2:$AY$1105,$AN$27)/$AP$27,0)</f>
        <v/>
      </c>
      <c r="AR27" s="57">
        <f>SUMIFS(Data!$AN$2:$AN$1105,Data!$AK$2:$AK$1105,1,Data!$AY$2:$AY$1105,$AN$27)</f>
        <v/>
      </c>
      <c r="AS27" s="61">
        <f>Controls!$B$63</f>
        <v/>
      </c>
      <c r="AT27" s="61">
        <f>IF(OR(AO27=0,AO27&lt;Controls!$B$20),-1000000000000000,IF(AND(Controls!$B$21="Y",$AN$27="No SIC"),-1000000000000000,IF(Controls!$B$17="Selected only",IF(AS27="Y",AP27,-1000000000000000),IF(Controls!$B$17="Top by funded $",AP27,IF(Controls!$B$17="Top by funded units",AO27,IF(Controls!$B$17="Largest principal lost $",AR27,IF(Controls!$B$17="Highest net profit $",AU27,IF(AO27&lt;Controls!$B$19,-1000000000000000,IF(Controls!$B$17="Highest principal lost rate %",AQ27,IF(Controls!$B$17="Lowest principal lost rate %",1-AQ27,AP27))))))))) +24/1000000)</f>
        <v/>
      </c>
      <c r="AU27" s="57">
        <f>SUMIFS(Data!$AM$2:$AM$1105,Data!$AK$2:$AK$1105,1,Data!$AY$2:$AY$1105,$AN$27)</f>
        <v/>
      </c>
      <c r="AV27" s="61" t="n"/>
      <c r="AW27" s="61" t="n"/>
      <c r="AX27" s="61" t="n"/>
      <c r="AY27" s="61" t="n"/>
      <c r="AZ27" s="61" t="n"/>
      <c r="BA27" s="61" t="n"/>
      <c r="BB27" s="61">
        <f>Controls!$A$63</f>
        <v/>
      </c>
      <c r="BC27" s="61">
        <f>COUNTIFS(Data!$AK$2:$AK$1105,1,Data!$AY$2:$AY$1105,$BB$27)</f>
        <v/>
      </c>
      <c r="BD27" s="57">
        <f>SUMIFS(Data!$P$2:$P$1105,Data!$AK$2:$AK$1105,1,Data!$AY$2:$AY$1105,$BB$27)</f>
        <v/>
      </c>
      <c r="BE27" s="56">
        <f>IF(COUNTIFS(Data!$AK$2:$AK$1105,1,Data!$AY$2:$AY$1105,$BB$27)&lt;Controls!$B$19,"",IFERROR(SUMIFS(Data!$AN$2:$AN$1105,Data!$AK$2:$AK$1105,1,Data!$AY$2:$AY$1105,$BB$27)/$BD$27,""))</f>
        <v/>
      </c>
      <c r="BF27" s="56">
        <f>IF(COUNTIFS(Data!$AK$2:$AK$1105,1,Data!$AY$2:$AY$1105,$BB$27)&lt;Controls!$B$19,"",IFERROR(SUMIFS(Data!$AM$2:$AM$1105,Data!$AK$2:$AK$1105,1,Data!$AY$2:$AY$1105,$BB$27)/SUMIFS(Data!$P$2:$P$1105,Data!$AK$2:$AK$1105,1,Data!$AY$2:$AY$1105,$BB$27),""))</f>
        <v/>
      </c>
      <c r="BG27" s="57">
        <f>SUMIFS(Data!$AN$2:$AN$1105,Data!$AK$2:$AK$1105,1,Data!$AY$2:$AY$1105,$BB$27)</f>
        <v/>
      </c>
      <c r="BH27" s="61" t="n"/>
      <c r="BI27" s="61" t="n"/>
      <c r="BJ27" s="61" t="n"/>
      <c r="BK27" s="61">
        <f>IF($BC$27&lt;Controls!$B$22,"",$BE$27)</f>
        <v/>
      </c>
      <c r="BL27" s="61">
        <f>IF($BC$27&lt;Controls!$B$22,"",$BF$27)</f>
        <v/>
      </c>
      <c r="BM27" s="61">
        <f>IF($BC$27&lt;Controls!$B$22,"",$BG$27)</f>
        <v/>
      </c>
      <c r="BN27" s="61" t="n"/>
      <c r="BO27" s="61" t="n"/>
      <c r="BP27" s="61" t="n"/>
      <c r="BQ27" s="61" t="n"/>
      <c r="BR27" s="61" t="n"/>
      <c r="BS27" s="61" t="n"/>
      <c r="BT27" s="61" t="n"/>
    </row>
    <row r="28" ht="15.75" customHeight="1" s="79">
      <c r="A28" s="61">
        <f t="array" ref="A28">IFERROR(IF(24&gt;Controls!$B$18,"",IF(LARGE(Calc!$AT$4:$AT$68,24)&lt;-100000000000000,"",INDEX(Calc!$AN$4:$AN$68,MATCH(LARGE(Calc!$AT$4:$AT$68,24),Calc!$AT$4:$AT$68,0)))),"")</f>
        <v/>
      </c>
      <c r="B28" s="66">
        <f>IF($A$28="",NA(),IFERROR(SUMIFS(Data!$P$2:$P$1105,Data!$AK$2:$AK$1105,1,Data!$AY$2:$AY$1105,$A$28),NA()))</f>
        <v/>
      </c>
      <c r="C28" s="66">
        <f>IF($A$28="",NA(),IFERROR(SUMIFS(Data!$S$2:$S$1105,Data!$AK$2:$AK$1105,1,Data!$AY$2:$AY$1105,$A$28),NA()))</f>
        <v/>
      </c>
      <c r="D28" s="66">
        <f>IF(ISNA($B$28),NA(),$C$28-$B$28)</f>
        <v/>
      </c>
      <c r="E28" s="66">
        <f>IF($A$28="",NA(),IFERROR(SUMIFS(Data!$Q$2:$Q$1105,Data!$AK$2:$AK$1105,1,Data!$AY$2:$AY$1105,$A$28),NA()))</f>
        <v/>
      </c>
      <c r="F28" s="66">
        <f>IF($A$28="",NA(),IFERROR(SUMIFS(Data!$AN$2:$AN$1105,Data!$AK$2:$AK$1105,1,Data!$AY$2:$AY$1105,$A$28),NA()))</f>
        <v/>
      </c>
      <c r="G28" s="62">
        <f>IF($A$28="",NA(),IF(COUNTIFS(Data!$AK$2:$AK$1105,1,Data!$AY$2:$AY$1105,$A$28)&lt;Controls!$B$19,NA(),IFERROR(SUMIFS(Data!$AN$2:$AN$1105,Data!$AK$2:$AK$1105,1,Data!$AY$2:$AY$1105,$A$28)/$B$28,NA())))</f>
        <v/>
      </c>
      <c r="H28" s="62">
        <f>IF($A$28="",NA(),IF(COUNTIFS(Data!$AK$2:$AK$1105,1,Data!$AY$2:$AY$1105,$A$28)&lt;Controls!$B$19,NA(),IFERROR(SUMIFS(Data!$S$2:$S$1105,Data!$AK$2:$AK$1105,1,Data!$AY$2:$AY$1105,$A$28,Data!$AH$2:$AH$1105,1)/SUMIFS(Data!$P$2:$P$1105,Data!$AK$2:$AK$1105,1,Data!$AY$2:$AY$1105,$A$28,Data!$AH$2:$AH$1105,1),NA())))</f>
        <v/>
      </c>
      <c r="I28" s="62">
        <f>IF(ISNA($J$28),NA(),IF($J$28&lt;Controls!$B$19,NA(),IFERROR($D$28/$B$28,NA())))</f>
        <v/>
      </c>
      <c r="J28" s="67">
        <f>IF($A$28="",NA(),IFERROR(COUNTIFS(Data!$AK$2:$AK$1105,1,Data!$AY$2:$AY$1105,$A$28),NA()))</f>
        <v/>
      </c>
      <c r="K28" s="62">
        <f>IF(ISNA($B$28),NA(),IFERROR($B$28/Calc!$BT$6,NA()))</f>
        <v/>
      </c>
      <c r="L28" s="66">
        <f>IF(ISNA($J$28),NA(),IF($J$28&lt;Controls!$B$19,NA(),IFERROR($B$28/$J$28,NA())))</f>
        <v/>
      </c>
      <c r="M28" s="67">
        <f>IF($A$28="",NA(),IF(COUNTIFS(Data!$AK$2:$AK$1105,1,Data!$AY$2:$AY$1105,$A$28)&lt;Controls!$B$19,NA(),IFERROR(AVERAGEIFS(Data!$AE$2:$AE$1105,Data!$AK$2:$AK$1105,1,Data!$AY$2:$AY$1105,$A$28),NA())))</f>
        <v/>
      </c>
      <c r="N28" s="67">
        <f>IF($A$28="",NA(),IF(COUNTIFS(Data!$AK$2:$AK$1105,1,Data!$AY$2:$AY$1105,$A$28)&lt;Controls!$B$19,NA(),IFERROR(AVERAGEIFS(Data!$AD$2:$AD$1105,Data!$AK$2:$AK$1105,1,Data!$AY$2:$AY$1105,$A$28),NA())))</f>
        <v/>
      </c>
      <c r="O28" s="67">
        <f>IF($A$28="",NA(),IF(COUNTIFS(Data!$AK$2:$AK$1105,1,Data!$AY$2:$AY$1105,$A$28)&lt;Controls!$B$19,NA(),IFERROR(AVERAGEIFS(Data!$AS$2:$AS$1105,Data!$AK$2:$AK$1105,1,Data!$AY$2:$AY$1105,$A$28),NA())))</f>
        <v/>
      </c>
      <c r="P28" s="67">
        <f>IF($A$28="",NA(),IF(COUNTIFS(Data!$AK$2:$AK$1105,1,Data!$AY$2:$AY$1105,$A$28)&lt;Controls!$B$19,NA(),IFERROR(AVERAGEIFS(Data!$AT$2:$AT$1105,Data!$AK$2:$AK$1105,1,Data!$AY$2:$AY$1105,$A$28),NA())))</f>
        <v/>
      </c>
      <c r="Q28" s="62">
        <f>IF($A$28="",NA(),IF(COUNTIFS(Data!$AK$2:$AK$1105,1,Data!$AY$2:$AY$1105,$A$28)&lt;Controls!$B$19,NA(),IFERROR(COUNTIFS(Data!$AK$2:$AK$1105,1,Data!$AY$2:$AY$1105,$A$28,Data!$N$2:$N$1105,"Renewal")/COUNTIFS(Data!$AK$2:$AK$1105,1,Data!$AY$2:$AY$1105,$A$28),NA())))</f>
        <v/>
      </c>
      <c r="R28" s="62">
        <f>IF($A$28="",NA(),IF(COUNTIFS(Data!$AK$2:$AK$1105,1,Data!$AY$2:$AY$1105,$A$28)&lt;Controls!$B$19,NA(),IFERROR(SUMIFS(Data!$P$2:$P$1105,Data!$AK$2:$AK$1105,1,Data!$AY$2:$AY$1105,$A$28,Data!$N$2:$N$1105,"Renewal")/SUMIFS(Data!$P$2:$P$1105,Data!$AK$2:$AK$1105,1,Data!$AY$2:$AY$1105,$A$28),NA())))</f>
        <v/>
      </c>
      <c r="S28" s="62">
        <f>IF($A$28="",NA(),Calc!$BT$2)</f>
        <v/>
      </c>
      <c r="T28" s="62">
        <f>IF($A$28="",NA(),Calc!$BT$3)</f>
        <v/>
      </c>
      <c r="U28" s="62">
        <f>IF($A$28="",NA(),Calc!$BT$4)</f>
        <v/>
      </c>
      <c r="V28" s="62">
        <f>IF($A$28="",NA(),IF(COUNTIFS(Data!$AK$2:$AK$1105,1,Data!$AY$2:$AY$1105,$A$28)&lt;Controls!$B$19,NA(),IFERROR(COUNTIFS(Data!$AK$2:$AK$1105,1,Data!$AY$2:$AY$1105,$A$28,Data!$AH$2:$AH$1105,1)/COUNTIFS(Data!$AK$2:$AK$1105,1,Data!$AY$2:$AY$1105,$A$28),NA())))</f>
        <v/>
      </c>
      <c r="W28" s="61">
        <f>IF($A$28="","",$A$28&amp;" ("&amp;$J$28&amp;")")</f>
        <v/>
      </c>
      <c r="X28" s="61" t="n"/>
      <c r="Y28" s="61" t="n"/>
      <c r="Z28" s="61" t="n"/>
      <c r="AA28" s="61" t="n"/>
      <c r="AB28" s="61" t="n"/>
      <c r="AC28" s="61" t="n"/>
      <c r="AD28" s="61" t="n"/>
      <c r="AE28" s="61" t="n"/>
      <c r="AF28" s="61" t="n"/>
      <c r="AG28" s="61" t="n"/>
      <c r="AH28" s="61" t="n"/>
      <c r="AI28" s="61" t="n"/>
      <c r="AJ28" s="61" t="n"/>
      <c r="AK28" s="61" t="n"/>
      <c r="AL28" s="61" t="n"/>
      <c r="AM28" s="61" t="n"/>
      <c r="AN28" s="61">
        <f>Controls!$A$64</f>
        <v/>
      </c>
      <c r="AO28" s="61">
        <f>COUNTIFS(Data!$AK$2:$AK$1105,1,Data!$AY$2:$AY$1105,$AN$28)</f>
        <v/>
      </c>
      <c r="AP28" s="57">
        <f>SUMIFS(Data!$P$2:$P$1105,Data!$AK$2:$AK$1105,1,Data!$AY$2:$AY$1105,$AN$28)</f>
        <v/>
      </c>
      <c r="AQ28" s="56">
        <f>IFERROR(SUMIFS(Data!$AN$2:$AN$1105,Data!$AK$2:$AK$1105,1,Data!$AY$2:$AY$1105,$AN$28)/$AP$28,0)</f>
        <v/>
      </c>
      <c r="AR28" s="57">
        <f>SUMIFS(Data!$AN$2:$AN$1105,Data!$AK$2:$AK$1105,1,Data!$AY$2:$AY$1105,$AN$28)</f>
        <v/>
      </c>
      <c r="AS28" s="61">
        <f>Controls!$B$64</f>
        <v/>
      </c>
      <c r="AT28" s="61">
        <f>IF(OR(AO28=0,AO28&lt;Controls!$B$20),-1000000000000000,IF(AND(Controls!$B$21="Y",$AN$28="No SIC"),-1000000000000000,IF(Controls!$B$17="Selected only",IF(AS28="Y",AP28,-1000000000000000),IF(Controls!$B$17="Top by funded $",AP28,IF(Controls!$B$17="Top by funded units",AO28,IF(Controls!$B$17="Largest principal lost $",AR28,IF(Controls!$B$17="Highest net profit $",AU28,IF(AO28&lt;Controls!$B$19,-1000000000000000,IF(Controls!$B$17="Highest principal lost rate %",AQ28,IF(Controls!$B$17="Lowest principal lost rate %",1-AQ28,AP28))))))))) +25/1000000)</f>
        <v/>
      </c>
      <c r="AU28" s="57">
        <f>SUMIFS(Data!$AM$2:$AM$1105,Data!$AK$2:$AK$1105,1,Data!$AY$2:$AY$1105,$AN$28)</f>
        <v/>
      </c>
      <c r="AV28" s="61" t="n"/>
      <c r="AW28" s="61" t="n"/>
      <c r="AX28" s="61" t="n"/>
      <c r="AY28" s="61" t="n"/>
      <c r="AZ28" s="61" t="n"/>
      <c r="BA28" s="61" t="n"/>
      <c r="BB28" s="61">
        <f>Controls!$A$64</f>
        <v/>
      </c>
      <c r="BC28" s="61">
        <f>COUNTIFS(Data!$AK$2:$AK$1105,1,Data!$AY$2:$AY$1105,$BB$28)</f>
        <v/>
      </c>
      <c r="BD28" s="57">
        <f>SUMIFS(Data!$P$2:$P$1105,Data!$AK$2:$AK$1105,1,Data!$AY$2:$AY$1105,$BB$28)</f>
        <v/>
      </c>
      <c r="BE28" s="56">
        <f>IF(COUNTIFS(Data!$AK$2:$AK$1105,1,Data!$AY$2:$AY$1105,$BB$28)&lt;Controls!$B$19,"",IFERROR(SUMIFS(Data!$AN$2:$AN$1105,Data!$AK$2:$AK$1105,1,Data!$AY$2:$AY$1105,$BB$28)/$BD$28,""))</f>
        <v/>
      </c>
      <c r="BF28" s="56">
        <f>IF(COUNTIFS(Data!$AK$2:$AK$1105,1,Data!$AY$2:$AY$1105,$BB$28)&lt;Controls!$B$19,"",IFERROR(SUMIFS(Data!$AM$2:$AM$1105,Data!$AK$2:$AK$1105,1,Data!$AY$2:$AY$1105,$BB$28)/SUMIFS(Data!$P$2:$P$1105,Data!$AK$2:$AK$1105,1,Data!$AY$2:$AY$1105,$BB$28),""))</f>
        <v/>
      </c>
      <c r="BG28" s="57">
        <f>SUMIFS(Data!$AN$2:$AN$1105,Data!$AK$2:$AK$1105,1,Data!$AY$2:$AY$1105,$BB$28)</f>
        <v/>
      </c>
      <c r="BH28" s="61" t="n"/>
      <c r="BI28" s="61" t="n"/>
      <c r="BJ28" s="61" t="n"/>
      <c r="BK28" s="61">
        <f>IF($BC$28&lt;Controls!$B$22,"",$BE$28)</f>
        <v/>
      </c>
      <c r="BL28" s="61">
        <f>IF($BC$28&lt;Controls!$B$22,"",$BF$28)</f>
        <v/>
      </c>
      <c r="BM28" s="61">
        <f>IF($BC$28&lt;Controls!$B$22,"",$BG$28)</f>
        <v/>
      </c>
      <c r="BN28" s="61" t="n"/>
      <c r="BO28" s="61" t="n"/>
      <c r="BP28" s="61" t="n"/>
      <c r="BQ28" s="61" t="n"/>
      <c r="BR28" s="61" t="n"/>
      <c r="BS28" s="61" t="n"/>
      <c r="BT28" s="61" t="n"/>
    </row>
    <row r="29" ht="15.75" customHeight="1" s="79">
      <c r="A29" s="61">
        <f t="array" ref="A29">IFERROR(IF(25&gt;Controls!$B$18,"",IF(LARGE(Calc!$AT$4:$AT$68,25)&lt;-100000000000000,"",INDEX(Calc!$AN$4:$AN$68,MATCH(LARGE(Calc!$AT$4:$AT$68,25),Calc!$AT$4:$AT$68,0)))),"")</f>
        <v/>
      </c>
      <c r="B29" s="66">
        <f>IF($A$29="",NA(),IFERROR(SUMIFS(Data!$P$2:$P$1105,Data!$AK$2:$AK$1105,1,Data!$AY$2:$AY$1105,$A$29),NA()))</f>
        <v/>
      </c>
      <c r="C29" s="66">
        <f>IF($A$29="",NA(),IFERROR(SUMIFS(Data!$S$2:$S$1105,Data!$AK$2:$AK$1105,1,Data!$AY$2:$AY$1105,$A$29),NA()))</f>
        <v/>
      </c>
      <c r="D29" s="66">
        <f>IF(ISNA($B$29),NA(),$C$29-$B$29)</f>
        <v/>
      </c>
      <c r="E29" s="66">
        <f>IF($A$29="",NA(),IFERROR(SUMIFS(Data!$Q$2:$Q$1105,Data!$AK$2:$AK$1105,1,Data!$AY$2:$AY$1105,$A$29),NA()))</f>
        <v/>
      </c>
      <c r="F29" s="66">
        <f>IF($A$29="",NA(),IFERROR(SUMIFS(Data!$AN$2:$AN$1105,Data!$AK$2:$AK$1105,1,Data!$AY$2:$AY$1105,$A$29),NA()))</f>
        <v/>
      </c>
      <c r="G29" s="62">
        <f>IF($A$29="",NA(),IF(COUNTIFS(Data!$AK$2:$AK$1105,1,Data!$AY$2:$AY$1105,$A$29)&lt;Controls!$B$19,NA(),IFERROR(SUMIFS(Data!$AN$2:$AN$1105,Data!$AK$2:$AK$1105,1,Data!$AY$2:$AY$1105,$A$29)/$B$29,NA())))</f>
        <v/>
      </c>
      <c r="H29" s="62">
        <f>IF($A$29="",NA(),IF(COUNTIFS(Data!$AK$2:$AK$1105,1,Data!$AY$2:$AY$1105,$A$29)&lt;Controls!$B$19,NA(),IFERROR(SUMIFS(Data!$S$2:$S$1105,Data!$AK$2:$AK$1105,1,Data!$AY$2:$AY$1105,$A$29,Data!$AH$2:$AH$1105,1)/SUMIFS(Data!$P$2:$P$1105,Data!$AK$2:$AK$1105,1,Data!$AY$2:$AY$1105,$A$29,Data!$AH$2:$AH$1105,1),NA())))</f>
        <v/>
      </c>
      <c r="I29" s="62">
        <f>IF(ISNA($J$29),NA(),IF($J$29&lt;Controls!$B$19,NA(),IFERROR($D$29/$B$29,NA())))</f>
        <v/>
      </c>
      <c r="J29" s="67">
        <f>IF($A$29="",NA(),IFERROR(COUNTIFS(Data!$AK$2:$AK$1105,1,Data!$AY$2:$AY$1105,$A$29),NA()))</f>
        <v/>
      </c>
      <c r="K29" s="62">
        <f>IF(ISNA($B$29),NA(),IFERROR($B$29/Calc!$BT$6,NA()))</f>
        <v/>
      </c>
      <c r="L29" s="66">
        <f>IF(ISNA($J$29),NA(),IF($J$29&lt;Controls!$B$19,NA(),IFERROR($B$29/$J$29,NA())))</f>
        <v/>
      </c>
      <c r="M29" s="67">
        <f>IF($A$29="",NA(),IF(COUNTIFS(Data!$AK$2:$AK$1105,1,Data!$AY$2:$AY$1105,$A$29)&lt;Controls!$B$19,NA(),IFERROR(AVERAGEIFS(Data!$AE$2:$AE$1105,Data!$AK$2:$AK$1105,1,Data!$AY$2:$AY$1105,$A$29),NA())))</f>
        <v/>
      </c>
      <c r="N29" s="67">
        <f>IF($A$29="",NA(),IF(COUNTIFS(Data!$AK$2:$AK$1105,1,Data!$AY$2:$AY$1105,$A$29)&lt;Controls!$B$19,NA(),IFERROR(AVERAGEIFS(Data!$AD$2:$AD$1105,Data!$AK$2:$AK$1105,1,Data!$AY$2:$AY$1105,$A$29),NA())))</f>
        <v/>
      </c>
      <c r="O29" s="67">
        <f>IF($A$29="",NA(),IF(COUNTIFS(Data!$AK$2:$AK$1105,1,Data!$AY$2:$AY$1105,$A$29)&lt;Controls!$B$19,NA(),IFERROR(AVERAGEIFS(Data!$AS$2:$AS$1105,Data!$AK$2:$AK$1105,1,Data!$AY$2:$AY$1105,$A$29),NA())))</f>
        <v/>
      </c>
      <c r="P29" s="67">
        <f>IF($A$29="",NA(),IF(COUNTIFS(Data!$AK$2:$AK$1105,1,Data!$AY$2:$AY$1105,$A$29)&lt;Controls!$B$19,NA(),IFERROR(AVERAGEIFS(Data!$AT$2:$AT$1105,Data!$AK$2:$AK$1105,1,Data!$AY$2:$AY$1105,$A$29),NA())))</f>
        <v/>
      </c>
      <c r="Q29" s="62">
        <f>IF($A$29="",NA(),IF(COUNTIFS(Data!$AK$2:$AK$1105,1,Data!$AY$2:$AY$1105,$A$29)&lt;Controls!$B$19,NA(),IFERROR(COUNTIFS(Data!$AK$2:$AK$1105,1,Data!$AY$2:$AY$1105,$A$29,Data!$N$2:$N$1105,"Renewal")/COUNTIFS(Data!$AK$2:$AK$1105,1,Data!$AY$2:$AY$1105,$A$29),NA())))</f>
        <v/>
      </c>
      <c r="R29" s="62">
        <f>IF($A$29="",NA(),IF(COUNTIFS(Data!$AK$2:$AK$1105,1,Data!$AY$2:$AY$1105,$A$29)&lt;Controls!$B$19,NA(),IFERROR(SUMIFS(Data!$P$2:$P$1105,Data!$AK$2:$AK$1105,1,Data!$AY$2:$AY$1105,$A$29,Data!$N$2:$N$1105,"Renewal")/SUMIFS(Data!$P$2:$P$1105,Data!$AK$2:$AK$1105,1,Data!$AY$2:$AY$1105,$A$29),NA())))</f>
        <v/>
      </c>
      <c r="S29" s="62">
        <f>IF($A$29="",NA(),Calc!$BT$2)</f>
        <v/>
      </c>
      <c r="T29" s="62">
        <f>IF($A$29="",NA(),Calc!$BT$3)</f>
        <v/>
      </c>
      <c r="U29" s="62">
        <f>IF($A$29="",NA(),Calc!$BT$4)</f>
        <v/>
      </c>
      <c r="V29" s="62">
        <f>IF($A$29="",NA(),IF(COUNTIFS(Data!$AK$2:$AK$1105,1,Data!$AY$2:$AY$1105,$A$29)&lt;Controls!$B$19,NA(),IFERROR(COUNTIFS(Data!$AK$2:$AK$1105,1,Data!$AY$2:$AY$1105,$A$29,Data!$AH$2:$AH$1105,1)/COUNTIFS(Data!$AK$2:$AK$1105,1,Data!$AY$2:$AY$1105,$A$29),NA())))</f>
        <v/>
      </c>
      <c r="W29" s="61">
        <f>IF($A$29="","",$A$29&amp;" ("&amp;$J$29&amp;")")</f>
        <v/>
      </c>
      <c r="X29" s="61" t="n"/>
      <c r="Y29" s="61" t="n"/>
      <c r="Z29" s="61" t="n"/>
      <c r="AA29" s="61" t="n"/>
      <c r="AB29" s="61" t="n"/>
      <c r="AC29" s="61" t="n"/>
      <c r="AD29" s="61" t="n"/>
      <c r="AE29" s="61" t="n"/>
      <c r="AF29" s="61" t="n"/>
      <c r="AG29" s="61" t="n"/>
      <c r="AH29" s="61" t="n"/>
      <c r="AI29" s="61" t="n"/>
      <c r="AJ29" s="61" t="n"/>
      <c r="AK29" s="61" t="n"/>
      <c r="AL29" s="61" t="n"/>
      <c r="AM29" s="61" t="n"/>
      <c r="AN29" s="61">
        <f>Controls!$A$65</f>
        <v/>
      </c>
      <c r="AO29" s="61">
        <f>COUNTIFS(Data!$AK$2:$AK$1105,1,Data!$AY$2:$AY$1105,$AN$29)</f>
        <v/>
      </c>
      <c r="AP29" s="57">
        <f>SUMIFS(Data!$P$2:$P$1105,Data!$AK$2:$AK$1105,1,Data!$AY$2:$AY$1105,$AN$29)</f>
        <v/>
      </c>
      <c r="AQ29" s="56">
        <f>IFERROR(SUMIFS(Data!$AN$2:$AN$1105,Data!$AK$2:$AK$1105,1,Data!$AY$2:$AY$1105,$AN$29)/$AP$29,0)</f>
        <v/>
      </c>
      <c r="AR29" s="57">
        <f>SUMIFS(Data!$AN$2:$AN$1105,Data!$AK$2:$AK$1105,1,Data!$AY$2:$AY$1105,$AN$29)</f>
        <v/>
      </c>
      <c r="AS29" s="61">
        <f>Controls!$B$65</f>
        <v/>
      </c>
      <c r="AT29" s="61">
        <f>IF(OR(AO29=0,AO29&lt;Controls!$B$20),-1000000000000000,IF(AND(Controls!$B$21="Y",$AN$29="No SIC"),-1000000000000000,IF(Controls!$B$17="Selected only",IF(AS29="Y",AP29,-1000000000000000),IF(Controls!$B$17="Top by funded $",AP29,IF(Controls!$B$17="Top by funded units",AO29,IF(Controls!$B$17="Largest principal lost $",AR29,IF(Controls!$B$17="Highest net profit $",AU29,IF(AO29&lt;Controls!$B$19,-1000000000000000,IF(Controls!$B$17="Highest principal lost rate %",AQ29,IF(Controls!$B$17="Lowest principal lost rate %",1-AQ29,AP29))))))))) +26/1000000)</f>
        <v/>
      </c>
      <c r="AU29" s="57">
        <f>SUMIFS(Data!$AM$2:$AM$1105,Data!$AK$2:$AK$1105,1,Data!$AY$2:$AY$1105,$AN$29)</f>
        <v/>
      </c>
      <c r="AV29" s="61" t="n"/>
      <c r="AW29" s="61" t="n"/>
      <c r="AX29" s="61" t="n"/>
      <c r="AY29" s="61" t="n"/>
      <c r="AZ29" s="61" t="n"/>
      <c r="BA29" s="61" t="n"/>
      <c r="BB29" s="61">
        <f>Controls!$A$65</f>
        <v/>
      </c>
      <c r="BC29" s="61">
        <f>COUNTIFS(Data!$AK$2:$AK$1105,1,Data!$AY$2:$AY$1105,$BB$29)</f>
        <v/>
      </c>
      <c r="BD29" s="57">
        <f>SUMIFS(Data!$P$2:$P$1105,Data!$AK$2:$AK$1105,1,Data!$AY$2:$AY$1105,$BB$29)</f>
        <v/>
      </c>
      <c r="BE29" s="56">
        <f>IF(COUNTIFS(Data!$AK$2:$AK$1105,1,Data!$AY$2:$AY$1105,$BB$29)&lt;Controls!$B$19,"",IFERROR(SUMIFS(Data!$AN$2:$AN$1105,Data!$AK$2:$AK$1105,1,Data!$AY$2:$AY$1105,$BB$29)/$BD$29,""))</f>
        <v/>
      </c>
      <c r="BF29" s="56">
        <f>IF(COUNTIFS(Data!$AK$2:$AK$1105,1,Data!$AY$2:$AY$1105,$BB$29)&lt;Controls!$B$19,"",IFERROR(SUMIFS(Data!$AM$2:$AM$1105,Data!$AK$2:$AK$1105,1,Data!$AY$2:$AY$1105,$BB$29)/SUMIFS(Data!$P$2:$P$1105,Data!$AK$2:$AK$1105,1,Data!$AY$2:$AY$1105,$BB$29),""))</f>
        <v/>
      </c>
      <c r="BG29" s="57">
        <f>SUMIFS(Data!$AN$2:$AN$1105,Data!$AK$2:$AK$1105,1,Data!$AY$2:$AY$1105,$BB$29)</f>
        <v/>
      </c>
      <c r="BH29" s="61" t="n"/>
      <c r="BI29" s="61" t="n"/>
      <c r="BJ29" s="61" t="n"/>
      <c r="BK29" s="61">
        <f>IF($BC$29&lt;Controls!$B$22,"",$BE$29)</f>
        <v/>
      </c>
      <c r="BL29" s="61">
        <f>IF($BC$29&lt;Controls!$B$22,"",$BF$29)</f>
        <v/>
      </c>
      <c r="BM29" s="61">
        <f>IF($BC$29&lt;Controls!$B$22,"",$BG$29)</f>
        <v/>
      </c>
      <c r="BN29" s="61" t="n"/>
      <c r="BO29" s="61" t="n"/>
      <c r="BP29" s="61" t="n"/>
      <c r="BQ29" s="61" t="n"/>
      <c r="BR29" s="61" t="n"/>
      <c r="BS29" s="61" t="n"/>
      <c r="BT29" s="61" t="n"/>
    </row>
    <row r="30" ht="15.75" customHeight="1" s="79">
      <c r="A30" s="61">
        <f t="array" ref="A30">IFERROR(IF(26&gt;Controls!$B$18,"",IF(LARGE(Calc!$AT$4:$AT$68,26)&lt;-100000000000000,"",INDEX(Calc!$AN$4:$AN$68,MATCH(LARGE(Calc!$AT$4:$AT$68,26),Calc!$AT$4:$AT$68,0)))),"")</f>
        <v/>
      </c>
      <c r="B30" s="66">
        <f>IF($A$30="",NA(),IFERROR(SUMIFS(Data!$P$2:$P$1105,Data!$AK$2:$AK$1105,1,Data!$AY$2:$AY$1105,$A$30),NA()))</f>
        <v/>
      </c>
      <c r="C30" s="66">
        <f>IF($A$30="",NA(),IFERROR(SUMIFS(Data!$S$2:$S$1105,Data!$AK$2:$AK$1105,1,Data!$AY$2:$AY$1105,$A$30),NA()))</f>
        <v/>
      </c>
      <c r="D30" s="66">
        <f>IF(ISNA($B$30),NA(),$C$30-$B$30)</f>
        <v/>
      </c>
      <c r="E30" s="66">
        <f>IF($A$30="",NA(),IFERROR(SUMIFS(Data!$Q$2:$Q$1105,Data!$AK$2:$AK$1105,1,Data!$AY$2:$AY$1105,$A$30),NA()))</f>
        <v/>
      </c>
      <c r="F30" s="66">
        <f>IF($A$30="",NA(),IFERROR(SUMIFS(Data!$AN$2:$AN$1105,Data!$AK$2:$AK$1105,1,Data!$AY$2:$AY$1105,$A$30),NA()))</f>
        <v/>
      </c>
      <c r="G30" s="62">
        <f>IF($A$30="",NA(),IF(COUNTIFS(Data!$AK$2:$AK$1105,1,Data!$AY$2:$AY$1105,$A$30)&lt;Controls!$B$19,NA(),IFERROR(SUMIFS(Data!$AN$2:$AN$1105,Data!$AK$2:$AK$1105,1,Data!$AY$2:$AY$1105,$A$30)/$B$30,NA())))</f>
        <v/>
      </c>
      <c r="H30" s="62">
        <f>IF($A$30="",NA(),IF(COUNTIFS(Data!$AK$2:$AK$1105,1,Data!$AY$2:$AY$1105,$A$30)&lt;Controls!$B$19,NA(),IFERROR(SUMIFS(Data!$S$2:$S$1105,Data!$AK$2:$AK$1105,1,Data!$AY$2:$AY$1105,$A$30,Data!$AH$2:$AH$1105,1)/SUMIFS(Data!$P$2:$P$1105,Data!$AK$2:$AK$1105,1,Data!$AY$2:$AY$1105,$A$30,Data!$AH$2:$AH$1105,1),NA())))</f>
        <v/>
      </c>
      <c r="I30" s="62">
        <f>IF(ISNA($J$30),NA(),IF($J$30&lt;Controls!$B$19,NA(),IFERROR($D$30/$B$30,NA())))</f>
        <v/>
      </c>
      <c r="J30" s="67">
        <f>IF($A$30="",NA(),IFERROR(COUNTIFS(Data!$AK$2:$AK$1105,1,Data!$AY$2:$AY$1105,$A$30),NA()))</f>
        <v/>
      </c>
      <c r="K30" s="62">
        <f>IF(ISNA($B$30),NA(),IFERROR($B$30/Calc!$BT$6,NA()))</f>
        <v/>
      </c>
      <c r="L30" s="66">
        <f>IF(ISNA($J$30),NA(),IF($J$30&lt;Controls!$B$19,NA(),IFERROR($B$30/$J$30,NA())))</f>
        <v/>
      </c>
      <c r="M30" s="67">
        <f>IF($A$30="",NA(),IF(COUNTIFS(Data!$AK$2:$AK$1105,1,Data!$AY$2:$AY$1105,$A$30)&lt;Controls!$B$19,NA(),IFERROR(AVERAGEIFS(Data!$AE$2:$AE$1105,Data!$AK$2:$AK$1105,1,Data!$AY$2:$AY$1105,$A$30),NA())))</f>
        <v/>
      </c>
      <c r="N30" s="67">
        <f>IF($A$30="",NA(),IF(COUNTIFS(Data!$AK$2:$AK$1105,1,Data!$AY$2:$AY$1105,$A$30)&lt;Controls!$B$19,NA(),IFERROR(AVERAGEIFS(Data!$AD$2:$AD$1105,Data!$AK$2:$AK$1105,1,Data!$AY$2:$AY$1105,$A$30),NA())))</f>
        <v/>
      </c>
      <c r="O30" s="67">
        <f>IF($A$30="",NA(),IF(COUNTIFS(Data!$AK$2:$AK$1105,1,Data!$AY$2:$AY$1105,$A$30)&lt;Controls!$B$19,NA(),IFERROR(AVERAGEIFS(Data!$AS$2:$AS$1105,Data!$AK$2:$AK$1105,1,Data!$AY$2:$AY$1105,$A$30),NA())))</f>
        <v/>
      </c>
      <c r="P30" s="67">
        <f>IF($A$30="",NA(),IF(COUNTIFS(Data!$AK$2:$AK$1105,1,Data!$AY$2:$AY$1105,$A$30)&lt;Controls!$B$19,NA(),IFERROR(AVERAGEIFS(Data!$AT$2:$AT$1105,Data!$AK$2:$AK$1105,1,Data!$AY$2:$AY$1105,$A$30),NA())))</f>
        <v/>
      </c>
      <c r="Q30" s="62">
        <f>IF($A$30="",NA(),IF(COUNTIFS(Data!$AK$2:$AK$1105,1,Data!$AY$2:$AY$1105,$A$30)&lt;Controls!$B$19,NA(),IFERROR(COUNTIFS(Data!$AK$2:$AK$1105,1,Data!$AY$2:$AY$1105,$A$30,Data!$N$2:$N$1105,"Renewal")/COUNTIFS(Data!$AK$2:$AK$1105,1,Data!$AY$2:$AY$1105,$A$30),NA())))</f>
        <v/>
      </c>
      <c r="R30" s="62">
        <f>IF($A$30="",NA(),IF(COUNTIFS(Data!$AK$2:$AK$1105,1,Data!$AY$2:$AY$1105,$A$30)&lt;Controls!$B$19,NA(),IFERROR(SUMIFS(Data!$P$2:$P$1105,Data!$AK$2:$AK$1105,1,Data!$AY$2:$AY$1105,$A$30,Data!$N$2:$N$1105,"Renewal")/SUMIFS(Data!$P$2:$P$1105,Data!$AK$2:$AK$1105,1,Data!$AY$2:$AY$1105,$A$30),NA())))</f>
        <v/>
      </c>
      <c r="S30" s="62">
        <f>IF($A$30="",NA(),Calc!$BT$2)</f>
        <v/>
      </c>
      <c r="T30" s="62">
        <f>IF($A$30="",NA(),Calc!$BT$3)</f>
        <v/>
      </c>
      <c r="U30" s="62">
        <f>IF($A$30="",NA(),Calc!$BT$4)</f>
        <v/>
      </c>
      <c r="V30" s="62">
        <f>IF($A$30="",NA(),IF(COUNTIFS(Data!$AK$2:$AK$1105,1,Data!$AY$2:$AY$1105,$A$30)&lt;Controls!$B$19,NA(),IFERROR(COUNTIFS(Data!$AK$2:$AK$1105,1,Data!$AY$2:$AY$1105,$A$30,Data!$AH$2:$AH$1105,1)/COUNTIFS(Data!$AK$2:$AK$1105,1,Data!$AY$2:$AY$1105,$A$30),NA())))</f>
        <v/>
      </c>
      <c r="W30" s="61">
        <f>IF($A$30="","",$A$30&amp;" ("&amp;$J$30&amp;")")</f>
        <v/>
      </c>
      <c r="X30" s="61" t="n"/>
      <c r="Y30" s="61" t="n"/>
      <c r="Z30" s="61" t="n"/>
      <c r="AA30" s="61" t="n"/>
      <c r="AB30" s="61" t="n"/>
      <c r="AC30" s="61" t="n"/>
      <c r="AD30" s="61" t="n"/>
      <c r="AE30" s="61" t="n"/>
      <c r="AF30" s="61" t="n"/>
      <c r="AG30" s="61" t="n"/>
      <c r="AH30" s="61" t="n"/>
      <c r="AI30" s="61" t="n"/>
      <c r="AJ30" s="61" t="n"/>
      <c r="AK30" s="61" t="n"/>
      <c r="AL30" s="61" t="n"/>
      <c r="AM30" s="61" t="n"/>
      <c r="AN30" s="61">
        <f>Controls!$A$66</f>
        <v/>
      </c>
      <c r="AO30" s="61">
        <f>COUNTIFS(Data!$AK$2:$AK$1105,1,Data!$AY$2:$AY$1105,$AN$30)</f>
        <v/>
      </c>
      <c r="AP30" s="57">
        <f>SUMIFS(Data!$P$2:$P$1105,Data!$AK$2:$AK$1105,1,Data!$AY$2:$AY$1105,$AN$30)</f>
        <v/>
      </c>
      <c r="AQ30" s="56">
        <f>IFERROR(SUMIFS(Data!$AN$2:$AN$1105,Data!$AK$2:$AK$1105,1,Data!$AY$2:$AY$1105,$AN$30)/$AP$30,0)</f>
        <v/>
      </c>
      <c r="AR30" s="57">
        <f>SUMIFS(Data!$AN$2:$AN$1105,Data!$AK$2:$AK$1105,1,Data!$AY$2:$AY$1105,$AN$30)</f>
        <v/>
      </c>
      <c r="AS30" s="61">
        <f>Controls!$B$66</f>
        <v/>
      </c>
      <c r="AT30" s="61">
        <f>IF(OR(AO30=0,AO30&lt;Controls!$B$20),-1000000000000000,IF(AND(Controls!$B$21="Y",$AN$30="No SIC"),-1000000000000000,IF(Controls!$B$17="Selected only",IF(AS30="Y",AP30,-1000000000000000),IF(Controls!$B$17="Top by funded $",AP30,IF(Controls!$B$17="Top by funded units",AO30,IF(Controls!$B$17="Largest principal lost $",AR30,IF(Controls!$B$17="Highest net profit $",AU30,IF(AO30&lt;Controls!$B$19,-1000000000000000,IF(Controls!$B$17="Highest principal lost rate %",AQ30,IF(Controls!$B$17="Lowest principal lost rate %",1-AQ30,AP30))))))))) +27/1000000)</f>
        <v/>
      </c>
      <c r="AU30" s="57">
        <f>SUMIFS(Data!$AM$2:$AM$1105,Data!$AK$2:$AK$1105,1,Data!$AY$2:$AY$1105,$AN$30)</f>
        <v/>
      </c>
      <c r="AV30" s="61" t="n"/>
      <c r="AW30" s="61" t="n"/>
      <c r="AX30" s="61" t="n"/>
      <c r="AY30" s="61" t="n"/>
      <c r="AZ30" s="61" t="n"/>
      <c r="BA30" s="61" t="n"/>
      <c r="BB30" s="61">
        <f>Controls!$A$66</f>
        <v/>
      </c>
      <c r="BC30" s="61">
        <f>COUNTIFS(Data!$AK$2:$AK$1105,1,Data!$AY$2:$AY$1105,$BB$30)</f>
        <v/>
      </c>
      <c r="BD30" s="57">
        <f>SUMIFS(Data!$P$2:$P$1105,Data!$AK$2:$AK$1105,1,Data!$AY$2:$AY$1105,$BB$30)</f>
        <v/>
      </c>
      <c r="BE30" s="56">
        <f>IF(COUNTIFS(Data!$AK$2:$AK$1105,1,Data!$AY$2:$AY$1105,$BB$30)&lt;Controls!$B$19,"",IFERROR(SUMIFS(Data!$AN$2:$AN$1105,Data!$AK$2:$AK$1105,1,Data!$AY$2:$AY$1105,$BB$30)/$BD$30,""))</f>
        <v/>
      </c>
      <c r="BF30" s="56">
        <f>IF(COUNTIFS(Data!$AK$2:$AK$1105,1,Data!$AY$2:$AY$1105,$BB$30)&lt;Controls!$B$19,"",IFERROR(SUMIFS(Data!$AM$2:$AM$1105,Data!$AK$2:$AK$1105,1,Data!$AY$2:$AY$1105,$BB$30)/SUMIFS(Data!$P$2:$P$1105,Data!$AK$2:$AK$1105,1,Data!$AY$2:$AY$1105,$BB$30),""))</f>
        <v/>
      </c>
      <c r="BG30" s="57">
        <f>SUMIFS(Data!$AN$2:$AN$1105,Data!$AK$2:$AK$1105,1,Data!$AY$2:$AY$1105,$BB$30)</f>
        <v/>
      </c>
      <c r="BH30" s="61" t="n"/>
      <c r="BI30" s="61" t="n"/>
      <c r="BJ30" s="61" t="n"/>
      <c r="BK30" s="56">
        <f>IF($BC$30&lt;Controls!$B$22,"",$BE$30)</f>
        <v/>
      </c>
      <c r="BL30" s="56">
        <f>IF($BC$30&lt;Controls!$B$22,"",$BF$30)</f>
        <v/>
      </c>
      <c r="BM30" s="57">
        <f>IF($BC$30&lt;Controls!$B$22,"",$BG$30)</f>
        <v/>
      </c>
      <c r="BN30" s="61" t="n"/>
      <c r="BO30" s="61" t="n"/>
      <c r="BP30" s="61" t="n"/>
      <c r="BQ30" s="61" t="n"/>
      <c r="BR30" s="61" t="n"/>
      <c r="BS30" s="61" t="n"/>
      <c r="BT30" s="61" t="n"/>
    </row>
    <row r="31" ht="15.75" customHeight="1" s="79">
      <c r="A31" s="61">
        <f t="array" ref="A31">IFERROR(IF(27&gt;Controls!$B$18,"",IF(LARGE(Calc!$AT$4:$AT$68,27)&lt;-100000000000000,"",INDEX(Calc!$AN$4:$AN$68,MATCH(LARGE(Calc!$AT$4:$AT$68,27),Calc!$AT$4:$AT$68,0)))),"")</f>
        <v/>
      </c>
      <c r="B31" s="66">
        <f>IF($A$31="",NA(),IFERROR(SUMIFS(Data!$P$2:$P$1105,Data!$AK$2:$AK$1105,1,Data!$AY$2:$AY$1105,$A$31),NA()))</f>
        <v/>
      </c>
      <c r="C31" s="66">
        <f>IF($A$31="",NA(),IFERROR(SUMIFS(Data!$S$2:$S$1105,Data!$AK$2:$AK$1105,1,Data!$AY$2:$AY$1105,$A$31),NA()))</f>
        <v/>
      </c>
      <c r="D31" s="66">
        <f>IF(ISNA($B$31),NA(),$C$31-$B$31)</f>
        <v/>
      </c>
      <c r="E31" s="66">
        <f>IF($A$31="",NA(),IFERROR(SUMIFS(Data!$Q$2:$Q$1105,Data!$AK$2:$AK$1105,1,Data!$AY$2:$AY$1105,$A$31),NA()))</f>
        <v/>
      </c>
      <c r="F31" s="66">
        <f>IF($A$31="",NA(),IFERROR(SUMIFS(Data!$AN$2:$AN$1105,Data!$AK$2:$AK$1105,1,Data!$AY$2:$AY$1105,$A$31),NA()))</f>
        <v/>
      </c>
      <c r="G31" s="62">
        <f>IF($A$31="",NA(),IF(COUNTIFS(Data!$AK$2:$AK$1105,1,Data!$AY$2:$AY$1105,$A$31)&lt;Controls!$B$19,NA(),IFERROR(SUMIFS(Data!$AN$2:$AN$1105,Data!$AK$2:$AK$1105,1,Data!$AY$2:$AY$1105,$A$31)/$B$31,NA())))</f>
        <v/>
      </c>
      <c r="H31" s="62">
        <f>IF($A$31="",NA(),IF(COUNTIFS(Data!$AK$2:$AK$1105,1,Data!$AY$2:$AY$1105,$A$31)&lt;Controls!$B$19,NA(),IFERROR(SUMIFS(Data!$S$2:$S$1105,Data!$AK$2:$AK$1105,1,Data!$AY$2:$AY$1105,$A$31,Data!$AH$2:$AH$1105,1)/SUMIFS(Data!$P$2:$P$1105,Data!$AK$2:$AK$1105,1,Data!$AY$2:$AY$1105,$A$31,Data!$AH$2:$AH$1105,1),NA())))</f>
        <v/>
      </c>
      <c r="I31" s="62">
        <f>IF(ISNA($J$31),NA(),IF($J$31&lt;Controls!$B$19,NA(),IFERROR($D$31/$B$31,NA())))</f>
        <v/>
      </c>
      <c r="J31" s="67">
        <f>IF($A$31="",NA(),IFERROR(COUNTIFS(Data!$AK$2:$AK$1105,1,Data!$AY$2:$AY$1105,$A$31),NA()))</f>
        <v/>
      </c>
      <c r="K31" s="62">
        <f>IF(ISNA($B$31),NA(),IFERROR($B$31/Calc!$BT$6,NA()))</f>
        <v/>
      </c>
      <c r="L31" s="66">
        <f>IF(ISNA($J$31),NA(),IF($J$31&lt;Controls!$B$19,NA(),IFERROR($B$31/$J$31,NA())))</f>
        <v/>
      </c>
      <c r="M31" s="67">
        <f>IF($A$31="",NA(),IF(COUNTIFS(Data!$AK$2:$AK$1105,1,Data!$AY$2:$AY$1105,$A$31)&lt;Controls!$B$19,NA(),IFERROR(AVERAGEIFS(Data!$AE$2:$AE$1105,Data!$AK$2:$AK$1105,1,Data!$AY$2:$AY$1105,$A$31),NA())))</f>
        <v/>
      </c>
      <c r="N31" s="67">
        <f>IF($A$31="",NA(),IF(COUNTIFS(Data!$AK$2:$AK$1105,1,Data!$AY$2:$AY$1105,$A$31)&lt;Controls!$B$19,NA(),IFERROR(AVERAGEIFS(Data!$AD$2:$AD$1105,Data!$AK$2:$AK$1105,1,Data!$AY$2:$AY$1105,$A$31),NA())))</f>
        <v/>
      </c>
      <c r="O31" s="67">
        <f>IF($A$31="",NA(),IF(COUNTIFS(Data!$AK$2:$AK$1105,1,Data!$AY$2:$AY$1105,$A$31)&lt;Controls!$B$19,NA(),IFERROR(AVERAGEIFS(Data!$AS$2:$AS$1105,Data!$AK$2:$AK$1105,1,Data!$AY$2:$AY$1105,$A$31),NA())))</f>
        <v/>
      </c>
      <c r="P31" s="67">
        <f>IF($A$31="",NA(),IF(COUNTIFS(Data!$AK$2:$AK$1105,1,Data!$AY$2:$AY$1105,$A$31)&lt;Controls!$B$19,NA(),IFERROR(AVERAGEIFS(Data!$AT$2:$AT$1105,Data!$AK$2:$AK$1105,1,Data!$AY$2:$AY$1105,$A$31),NA())))</f>
        <v/>
      </c>
      <c r="Q31" s="62">
        <f>IF($A$31="",NA(),IF(COUNTIFS(Data!$AK$2:$AK$1105,1,Data!$AY$2:$AY$1105,$A$31)&lt;Controls!$B$19,NA(),IFERROR(COUNTIFS(Data!$AK$2:$AK$1105,1,Data!$AY$2:$AY$1105,$A$31,Data!$N$2:$N$1105,"Renewal")/COUNTIFS(Data!$AK$2:$AK$1105,1,Data!$AY$2:$AY$1105,$A$31),NA())))</f>
        <v/>
      </c>
      <c r="R31" s="62">
        <f>IF($A$31="",NA(),IF(COUNTIFS(Data!$AK$2:$AK$1105,1,Data!$AY$2:$AY$1105,$A$31)&lt;Controls!$B$19,NA(),IFERROR(SUMIFS(Data!$P$2:$P$1105,Data!$AK$2:$AK$1105,1,Data!$AY$2:$AY$1105,$A$31,Data!$N$2:$N$1105,"Renewal")/SUMIFS(Data!$P$2:$P$1105,Data!$AK$2:$AK$1105,1,Data!$AY$2:$AY$1105,$A$31),NA())))</f>
        <v/>
      </c>
      <c r="S31" s="62">
        <f>IF($A$31="",NA(),Calc!$BT$2)</f>
        <v/>
      </c>
      <c r="T31" s="62">
        <f>IF($A$31="",NA(),Calc!$BT$3)</f>
        <v/>
      </c>
      <c r="U31" s="62">
        <f>IF($A$31="",NA(),Calc!$BT$4)</f>
        <v/>
      </c>
      <c r="V31" s="62">
        <f>IF($A$31="",NA(),IF(COUNTIFS(Data!$AK$2:$AK$1105,1,Data!$AY$2:$AY$1105,$A$31)&lt;Controls!$B$19,NA(),IFERROR(COUNTIFS(Data!$AK$2:$AK$1105,1,Data!$AY$2:$AY$1105,$A$31,Data!$AH$2:$AH$1105,1)/COUNTIFS(Data!$AK$2:$AK$1105,1,Data!$AY$2:$AY$1105,$A$31),NA())))</f>
        <v/>
      </c>
      <c r="W31" s="61">
        <f>IF($A$31="","",$A$31&amp;" ("&amp;$J$31&amp;")")</f>
        <v/>
      </c>
      <c r="X31" s="61" t="n"/>
      <c r="Y31" s="61" t="n"/>
      <c r="Z31" s="61" t="n"/>
      <c r="AA31" s="61" t="n"/>
      <c r="AB31" s="61" t="n"/>
      <c r="AC31" s="61" t="n"/>
      <c r="AD31" s="61" t="n"/>
      <c r="AE31" s="61" t="n"/>
      <c r="AF31" s="61" t="n"/>
      <c r="AG31" s="61" t="n"/>
      <c r="AH31" s="61" t="n"/>
      <c r="AI31" s="61" t="n"/>
      <c r="AJ31" s="61" t="n"/>
      <c r="AK31" s="61" t="n"/>
      <c r="AL31" s="61" t="n"/>
      <c r="AM31" s="61" t="n"/>
      <c r="AN31" s="61">
        <f>Controls!$A$67</f>
        <v/>
      </c>
      <c r="AO31" s="61">
        <f>COUNTIFS(Data!$AK$2:$AK$1105,1,Data!$AY$2:$AY$1105,$AN$31)</f>
        <v/>
      </c>
      <c r="AP31" s="57">
        <f>SUMIFS(Data!$P$2:$P$1105,Data!$AK$2:$AK$1105,1,Data!$AY$2:$AY$1105,$AN$31)</f>
        <v/>
      </c>
      <c r="AQ31" s="56">
        <f>IFERROR(SUMIFS(Data!$AN$2:$AN$1105,Data!$AK$2:$AK$1105,1,Data!$AY$2:$AY$1105,$AN$31)/$AP$31,0)</f>
        <v/>
      </c>
      <c r="AR31" s="57">
        <f>SUMIFS(Data!$AN$2:$AN$1105,Data!$AK$2:$AK$1105,1,Data!$AY$2:$AY$1105,$AN$31)</f>
        <v/>
      </c>
      <c r="AS31" s="61">
        <f>Controls!$B$67</f>
        <v/>
      </c>
      <c r="AT31" s="61">
        <f>IF(OR(AO31=0,AO31&lt;Controls!$B$20),-1000000000000000,IF(AND(Controls!$B$21="Y",$AN$31="No SIC"),-1000000000000000,IF(Controls!$B$17="Selected only",IF(AS31="Y",AP31,-1000000000000000),IF(Controls!$B$17="Top by funded $",AP31,IF(Controls!$B$17="Top by funded units",AO31,IF(Controls!$B$17="Largest principal lost $",AR31,IF(Controls!$B$17="Highest net profit $",AU31,IF(AO31&lt;Controls!$B$19,-1000000000000000,IF(Controls!$B$17="Highest principal lost rate %",AQ31,IF(Controls!$B$17="Lowest principal lost rate %",1-AQ31,AP31))))))))) +28/1000000)</f>
        <v/>
      </c>
      <c r="AU31" s="57">
        <f>SUMIFS(Data!$AM$2:$AM$1105,Data!$AK$2:$AK$1105,1,Data!$AY$2:$AY$1105,$AN$31)</f>
        <v/>
      </c>
      <c r="AV31" s="61" t="n"/>
      <c r="AW31" s="61" t="n"/>
      <c r="AX31" s="61" t="n"/>
      <c r="AY31" s="61" t="n"/>
      <c r="AZ31" s="61" t="n"/>
      <c r="BA31" s="61" t="n"/>
      <c r="BB31" s="61">
        <f>Controls!$A$67</f>
        <v/>
      </c>
      <c r="BC31" s="61">
        <f>COUNTIFS(Data!$AK$2:$AK$1105,1,Data!$AY$2:$AY$1105,$BB$31)</f>
        <v/>
      </c>
      <c r="BD31" s="57">
        <f>SUMIFS(Data!$P$2:$P$1105,Data!$AK$2:$AK$1105,1,Data!$AY$2:$AY$1105,$BB$31)</f>
        <v/>
      </c>
      <c r="BE31" s="56">
        <f>IF(COUNTIFS(Data!$AK$2:$AK$1105,1,Data!$AY$2:$AY$1105,$BB$31)&lt;Controls!$B$19,"",IFERROR(SUMIFS(Data!$AN$2:$AN$1105,Data!$AK$2:$AK$1105,1,Data!$AY$2:$AY$1105,$BB$31)/$BD$31,""))</f>
        <v/>
      </c>
      <c r="BF31" s="56">
        <f>IF(COUNTIFS(Data!$AK$2:$AK$1105,1,Data!$AY$2:$AY$1105,$BB$31)&lt;Controls!$B$19,"",IFERROR(SUMIFS(Data!$AM$2:$AM$1105,Data!$AK$2:$AK$1105,1,Data!$AY$2:$AY$1105,$BB$31)/SUMIFS(Data!$P$2:$P$1105,Data!$AK$2:$AK$1105,1,Data!$AY$2:$AY$1105,$BB$31),""))</f>
        <v/>
      </c>
      <c r="BG31" s="57">
        <f>SUMIFS(Data!$AN$2:$AN$1105,Data!$AK$2:$AK$1105,1,Data!$AY$2:$AY$1105,$BB$31)</f>
        <v/>
      </c>
      <c r="BH31" s="61" t="n"/>
      <c r="BI31" s="61" t="n"/>
      <c r="BJ31" s="61" t="n"/>
      <c r="BK31" s="56">
        <f>IF($BC$31&lt;Controls!$B$22,"",$BE$31)</f>
        <v/>
      </c>
      <c r="BL31" s="56">
        <f>IF($BC$31&lt;Controls!$B$22,"",$BF$31)</f>
        <v/>
      </c>
      <c r="BM31" s="57">
        <f>IF($BC$31&lt;Controls!$B$22,"",$BG$31)</f>
        <v/>
      </c>
      <c r="BN31" s="61" t="n"/>
      <c r="BO31" s="61" t="n"/>
      <c r="BP31" s="61" t="n"/>
      <c r="BQ31" s="61" t="n"/>
      <c r="BR31" s="61" t="n"/>
      <c r="BS31" s="61" t="n"/>
      <c r="BT31" s="61" t="n"/>
    </row>
    <row r="32" ht="15.75" customHeight="1" s="79">
      <c r="A32" s="61">
        <f t="array" ref="A32">IFERROR(IF(28&gt;Controls!$B$18,"",IF(LARGE(Calc!$AT$4:$AT$68,28)&lt;-100000000000000,"",INDEX(Calc!$AN$4:$AN$68,MATCH(LARGE(Calc!$AT$4:$AT$68,28),Calc!$AT$4:$AT$68,0)))),"")</f>
        <v/>
      </c>
      <c r="B32" s="66">
        <f>IF($A$32="",NA(),IFERROR(SUMIFS(Data!$P$2:$P$1105,Data!$AK$2:$AK$1105,1,Data!$AY$2:$AY$1105,$A$32),NA()))</f>
        <v/>
      </c>
      <c r="C32" s="66">
        <f>IF($A$32="",NA(),IFERROR(SUMIFS(Data!$S$2:$S$1105,Data!$AK$2:$AK$1105,1,Data!$AY$2:$AY$1105,$A$32),NA()))</f>
        <v/>
      </c>
      <c r="D32" s="66">
        <f>IF(ISNA($B$32),NA(),$C$32-$B$32)</f>
        <v/>
      </c>
      <c r="E32" s="66">
        <f>IF($A$32="",NA(),IFERROR(SUMIFS(Data!$Q$2:$Q$1105,Data!$AK$2:$AK$1105,1,Data!$AY$2:$AY$1105,$A$32),NA()))</f>
        <v/>
      </c>
      <c r="F32" s="66">
        <f>IF($A$32="",NA(),IFERROR(SUMIFS(Data!$AN$2:$AN$1105,Data!$AK$2:$AK$1105,1,Data!$AY$2:$AY$1105,$A$32),NA()))</f>
        <v/>
      </c>
      <c r="G32" s="62">
        <f>IF($A$32="",NA(),IF(COUNTIFS(Data!$AK$2:$AK$1105,1,Data!$AY$2:$AY$1105,$A$32)&lt;Controls!$B$19,NA(),IFERROR(SUMIFS(Data!$AN$2:$AN$1105,Data!$AK$2:$AK$1105,1,Data!$AY$2:$AY$1105,$A$32)/$B$32,NA())))</f>
        <v/>
      </c>
      <c r="H32" s="62">
        <f>IF($A$32="",NA(),IF(COUNTIFS(Data!$AK$2:$AK$1105,1,Data!$AY$2:$AY$1105,$A$32)&lt;Controls!$B$19,NA(),IFERROR(SUMIFS(Data!$S$2:$S$1105,Data!$AK$2:$AK$1105,1,Data!$AY$2:$AY$1105,$A$32,Data!$AH$2:$AH$1105,1)/SUMIFS(Data!$P$2:$P$1105,Data!$AK$2:$AK$1105,1,Data!$AY$2:$AY$1105,$A$32,Data!$AH$2:$AH$1105,1),NA())))</f>
        <v/>
      </c>
      <c r="I32" s="62">
        <f>IF(ISNA($J$32),NA(),IF($J$32&lt;Controls!$B$19,NA(),IFERROR($D$32/$B$32,NA())))</f>
        <v/>
      </c>
      <c r="J32" s="67">
        <f>IF($A$32="",NA(),IFERROR(COUNTIFS(Data!$AK$2:$AK$1105,1,Data!$AY$2:$AY$1105,$A$32),NA()))</f>
        <v/>
      </c>
      <c r="K32" s="62">
        <f>IF(ISNA($B$32),NA(),IFERROR($B$32/Calc!$BT$6,NA()))</f>
        <v/>
      </c>
      <c r="L32" s="66">
        <f>IF(ISNA($J$32),NA(),IF($J$32&lt;Controls!$B$19,NA(),IFERROR($B$32/$J$32,NA())))</f>
        <v/>
      </c>
      <c r="M32" s="67">
        <f>IF($A$32="",NA(),IF(COUNTIFS(Data!$AK$2:$AK$1105,1,Data!$AY$2:$AY$1105,$A$32)&lt;Controls!$B$19,NA(),IFERROR(AVERAGEIFS(Data!$AE$2:$AE$1105,Data!$AK$2:$AK$1105,1,Data!$AY$2:$AY$1105,$A$32),NA())))</f>
        <v/>
      </c>
      <c r="N32" s="67">
        <f>IF($A$32="",NA(),IF(COUNTIFS(Data!$AK$2:$AK$1105,1,Data!$AY$2:$AY$1105,$A$32)&lt;Controls!$B$19,NA(),IFERROR(AVERAGEIFS(Data!$AD$2:$AD$1105,Data!$AK$2:$AK$1105,1,Data!$AY$2:$AY$1105,$A$32),NA())))</f>
        <v/>
      </c>
      <c r="O32" s="67">
        <f>IF($A$32="",NA(),IF(COUNTIFS(Data!$AK$2:$AK$1105,1,Data!$AY$2:$AY$1105,$A$32)&lt;Controls!$B$19,NA(),IFERROR(AVERAGEIFS(Data!$AS$2:$AS$1105,Data!$AK$2:$AK$1105,1,Data!$AY$2:$AY$1105,$A$32),NA())))</f>
        <v/>
      </c>
      <c r="P32" s="67">
        <f>IF($A$32="",NA(),IF(COUNTIFS(Data!$AK$2:$AK$1105,1,Data!$AY$2:$AY$1105,$A$32)&lt;Controls!$B$19,NA(),IFERROR(AVERAGEIFS(Data!$AT$2:$AT$1105,Data!$AK$2:$AK$1105,1,Data!$AY$2:$AY$1105,$A$32),NA())))</f>
        <v/>
      </c>
      <c r="Q32" s="62">
        <f>IF($A$32="",NA(),IF(COUNTIFS(Data!$AK$2:$AK$1105,1,Data!$AY$2:$AY$1105,$A$32)&lt;Controls!$B$19,NA(),IFERROR(COUNTIFS(Data!$AK$2:$AK$1105,1,Data!$AY$2:$AY$1105,$A$32,Data!$N$2:$N$1105,"Renewal")/COUNTIFS(Data!$AK$2:$AK$1105,1,Data!$AY$2:$AY$1105,$A$32),NA())))</f>
        <v/>
      </c>
      <c r="R32" s="62">
        <f>IF($A$32="",NA(),IF(COUNTIFS(Data!$AK$2:$AK$1105,1,Data!$AY$2:$AY$1105,$A$32)&lt;Controls!$B$19,NA(),IFERROR(SUMIFS(Data!$P$2:$P$1105,Data!$AK$2:$AK$1105,1,Data!$AY$2:$AY$1105,$A$32,Data!$N$2:$N$1105,"Renewal")/SUMIFS(Data!$P$2:$P$1105,Data!$AK$2:$AK$1105,1,Data!$AY$2:$AY$1105,$A$32),NA())))</f>
        <v/>
      </c>
      <c r="S32" s="62">
        <f>IF($A$32="",NA(),Calc!$BT$2)</f>
        <v/>
      </c>
      <c r="T32" s="62">
        <f>IF($A$32="",NA(),Calc!$BT$3)</f>
        <v/>
      </c>
      <c r="U32" s="62">
        <f>IF($A$32="",NA(),Calc!$BT$4)</f>
        <v/>
      </c>
      <c r="V32" s="62">
        <f>IF($A$32="",NA(),IF(COUNTIFS(Data!$AK$2:$AK$1105,1,Data!$AY$2:$AY$1105,$A$32)&lt;Controls!$B$19,NA(),IFERROR(COUNTIFS(Data!$AK$2:$AK$1105,1,Data!$AY$2:$AY$1105,$A$32,Data!$AH$2:$AH$1105,1)/COUNTIFS(Data!$AK$2:$AK$1105,1,Data!$AY$2:$AY$1105,$A$32),NA())))</f>
        <v/>
      </c>
      <c r="W32" s="61">
        <f>IF($A$32="","",$A$32&amp;" ("&amp;$J$32&amp;")")</f>
        <v/>
      </c>
      <c r="X32" s="61" t="n"/>
      <c r="Y32" s="61" t="n"/>
      <c r="Z32" s="61" t="n"/>
      <c r="AA32" s="61" t="n"/>
      <c r="AB32" s="61" t="n"/>
      <c r="AC32" s="61" t="n"/>
      <c r="AD32" s="61" t="n"/>
      <c r="AE32" s="61" t="n"/>
      <c r="AF32" s="61" t="n"/>
      <c r="AG32" s="61" t="n"/>
      <c r="AH32" s="61" t="n"/>
      <c r="AI32" s="61" t="n"/>
      <c r="AJ32" s="61" t="n"/>
      <c r="AK32" s="61" t="n"/>
      <c r="AL32" s="61" t="n"/>
      <c r="AM32" s="61" t="n"/>
      <c r="AN32" s="61">
        <f>Controls!$A$68</f>
        <v/>
      </c>
      <c r="AO32" s="61">
        <f>COUNTIFS(Data!$AK$2:$AK$1105,1,Data!$AY$2:$AY$1105,$AN$32)</f>
        <v/>
      </c>
      <c r="AP32" s="57">
        <f>SUMIFS(Data!$P$2:$P$1105,Data!$AK$2:$AK$1105,1,Data!$AY$2:$AY$1105,$AN$32)</f>
        <v/>
      </c>
      <c r="AQ32" s="56">
        <f>IFERROR(SUMIFS(Data!$AN$2:$AN$1105,Data!$AK$2:$AK$1105,1,Data!$AY$2:$AY$1105,$AN$32)/$AP$32,0)</f>
        <v/>
      </c>
      <c r="AR32" s="57">
        <f>SUMIFS(Data!$AN$2:$AN$1105,Data!$AK$2:$AK$1105,1,Data!$AY$2:$AY$1105,$AN$32)</f>
        <v/>
      </c>
      <c r="AS32" s="61">
        <f>Controls!$B$68</f>
        <v/>
      </c>
      <c r="AT32" s="61">
        <f>IF(OR(AO32=0,AO32&lt;Controls!$B$20),-1000000000000000,IF(AND(Controls!$B$21="Y",$AN$32="No SIC"),-1000000000000000,IF(Controls!$B$17="Selected only",IF(AS32="Y",AP32,-1000000000000000),IF(Controls!$B$17="Top by funded $",AP32,IF(Controls!$B$17="Top by funded units",AO32,IF(Controls!$B$17="Largest principal lost $",AR32,IF(Controls!$B$17="Highest net profit $",AU32,IF(AO32&lt;Controls!$B$19,-1000000000000000,IF(Controls!$B$17="Highest principal lost rate %",AQ32,IF(Controls!$B$17="Lowest principal lost rate %",1-AQ32,AP32))))))))) +29/1000000)</f>
        <v/>
      </c>
      <c r="AU32" s="57">
        <f>SUMIFS(Data!$AM$2:$AM$1105,Data!$AK$2:$AK$1105,1,Data!$AY$2:$AY$1105,$AN$32)</f>
        <v/>
      </c>
      <c r="AV32" s="61" t="n"/>
      <c r="AW32" s="61" t="n"/>
      <c r="AX32" s="61" t="n"/>
      <c r="AY32" s="61" t="n"/>
      <c r="AZ32" s="61" t="n"/>
      <c r="BA32" s="61" t="n"/>
      <c r="BB32" s="61">
        <f>Controls!$A$68</f>
        <v/>
      </c>
      <c r="BC32" s="61">
        <f>COUNTIFS(Data!$AK$2:$AK$1105,1,Data!$AY$2:$AY$1105,$BB$32)</f>
        <v/>
      </c>
      <c r="BD32" s="57">
        <f>SUMIFS(Data!$P$2:$P$1105,Data!$AK$2:$AK$1105,1,Data!$AY$2:$AY$1105,$BB$32)</f>
        <v/>
      </c>
      <c r="BE32" s="56">
        <f>IF(COUNTIFS(Data!$AK$2:$AK$1105,1,Data!$AY$2:$AY$1105,$BB$32)&lt;Controls!$B$19,"",IFERROR(SUMIFS(Data!$AN$2:$AN$1105,Data!$AK$2:$AK$1105,1,Data!$AY$2:$AY$1105,$BB$32)/$BD$32,""))</f>
        <v/>
      </c>
      <c r="BF32" s="56">
        <f>IF(COUNTIFS(Data!$AK$2:$AK$1105,1,Data!$AY$2:$AY$1105,$BB$32)&lt;Controls!$B$19,"",IFERROR(SUMIFS(Data!$AM$2:$AM$1105,Data!$AK$2:$AK$1105,1,Data!$AY$2:$AY$1105,$BB$32)/SUMIFS(Data!$P$2:$P$1105,Data!$AK$2:$AK$1105,1,Data!$AY$2:$AY$1105,$BB$32),""))</f>
        <v/>
      </c>
      <c r="BG32" s="57">
        <f>SUMIFS(Data!$AN$2:$AN$1105,Data!$AK$2:$AK$1105,1,Data!$AY$2:$AY$1105,$BB$32)</f>
        <v/>
      </c>
      <c r="BH32" s="61" t="n"/>
      <c r="BI32" s="61" t="n"/>
      <c r="BJ32" s="61" t="n"/>
      <c r="BK32" s="56">
        <f>IF($BC$32&lt;Controls!$B$22,"",$BE$32)</f>
        <v/>
      </c>
      <c r="BL32" s="56">
        <f>IF($BC$32&lt;Controls!$B$22,"",$BF$32)</f>
        <v/>
      </c>
      <c r="BM32" s="57">
        <f>IF($BC$32&lt;Controls!$B$22,"",$BG$32)</f>
        <v/>
      </c>
      <c r="BN32" s="61" t="n"/>
      <c r="BO32" s="61" t="n"/>
      <c r="BP32" s="61" t="n"/>
      <c r="BQ32" s="61" t="n"/>
      <c r="BR32" s="61" t="n"/>
      <c r="BS32" s="61" t="n"/>
      <c r="BT32" s="61" t="n"/>
    </row>
    <row r="33" ht="15.75" customHeight="1" s="79">
      <c r="A33" s="61">
        <f t="array" ref="A33">IFERROR(IF(29&gt;Controls!$B$18,"",IF(LARGE(Calc!$AT$4:$AT$68,29)&lt;-100000000000000,"",INDEX(Calc!$AN$4:$AN$68,MATCH(LARGE(Calc!$AT$4:$AT$68,29),Calc!$AT$4:$AT$68,0)))),"")</f>
        <v/>
      </c>
      <c r="B33" s="66">
        <f>IF($A$33="",NA(),IFERROR(SUMIFS(Data!$P$2:$P$1105,Data!$AK$2:$AK$1105,1,Data!$AY$2:$AY$1105,$A$33),NA()))</f>
        <v/>
      </c>
      <c r="C33" s="66">
        <f>IF($A$33="",NA(),IFERROR(SUMIFS(Data!$S$2:$S$1105,Data!$AK$2:$AK$1105,1,Data!$AY$2:$AY$1105,$A$33),NA()))</f>
        <v/>
      </c>
      <c r="D33" s="66">
        <f>IF(ISNA($B$33),NA(),$C$33-$B$33)</f>
        <v/>
      </c>
      <c r="E33" s="66">
        <f>IF($A$33="",NA(),IFERROR(SUMIFS(Data!$Q$2:$Q$1105,Data!$AK$2:$AK$1105,1,Data!$AY$2:$AY$1105,$A$33),NA()))</f>
        <v/>
      </c>
      <c r="F33" s="66">
        <f>IF($A$33="",NA(),IFERROR(SUMIFS(Data!$AN$2:$AN$1105,Data!$AK$2:$AK$1105,1,Data!$AY$2:$AY$1105,$A$33),NA()))</f>
        <v/>
      </c>
      <c r="G33" s="62">
        <f>IF($A$33="",NA(),IF(COUNTIFS(Data!$AK$2:$AK$1105,1,Data!$AY$2:$AY$1105,$A$33)&lt;Controls!$B$19,NA(),IFERROR(SUMIFS(Data!$AN$2:$AN$1105,Data!$AK$2:$AK$1105,1,Data!$AY$2:$AY$1105,$A$33)/$B$33,NA())))</f>
        <v/>
      </c>
      <c r="H33" s="62">
        <f>IF($A$33="",NA(),IF(COUNTIFS(Data!$AK$2:$AK$1105,1,Data!$AY$2:$AY$1105,$A$33)&lt;Controls!$B$19,NA(),IFERROR(SUMIFS(Data!$S$2:$S$1105,Data!$AK$2:$AK$1105,1,Data!$AY$2:$AY$1105,$A$33,Data!$AH$2:$AH$1105,1)/SUMIFS(Data!$P$2:$P$1105,Data!$AK$2:$AK$1105,1,Data!$AY$2:$AY$1105,$A$33,Data!$AH$2:$AH$1105,1),NA())))</f>
        <v/>
      </c>
      <c r="I33" s="62">
        <f>IF(ISNA($J$33),NA(),IF($J$33&lt;Controls!$B$19,NA(),IFERROR($D$33/$B$33,NA())))</f>
        <v/>
      </c>
      <c r="J33" s="67">
        <f>IF($A$33="",NA(),IFERROR(COUNTIFS(Data!$AK$2:$AK$1105,1,Data!$AY$2:$AY$1105,$A$33),NA()))</f>
        <v/>
      </c>
      <c r="K33" s="62">
        <f>IF(ISNA($B$33),NA(),IFERROR($B$33/Calc!$BT$6,NA()))</f>
        <v/>
      </c>
      <c r="L33" s="66">
        <f>IF(ISNA($J$33),NA(),IF($J$33&lt;Controls!$B$19,NA(),IFERROR($B$33/$J$33,NA())))</f>
        <v/>
      </c>
      <c r="M33" s="67">
        <f>IF($A$33="",NA(),IF(COUNTIFS(Data!$AK$2:$AK$1105,1,Data!$AY$2:$AY$1105,$A$33)&lt;Controls!$B$19,NA(),IFERROR(AVERAGEIFS(Data!$AE$2:$AE$1105,Data!$AK$2:$AK$1105,1,Data!$AY$2:$AY$1105,$A$33),NA())))</f>
        <v/>
      </c>
      <c r="N33" s="67">
        <f>IF($A$33="",NA(),IF(COUNTIFS(Data!$AK$2:$AK$1105,1,Data!$AY$2:$AY$1105,$A$33)&lt;Controls!$B$19,NA(),IFERROR(AVERAGEIFS(Data!$AD$2:$AD$1105,Data!$AK$2:$AK$1105,1,Data!$AY$2:$AY$1105,$A$33),NA())))</f>
        <v/>
      </c>
      <c r="O33" s="67">
        <f>IF($A$33="",NA(),IF(COUNTIFS(Data!$AK$2:$AK$1105,1,Data!$AY$2:$AY$1105,$A$33)&lt;Controls!$B$19,NA(),IFERROR(AVERAGEIFS(Data!$AS$2:$AS$1105,Data!$AK$2:$AK$1105,1,Data!$AY$2:$AY$1105,$A$33),NA())))</f>
        <v/>
      </c>
      <c r="P33" s="67">
        <f>IF($A$33="",NA(),IF(COUNTIFS(Data!$AK$2:$AK$1105,1,Data!$AY$2:$AY$1105,$A$33)&lt;Controls!$B$19,NA(),IFERROR(AVERAGEIFS(Data!$AT$2:$AT$1105,Data!$AK$2:$AK$1105,1,Data!$AY$2:$AY$1105,$A$33),NA())))</f>
        <v/>
      </c>
      <c r="Q33" s="62">
        <f>IF($A$33="",NA(),IF(COUNTIFS(Data!$AK$2:$AK$1105,1,Data!$AY$2:$AY$1105,$A$33)&lt;Controls!$B$19,NA(),IFERROR(COUNTIFS(Data!$AK$2:$AK$1105,1,Data!$AY$2:$AY$1105,$A$33,Data!$N$2:$N$1105,"Renewal")/COUNTIFS(Data!$AK$2:$AK$1105,1,Data!$AY$2:$AY$1105,$A$33),NA())))</f>
        <v/>
      </c>
      <c r="R33" s="62">
        <f>IF($A$33="",NA(),IF(COUNTIFS(Data!$AK$2:$AK$1105,1,Data!$AY$2:$AY$1105,$A$33)&lt;Controls!$B$19,NA(),IFERROR(SUMIFS(Data!$P$2:$P$1105,Data!$AK$2:$AK$1105,1,Data!$AY$2:$AY$1105,$A$33,Data!$N$2:$N$1105,"Renewal")/SUMIFS(Data!$P$2:$P$1105,Data!$AK$2:$AK$1105,1,Data!$AY$2:$AY$1105,$A$33),NA())))</f>
        <v/>
      </c>
      <c r="S33" s="62">
        <f>IF($A$33="",NA(),Calc!$BT$2)</f>
        <v/>
      </c>
      <c r="T33" s="62">
        <f>IF($A$33="",NA(),Calc!$BT$3)</f>
        <v/>
      </c>
      <c r="U33" s="62">
        <f>IF($A$33="",NA(),Calc!$BT$4)</f>
        <v/>
      </c>
      <c r="V33" s="62">
        <f>IF($A$33="",NA(),IF(COUNTIFS(Data!$AK$2:$AK$1105,1,Data!$AY$2:$AY$1105,$A$33)&lt;Controls!$B$19,NA(),IFERROR(COUNTIFS(Data!$AK$2:$AK$1105,1,Data!$AY$2:$AY$1105,$A$33,Data!$AH$2:$AH$1105,1)/COUNTIFS(Data!$AK$2:$AK$1105,1,Data!$AY$2:$AY$1105,$A$33),NA())))</f>
        <v/>
      </c>
      <c r="W33" s="61">
        <f>IF($A$33="","",$A$33&amp;" ("&amp;$J$33&amp;")")</f>
        <v/>
      </c>
      <c r="X33" s="61" t="n"/>
      <c r="Y33" s="61" t="n"/>
      <c r="Z33" s="61" t="n"/>
      <c r="AA33" s="61" t="n"/>
      <c r="AB33" s="61" t="n"/>
      <c r="AC33" s="61" t="n"/>
      <c r="AD33" s="61" t="n"/>
      <c r="AE33" s="61" t="n"/>
      <c r="AF33" s="61" t="n"/>
      <c r="AG33" s="61" t="n"/>
      <c r="AH33" s="61" t="n"/>
      <c r="AI33" s="61" t="n"/>
      <c r="AJ33" s="61" t="n"/>
      <c r="AK33" s="61" t="n"/>
      <c r="AL33" s="61" t="n"/>
      <c r="AM33" s="61" t="n"/>
      <c r="AN33" s="61">
        <f>Controls!$A$69</f>
        <v/>
      </c>
      <c r="AO33" s="61">
        <f>COUNTIFS(Data!$AK$2:$AK$1105,1,Data!$AY$2:$AY$1105,$AN$33)</f>
        <v/>
      </c>
      <c r="AP33" s="57">
        <f>SUMIFS(Data!$P$2:$P$1105,Data!$AK$2:$AK$1105,1,Data!$AY$2:$AY$1105,$AN$33)</f>
        <v/>
      </c>
      <c r="AQ33" s="56">
        <f>IFERROR(SUMIFS(Data!$AN$2:$AN$1105,Data!$AK$2:$AK$1105,1,Data!$AY$2:$AY$1105,$AN$33)/$AP$33,0)</f>
        <v/>
      </c>
      <c r="AR33" s="57">
        <f>SUMIFS(Data!$AN$2:$AN$1105,Data!$AK$2:$AK$1105,1,Data!$AY$2:$AY$1105,$AN$33)</f>
        <v/>
      </c>
      <c r="AS33" s="61">
        <f>Controls!$B$69</f>
        <v/>
      </c>
      <c r="AT33" s="61">
        <f>IF(OR(AO33=0,AO33&lt;Controls!$B$20),-1000000000000000,IF(AND(Controls!$B$21="Y",$AN$33="No SIC"),-1000000000000000,IF(Controls!$B$17="Selected only",IF(AS33="Y",AP33,-1000000000000000),IF(Controls!$B$17="Top by funded $",AP33,IF(Controls!$B$17="Top by funded units",AO33,IF(Controls!$B$17="Largest principal lost $",AR33,IF(Controls!$B$17="Highest net profit $",AU33,IF(AO33&lt;Controls!$B$19,-1000000000000000,IF(Controls!$B$17="Highest principal lost rate %",AQ33,IF(Controls!$B$17="Lowest principal lost rate %",1-AQ33,AP33))))))))) +30/1000000)</f>
        <v/>
      </c>
      <c r="AU33" s="57">
        <f>SUMIFS(Data!$AM$2:$AM$1105,Data!$AK$2:$AK$1105,1,Data!$AY$2:$AY$1105,$AN$33)</f>
        <v/>
      </c>
      <c r="AV33" s="61" t="n"/>
      <c r="AW33" s="61" t="n"/>
      <c r="AX33" s="61" t="n"/>
      <c r="AY33" s="61" t="n"/>
      <c r="AZ33" s="61" t="n"/>
      <c r="BA33" s="61" t="n"/>
      <c r="BB33" s="61">
        <f>Controls!$A$69</f>
        <v/>
      </c>
      <c r="BC33" s="61">
        <f>COUNTIFS(Data!$AK$2:$AK$1105,1,Data!$AY$2:$AY$1105,$BB$33)</f>
        <v/>
      </c>
      <c r="BD33" s="57">
        <f>SUMIFS(Data!$P$2:$P$1105,Data!$AK$2:$AK$1105,1,Data!$AY$2:$AY$1105,$BB$33)</f>
        <v/>
      </c>
      <c r="BE33" s="56">
        <f>IF(COUNTIFS(Data!$AK$2:$AK$1105,1,Data!$AY$2:$AY$1105,$BB$33)&lt;Controls!$B$19,"",IFERROR(SUMIFS(Data!$AN$2:$AN$1105,Data!$AK$2:$AK$1105,1,Data!$AY$2:$AY$1105,$BB$33)/$BD$33,""))</f>
        <v/>
      </c>
      <c r="BF33" s="56">
        <f>IF(COUNTIFS(Data!$AK$2:$AK$1105,1,Data!$AY$2:$AY$1105,$BB$33)&lt;Controls!$B$19,"",IFERROR(SUMIFS(Data!$AM$2:$AM$1105,Data!$AK$2:$AK$1105,1,Data!$AY$2:$AY$1105,$BB$33)/SUMIFS(Data!$P$2:$P$1105,Data!$AK$2:$AK$1105,1,Data!$AY$2:$AY$1105,$BB$33),""))</f>
        <v/>
      </c>
      <c r="BG33" s="57">
        <f>SUMIFS(Data!$AN$2:$AN$1105,Data!$AK$2:$AK$1105,1,Data!$AY$2:$AY$1105,$BB$33)</f>
        <v/>
      </c>
      <c r="BH33" s="61" t="n"/>
      <c r="BI33" s="61" t="n"/>
      <c r="BJ33" s="61" t="n"/>
      <c r="BK33" s="61">
        <f>IF($BC$33&lt;Controls!$B$22,"",$BE$33)</f>
        <v/>
      </c>
      <c r="BL33" s="61">
        <f>IF($BC$33&lt;Controls!$B$22,"",$BF$33)</f>
        <v/>
      </c>
      <c r="BM33" s="61">
        <f>IF($BC$33&lt;Controls!$B$22,"",$BG$33)</f>
        <v/>
      </c>
      <c r="BN33" s="61" t="n"/>
      <c r="BO33" s="61" t="n"/>
      <c r="BP33" s="61" t="n"/>
      <c r="BQ33" s="61" t="n"/>
      <c r="BR33" s="61" t="n"/>
      <c r="BS33" s="61" t="n"/>
      <c r="BT33" s="61" t="n"/>
    </row>
    <row r="34" ht="15.75" customHeight="1" s="79">
      <c r="A34" s="61">
        <f t="array" ref="A34">IFERROR(IF(30&gt;Controls!$B$18,"",IF(LARGE(Calc!$AT$4:$AT$68,30)&lt;-100000000000000,"",INDEX(Calc!$AN$4:$AN$68,MATCH(LARGE(Calc!$AT$4:$AT$68,30),Calc!$AT$4:$AT$68,0)))),"")</f>
        <v/>
      </c>
      <c r="B34" s="66">
        <f>IF($A$34="",NA(),IFERROR(SUMIFS(Data!$P$2:$P$1105,Data!$AK$2:$AK$1105,1,Data!$AY$2:$AY$1105,$A$34),NA()))</f>
        <v/>
      </c>
      <c r="C34" s="66">
        <f>IF($A$34="",NA(),IFERROR(SUMIFS(Data!$S$2:$S$1105,Data!$AK$2:$AK$1105,1,Data!$AY$2:$AY$1105,$A$34),NA()))</f>
        <v/>
      </c>
      <c r="D34" s="66">
        <f>IF(ISNA($B$34),NA(),$C$34-$B$34)</f>
        <v/>
      </c>
      <c r="E34" s="66">
        <f>IF($A$34="",NA(),IFERROR(SUMIFS(Data!$Q$2:$Q$1105,Data!$AK$2:$AK$1105,1,Data!$AY$2:$AY$1105,$A$34),NA()))</f>
        <v/>
      </c>
      <c r="F34" s="66">
        <f>IF($A$34="",NA(),IFERROR(SUMIFS(Data!$AN$2:$AN$1105,Data!$AK$2:$AK$1105,1,Data!$AY$2:$AY$1105,$A$34),NA()))</f>
        <v/>
      </c>
      <c r="G34" s="62">
        <f>IF($A$34="",NA(),IF(COUNTIFS(Data!$AK$2:$AK$1105,1,Data!$AY$2:$AY$1105,$A$34)&lt;Controls!$B$19,NA(),IFERROR(SUMIFS(Data!$AN$2:$AN$1105,Data!$AK$2:$AK$1105,1,Data!$AY$2:$AY$1105,$A$34)/$B$34,NA())))</f>
        <v/>
      </c>
      <c r="H34" s="62">
        <f>IF($A$34="",NA(),IF(COUNTIFS(Data!$AK$2:$AK$1105,1,Data!$AY$2:$AY$1105,$A$34)&lt;Controls!$B$19,NA(),IFERROR(SUMIFS(Data!$S$2:$S$1105,Data!$AK$2:$AK$1105,1,Data!$AY$2:$AY$1105,$A$34,Data!$AH$2:$AH$1105,1)/SUMIFS(Data!$P$2:$P$1105,Data!$AK$2:$AK$1105,1,Data!$AY$2:$AY$1105,$A$34,Data!$AH$2:$AH$1105,1),NA())))</f>
        <v/>
      </c>
      <c r="I34" s="62">
        <f>IF(ISNA($J$34),NA(),IF($J$34&lt;Controls!$B$19,NA(),IFERROR($D$34/$B$34,NA())))</f>
        <v/>
      </c>
      <c r="J34" s="67">
        <f>IF($A$34="",NA(),IFERROR(COUNTIFS(Data!$AK$2:$AK$1105,1,Data!$AY$2:$AY$1105,$A$34),NA()))</f>
        <v/>
      </c>
      <c r="K34" s="62">
        <f>IF(ISNA($B$34),NA(),IFERROR($B$34/Calc!$BT$6,NA()))</f>
        <v/>
      </c>
      <c r="L34" s="66">
        <f>IF(ISNA($J$34),NA(),IF($J$34&lt;Controls!$B$19,NA(),IFERROR($B$34/$J$34,NA())))</f>
        <v/>
      </c>
      <c r="M34" s="67">
        <f>IF($A$34="",NA(),IF(COUNTIFS(Data!$AK$2:$AK$1105,1,Data!$AY$2:$AY$1105,$A$34)&lt;Controls!$B$19,NA(),IFERROR(AVERAGEIFS(Data!$AE$2:$AE$1105,Data!$AK$2:$AK$1105,1,Data!$AY$2:$AY$1105,$A$34),NA())))</f>
        <v/>
      </c>
      <c r="N34" s="67">
        <f>IF($A$34="",NA(),IF(COUNTIFS(Data!$AK$2:$AK$1105,1,Data!$AY$2:$AY$1105,$A$34)&lt;Controls!$B$19,NA(),IFERROR(AVERAGEIFS(Data!$AD$2:$AD$1105,Data!$AK$2:$AK$1105,1,Data!$AY$2:$AY$1105,$A$34),NA())))</f>
        <v/>
      </c>
      <c r="O34" s="67">
        <f>IF($A$34="",NA(),IF(COUNTIFS(Data!$AK$2:$AK$1105,1,Data!$AY$2:$AY$1105,$A$34)&lt;Controls!$B$19,NA(),IFERROR(AVERAGEIFS(Data!$AS$2:$AS$1105,Data!$AK$2:$AK$1105,1,Data!$AY$2:$AY$1105,$A$34),NA())))</f>
        <v/>
      </c>
      <c r="P34" s="67">
        <f>IF($A$34="",NA(),IF(COUNTIFS(Data!$AK$2:$AK$1105,1,Data!$AY$2:$AY$1105,$A$34)&lt;Controls!$B$19,NA(),IFERROR(AVERAGEIFS(Data!$AT$2:$AT$1105,Data!$AK$2:$AK$1105,1,Data!$AY$2:$AY$1105,$A$34),NA())))</f>
        <v/>
      </c>
      <c r="Q34" s="62">
        <f>IF($A$34="",NA(),IF(COUNTIFS(Data!$AK$2:$AK$1105,1,Data!$AY$2:$AY$1105,$A$34)&lt;Controls!$B$19,NA(),IFERROR(COUNTIFS(Data!$AK$2:$AK$1105,1,Data!$AY$2:$AY$1105,$A$34,Data!$N$2:$N$1105,"Renewal")/COUNTIFS(Data!$AK$2:$AK$1105,1,Data!$AY$2:$AY$1105,$A$34),NA())))</f>
        <v/>
      </c>
      <c r="R34" s="62">
        <f>IF($A$34="",NA(),IF(COUNTIFS(Data!$AK$2:$AK$1105,1,Data!$AY$2:$AY$1105,$A$34)&lt;Controls!$B$19,NA(),IFERROR(SUMIFS(Data!$P$2:$P$1105,Data!$AK$2:$AK$1105,1,Data!$AY$2:$AY$1105,$A$34,Data!$N$2:$N$1105,"Renewal")/SUMIFS(Data!$P$2:$P$1105,Data!$AK$2:$AK$1105,1,Data!$AY$2:$AY$1105,$A$34),NA())))</f>
        <v/>
      </c>
      <c r="S34" s="62">
        <f>IF($A$34="",NA(),Calc!$BT$2)</f>
        <v/>
      </c>
      <c r="T34" s="62">
        <f>IF($A$34="",NA(),Calc!$BT$3)</f>
        <v/>
      </c>
      <c r="U34" s="62">
        <f>IF($A$34="",NA(),Calc!$BT$4)</f>
        <v/>
      </c>
      <c r="V34" s="62">
        <f>IF($A$34="",NA(),IF(COUNTIFS(Data!$AK$2:$AK$1105,1,Data!$AY$2:$AY$1105,$A$34)&lt;Controls!$B$19,NA(),IFERROR(COUNTIFS(Data!$AK$2:$AK$1105,1,Data!$AY$2:$AY$1105,$A$34,Data!$AH$2:$AH$1105,1)/COUNTIFS(Data!$AK$2:$AK$1105,1,Data!$AY$2:$AY$1105,$A$34),NA())))</f>
        <v/>
      </c>
      <c r="W34" s="61">
        <f>IF($A$34="","",$A$34&amp;" ("&amp;$J$34&amp;")")</f>
        <v/>
      </c>
      <c r="X34" s="61" t="n"/>
      <c r="Y34" s="61" t="n"/>
      <c r="Z34" s="61" t="n"/>
      <c r="AA34" s="61" t="n"/>
      <c r="AB34" s="61" t="n"/>
      <c r="AC34" s="61" t="n"/>
      <c r="AD34" s="61" t="n"/>
      <c r="AE34" s="61" t="n"/>
      <c r="AF34" s="61" t="n"/>
      <c r="AG34" s="61" t="n"/>
      <c r="AH34" s="61" t="n"/>
      <c r="AI34" s="61" t="n"/>
      <c r="AJ34" s="61" t="n"/>
      <c r="AK34" s="61" t="n"/>
      <c r="AL34" s="61" t="n"/>
      <c r="AM34" s="61" t="n"/>
      <c r="AN34" s="61">
        <f>Controls!$A$70</f>
        <v/>
      </c>
      <c r="AO34" s="61">
        <f>COUNTIFS(Data!$AK$2:$AK$1105,1,Data!$AY$2:$AY$1105,$AN$34)</f>
        <v/>
      </c>
      <c r="AP34" s="57">
        <f>SUMIFS(Data!$P$2:$P$1105,Data!$AK$2:$AK$1105,1,Data!$AY$2:$AY$1105,$AN$34)</f>
        <v/>
      </c>
      <c r="AQ34" s="56">
        <f>IFERROR(SUMIFS(Data!$AN$2:$AN$1105,Data!$AK$2:$AK$1105,1,Data!$AY$2:$AY$1105,$AN$34)/$AP$34,0)</f>
        <v/>
      </c>
      <c r="AR34" s="57">
        <f>SUMIFS(Data!$AN$2:$AN$1105,Data!$AK$2:$AK$1105,1,Data!$AY$2:$AY$1105,$AN$34)</f>
        <v/>
      </c>
      <c r="AS34" s="61">
        <f>Controls!$B$70</f>
        <v/>
      </c>
      <c r="AT34" s="61">
        <f>IF(OR(AO34=0,AO34&lt;Controls!$B$20),-1000000000000000,IF(AND(Controls!$B$21="Y",$AN$34="No SIC"),-1000000000000000,IF(Controls!$B$17="Selected only",IF(AS34="Y",AP34,-1000000000000000),IF(Controls!$B$17="Top by funded $",AP34,IF(Controls!$B$17="Top by funded units",AO34,IF(Controls!$B$17="Largest principal lost $",AR34,IF(Controls!$B$17="Highest net profit $",AU34,IF(AO34&lt;Controls!$B$19,-1000000000000000,IF(Controls!$B$17="Highest principal lost rate %",AQ34,IF(Controls!$B$17="Lowest principal lost rate %",1-AQ34,AP34))))))))) +31/1000000)</f>
        <v/>
      </c>
      <c r="AU34" s="57">
        <f>SUMIFS(Data!$AM$2:$AM$1105,Data!$AK$2:$AK$1105,1,Data!$AY$2:$AY$1105,$AN$34)</f>
        <v/>
      </c>
      <c r="AV34" s="61" t="n"/>
      <c r="AW34" s="61" t="n"/>
      <c r="AX34" s="61" t="n"/>
      <c r="AY34" s="61" t="n"/>
      <c r="AZ34" s="61" t="n"/>
      <c r="BA34" s="61" t="n"/>
      <c r="BB34" s="61">
        <f>Controls!$A$70</f>
        <v/>
      </c>
      <c r="BC34" s="61">
        <f>COUNTIFS(Data!$AK$2:$AK$1105,1,Data!$AY$2:$AY$1105,$BB$34)</f>
        <v/>
      </c>
      <c r="BD34" s="57">
        <f>SUMIFS(Data!$P$2:$P$1105,Data!$AK$2:$AK$1105,1,Data!$AY$2:$AY$1105,$BB$34)</f>
        <v/>
      </c>
      <c r="BE34" s="56">
        <f>IF(COUNTIFS(Data!$AK$2:$AK$1105,1,Data!$AY$2:$AY$1105,$BB$34)&lt;Controls!$B$19,"",IFERROR(SUMIFS(Data!$AN$2:$AN$1105,Data!$AK$2:$AK$1105,1,Data!$AY$2:$AY$1105,$BB$34)/$BD$34,""))</f>
        <v/>
      </c>
      <c r="BF34" s="56">
        <f>IF(COUNTIFS(Data!$AK$2:$AK$1105,1,Data!$AY$2:$AY$1105,$BB$34)&lt;Controls!$B$19,"",IFERROR(SUMIFS(Data!$AM$2:$AM$1105,Data!$AK$2:$AK$1105,1,Data!$AY$2:$AY$1105,$BB$34)/SUMIFS(Data!$P$2:$P$1105,Data!$AK$2:$AK$1105,1,Data!$AY$2:$AY$1105,$BB$34),""))</f>
        <v/>
      </c>
      <c r="BG34" s="57">
        <f>SUMIFS(Data!$AN$2:$AN$1105,Data!$AK$2:$AK$1105,1,Data!$AY$2:$AY$1105,$BB$34)</f>
        <v/>
      </c>
      <c r="BH34" s="61" t="n"/>
      <c r="BI34" s="61" t="n"/>
      <c r="BJ34" s="61" t="n"/>
      <c r="BK34" s="61">
        <f>IF($BC$34&lt;Controls!$B$22,"",$BE$34)</f>
        <v/>
      </c>
      <c r="BL34" s="61">
        <f>IF($BC$34&lt;Controls!$B$22,"",$BF$34)</f>
        <v/>
      </c>
      <c r="BM34" s="61">
        <f>IF($BC$34&lt;Controls!$B$22,"",$BG$34)</f>
        <v/>
      </c>
      <c r="BN34" s="61" t="n"/>
      <c r="BO34" s="61" t="n"/>
      <c r="BP34" s="61" t="n"/>
      <c r="BQ34" s="61" t="n"/>
      <c r="BR34" s="61" t="n"/>
      <c r="BS34" s="61" t="n"/>
      <c r="BT34" s="61" t="n"/>
    </row>
    <row r="35" ht="15.75" customHeight="1" s="79">
      <c r="A35" s="61" t="n"/>
      <c r="B35" s="61" t="n"/>
      <c r="C35" s="61" t="n"/>
      <c r="D35" s="61" t="n"/>
      <c r="E35" s="61" t="n"/>
      <c r="F35" s="61" t="n"/>
      <c r="G35" s="61" t="n"/>
      <c r="H35" s="61" t="n"/>
      <c r="I35" s="61" t="n"/>
      <c r="J35" s="61" t="n"/>
      <c r="K35" s="61" t="n"/>
      <c r="L35" s="61" t="n"/>
      <c r="M35" s="61" t="n"/>
      <c r="N35" s="61" t="n"/>
      <c r="O35" s="61" t="n"/>
      <c r="P35" s="61" t="n"/>
      <c r="Q35" s="61" t="n"/>
      <c r="R35" s="61" t="n"/>
      <c r="S35" s="61" t="n"/>
      <c r="T35" s="61" t="n"/>
      <c r="U35" s="61" t="n"/>
      <c r="V35" s="61" t="n"/>
      <c r="W35" s="61" t="n"/>
      <c r="X35" s="61" t="n"/>
      <c r="Y35" s="61" t="n"/>
      <c r="Z35" s="61" t="n"/>
      <c r="AA35" s="61" t="n"/>
      <c r="AB35" s="61" t="n"/>
      <c r="AC35" s="61" t="n"/>
      <c r="AD35" s="61" t="n"/>
      <c r="AE35" s="61" t="n"/>
      <c r="AF35" s="61" t="n"/>
      <c r="AG35" s="61" t="n"/>
      <c r="AH35" s="61" t="n"/>
      <c r="AI35" s="61" t="n"/>
      <c r="AJ35" s="61" t="n"/>
      <c r="AK35" s="61" t="n"/>
      <c r="AL35" s="61" t="n"/>
      <c r="AM35" s="61" t="n"/>
      <c r="AN35" s="61">
        <f>Controls!$A$71</f>
        <v/>
      </c>
      <c r="AO35" s="61">
        <f>COUNTIFS(Data!$AK$2:$AK$1105,1,Data!$AY$2:$AY$1105,$AN$35)</f>
        <v/>
      </c>
      <c r="AP35" s="57">
        <f>SUMIFS(Data!$P$2:$P$1105,Data!$AK$2:$AK$1105,1,Data!$AY$2:$AY$1105,$AN$35)</f>
        <v/>
      </c>
      <c r="AQ35" s="56">
        <f>IFERROR(SUMIFS(Data!$AN$2:$AN$1105,Data!$AK$2:$AK$1105,1,Data!$AY$2:$AY$1105,$AN$35)/$AP$35,0)</f>
        <v/>
      </c>
      <c r="AR35" s="57">
        <f>SUMIFS(Data!$AN$2:$AN$1105,Data!$AK$2:$AK$1105,1,Data!$AY$2:$AY$1105,$AN$35)</f>
        <v/>
      </c>
      <c r="AS35" s="61">
        <f>Controls!$B$71</f>
        <v/>
      </c>
      <c r="AT35" s="61">
        <f>IF(OR(AO35=0,AO35&lt;Controls!$B$20),-1000000000000000,IF(AND(Controls!$B$21="Y",$AN$35="No SIC"),-1000000000000000,IF(Controls!$B$17="Selected only",IF(AS35="Y",AP35,-1000000000000000),IF(Controls!$B$17="Top by funded $",AP35,IF(Controls!$B$17="Top by funded units",AO35,IF(Controls!$B$17="Largest principal lost $",AR35,IF(Controls!$B$17="Highest net profit $",AU35,IF(AO35&lt;Controls!$B$19,-1000000000000000,IF(Controls!$B$17="Highest principal lost rate %",AQ35,IF(Controls!$B$17="Lowest principal lost rate %",1-AQ35,AP35))))))))) +32/1000000)</f>
        <v/>
      </c>
      <c r="AU35" s="57">
        <f>SUMIFS(Data!$AM$2:$AM$1105,Data!$AK$2:$AK$1105,1,Data!$AY$2:$AY$1105,$AN$35)</f>
        <v/>
      </c>
      <c r="AV35" s="61" t="n"/>
      <c r="AW35" s="61" t="n"/>
      <c r="AX35" s="61" t="n"/>
      <c r="AY35" s="61" t="n"/>
      <c r="AZ35" s="61" t="n"/>
      <c r="BA35" s="61" t="n"/>
      <c r="BB35" s="61">
        <f>Controls!$A$71</f>
        <v/>
      </c>
      <c r="BC35" s="61">
        <f>COUNTIFS(Data!$AK$2:$AK$1105,1,Data!$AY$2:$AY$1105,$BB$35)</f>
        <v/>
      </c>
      <c r="BD35" s="57">
        <f>SUMIFS(Data!$P$2:$P$1105,Data!$AK$2:$AK$1105,1,Data!$AY$2:$AY$1105,$BB$35)</f>
        <v/>
      </c>
      <c r="BE35" s="56">
        <f>IF(COUNTIFS(Data!$AK$2:$AK$1105,1,Data!$AY$2:$AY$1105,$BB$35)&lt;Controls!$B$19,"",IFERROR(SUMIFS(Data!$AN$2:$AN$1105,Data!$AK$2:$AK$1105,1,Data!$AY$2:$AY$1105,$BB$35)/$BD$35,""))</f>
        <v/>
      </c>
      <c r="BF35" s="56">
        <f>IF(COUNTIFS(Data!$AK$2:$AK$1105,1,Data!$AY$2:$AY$1105,$BB$35)&lt;Controls!$B$19,"",IFERROR(SUMIFS(Data!$AM$2:$AM$1105,Data!$AK$2:$AK$1105,1,Data!$AY$2:$AY$1105,$BB$35)/SUMIFS(Data!$P$2:$P$1105,Data!$AK$2:$AK$1105,1,Data!$AY$2:$AY$1105,$BB$35),""))</f>
        <v/>
      </c>
      <c r="BG35" s="57">
        <f>SUMIFS(Data!$AN$2:$AN$1105,Data!$AK$2:$AK$1105,1,Data!$AY$2:$AY$1105,$BB$35)</f>
        <v/>
      </c>
      <c r="BH35" s="61" t="n"/>
      <c r="BI35" s="61" t="n"/>
      <c r="BJ35" s="61" t="n"/>
      <c r="BK35" s="61">
        <f>IF($BC$35&lt;Controls!$B$22,"",$BE$35)</f>
        <v/>
      </c>
      <c r="BL35" s="61">
        <f>IF($BC$35&lt;Controls!$B$22,"",$BF$35)</f>
        <v/>
      </c>
      <c r="BM35" s="61">
        <f>IF($BC$35&lt;Controls!$B$22,"",$BG$35)</f>
        <v/>
      </c>
      <c r="BN35" s="61" t="n"/>
      <c r="BO35" s="61" t="n"/>
      <c r="BP35" s="61" t="n"/>
      <c r="BQ35" s="61" t="n"/>
      <c r="BR35" s="61" t="n"/>
      <c r="BS35" s="61" t="n"/>
      <c r="BT35" s="61" t="n"/>
    </row>
    <row r="36" ht="15.75" customHeight="1" s="79">
      <c r="A36" s="61" t="n"/>
      <c r="B36" s="61" t="n"/>
      <c r="C36" s="61" t="n"/>
      <c r="D36" s="61" t="n"/>
      <c r="E36" s="61" t="n"/>
      <c r="F36" s="61" t="n"/>
      <c r="G36" s="61" t="n"/>
      <c r="H36" s="61" t="n"/>
      <c r="I36" s="61" t="n"/>
      <c r="J36" s="61" t="n"/>
      <c r="K36" s="61" t="n"/>
      <c r="L36" s="61" t="n"/>
      <c r="M36" s="61" t="n"/>
      <c r="N36" s="61" t="n"/>
      <c r="O36" s="61" t="n"/>
      <c r="P36" s="61" t="n"/>
      <c r="Q36" s="61" t="n"/>
      <c r="R36" s="61" t="n"/>
      <c r="S36" s="61" t="n"/>
      <c r="T36" s="61" t="n"/>
      <c r="U36" s="61" t="n"/>
      <c r="V36" s="61" t="n"/>
      <c r="W36" s="61" t="n"/>
      <c r="X36" s="61" t="n"/>
      <c r="Y36" s="61" t="n"/>
      <c r="Z36" s="61" t="n"/>
      <c r="AA36" s="61" t="n"/>
      <c r="AB36" s="61" t="n"/>
      <c r="AC36" s="61" t="n"/>
      <c r="AD36" s="61" t="n"/>
      <c r="AE36" s="61" t="n"/>
      <c r="AF36" s="61" t="n"/>
      <c r="AG36" s="61" t="n"/>
      <c r="AH36" s="61" t="n"/>
      <c r="AI36" s="61" t="n"/>
      <c r="AJ36" s="61" t="n"/>
      <c r="AK36" s="61" t="n"/>
      <c r="AL36" s="61" t="n"/>
      <c r="AM36" s="61" t="n"/>
      <c r="AN36" s="61">
        <f>Controls!$A$72</f>
        <v/>
      </c>
      <c r="AO36" s="61">
        <f>COUNTIFS(Data!$AK$2:$AK$1105,1,Data!$AY$2:$AY$1105,$AN$36)</f>
        <v/>
      </c>
      <c r="AP36" s="57">
        <f>SUMIFS(Data!$P$2:$P$1105,Data!$AK$2:$AK$1105,1,Data!$AY$2:$AY$1105,$AN$36)</f>
        <v/>
      </c>
      <c r="AQ36" s="56">
        <f>IFERROR(SUMIFS(Data!$AN$2:$AN$1105,Data!$AK$2:$AK$1105,1,Data!$AY$2:$AY$1105,$AN$36)/$AP$36,0)</f>
        <v/>
      </c>
      <c r="AR36" s="57">
        <f>SUMIFS(Data!$AN$2:$AN$1105,Data!$AK$2:$AK$1105,1,Data!$AY$2:$AY$1105,$AN$36)</f>
        <v/>
      </c>
      <c r="AS36" s="61">
        <f>Controls!$B$72</f>
        <v/>
      </c>
      <c r="AT36" s="61">
        <f>IF(OR(AO36=0,AO36&lt;Controls!$B$20),-1000000000000000,IF(AND(Controls!$B$21="Y",$AN$36="No SIC"),-1000000000000000,IF(Controls!$B$17="Selected only",IF(AS36="Y",AP36,-1000000000000000),IF(Controls!$B$17="Top by funded $",AP36,IF(Controls!$B$17="Top by funded units",AO36,IF(Controls!$B$17="Largest principal lost $",AR36,IF(Controls!$B$17="Highest net profit $",AU36,IF(AO36&lt;Controls!$B$19,-1000000000000000,IF(Controls!$B$17="Highest principal lost rate %",AQ36,IF(Controls!$B$17="Lowest principal lost rate %",1-AQ36,AP36))))))))) +33/1000000)</f>
        <v/>
      </c>
      <c r="AU36" s="57">
        <f>SUMIFS(Data!$AM$2:$AM$1105,Data!$AK$2:$AK$1105,1,Data!$AY$2:$AY$1105,$AN$36)</f>
        <v/>
      </c>
      <c r="AV36" s="61" t="n"/>
      <c r="AW36" s="61" t="n"/>
      <c r="AX36" s="61" t="n"/>
      <c r="AY36" s="61" t="n"/>
      <c r="AZ36" s="61" t="n"/>
      <c r="BA36" s="61" t="n"/>
      <c r="BB36" s="61">
        <f>Controls!$A$72</f>
        <v/>
      </c>
      <c r="BC36" s="61">
        <f>COUNTIFS(Data!$AK$2:$AK$1105,1,Data!$AY$2:$AY$1105,$BB$36)</f>
        <v/>
      </c>
      <c r="BD36" s="57">
        <f>SUMIFS(Data!$P$2:$P$1105,Data!$AK$2:$AK$1105,1,Data!$AY$2:$AY$1105,$BB$36)</f>
        <v/>
      </c>
      <c r="BE36" s="56">
        <f>IF(COUNTIFS(Data!$AK$2:$AK$1105,1,Data!$AY$2:$AY$1105,$BB$36)&lt;Controls!$B$19,"",IFERROR(SUMIFS(Data!$AN$2:$AN$1105,Data!$AK$2:$AK$1105,1,Data!$AY$2:$AY$1105,$BB$36)/$BD$36,""))</f>
        <v/>
      </c>
      <c r="BF36" s="56">
        <f>IF(COUNTIFS(Data!$AK$2:$AK$1105,1,Data!$AY$2:$AY$1105,$BB$36)&lt;Controls!$B$19,"",IFERROR(SUMIFS(Data!$AM$2:$AM$1105,Data!$AK$2:$AK$1105,1,Data!$AY$2:$AY$1105,$BB$36)/SUMIFS(Data!$P$2:$P$1105,Data!$AK$2:$AK$1105,1,Data!$AY$2:$AY$1105,$BB$36),""))</f>
        <v/>
      </c>
      <c r="BG36" s="57">
        <f>SUMIFS(Data!$AN$2:$AN$1105,Data!$AK$2:$AK$1105,1,Data!$AY$2:$AY$1105,$BB$36)</f>
        <v/>
      </c>
      <c r="BH36" s="61" t="n"/>
      <c r="BI36" s="61" t="n"/>
      <c r="BJ36" s="61" t="n"/>
      <c r="BK36" s="61">
        <f>IF($BC$36&lt;Controls!$B$22,"",$BE$36)</f>
        <v/>
      </c>
      <c r="BL36" s="61">
        <f>IF($BC$36&lt;Controls!$B$22,"",$BF$36)</f>
        <v/>
      </c>
      <c r="BM36" s="61">
        <f>IF($BC$36&lt;Controls!$B$22,"",$BG$36)</f>
        <v/>
      </c>
      <c r="BN36" s="61" t="n"/>
      <c r="BO36" s="61" t="n"/>
      <c r="BP36" s="61" t="n"/>
      <c r="BQ36" s="61" t="n"/>
      <c r="BR36" s="61" t="n"/>
      <c r="BS36" s="61" t="n"/>
      <c r="BT36" s="61" t="n"/>
    </row>
    <row r="37" ht="15.75" customHeight="1" s="79">
      <c r="A37" s="61" t="inlineStr">
        <is>
          <t>State - master</t>
        </is>
      </c>
      <c r="B37" s="61" t="n"/>
      <c r="C37" s="61" t="n"/>
      <c r="D37" s="61" t="n"/>
      <c r="E37" s="61" t="n"/>
      <c r="F37" s="61" t="n"/>
      <c r="G37" s="61" t="n"/>
      <c r="H37" s="61" t="n"/>
      <c r="I37" s="61" t="n"/>
      <c r="J37" s="61" t="n"/>
      <c r="K37" s="61" t="n"/>
      <c r="L37" s="61" t="n"/>
      <c r="M37" s="61" t="n"/>
      <c r="N37" s="61" t="n"/>
      <c r="O37" s="61" t="n"/>
      <c r="P37" s="61" t="n"/>
      <c r="Q37" s="61" t="n"/>
      <c r="R37" s="61" t="n"/>
      <c r="S37" s="61" t="n"/>
      <c r="T37" s="61" t="n"/>
      <c r="U37" s="61" t="n"/>
      <c r="V37" s="61" t="n"/>
      <c r="W37" s="61" t="n"/>
      <c r="X37" s="61" t="n"/>
      <c r="Y37" s="61" t="n"/>
      <c r="Z37" s="61" t="n"/>
      <c r="AA37" s="61" t="n"/>
      <c r="AB37" s="61" t="n"/>
      <c r="AC37" s="61" t="n"/>
      <c r="AD37" s="61" t="n"/>
      <c r="AE37" s="61" t="n"/>
      <c r="AF37" s="61" t="n"/>
      <c r="AG37" s="61" t="n"/>
      <c r="AH37" s="61" t="n"/>
      <c r="AI37" s="61" t="n"/>
      <c r="AJ37" s="61" t="n"/>
      <c r="AK37" s="61" t="n"/>
      <c r="AL37" s="61" t="n"/>
      <c r="AM37" s="61" t="n"/>
      <c r="AN37" s="61">
        <f>Controls!$A$73</f>
        <v/>
      </c>
      <c r="AO37" s="61">
        <f>COUNTIFS(Data!$AK$2:$AK$1105,1,Data!$AY$2:$AY$1105,$AN$37)</f>
        <v/>
      </c>
      <c r="AP37" s="57">
        <f>SUMIFS(Data!$P$2:$P$1105,Data!$AK$2:$AK$1105,1,Data!$AY$2:$AY$1105,$AN$37)</f>
        <v/>
      </c>
      <c r="AQ37" s="56">
        <f>IFERROR(SUMIFS(Data!$AN$2:$AN$1105,Data!$AK$2:$AK$1105,1,Data!$AY$2:$AY$1105,$AN$37)/$AP$37,0)</f>
        <v/>
      </c>
      <c r="AR37" s="57">
        <f>SUMIFS(Data!$AN$2:$AN$1105,Data!$AK$2:$AK$1105,1,Data!$AY$2:$AY$1105,$AN$37)</f>
        <v/>
      </c>
      <c r="AS37" s="61">
        <f>Controls!$B$73</f>
        <v/>
      </c>
      <c r="AT37" s="61">
        <f>IF(OR(AO37=0,AO37&lt;Controls!$B$20),-1000000000000000,IF(AND(Controls!$B$21="Y",$AN$37="No SIC"),-1000000000000000,IF(Controls!$B$17="Selected only",IF(AS37="Y",AP37,-1000000000000000),IF(Controls!$B$17="Top by funded $",AP37,IF(Controls!$B$17="Top by funded units",AO37,IF(Controls!$B$17="Largest principal lost $",AR37,IF(Controls!$B$17="Highest net profit $",AU37,IF(AO37&lt;Controls!$B$19,-1000000000000000,IF(Controls!$B$17="Highest principal lost rate %",AQ37,IF(Controls!$B$17="Lowest principal lost rate %",1-AQ37,AP37))))))))) +34/1000000)</f>
        <v/>
      </c>
      <c r="AU37" s="57">
        <f>SUMIFS(Data!$AM$2:$AM$1105,Data!$AK$2:$AK$1105,1,Data!$AY$2:$AY$1105,$AN$37)</f>
        <v/>
      </c>
      <c r="AV37" s="61" t="n"/>
      <c r="AW37" s="61" t="n"/>
      <c r="AX37" s="61" t="n"/>
      <c r="AY37" s="61" t="n"/>
      <c r="AZ37" s="61" t="n"/>
      <c r="BA37" s="61" t="n"/>
      <c r="BB37" s="61">
        <f>Controls!$A$73</f>
        <v/>
      </c>
      <c r="BC37" s="61">
        <f>COUNTIFS(Data!$AK$2:$AK$1105,1,Data!$AY$2:$AY$1105,$BB$37)</f>
        <v/>
      </c>
      <c r="BD37" s="57">
        <f>SUMIFS(Data!$P$2:$P$1105,Data!$AK$2:$AK$1105,1,Data!$AY$2:$AY$1105,$BB$37)</f>
        <v/>
      </c>
      <c r="BE37" s="56">
        <f>IF(COUNTIFS(Data!$AK$2:$AK$1105,1,Data!$AY$2:$AY$1105,$BB$37)&lt;Controls!$B$19,"",IFERROR(SUMIFS(Data!$AN$2:$AN$1105,Data!$AK$2:$AK$1105,1,Data!$AY$2:$AY$1105,$BB$37)/$BD$37,""))</f>
        <v/>
      </c>
      <c r="BF37" s="56">
        <f>IF(COUNTIFS(Data!$AK$2:$AK$1105,1,Data!$AY$2:$AY$1105,$BB$37)&lt;Controls!$B$19,"",IFERROR(SUMIFS(Data!$AM$2:$AM$1105,Data!$AK$2:$AK$1105,1,Data!$AY$2:$AY$1105,$BB$37)/SUMIFS(Data!$P$2:$P$1105,Data!$AK$2:$AK$1105,1,Data!$AY$2:$AY$1105,$BB$37),""))</f>
        <v/>
      </c>
      <c r="BG37" s="57">
        <f>SUMIFS(Data!$AN$2:$AN$1105,Data!$AK$2:$AK$1105,1,Data!$AY$2:$AY$1105,$BB$37)</f>
        <v/>
      </c>
      <c r="BH37" s="61" t="n"/>
      <c r="BI37" s="61" t="n"/>
      <c r="BJ37" s="61" t="n"/>
      <c r="BK37" s="56">
        <f>IF($BC$37&lt;Controls!$B$22,"",$BE$37)</f>
        <v/>
      </c>
      <c r="BL37" s="56">
        <f>IF($BC$37&lt;Controls!$B$22,"",$BF$37)</f>
        <v/>
      </c>
      <c r="BM37" s="57">
        <f>IF($BC$37&lt;Controls!$B$22,"",$BG$37)</f>
        <v/>
      </c>
      <c r="BN37" s="61" t="n"/>
      <c r="BO37" s="61" t="n"/>
      <c r="BP37" s="61" t="n"/>
      <c r="BQ37" s="61" t="n"/>
      <c r="BR37" s="61" t="n"/>
      <c r="BS37" s="61" t="n"/>
      <c r="BT37" s="61" t="n"/>
    </row>
    <row r="38" ht="15.75" customHeight="1" s="79">
      <c r="A38" s="61" t="inlineStr">
        <is>
          <t>Label</t>
        </is>
      </c>
      <c r="B38" s="61" t="inlineStr">
        <is>
          <t>Funded $</t>
        </is>
      </c>
      <c r="C38" s="61" t="inlineStr">
        <is>
          <t>Collected $</t>
        </is>
      </c>
      <c r="D38" s="61" t="inlineStr">
        <is>
          <t>Net profit / loss $</t>
        </is>
      </c>
      <c r="E38" s="61" t="inlineStr">
        <is>
          <t>Commission $</t>
        </is>
      </c>
      <c r="F38" s="61" t="inlineStr">
        <is>
          <t>Principal lost $</t>
        </is>
      </c>
      <c r="G38" s="61" t="inlineStr">
        <is>
          <t>Principal lost rate</t>
        </is>
      </c>
      <c r="H38" s="61" t="inlineStr">
        <is>
          <t>Recovery rate</t>
        </is>
      </c>
      <c r="I38" s="61" t="inlineStr">
        <is>
          <t>Return on funded capital (%)</t>
        </is>
      </c>
      <c r="J38" s="61" t="inlineStr">
        <is>
          <t>Deals</t>
        </is>
      </c>
      <c r="K38" s="61" t="inlineStr">
        <is>
          <t>Share of funded dollars</t>
        </is>
      </c>
      <c r="L38" s="61" t="inlineStr">
        <is>
          <t>Avg deal size</t>
        </is>
      </c>
      <c r="M38" s="61" t="inlineStr">
        <is>
          <t>Avg expected term (business days)</t>
        </is>
      </c>
      <c r="N38" s="61" t="inlineStr">
        <is>
          <t>Avg expected term (payments)</t>
        </is>
      </c>
      <c r="O38" s="61" t="inlineStr">
        <is>
          <t>Avg days on book, defaulted</t>
        </is>
      </c>
      <c r="P38" s="61" t="inlineStr">
        <is>
          <t>Avg days to close</t>
        </is>
      </c>
      <c r="Q38" s="61" t="inlineStr">
        <is>
          <t>% of deals that were renewals</t>
        </is>
      </c>
      <c r="R38" s="61" t="inlineStr">
        <is>
          <t>% of funded dollars from renewals</t>
        </is>
      </c>
      <c r="S38" s="61" t="inlineStr">
        <is>
          <t>Book lost rate</t>
        </is>
      </c>
      <c r="T38" s="61" t="inlineStr">
        <is>
          <t>Book recovery</t>
        </is>
      </c>
      <c r="U38" s="61" t="inlineStr">
        <is>
          <t>Book return on funded capital</t>
        </is>
      </c>
      <c r="V38" s="61" t="inlineStr">
        <is>
          <t>Default rate (#)</t>
        </is>
      </c>
      <c r="W38" s="61" t="inlineStr">
        <is>
          <t>Chart label (name + deals)</t>
        </is>
      </c>
      <c r="X38" s="61" t="n"/>
      <c r="Y38" s="61" t="n"/>
      <c r="Z38" s="61" t="n"/>
      <c r="AA38" s="61" t="n"/>
      <c r="AB38" s="61" t="n"/>
      <c r="AC38" s="61" t="n"/>
      <c r="AD38" s="61" t="n"/>
      <c r="AE38" s="61" t="n"/>
      <c r="AF38" s="61" t="n"/>
      <c r="AG38" s="61" t="n"/>
      <c r="AH38" s="61" t="n"/>
      <c r="AI38" s="61" t="n"/>
      <c r="AJ38" s="61" t="n"/>
      <c r="AK38" s="61" t="n"/>
      <c r="AL38" s="61" t="n"/>
      <c r="AM38" s="61" t="n"/>
      <c r="AN38" s="61">
        <f>Controls!$A$74</f>
        <v/>
      </c>
      <c r="AO38" s="61">
        <f>COUNTIFS(Data!$AK$2:$AK$1105,1,Data!$AY$2:$AY$1105,$AN$38)</f>
        <v/>
      </c>
      <c r="AP38" s="57">
        <f>SUMIFS(Data!$P$2:$P$1105,Data!$AK$2:$AK$1105,1,Data!$AY$2:$AY$1105,$AN$38)</f>
        <v/>
      </c>
      <c r="AQ38" s="56">
        <f>IFERROR(SUMIFS(Data!$AN$2:$AN$1105,Data!$AK$2:$AK$1105,1,Data!$AY$2:$AY$1105,$AN$38)/$AP$38,0)</f>
        <v/>
      </c>
      <c r="AR38" s="57">
        <f>SUMIFS(Data!$AN$2:$AN$1105,Data!$AK$2:$AK$1105,1,Data!$AY$2:$AY$1105,$AN$38)</f>
        <v/>
      </c>
      <c r="AS38" s="61">
        <f>Controls!$B$74</f>
        <v/>
      </c>
      <c r="AT38" s="61">
        <f>IF(OR(AO38=0,AO38&lt;Controls!$B$20),-1000000000000000,IF(AND(Controls!$B$21="Y",$AN$38="No SIC"),-1000000000000000,IF(Controls!$B$17="Selected only",IF(AS38="Y",AP38,-1000000000000000),IF(Controls!$B$17="Top by funded $",AP38,IF(Controls!$B$17="Top by funded units",AO38,IF(Controls!$B$17="Largest principal lost $",AR38,IF(Controls!$B$17="Highest net profit $",AU38,IF(AO38&lt;Controls!$B$19,-1000000000000000,IF(Controls!$B$17="Highest principal lost rate %",AQ38,IF(Controls!$B$17="Lowest principal lost rate %",1-AQ38,AP38))))))))) +35/1000000)</f>
        <v/>
      </c>
      <c r="AU38" s="57">
        <f>SUMIFS(Data!$AM$2:$AM$1105,Data!$AK$2:$AK$1105,1,Data!$AY$2:$AY$1105,$AN$38)</f>
        <v/>
      </c>
      <c r="AV38" s="61" t="n"/>
      <c r="AW38" s="61" t="n"/>
      <c r="AX38" s="61" t="n"/>
      <c r="AY38" s="61" t="n"/>
      <c r="AZ38" s="61" t="n"/>
      <c r="BA38" s="61" t="n"/>
      <c r="BB38" s="61">
        <f>Controls!$A$74</f>
        <v/>
      </c>
      <c r="BC38" s="61">
        <f>COUNTIFS(Data!$AK$2:$AK$1105,1,Data!$AY$2:$AY$1105,$BB$38)</f>
        <v/>
      </c>
      <c r="BD38" s="57">
        <f>SUMIFS(Data!$P$2:$P$1105,Data!$AK$2:$AK$1105,1,Data!$AY$2:$AY$1105,$BB$38)</f>
        <v/>
      </c>
      <c r="BE38" s="56">
        <f>IF(COUNTIFS(Data!$AK$2:$AK$1105,1,Data!$AY$2:$AY$1105,$BB$38)&lt;Controls!$B$19,"",IFERROR(SUMIFS(Data!$AN$2:$AN$1105,Data!$AK$2:$AK$1105,1,Data!$AY$2:$AY$1105,$BB$38)/$BD$38,""))</f>
        <v/>
      </c>
      <c r="BF38" s="56">
        <f>IF(COUNTIFS(Data!$AK$2:$AK$1105,1,Data!$AY$2:$AY$1105,$BB$38)&lt;Controls!$B$19,"",IFERROR(SUMIFS(Data!$AM$2:$AM$1105,Data!$AK$2:$AK$1105,1,Data!$AY$2:$AY$1105,$BB$38)/SUMIFS(Data!$P$2:$P$1105,Data!$AK$2:$AK$1105,1,Data!$AY$2:$AY$1105,$BB$38),""))</f>
        <v/>
      </c>
      <c r="BG38" s="57">
        <f>SUMIFS(Data!$AN$2:$AN$1105,Data!$AK$2:$AK$1105,1,Data!$AY$2:$AY$1105,$BB$38)</f>
        <v/>
      </c>
      <c r="BH38" s="61" t="n"/>
      <c r="BI38" s="61" t="n"/>
      <c r="BJ38" s="61" t="n"/>
      <c r="BK38" s="61">
        <f>IF($BC$38&lt;Controls!$B$22,"",$BE$38)</f>
        <v/>
      </c>
      <c r="BL38" s="61">
        <f>IF($BC$38&lt;Controls!$B$22,"",$BF$38)</f>
        <v/>
      </c>
      <c r="BM38" s="61">
        <f>IF($BC$38&lt;Controls!$B$22,"",$BG$38)</f>
        <v/>
      </c>
      <c r="BN38" s="61" t="n"/>
      <c r="BO38" s="61" t="n"/>
      <c r="BP38" s="61" t="n"/>
      <c r="BQ38" s="61" t="n"/>
      <c r="BR38" s="61" t="n"/>
      <c r="BS38" s="61" t="n"/>
      <c r="BT38" s="61" t="n"/>
    </row>
    <row r="39" ht="15.75" customHeight="1" s="79">
      <c r="A39" s="61">
        <f t="array" ref="A39">IFERROR(IF(1&gt;Controls!$B$18,"",IF(LARGE(Calc!$AT$81:$AT$130,1)&lt;-100000000000000,"",INDEX(Calc!$AN$81:$AN$130,MATCH(LARGE(Calc!$AT$81:$AT$130,1),Calc!$AT$81:$AT$130,0)))),"")</f>
        <v/>
      </c>
      <c r="B39" s="66">
        <f>IF($A$39="",NA(),IFERROR(SUMIFS(Data!$P$2:$P$1105,Data!$AK$2:$AK$1105,1,Data!$L$2:$L$1105,$A$39),NA()))</f>
        <v/>
      </c>
      <c r="C39" s="66">
        <f>IF($A$39="",NA(),IFERROR(SUMIFS(Data!$S$2:$S$1105,Data!$AK$2:$AK$1105,1,Data!$L$2:$L$1105,$A$39),NA()))</f>
        <v/>
      </c>
      <c r="D39" s="66">
        <f>IF(ISNA($B$39),NA(),$C$39-$B$39)</f>
        <v/>
      </c>
      <c r="E39" s="66">
        <f>IF($A$39="",NA(),IFERROR(SUMIFS(Data!$Q$2:$Q$1105,Data!$AK$2:$AK$1105,1,Data!$L$2:$L$1105,$A$39),NA()))</f>
        <v/>
      </c>
      <c r="F39" s="66">
        <f>IF($A$39="",NA(),IFERROR(SUMIFS(Data!$AN$2:$AN$1105,Data!$AK$2:$AK$1105,1,Data!$L$2:$L$1105,$A$39),NA()))</f>
        <v/>
      </c>
      <c r="G39" s="62">
        <f>IF($A$39="",NA(),IF(COUNTIFS(Data!$AK$2:$AK$1105,1,Data!$L$2:$L$1105,$A$39)&lt;Controls!$B$19,NA(),IFERROR(SUMIFS(Data!$AN$2:$AN$1105,Data!$AK$2:$AK$1105,1,Data!$L$2:$L$1105,$A$39)/$B$39,NA())))</f>
        <v/>
      </c>
      <c r="H39" s="62">
        <f>IF($A$39="",NA(),IF(COUNTIFS(Data!$AK$2:$AK$1105,1,Data!$L$2:$L$1105,$A$39)&lt;Controls!$B$19,NA(),IFERROR(SUMIFS(Data!$S$2:$S$1105,Data!$AK$2:$AK$1105,1,Data!$L$2:$L$1105,$A$39,Data!$AH$2:$AH$1105,1)/SUMIFS(Data!$P$2:$P$1105,Data!$AK$2:$AK$1105,1,Data!$L$2:$L$1105,$A$39,Data!$AH$2:$AH$1105,1),NA())))</f>
        <v/>
      </c>
      <c r="I39" s="62">
        <f>IF(ISNA($J$39),NA(),IF($J$39&lt;Controls!$B$19,NA(),IFERROR($D$39/$B$39,NA())))</f>
        <v/>
      </c>
      <c r="J39" s="67">
        <f>IF($A$39="",NA(),IFERROR(COUNTIFS(Data!$AK$2:$AK$1105,1,Data!$L$2:$L$1105,$A$39),NA()))</f>
        <v/>
      </c>
      <c r="K39" s="62">
        <f>IF(ISNA($B$39),NA(),IFERROR($B$39/Calc!$BT$6,NA()))</f>
        <v/>
      </c>
      <c r="L39" s="66">
        <f>IF(ISNA($J$39),NA(),IF($J$39&lt;Controls!$B$19,NA(),IFERROR($B$39/$J$39,NA())))</f>
        <v/>
      </c>
      <c r="M39" s="67">
        <f>IF($A$39="",NA(),IF(COUNTIFS(Data!$AK$2:$AK$1105,1,Data!$L$2:$L$1105,$A$39)&lt;Controls!$B$19,NA(),IFERROR(AVERAGEIFS(Data!$AE$2:$AE$1105,Data!$AK$2:$AK$1105,1,Data!$L$2:$L$1105,$A$39),NA())))</f>
        <v/>
      </c>
      <c r="N39" s="67">
        <f>IF($A$39="",NA(),IF(COUNTIFS(Data!$AK$2:$AK$1105,1,Data!$L$2:$L$1105,$A$39)&lt;Controls!$B$19,NA(),IFERROR(AVERAGEIFS(Data!$AD$2:$AD$1105,Data!$AK$2:$AK$1105,1,Data!$L$2:$L$1105,$A$39),NA())))</f>
        <v/>
      </c>
      <c r="O39" s="67">
        <f>IF($A$39="",NA(),IF(COUNTIFS(Data!$AK$2:$AK$1105,1,Data!$L$2:$L$1105,$A$39)&lt;Controls!$B$19,NA(),IFERROR(AVERAGEIFS(Data!$AS$2:$AS$1105,Data!$AK$2:$AK$1105,1,Data!$L$2:$L$1105,$A$39),NA())))</f>
        <v/>
      </c>
      <c r="P39" s="67">
        <f>IF($A$39="",NA(),IF(COUNTIFS(Data!$AK$2:$AK$1105,1,Data!$L$2:$L$1105,$A$39)&lt;Controls!$B$19,NA(),IFERROR(AVERAGEIFS(Data!$AT$2:$AT$1105,Data!$AK$2:$AK$1105,1,Data!$L$2:$L$1105,$A$39),NA())))</f>
        <v/>
      </c>
      <c r="Q39" s="62">
        <f>IF($A$39="",NA(),IF(COUNTIFS(Data!$AK$2:$AK$1105,1,Data!$L$2:$L$1105,$A$39)&lt;Controls!$B$19,NA(),IFERROR(COUNTIFS(Data!$AK$2:$AK$1105,1,Data!$L$2:$L$1105,$A$39,Data!$N$2:$N$1105,"Renewal")/COUNTIFS(Data!$AK$2:$AK$1105,1,Data!$L$2:$L$1105,$A$39),NA())))</f>
        <v/>
      </c>
      <c r="R39" s="62">
        <f>IF($A$39="",NA(),IF(COUNTIFS(Data!$AK$2:$AK$1105,1,Data!$L$2:$L$1105,$A$39)&lt;Controls!$B$19,NA(),IFERROR(SUMIFS(Data!$P$2:$P$1105,Data!$AK$2:$AK$1105,1,Data!$L$2:$L$1105,$A$39,Data!$N$2:$N$1105,"Renewal")/SUMIFS(Data!$P$2:$P$1105,Data!$AK$2:$AK$1105,1,Data!$L$2:$L$1105,$A$39),NA())))</f>
        <v/>
      </c>
      <c r="S39" s="62">
        <f>IF($A$39="",NA(),Calc!$BT$2)</f>
        <v/>
      </c>
      <c r="T39" s="62">
        <f>IF($A$39="",NA(),Calc!$BT$3)</f>
        <v/>
      </c>
      <c r="U39" s="62">
        <f>IF($A$39="",NA(),Calc!$BT$4)</f>
        <v/>
      </c>
      <c r="V39" s="62">
        <f>IF($A$39="",NA(),IF(COUNTIFS(Data!$AK$2:$AK$1105,1,Data!$L$2:$L$1105,$A$39)&lt;Controls!$B$19,NA(),IFERROR(COUNTIFS(Data!$AK$2:$AK$1105,1,Data!$L$2:$L$1105,$A$39,Data!$AH$2:$AH$1105,1)/COUNTIFS(Data!$AK$2:$AK$1105,1,Data!$L$2:$L$1105,$A$39),NA())))</f>
        <v/>
      </c>
      <c r="W39" s="61">
        <f>IF($A$39="","",$A$39&amp;" ("&amp;$J$39&amp;")")</f>
        <v/>
      </c>
      <c r="X39" s="61" t="n"/>
      <c r="Y39" s="61" t="n"/>
      <c r="Z39" s="61" t="n"/>
      <c r="AA39" s="61" t="n"/>
      <c r="AB39" s="61" t="n"/>
      <c r="AC39" s="61" t="n"/>
      <c r="AD39" s="61" t="n"/>
      <c r="AE39" s="61" t="n"/>
      <c r="AF39" s="61" t="n"/>
      <c r="AG39" s="61" t="n"/>
      <c r="AH39" s="61" t="n"/>
      <c r="AI39" s="61" t="n"/>
      <c r="AJ39" s="61" t="n"/>
      <c r="AK39" s="61" t="n"/>
      <c r="AL39" s="61" t="n"/>
      <c r="AM39" s="61" t="n"/>
      <c r="AN39" s="61">
        <f>Controls!$A$75</f>
        <v/>
      </c>
      <c r="AO39" s="61">
        <f>COUNTIFS(Data!$AK$2:$AK$1105,1,Data!$AY$2:$AY$1105,$AN$39)</f>
        <v/>
      </c>
      <c r="AP39" s="57">
        <f>SUMIFS(Data!$P$2:$P$1105,Data!$AK$2:$AK$1105,1,Data!$AY$2:$AY$1105,$AN$39)</f>
        <v/>
      </c>
      <c r="AQ39" s="56">
        <f>IFERROR(SUMIFS(Data!$AN$2:$AN$1105,Data!$AK$2:$AK$1105,1,Data!$AY$2:$AY$1105,$AN$39)/$AP$39,0)</f>
        <v/>
      </c>
      <c r="AR39" s="57">
        <f>SUMIFS(Data!$AN$2:$AN$1105,Data!$AK$2:$AK$1105,1,Data!$AY$2:$AY$1105,$AN$39)</f>
        <v/>
      </c>
      <c r="AS39" s="61">
        <f>Controls!$B$75</f>
        <v/>
      </c>
      <c r="AT39" s="61">
        <f>IF(OR(AO39=0,AO39&lt;Controls!$B$20),-1000000000000000,IF(AND(Controls!$B$21="Y",$AN$39="No SIC"),-1000000000000000,IF(Controls!$B$17="Selected only",IF(AS39="Y",AP39,-1000000000000000),IF(Controls!$B$17="Top by funded $",AP39,IF(Controls!$B$17="Top by funded units",AO39,IF(Controls!$B$17="Largest principal lost $",AR39,IF(Controls!$B$17="Highest net profit $",AU39,IF(AO39&lt;Controls!$B$19,-1000000000000000,IF(Controls!$B$17="Highest principal lost rate %",AQ39,IF(Controls!$B$17="Lowest principal lost rate %",1-AQ39,AP39))))))))) +36/1000000)</f>
        <v/>
      </c>
      <c r="AU39" s="57">
        <f>SUMIFS(Data!$AM$2:$AM$1105,Data!$AK$2:$AK$1105,1,Data!$AY$2:$AY$1105,$AN$39)</f>
        <v/>
      </c>
      <c r="AV39" s="61" t="n"/>
      <c r="AW39" s="61" t="n"/>
      <c r="AX39" s="61" t="n"/>
      <c r="AY39" s="61" t="n"/>
      <c r="AZ39" s="61" t="n"/>
      <c r="BA39" s="61" t="n"/>
      <c r="BB39" s="61">
        <f>Controls!$A$75</f>
        <v/>
      </c>
      <c r="BC39" s="61">
        <f>COUNTIFS(Data!$AK$2:$AK$1105,1,Data!$AY$2:$AY$1105,$BB$39)</f>
        <v/>
      </c>
      <c r="BD39" s="57">
        <f>SUMIFS(Data!$P$2:$P$1105,Data!$AK$2:$AK$1105,1,Data!$AY$2:$AY$1105,$BB$39)</f>
        <v/>
      </c>
      <c r="BE39" s="56">
        <f>IF(COUNTIFS(Data!$AK$2:$AK$1105,1,Data!$AY$2:$AY$1105,$BB$39)&lt;Controls!$B$19,"",IFERROR(SUMIFS(Data!$AN$2:$AN$1105,Data!$AK$2:$AK$1105,1,Data!$AY$2:$AY$1105,$BB$39)/$BD$39,""))</f>
        <v/>
      </c>
      <c r="BF39" s="56">
        <f>IF(COUNTIFS(Data!$AK$2:$AK$1105,1,Data!$AY$2:$AY$1105,$BB$39)&lt;Controls!$B$19,"",IFERROR(SUMIFS(Data!$AM$2:$AM$1105,Data!$AK$2:$AK$1105,1,Data!$AY$2:$AY$1105,$BB$39)/SUMIFS(Data!$P$2:$P$1105,Data!$AK$2:$AK$1105,1,Data!$AY$2:$AY$1105,$BB$39),""))</f>
        <v/>
      </c>
      <c r="BG39" s="57">
        <f>SUMIFS(Data!$AN$2:$AN$1105,Data!$AK$2:$AK$1105,1,Data!$AY$2:$AY$1105,$BB$39)</f>
        <v/>
      </c>
      <c r="BH39" s="61" t="n"/>
      <c r="BI39" s="61" t="n"/>
      <c r="BJ39" s="61" t="n"/>
      <c r="BK39" s="61">
        <f>IF($BC$39&lt;Controls!$B$22,"",$BE$39)</f>
        <v/>
      </c>
      <c r="BL39" s="61">
        <f>IF($BC$39&lt;Controls!$B$22,"",$BF$39)</f>
        <v/>
      </c>
      <c r="BM39" s="61">
        <f>IF($BC$39&lt;Controls!$B$22,"",$BG$39)</f>
        <v/>
      </c>
      <c r="BN39" s="61" t="n"/>
      <c r="BO39" s="61" t="n"/>
      <c r="BP39" s="61" t="n"/>
      <c r="BQ39" s="61" t="n"/>
      <c r="BR39" s="61" t="n"/>
      <c r="BS39" s="61" t="n"/>
      <c r="BT39" s="61" t="n"/>
    </row>
    <row r="40" ht="15.75" customHeight="1" s="79">
      <c r="A40" s="61">
        <f t="array" ref="A40">IFERROR(IF(2&gt;Controls!$B$18,"",IF(LARGE(Calc!$AT$81:$AT$130,2)&lt;-100000000000000,"",INDEX(Calc!$AN$81:$AN$130,MATCH(LARGE(Calc!$AT$81:$AT$130,2),Calc!$AT$81:$AT$130,0)))),"")</f>
        <v/>
      </c>
      <c r="B40" s="66">
        <f>IF($A$40="",NA(),IFERROR(SUMIFS(Data!$P$2:$P$1105,Data!$AK$2:$AK$1105,1,Data!$L$2:$L$1105,$A$40),NA()))</f>
        <v/>
      </c>
      <c r="C40" s="66">
        <f>IF($A$40="",NA(),IFERROR(SUMIFS(Data!$S$2:$S$1105,Data!$AK$2:$AK$1105,1,Data!$L$2:$L$1105,$A$40),NA()))</f>
        <v/>
      </c>
      <c r="D40" s="66">
        <f>IF(ISNA($B$40),NA(),$C$40-$B$40)</f>
        <v/>
      </c>
      <c r="E40" s="66">
        <f>IF($A$40="",NA(),IFERROR(SUMIFS(Data!$Q$2:$Q$1105,Data!$AK$2:$AK$1105,1,Data!$L$2:$L$1105,$A$40),NA()))</f>
        <v/>
      </c>
      <c r="F40" s="66">
        <f>IF($A$40="",NA(),IFERROR(SUMIFS(Data!$AN$2:$AN$1105,Data!$AK$2:$AK$1105,1,Data!$L$2:$L$1105,$A$40),NA()))</f>
        <v/>
      </c>
      <c r="G40" s="62">
        <f>IF($A$40="",NA(),IF(COUNTIFS(Data!$AK$2:$AK$1105,1,Data!$L$2:$L$1105,$A$40)&lt;Controls!$B$19,NA(),IFERROR(SUMIFS(Data!$AN$2:$AN$1105,Data!$AK$2:$AK$1105,1,Data!$L$2:$L$1105,$A$40)/$B$40,NA())))</f>
        <v/>
      </c>
      <c r="H40" s="62">
        <f>IF($A$40="",NA(),IF(COUNTIFS(Data!$AK$2:$AK$1105,1,Data!$L$2:$L$1105,$A$40)&lt;Controls!$B$19,NA(),IFERROR(SUMIFS(Data!$S$2:$S$1105,Data!$AK$2:$AK$1105,1,Data!$L$2:$L$1105,$A$40,Data!$AH$2:$AH$1105,1)/SUMIFS(Data!$P$2:$P$1105,Data!$AK$2:$AK$1105,1,Data!$L$2:$L$1105,$A$40,Data!$AH$2:$AH$1105,1),NA())))</f>
        <v/>
      </c>
      <c r="I40" s="62">
        <f>IF(ISNA($J$40),NA(),IF($J$40&lt;Controls!$B$19,NA(),IFERROR($D$40/$B$40,NA())))</f>
        <v/>
      </c>
      <c r="J40" s="67">
        <f>IF($A$40="",NA(),IFERROR(COUNTIFS(Data!$AK$2:$AK$1105,1,Data!$L$2:$L$1105,$A$40),NA()))</f>
        <v/>
      </c>
      <c r="K40" s="62">
        <f>IF(ISNA($B$40),NA(),IFERROR($B$40/Calc!$BT$6,NA()))</f>
        <v/>
      </c>
      <c r="L40" s="66">
        <f>IF(ISNA($J$40),NA(),IF($J$40&lt;Controls!$B$19,NA(),IFERROR($B$40/$J$40,NA())))</f>
        <v/>
      </c>
      <c r="M40" s="67">
        <f>IF($A$40="",NA(),IF(COUNTIFS(Data!$AK$2:$AK$1105,1,Data!$L$2:$L$1105,$A$40)&lt;Controls!$B$19,NA(),IFERROR(AVERAGEIFS(Data!$AE$2:$AE$1105,Data!$AK$2:$AK$1105,1,Data!$L$2:$L$1105,$A$40),NA())))</f>
        <v/>
      </c>
      <c r="N40" s="67">
        <f>IF($A$40="",NA(),IF(COUNTIFS(Data!$AK$2:$AK$1105,1,Data!$L$2:$L$1105,$A$40)&lt;Controls!$B$19,NA(),IFERROR(AVERAGEIFS(Data!$AD$2:$AD$1105,Data!$AK$2:$AK$1105,1,Data!$L$2:$L$1105,$A$40),NA())))</f>
        <v/>
      </c>
      <c r="O40" s="67">
        <f>IF($A$40="",NA(),IF(COUNTIFS(Data!$AK$2:$AK$1105,1,Data!$L$2:$L$1105,$A$40)&lt;Controls!$B$19,NA(),IFERROR(AVERAGEIFS(Data!$AS$2:$AS$1105,Data!$AK$2:$AK$1105,1,Data!$L$2:$L$1105,$A$40),NA())))</f>
        <v/>
      </c>
      <c r="P40" s="67">
        <f>IF($A$40="",NA(),IF(COUNTIFS(Data!$AK$2:$AK$1105,1,Data!$L$2:$L$1105,$A$40)&lt;Controls!$B$19,NA(),IFERROR(AVERAGEIFS(Data!$AT$2:$AT$1105,Data!$AK$2:$AK$1105,1,Data!$L$2:$L$1105,$A$40),NA())))</f>
        <v/>
      </c>
      <c r="Q40" s="62">
        <f>IF($A$40="",NA(),IF(COUNTIFS(Data!$AK$2:$AK$1105,1,Data!$L$2:$L$1105,$A$40)&lt;Controls!$B$19,NA(),IFERROR(COUNTIFS(Data!$AK$2:$AK$1105,1,Data!$L$2:$L$1105,$A$40,Data!$N$2:$N$1105,"Renewal")/COUNTIFS(Data!$AK$2:$AK$1105,1,Data!$L$2:$L$1105,$A$40),NA())))</f>
        <v/>
      </c>
      <c r="R40" s="62">
        <f>IF($A$40="",NA(),IF(COUNTIFS(Data!$AK$2:$AK$1105,1,Data!$L$2:$L$1105,$A$40)&lt;Controls!$B$19,NA(),IFERROR(SUMIFS(Data!$P$2:$P$1105,Data!$AK$2:$AK$1105,1,Data!$L$2:$L$1105,$A$40,Data!$N$2:$N$1105,"Renewal")/SUMIFS(Data!$P$2:$P$1105,Data!$AK$2:$AK$1105,1,Data!$L$2:$L$1105,$A$40),NA())))</f>
        <v/>
      </c>
      <c r="S40" s="62">
        <f>IF($A$40="",NA(),Calc!$BT$2)</f>
        <v/>
      </c>
      <c r="T40" s="62">
        <f>IF($A$40="",NA(),Calc!$BT$3)</f>
        <v/>
      </c>
      <c r="U40" s="62">
        <f>IF($A$40="",NA(),Calc!$BT$4)</f>
        <v/>
      </c>
      <c r="V40" s="62">
        <f>IF($A$40="",NA(),IF(COUNTIFS(Data!$AK$2:$AK$1105,1,Data!$L$2:$L$1105,$A$40)&lt;Controls!$B$19,NA(),IFERROR(COUNTIFS(Data!$AK$2:$AK$1105,1,Data!$L$2:$L$1105,$A$40,Data!$AH$2:$AH$1105,1)/COUNTIFS(Data!$AK$2:$AK$1105,1,Data!$L$2:$L$1105,$A$40),NA())))</f>
        <v/>
      </c>
      <c r="W40" s="61">
        <f>IF($A$40="","",$A$40&amp;" ("&amp;$J$40&amp;")")</f>
        <v/>
      </c>
      <c r="X40" s="61" t="n"/>
      <c r="Y40" s="61" t="n"/>
      <c r="Z40" s="61" t="n"/>
      <c r="AA40" s="61" t="n"/>
      <c r="AB40" s="61" t="n"/>
      <c r="AC40" s="61" t="n"/>
      <c r="AD40" s="61" t="n"/>
      <c r="AE40" s="61" t="n"/>
      <c r="AF40" s="61" t="n"/>
      <c r="AG40" s="61" t="n"/>
      <c r="AH40" s="61" t="n"/>
      <c r="AI40" s="61" t="n"/>
      <c r="AJ40" s="61" t="n"/>
      <c r="AK40" s="61" t="n"/>
      <c r="AL40" s="61" t="n"/>
      <c r="AM40" s="61" t="n"/>
      <c r="AN40" s="61">
        <f>Controls!$A$76</f>
        <v/>
      </c>
      <c r="AO40" s="61">
        <f>COUNTIFS(Data!$AK$2:$AK$1105,1,Data!$AY$2:$AY$1105,$AN$40)</f>
        <v/>
      </c>
      <c r="AP40" s="57">
        <f>SUMIFS(Data!$P$2:$P$1105,Data!$AK$2:$AK$1105,1,Data!$AY$2:$AY$1105,$AN$40)</f>
        <v/>
      </c>
      <c r="AQ40" s="56">
        <f>IFERROR(SUMIFS(Data!$AN$2:$AN$1105,Data!$AK$2:$AK$1105,1,Data!$AY$2:$AY$1105,$AN$40)/$AP$40,0)</f>
        <v/>
      </c>
      <c r="AR40" s="57">
        <f>SUMIFS(Data!$AN$2:$AN$1105,Data!$AK$2:$AK$1105,1,Data!$AY$2:$AY$1105,$AN$40)</f>
        <v/>
      </c>
      <c r="AS40" s="61">
        <f>Controls!$B$76</f>
        <v/>
      </c>
      <c r="AT40" s="61">
        <f>IF(OR(AO40=0,AO40&lt;Controls!$B$20),-1000000000000000,IF(AND(Controls!$B$21="Y",$AN$40="No SIC"),-1000000000000000,IF(Controls!$B$17="Selected only",IF(AS40="Y",AP40,-1000000000000000),IF(Controls!$B$17="Top by funded $",AP40,IF(Controls!$B$17="Top by funded units",AO40,IF(Controls!$B$17="Largest principal lost $",AR40,IF(Controls!$B$17="Highest net profit $",AU40,IF(AO40&lt;Controls!$B$19,-1000000000000000,IF(Controls!$B$17="Highest principal lost rate %",AQ40,IF(Controls!$B$17="Lowest principal lost rate %",1-AQ40,AP40))))))))) +37/1000000)</f>
        <v/>
      </c>
      <c r="AU40" s="57">
        <f>SUMIFS(Data!$AM$2:$AM$1105,Data!$AK$2:$AK$1105,1,Data!$AY$2:$AY$1105,$AN$40)</f>
        <v/>
      </c>
      <c r="AV40" s="61" t="n"/>
      <c r="AW40" s="61" t="n"/>
      <c r="AX40" s="61" t="n"/>
      <c r="AY40" s="61" t="n"/>
      <c r="AZ40" s="61" t="n"/>
      <c r="BA40" s="61" t="n"/>
      <c r="BB40" s="61">
        <f>Controls!$A$76</f>
        <v/>
      </c>
      <c r="BC40" s="61">
        <f>COUNTIFS(Data!$AK$2:$AK$1105,1,Data!$AY$2:$AY$1105,$BB$40)</f>
        <v/>
      </c>
      <c r="BD40" s="57">
        <f>SUMIFS(Data!$P$2:$P$1105,Data!$AK$2:$AK$1105,1,Data!$AY$2:$AY$1105,$BB$40)</f>
        <v/>
      </c>
      <c r="BE40" s="56">
        <f>IF(COUNTIFS(Data!$AK$2:$AK$1105,1,Data!$AY$2:$AY$1105,$BB$40)&lt;Controls!$B$19,"",IFERROR(SUMIFS(Data!$AN$2:$AN$1105,Data!$AK$2:$AK$1105,1,Data!$AY$2:$AY$1105,$BB$40)/$BD$40,""))</f>
        <v/>
      </c>
      <c r="BF40" s="56">
        <f>IF(COUNTIFS(Data!$AK$2:$AK$1105,1,Data!$AY$2:$AY$1105,$BB$40)&lt;Controls!$B$19,"",IFERROR(SUMIFS(Data!$AM$2:$AM$1105,Data!$AK$2:$AK$1105,1,Data!$AY$2:$AY$1105,$BB$40)/SUMIFS(Data!$P$2:$P$1105,Data!$AK$2:$AK$1105,1,Data!$AY$2:$AY$1105,$BB$40),""))</f>
        <v/>
      </c>
      <c r="BG40" s="57">
        <f>SUMIFS(Data!$AN$2:$AN$1105,Data!$AK$2:$AK$1105,1,Data!$AY$2:$AY$1105,$BB$40)</f>
        <v/>
      </c>
      <c r="BH40" s="61" t="n"/>
      <c r="BI40" s="61" t="n"/>
      <c r="BJ40" s="61" t="n"/>
      <c r="BK40" s="56">
        <f>IF($BC$40&lt;Controls!$B$22,"",$BE$40)</f>
        <v/>
      </c>
      <c r="BL40" s="56">
        <f>IF($BC$40&lt;Controls!$B$22,"",$BF$40)</f>
        <v/>
      </c>
      <c r="BM40" s="57">
        <f>IF($BC$40&lt;Controls!$B$22,"",$BG$40)</f>
        <v/>
      </c>
      <c r="BN40" s="61" t="n"/>
      <c r="BO40" s="61" t="n"/>
      <c r="BP40" s="61" t="n"/>
      <c r="BQ40" s="61" t="n"/>
      <c r="BR40" s="61" t="n"/>
      <c r="BS40" s="61" t="n"/>
      <c r="BT40" s="61" t="n"/>
    </row>
    <row r="41" ht="15.75" customHeight="1" s="79">
      <c r="A41" s="61">
        <f t="array" ref="A41">IFERROR(IF(3&gt;Controls!$B$18,"",IF(LARGE(Calc!$AT$81:$AT$130,3)&lt;-100000000000000,"",INDEX(Calc!$AN$81:$AN$130,MATCH(LARGE(Calc!$AT$81:$AT$130,3),Calc!$AT$81:$AT$130,0)))),"")</f>
        <v/>
      </c>
      <c r="B41" s="66">
        <f>IF($A$41="",NA(),IFERROR(SUMIFS(Data!$P$2:$P$1105,Data!$AK$2:$AK$1105,1,Data!$L$2:$L$1105,$A$41),NA()))</f>
        <v/>
      </c>
      <c r="C41" s="66">
        <f>IF($A$41="",NA(),IFERROR(SUMIFS(Data!$S$2:$S$1105,Data!$AK$2:$AK$1105,1,Data!$L$2:$L$1105,$A$41),NA()))</f>
        <v/>
      </c>
      <c r="D41" s="66">
        <f>IF(ISNA($B$41),NA(),$C$41-$B$41)</f>
        <v/>
      </c>
      <c r="E41" s="66">
        <f>IF($A$41="",NA(),IFERROR(SUMIFS(Data!$Q$2:$Q$1105,Data!$AK$2:$AK$1105,1,Data!$L$2:$L$1105,$A$41),NA()))</f>
        <v/>
      </c>
      <c r="F41" s="66">
        <f>IF($A$41="",NA(),IFERROR(SUMIFS(Data!$AN$2:$AN$1105,Data!$AK$2:$AK$1105,1,Data!$L$2:$L$1105,$A$41),NA()))</f>
        <v/>
      </c>
      <c r="G41" s="62">
        <f>IF($A$41="",NA(),IF(COUNTIFS(Data!$AK$2:$AK$1105,1,Data!$L$2:$L$1105,$A$41)&lt;Controls!$B$19,NA(),IFERROR(SUMIFS(Data!$AN$2:$AN$1105,Data!$AK$2:$AK$1105,1,Data!$L$2:$L$1105,$A$41)/$B$41,NA())))</f>
        <v/>
      </c>
      <c r="H41" s="62">
        <f>IF($A$41="",NA(),IF(COUNTIFS(Data!$AK$2:$AK$1105,1,Data!$L$2:$L$1105,$A$41)&lt;Controls!$B$19,NA(),IFERROR(SUMIFS(Data!$S$2:$S$1105,Data!$AK$2:$AK$1105,1,Data!$L$2:$L$1105,$A$41,Data!$AH$2:$AH$1105,1)/SUMIFS(Data!$P$2:$P$1105,Data!$AK$2:$AK$1105,1,Data!$L$2:$L$1105,$A$41,Data!$AH$2:$AH$1105,1),NA())))</f>
        <v/>
      </c>
      <c r="I41" s="62">
        <f>IF(ISNA($J$41),NA(),IF($J$41&lt;Controls!$B$19,NA(),IFERROR($D$41/$B$41,NA())))</f>
        <v/>
      </c>
      <c r="J41" s="67">
        <f>IF($A$41="",NA(),IFERROR(COUNTIFS(Data!$AK$2:$AK$1105,1,Data!$L$2:$L$1105,$A$41),NA()))</f>
        <v/>
      </c>
      <c r="K41" s="62">
        <f>IF(ISNA($B$41),NA(),IFERROR($B$41/Calc!$BT$6,NA()))</f>
        <v/>
      </c>
      <c r="L41" s="66">
        <f>IF(ISNA($J$41),NA(),IF($J$41&lt;Controls!$B$19,NA(),IFERROR($B$41/$J$41,NA())))</f>
        <v/>
      </c>
      <c r="M41" s="67">
        <f>IF($A$41="",NA(),IF(COUNTIFS(Data!$AK$2:$AK$1105,1,Data!$L$2:$L$1105,$A$41)&lt;Controls!$B$19,NA(),IFERROR(AVERAGEIFS(Data!$AE$2:$AE$1105,Data!$AK$2:$AK$1105,1,Data!$L$2:$L$1105,$A$41),NA())))</f>
        <v/>
      </c>
      <c r="N41" s="67">
        <f>IF($A$41="",NA(),IF(COUNTIFS(Data!$AK$2:$AK$1105,1,Data!$L$2:$L$1105,$A$41)&lt;Controls!$B$19,NA(),IFERROR(AVERAGEIFS(Data!$AD$2:$AD$1105,Data!$AK$2:$AK$1105,1,Data!$L$2:$L$1105,$A$41),NA())))</f>
        <v/>
      </c>
      <c r="O41" s="67">
        <f>IF($A$41="",NA(),IF(COUNTIFS(Data!$AK$2:$AK$1105,1,Data!$L$2:$L$1105,$A$41)&lt;Controls!$B$19,NA(),IFERROR(AVERAGEIFS(Data!$AS$2:$AS$1105,Data!$AK$2:$AK$1105,1,Data!$L$2:$L$1105,$A$41),NA())))</f>
        <v/>
      </c>
      <c r="P41" s="67">
        <f>IF($A$41="",NA(),IF(COUNTIFS(Data!$AK$2:$AK$1105,1,Data!$L$2:$L$1105,$A$41)&lt;Controls!$B$19,NA(),IFERROR(AVERAGEIFS(Data!$AT$2:$AT$1105,Data!$AK$2:$AK$1105,1,Data!$L$2:$L$1105,$A$41),NA())))</f>
        <v/>
      </c>
      <c r="Q41" s="62">
        <f>IF($A$41="",NA(),IF(COUNTIFS(Data!$AK$2:$AK$1105,1,Data!$L$2:$L$1105,$A$41)&lt;Controls!$B$19,NA(),IFERROR(COUNTIFS(Data!$AK$2:$AK$1105,1,Data!$L$2:$L$1105,$A$41,Data!$N$2:$N$1105,"Renewal")/COUNTIFS(Data!$AK$2:$AK$1105,1,Data!$L$2:$L$1105,$A$41),NA())))</f>
        <v/>
      </c>
      <c r="R41" s="62">
        <f>IF($A$41="",NA(),IF(COUNTIFS(Data!$AK$2:$AK$1105,1,Data!$L$2:$L$1105,$A$41)&lt;Controls!$B$19,NA(),IFERROR(SUMIFS(Data!$P$2:$P$1105,Data!$AK$2:$AK$1105,1,Data!$L$2:$L$1105,$A$41,Data!$N$2:$N$1105,"Renewal")/SUMIFS(Data!$P$2:$P$1105,Data!$AK$2:$AK$1105,1,Data!$L$2:$L$1105,$A$41),NA())))</f>
        <v/>
      </c>
      <c r="S41" s="62">
        <f>IF($A$41="",NA(),Calc!$BT$2)</f>
        <v/>
      </c>
      <c r="T41" s="62">
        <f>IF($A$41="",NA(),Calc!$BT$3)</f>
        <v/>
      </c>
      <c r="U41" s="62">
        <f>IF($A$41="",NA(),Calc!$BT$4)</f>
        <v/>
      </c>
      <c r="V41" s="62">
        <f>IF($A$41="",NA(),IF(COUNTIFS(Data!$AK$2:$AK$1105,1,Data!$L$2:$L$1105,$A$41)&lt;Controls!$B$19,NA(),IFERROR(COUNTIFS(Data!$AK$2:$AK$1105,1,Data!$L$2:$L$1105,$A$41,Data!$AH$2:$AH$1105,1)/COUNTIFS(Data!$AK$2:$AK$1105,1,Data!$L$2:$L$1105,$A$41),NA())))</f>
        <v/>
      </c>
      <c r="W41" s="61">
        <f>IF($A$41="","",$A$41&amp;" ("&amp;$J$41&amp;")")</f>
        <v/>
      </c>
      <c r="X41" s="61" t="n"/>
      <c r="Y41" s="61" t="n"/>
      <c r="Z41" s="61" t="n"/>
      <c r="AA41" s="61" t="n"/>
      <c r="AB41" s="61" t="n"/>
      <c r="AC41" s="61" t="n"/>
      <c r="AD41" s="61" t="n"/>
      <c r="AE41" s="61" t="n"/>
      <c r="AF41" s="61" t="n"/>
      <c r="AG41" s="61" t="n"/>
      <c r="AH41" s="61" t="n"/>
      <c r="AI41" s="61" t="n"/>
      <c r="AJ41" s="61" t="n"/>
      <c r="AK41" s="61" t="n"/>
      <c r="AL41" s="61" t="n"/>
      <c r="AM41" s="61" t="n"/>
      <c r="AN41" s="61">
        <f>Controls!$A$77</f>
        <v/>
      </c>
      <c r="AO41" s="61">
        <f>COUNTIFS(Data!$AK$2:$AK$1105,1,Data!$AY$2:$AY$1105,$AN$41)</f>
        <v/>
      </c>
      <c r="AP41" s="57">
        <f>SUMIFS(Data!$P$2:$P$1105,Data!$AK$2:$AK$1105,1,Data!$AY$2:$AY$1105,$AN$41)</f>
        <v/>
      </c>
      <c r="AQ41" s="56">
        <f>IFERROR(SUMIFS(Data!$AN$2:$AN$1105,Data!$AK$2:$AK$1105,1,Data!$AY$2:$AY$1105,$AN$41)/$AP$41,0)</f>
        <v/>
      </c>
      <c r="AR41" s="57">
        <f>SUMIFS(Data!$AN$2:$AN$1105,Data!$AK$2:$AK$1105,1,Data!$AY$2:$AY$1105,$AN$41)</f>
        <v/>
      </c>
      <c r="AS41" s="61">
        <f>Controls!$B$77</f>
        <v/>
      </c>
      <c r="AT41" s="61">
        <f>IF(OR(AO41=0,AO41&lt;Controls!$B$20),-1000000000000000,IF(AND(Controls!$B$21="Y",$AN$41="No SIC"),-1000000000000000,IF(Controls!$B$17="Selected only",IF(AS41="Y",AP41,-1000000000000000),IF(Controls!$B$17="Top by funded $",AP41,IF(Controls!$B$17="Top by funded units",AO41,IF(Controls!$B$17="Largest principal lost $",AR41,IF(Controls!$B$17="Highest net profit $",AU41,IF(AO41&lt;Controls!$B$19,-1000000000000000,IF(Controls!$B$17="Highest principal lost rate %",AQ41,IF(Controls!$B$17="Lowest principal lost rate %",1-AQ41,AP41))))))))) +38/1000000)</f>
        <v/>
      </c>
      <c r="AU41" s="57">
        <f>SUMIFS(Data!$AM$2:$AM$1105,Data!$AK$2:$AK$1105,1,Data!$AY$2:$AY$1105,$AN$41)</f>
        <v/>
      </c>
      <c r="AV41" s="61" t="n"/>
      <c r="AW41" s="61" t="n"/>
      <c r="AX41" s="61" t="n"/>
      <c r="AY41" s="61" t="n"/>
      <c r="AZ41" s="61" t="n"/>
      <c r="BA41" s="61" t="n"/>
      <c r="BB41" s="61">
        <f>Controls!$A$77</f>
        <v/>
      </c>
      <c r="BC41" s="61">
        <f>COUNTIFS(Data!$AK$2:$AK$1105,1,Data!$AY$2:$AY$1105,$BB$41)</f>
        <v/>
      </c>
      <c r="BD41" s="57">
        <f>SUMIFS(Data!$P$2:$P$1105,Data!$AK$2:$AK$1105,1,Data!$AY$2:$AY$1105,$BB$41)</f>
        <v/>
      </c>
      <c r="BE41" s="56">
        <f>IF(COUNTIFS(Data!$AK$2:$AK$1105,1,Data!$AY$2:$AY$1105,$BB$41)&lt;Controls!$B$19,"",IFERROR(SUMIFS(Data!$AN$2:$AN$1105,Data!$AK$2:$AK$1105,1,Data!$AY$2:$AY$1105,$BB$41)/$BD$41,""))</f>
        <v/>
      </c>
      <c r="BF41" s="56">
        <f>IF(COUNTIFS(Data!$AK$2:$AK$1105,1,Data!$AY$2:$AY$1105,$BB$41)&lt;Controls!$B$19,"",IFERROR(SUMIFS(Data!$AM$2:$AM$1105,Data!$AK$2:$AK$1105,1,Data!$AY$2:$AY$1105,$BB$41)/SUMIFS(Data!$P$2:$P$1105,Data!$AK$2:$AK$1105,1,Data!$AY$2:$AY$1105,$BB$41),""))</f>
        <v/>
      </c>
      <c r="BG41" s="57">
        <f>SUMIFS(Data!$AN$2:$AN$1105,Data!$AK$2:$AK$1105,1,Data!$AY$2:$AY$1105,$BB$41)</f>
        <v/>
      </c>
      <c r="BH41" s="61" t="n"/>
      <c r="BI41" s="61" t="n"/>
      <c r="BJ41" s="61" t="n"/>
      <c r="BK41" s="61">
        <f>IF($BC$41&lt;Controls!$B$22,"",$BE$41)</f>
        <v/>
      </c>
      <c r="BL41" s="61">
        <f>IF($BC$41&lt;Controls!$B$22,"",$BF$41)</f>
        <v/>
      </c>
      <c r="BM41" s="61">
        <f>IF($BC$41&lt;Controls!$B$22,"",$BG$41)</f>
        <v/>
      </c>
      <c r="BN41" s="61" t="n"/>
      <c r="BO41" s="61" t="n"/>
      <c r="BP41" s="61" t="n"/>
      <c r="BQ41" s="61" t="n"/>
      <c r="BR41" s="61" t="n"/>
      <c r="BS41" s="61" t="n"/>
      <c r="BT41" s="61" t="n"/>
    </row>
    <row r="42" ht="15.75" customHeight="1" s="79">
      <c r="A42" s="61">
        <f t="array" ref="A42">IFERROR(IF(4&gt;Controls!$B$18,"",IF(LARGE(Calc!$AT$81:$AT$130,4)&lt;-100000000000000,"",INDEX(Calc!$AN$81:$AN$130,MATCH(LARGE(Calc!$AT$81:$AT$130,4),Calc!$AT$81:$AT$130,0)))),"")</f>
        <v/>
      </c>
      <c r="B42" s="66">
        <f>IF($A$42="",NA(),IFERROR(SUMIFS(Data!$P$2:$P$1105,Data!$AK$2:$AK$1105,1,Data!$L$2:$L$1105,$A$42),NA()))</f>
        <v/>
      </c>
      <c r="C42" s="66">
        <f>IF($A$42="",NA(),IFERROR(SUMIFS(Data!$S$2:$S$1105,Data!$AK$2:$AK$1105,1,Data!$L$2:$L$1105,$A$42),NA()))</f>
        <v/>
      </c>
      <c r="D42" s="66">
        <f>IF(ISNA($B$42),NA(),$C$42-$B$42)</f>
        <v/>
      </c>
      <c r="E42" s="66">
        <f>IF($A$42="",NA(),IFERROR(SUMIFS(Data!$Q$2:$Q$1105,Data!$AK$2:$AK$1105,1,Data!$L$2:$L$1105,$A$42),NA()))</f>
        <v/>
      </c>
      <c r="F42" s="66">
        <f>IF($A$42="",NA(),IFERROR(SUMIFS(Data!$AN$2:$AN$1105,Data!$AK$2:$AK$1105,1,Data!$L$2:$L$1105,$A$42),NA()))</f>
        <v/>
      </c>
      <c r="G42" s="62">
        <f>IF($A$42="",NA(),IF(COUNTIFS(Data!$AK$2:$AK$1105,1,Data!$L$2:$L$1105,$A$42)&lt;Controls!$B$19,NA(),IFERROR(SUMIFS(Data!$AN$2:$AN$1105,Data!$AK$2:$AK$1105,1,Data!$L$2:$L$1105,$A$42)/$B$42,NA())))</f>
        <v/>
      </c>
      <c r="H42" s="62">
        <f>IF($A$42="",NA(),IF(COUNTIFS(Data!$AK$2:$AK$1105,1,Data!$L$2:$L$1105,$A$42)&lt;Controls!$B$19,NA(),IFERROR(SUMIFS(Data!$S$2:$S$1105,Data!$AK$2:$AK$1105,1,Data!$L$2:$L$1105,$A$42,Data!$AH$2:$AH$1105,1)/SUMIFS(Data!$P$2:$P$1105,Data!$AK$2:$AK$1105,1,Data!$L$2:$L$1105,$A$42,Data!$AH$2:$AH$1105,1),NA())))</f>
        <v/>
      </c>
      <c r="I42" s="62">
        <f>IF(ISNA($J$42),NA(),IF($J$42&lt;Controls!$B$19,NA(),IFERROR($D$42/$B$42,NA())))</f>
        <v/>
      </c>
      <c r="J42" s="67">
        <f>IF($A$42="",NA(),IFERROR(COUNTIFS(Data!$AK$2:$AK$1105,1,Data!$L$2:$L$1105,$A$42),NA()))</f>
        <v/>
      </c>
      <c r="K42" s="62">
        <f>IF(ISNA($B$42),NA(),IFERROR($B$42/Calc!$BT$6,NA()))</f>
        <v/>
      </c>
      <c r="L42" s="66">
        <f>IF(ISNA($J$42),NA(),IF($J$42&lt;Controls!$B$19,NA(),IFERROR($B$42/$J$42,NA())))</f>
        <v/>
      </c>
      <c r="M42" s="67">
        <f>IF($A$42="",NA(),IF(COUNTIFS(Data!$AK$2:$AK$1105,1,Data!$L$2:$L$1105,$A$42)&lt;Controls!$B$19,NA(),IFERROR(AVERAGEIFS(Data!$AE$2:$AE$1105,Data!$AK$2:$AK$1105,1,Data!$L$2:$L$1105,$A$42),NA())))</f>
        <v/>
      </c>
      <c r="N42" s="67">
        <f>IF($A$42="",NA(),IF(COUNTIFS(Data!$AK$2:$AK$1105,1,Data!$L$2:$L$1105,$A$42)&lt;Controls!$B$19,NA(),IFERROR(AVERAGEIFS(Data!$AD$2:$AD$1105,Data!$AK$2:$AK$1105,1,Data!$L$2:$L$1105,$A$42),NA())))</f>
        <v/>
      </c>
      <c r="O42" s="67">
        <f>IF($A$42="",NA(),IF(COUNTIFS(Data!$AK$2:$AK$1105,1,Data!$L$2:$L$1105,$A$42)&lt;Controls!$B$19,NA(),IFERROR(AVERAGEIFS(Data!$AS$2:$AS$1105,Data!$AK$2:$AK$1105,1,Data!$L$2:$L$1105,$A$42),NA())))</f>
        <v/>
      </c>
      <c r="P42" s="67">
        <f>IF($A$42="",NA(),IF(COUNTIFS(Data!$AK$2:$AK$1105,1,Data!$L$2:$L$1105,$A$42)&lt;Controls!$B$19,NA(),IFERROR(AVERAGEIFS(Data!$AT$2:$AT$1105,Data!$AK$2:$AK$1105,1,Data!$L$2:$L$1105,$A$42),NA())))</f>
        <v/>
      </c>
      <c r="Q42" s="62">
        <f>IF($A$42="",NA(),IF(COUNTIFS(Data!$AK$2:$AK$1105,1,Data!$L$2:$L$1105,$A$42)&lt;Controls!$B$19,NA(),IFERROR(COUNTIFS(Data!$AK$2:$AK$1105,1,Data!$L$2:$L$1105,$A$42,Data!$N$2:$N$1105,"Renewal")/COUNTIFS(Data!$AK$2:$AK$1105,1,Data!$L$2:$L$1105,$A$42),NA())))</f>
        <v/>
      </c>
      <c r="R42" s="62">
        <f>IF($A$42="",NA(),IF(COUNTIFS(Data!$AK$2:$AK$1105,1,Data!$L$2:$L$1105,$A$42)&lt;Controls!$B$19,NA(),IFERROR(SUMIFS(Data!$P$2:$P$1105,Data!$AK$2:$AK$1105,1,Data!$L$2:$L$1105,$A$42,Data!$N$2:$N$1105,"Renewal")/SUMIFS(Data!$P$2:$P$1105,Data!$AK$2:$AK$1105,1,Data!$L$2:$L$1105,$A$42),NA())))</f>
        <v/>
      </c>
      <c r="S42" s="62">
        <f>IF($A$42="",NA(),Calc!$BT$2)</f>
        <v/>
      </c>
      <c r="T42" s="62">
        <f>IF($A$42="",NA(),Calc!$BT$3)</f>
        <v/>
      </c>
      <c r="U42" s="62">
        <f>IF($A$42="",NA(),Calc!$BT$4)</f>
        <v/>
      </c>
      <c r="V42" s="62">
        <f>IF($A$42="",NA(),IF(COUNTIFS(Data!$AK$2:$AK$1105,1,Data!$L$2:$L$1105,$A$42)&lt;Controls!$B$19,NA(),IFERROR(COUNTIFS(Data!$AK$2:$AK$1105,1,Data!$L$2:$L$1105,$A$42,Data!$AH$2:$AH$1105,1)/COUNTIFS(Data!$AK$2:$AK$1105,1,Data!$L$2:$L$1105,$A$42),NA())))</f>
        <v/>
      </c>
      <c r="W42" s="61">
        <f>IF($A$42="","",$A$42&amp;" ("&amp;$J$42&amp;")")</f>
        <v/>
      </c>
      <c r="X42" s="61" t="n"/>
      <c r="Y42" s="61" t="n"/>
      <c r="Z42" s="61" t="n"/>
      <c r="AA42" s="61" t="n"/>
      <c r="AB42" s="61" t="n"/>
      <c r="AC42" s="61" t="n"/>
      <c r="AD42" s="61" t="n"/>
      <c r="AE42" s="61" t="n"/>
      <c r="AF42" s="61" t="n"/>
      <c r="AG42" s="61" t="n"/>
      <c r="AH42" s="61" t="n"/>
      <c r="AI42" s="61" t="n"/>
      <c r="AJ42" s="61" t="n"/>
      <c r="AK42" s="61" t="n"/>
      <c r="AL42" s="61" t="n"/>
      <c r="AM42" s="61" t="n"/>
      <c r="AN42" s="61">
        <f>Controls!$A$78</f>
        <v/>
      </c>
      <c r="AO42" s="61">
        <f>COUNTIFS(Data!$AK$2:$AK$1105,1,Data!$AY$2:$AY$1105,$AN$42)</f>
        <v/>
      </c>
      <c r="AP42" s="57">
        <f>SUMIFS(Data!$P$2:$P$1105,Data!$AK$2:$AK$1105,1,Data!$AY$2:$AY$1105,$AN$42)</f>
        <v/>
      </c>
      <c r="AQ42" s="56">
        <f>IFERROR(SUMIFS(Data!$AN$2:$AN$1105,Data!$AK$2:$AK$1105,1,Data!$AY$2:$AY$1105,$AN$42)/$AP$42,0)</f>
        <v/>
      </c>
      <c r="AR42" s="57">
        <f>SUMIFS(Data!$AN$2:$AN$1105,Data!$AK$2:$AK$1105,1,Data!$AY$2:$AY$1105,$AN$42)</f>
        <v/>
      </c>
      <c r="AS42" s="61">
        <f>Controls!$B$78</f>
        <v/>
      </c>
      <c r="AT42" s="61">
        <f>IF(OR(AO42=0,AO42&lt;Controls!$B$20),-1000000000000000,IF(AND(Controls!$B$21="Y",$AN$42="No SIC"),-1000000000000000,IF(Controls!$B$17="Selected only",IF(AS42="Y",AP42,-1000000000000000),IF(Controls!$B$17="Top by funded $",AP42,IF(Controls!$B$17="Top by funded units",AO42,IF(Controls!$B$17="Largest principal lost $",AR42,IF(Controls!$B$17="Highest net profit $",AU42,IF(AO42&lt;Controls!$B$19,-1000000000000000,IF(Controls!$B$17="Highest principal lost rate %",AQ42,IF(Controls!$B$17="Lowest principal lost rate %",1-AQ42,AP42))))))))) +39/1000000)</f>
        <v/>
      </c>
      <c r="AU42" s="57">
        <f>SUMIFS(Data!$AM$2:$AM$1105,Data!$AK$2:$AK$1105,1,Data!$AY$2:$AY$1105,$AN$42)</f>
        <v/>
      </c>
      <c r="AV42" s="61" t="n"/>
      <c r="AW42" s="61" t="n"/>
      <c r="AX42" s="61" t="n"/>
      <c r="AY42" s="61" t="n"/>
      <c r="AZ42" s="61" t="n"/>
      <c r="BA42" s="61" t="n"/>
      <c r="BB42" s="61">
        <f>Controls!$A$78</f>
        <v/>
      </c>
      <c r="BC42" s="61">
        <f>COUNTIFS(Data!$AK$2:$AK$1105,1,Data!$AY$2:$AY$1105,$BB$42)</f>
        <v/>
      </c>
      <c r="BD42" s="57">
        <f>SUMIFS(Data!$P$2:$P$1105,Data!$AK$2:$AK$1105,1,Data!$AY$2:$AY$1105,$BB$42)</f>
        <v/>
      </c>
      <c r="BE42" s="56">
        <f>IF(COUNTIFS(Data!$AK$2:$AK$1105,1,Data!$AY$2:$AY$1105,$BB$42)&lt;Controls!$B$19,"",IFERROR(SUMIFS(Data!$AN$2:$AN$1105,Data!$AK$2:$AK$1105,1,Data!$AY$2:$AY$1105,$BB$42)/$BD$42,""))</f>
        <v/>
      </c>
      <c r="BF42" s="56">
        <f>IF(COUNTIFS(Data!$AK$2:$AK$1105,1,Data!$AY$2:$AY$1105,$BB$42)&lt;Controls!$B$19,"",IFERROR(SUMIFS(Data!$AM$2:$AM$1105,Data!$AK$2:$AK$1105,1,Data!$AY$2:$AY$1105,$BB$42)/SUMIFS(Data!$P$2:$P$1105,Data!$AK$2:$AK$1105,1,Data!$AY$2:$AY$1105,$BB$42),""))</f>
        <v/>
      </c>
      <c r="BG42" s="57">
        <f>SUMIFS(Data!$AN$2:$AN$1105,Data!$AK$2:$AK$1105,1,Data!$AY$2:$AY$1105,$BB$42)</f>
        <v/>
      </c>
      <c r="BH42" s="61" t="n"/>
      <c r="BI42" s="61" t="n"/>
      <c r="BJ42" s="61" t="n"/>
      <c r="BK42" s="61">
        <f>IF($BC$42&lt;Controls!$B$22,"",$BE$42)</f>
        <v/>
      </c>
      <c r="BL42" s="61">
        <f>IF($BC$42&lt;Controls!$B$22,"",$BF$42)</f>
        <v/>
      </c>
      <c r="BM42" s="61">
        <f>IF($BC$42&lt;Controls!$B$22,"",$BG$42)</f>
        <v/>
      </c>
      <c r="BN42" s="61" t="n"/>
      <c r="BO42" s="61" t="n"/>
      <c r="BP42" s="61" t="n"/>
      <c r="BQ42" s="61" t="n"/>
      <c r="BR42" s="61" t="n"/>
      <c r="BS42" s="61" t="n"/>
      <c r="BT42" s="61" t="n"/>
    </row>
    <row r="43" ht="15.75" customHeight="1" s="79">
      <c r="A43" s="61">
        <f t="array" ref="A43">IFERROR(IF(5&gt;Controls!$B$18,"",IF(LARGE(Calc!$AT$81:$AT$130,5)&lt;-100000000000000,"",INDEX(Calc!$AN$81:$AN$130,MATCH(LARGE(Calc!$AT$81:$AT$130,5),Calc!$AT$81:$AT$130,0)))),"")</f>
        <v/>
      </c>
      <c r="B43" s="66">
        <f>IF($A$43="",NA(),IFERROR(SUMIFS(Data!$P$2:$P$1105,Data!$AK$2:$AK$1105,1,Data!$L$2:$L$1105,$A$43),NA()))</f>
        <v/>
      </c>
      <c r="C43" s="66">
        <f>IF($A$43="",NA(),IFERROR(SUMIFS(Data!$S$2:$S$1105,Data!$AK$2:$AK$1105,1,Data!$L$2:$L$1105,$A$43),NA()))</f>
        <v/>
      </c>
      <c r="D43" s="66">
        <f>IF(ISNA($B$43),NA(),$C$43-$B$43)</f>
        <v/>
      </c>
      <c r="E43" s="66">
        <f>IF($A$43="",NA(),IFERROR(SUMIFS(Data!$Q$2:$Q$1105,Data!$AK$2:$AK$1105,1,Data!$L$2:$L$1105,$A$43),NA()))</f>
        <v/>
      </c>
      <c r="F43" s="66">
        <f>IF($A$43="",NA(),IFERROR(SUMIFS(Data!$AN$2:$AN$1105,Data!$AK$2:$AK$1105,1,Data!$L$2:$L$1105,$A$43),NA()))</f>
        <v/>
      </c>
      <c r="G43" s="62">
        <f>IF($A$43="",NA(),IF(COUNTIFS(Data!$AK$2:$AK$1105,1,Data!$L$2:$L$1105,$A$43)&lt;Controls!$B$19,NA(),IFERROR(SUMIFS(Data!$AN$2:$AN$1105,Data!$AK$2:$AK$1105,1,Data!$L$2:$L$1105,$A$43)/$B$43,NA())))</f>
        <v/>
      </c>
      <c r="H43" s="62">
        <f>IF($A$43="",NA(),IF(COUNTIFS(Data!$AK$2:$AK$1105,1,Data!$L$2:$L$1105,$A$43)&lt;Controls!$B$19,NA(),IFERROR(SUMIFS(Data!$S$2:$S$1105,Data!$AK$2:$AK$1105,1,Data!$L$2:$L$1105,$A$43,Data!$AH$2:$AH$1105,1)/SUMIFS(Data!$P$2:$P$1105,Data!$AK$2:$AK$1105,1,Data!$L$2:$L$1105,$A$43,Data!$AH$2:$AH$1105,1),NA())))</f>
        <v/>
      </c>
      <c r="I43" s="62">
        <f>IF(ISNA($J$43),NA(),IF($J$43&lt;Controls!$B$19,NA(),IFERROR($D$43/$B$43,NA())))</f>
        <v/>
      </c>
      <c r="J43" s="67">
        <f>IF($A$43="",NA(),IFERROR(COUNTIFS(Data!$AK$2:$AK$1105,1,Data!$L$2:$L$1105,$A$43),NA()))</f>
        <v/>
      </c>
      <c r="K43" s="62">
        <f>IF(ISNA($B$43),NA(),IFERROR($B$43/Calc!$BT$6,NA()))</f>
        <v/>
      </c>
      <c r="L43" s="66">
        <f>IF(ISNA($J$43),NA(),IF($J$43&lt;Controls!$B$19,NA(),IFERROR($B$43/$J$43,NA())))</f>
        <v/>
      </c>
      <c r="M43" s="67">
        <f>IF($A$43="",NA(),IF(COUNTIFS(Data!$AK$2:$AK$1105,1,Data!$L$2:$L$1105,$A$43)&lt;Controls!$B$19,NA(),IFERROR(AVERAGEIFS(Data!$AE$2:$AE$1105,Data!$AK$2:$AK$1105,1,Data!$L$2:$L$1105,$A$43),NA())))</f>
        <v/>
      </c>
      <c r="N43" s="67">
        <f>IF($A$43="",NA(),IF(COUNTIFS(Data!$AK$2:$AK$1105,1,Data!$L$2:$L$1105,$A$43)&lt;Controls!$B$19,NA(),IFERROR(AVERAGEIFS(Data!$AD$2:$AD$1105,Data!$AK$2:$AK$1105,1,Data!$L$2:$L$1105,$A$43),NA())))</f>
        <v/>
      </c>
      <c r="O43" s="67">
        <f>IF($A$43="",NA(),IF(COUNTIFS(Data!$AK$2:$AK$1105,1,Data!$L$2:$L$1105,$A$43)&lt;Controls!$B$19,NA(),IFERROR(AVERAGEIFS(Data!$AS$2:$AS$1105,Data!$AK$2:$AK$1105,1,Data!$L$2:$L$1105,$A$43),NA())))</f>
        <v/>
      </c>
      <c r="P43" s="67">
        <f>IF($A$43="",NA(),IF(COUNTIFS(Data!$AK$2:$AK$1105,1,Data!$L$2:$L$1105,$A$43)&lt;Controls!$B$19,NA(),IFERROR(AVERAGEIFS(Data!$AT$2:$AT$1105,Data!$AK$2:$AK$1105,1,Data!$L$2:$L$1105,$A$43),NA())))</f>
        <v/>
      </c>
      <c r="Q43" s="62">
        <f>IF($A$43="",NA(),IF(COUNTIFS(Data!$AK$2:$AK$1105,1,Data!$L$2:$L$1105,$A$43)&lt;Controls!$B$19,NA(),IFERROR(COUNTIFS(Data!$AK$2:$AK$1105,1,Data!$L$2:$L$1105,$A$43,Data!$N$2:$N$1105,"Renewal")/COUNTIFS(Data!$AK$2:$AK$1105,1,Data!$L$2:$L$1105,$A$43),NA())))</f>
        <v/>
      </c>
      <c r="R43" s="62">
        <f>IF($A$43="",NA(),IF(COUNTIFS(Data!$AK$2:$AK$1105,1,Data!$L$2:$L$1105,$A$43)&lt;Controls!$B$19,NA(),IFERROR(SUMIFS(Data!$P$2:$P$1105,Data!$AK$2:$AK$1105,1,Data!$L$2:$L$1105,$A$43,Data!$N$2:$N$1105,"Renewal")/SUMIFS(Data!$P$2:$P$1105,Data!$AK$2:$AK$1105,1,Data!$L$2:$L$1105,$A$43),NA())))</f>
        <v/>
      </c>
      <c r="S43" s="62">
        <f>IF($A$43="",NA(),Calc!$BT$2)</f>
        <v/>
      </c>
      <c r="T43" s="62">
        <f>IF($A$43="",NA(),Calc!$BT$3)</f>
        <v/>
      </c>
      <c r="U43" s="62">
        <f>IF($A$43="",NA(),Calc!$BT$4)</f>
        <v/>
      </c>
      <c r="V43" s="62">
        <f>IF($A$43="",NA(),IF(COUNTIFS(Data!$AK$2:$AK$1105,1,Data!$L$2:$L$1105,$A$43)&lt;Controls!$B$19,NA(),IFERROR(COUNTIFS(Data!$AK$2:$AK$1105,1,Data!$L$2:$L$1105,$A$43,Data!$AH$2:$AH$1105,1)/COUNTIFS(Data!$AK$2:$AK$1105,1,Data!$L$2:$L$1105,$A$43),NA())))</f>
        <v/>
      </c>
      <c r="W43" s="61">
        <f>IF($A$43="","",$A$43&amp;" ("&amp;$J$43&amp;")")</f>
        <v/>
      </c>
      <c r="X43" s="61" t="n"/>
      <c r="Y43" s="61" t="n"/>
      <c r="Z43" s="61" t="n"/>
      <c r="AA43" s="61" t="n"/>
      <c r="AB43" s="61" t="n"/>
      <c r="AC43" s="61" t="n"/>
      <c r="AD43" s="61" t="n"/>
      <c r="AE43" s="61" t="n"/>
      <c r="AF43" s="61" t="n"/>
      <c r="AG43" s="61" t="n"/>
      <c r="AH43" s="61" t="n"/>
      <c r="AI43" s="61" t="n"/>
      <c r="AJ43" s="61" t="n"/>
      <c r="AK43" s="61" t="n"/>
      <c r="AL43" s="61" t="n"/>
      <c r="AM43" s="61" t="n"/>
      <c r="AN43" s="61">
        <f>Controls!$A$79</f>
        <v/>
      </c>
      <c r="AO43" s="61">
        <f>COUNTIFS(Data!$AK$2:$AK$1105,1,Data!$AY$2:$AY$1105,$AN$43)</f>
        <v/>
      </c>
      <c r="AP43" s="57">
        <f>SUMIFS(Data!$P$2:$P$1105,Data!$AK$2:$AK$1105,1,Data!$AY$2:$AY$1105,$AN$43)</f>
        <v/>
      </c>
      <c r="AQ43" s="56">
        <f>IFERROR(SUMIFS(Data!$AN$2:$AN$1105,Data!$AK$2:$AK$1105,1,Data!$AY$2:$AY$1105,$AN$43)/$AP$43,0)</f>
        <v/>
      </c>
      <c r="AR43" s="57">
        <f>SUMIFS(Data!$AN$2:$AN$1105,Data!$AK$2:$AK$1105,1,Data!$AY$2:$AY$1105,$AN$43)</f>
        <v/>
      </c>
      <c r="AS43" s="61">
        <f>Controls!$B$79</f>
        <v/>
      </c>
      <c r="AT43" s="61">
        <f>IF(OR(AO43=0,AO43&lt;Controls!$B$20),-1000000000000000,IF(AND(Controls!$B$21="Y",$AN$43="No SIC"),-1000000000000000,IF(Controls!$B$17="Selected only",IF(AS43="Y",AP43,-1000000000000000),IF(Controls!$B$17="Top by funded $",AP43,IF(Controls!$B$17="Top by funded units",AO43,IF(Controls!$B$17="Largest principal lost $",AR43,IF(Controls!$B$17="Highest net profit $",AU43,IF(AO43&lt;Controls!$B$19,-1000000000000000,IF(Controls!$B$17="Highest principal lost rate %",AQ43,IF(Controls!$B$17="Lowest principal lost rate %",1-AQ43,AP43))))))))) +40/1000000)</f>
        <v/>
      </c>
      <c r="AU43" s="57">
        <f>SUMIFS(Data!$AM$2:$AM$1105,Data!$AK$2:$AK$1105,1,Data!$AY$2:$AY$1105,$AN$43)</f>
        <v/>
      </c>
      <c r="AV43" s="61" t="n"/>
      <c r="AW43" s="61" t="n"/>
      <c r="AX43" s="61" t="n"/>
      <c r="AY43" s="61" t="n"/>
      <c r="AZ43" s="61" t="n"/>
      <c r="BA43" s="61" t="n"/>
      <c r="BB43" s="61">
        <f>Controls!$A$79</f>
        <v/>
      </c>
      <c r="BC43" s="61">
        <f>COUNTIFS(Data!$AK$2:$AK$1105,1,Data!$AY$2:$AY$1105,$BB$43)</f>
        <v/>
      </c>
      <c r="BD43" s="57">
        <f>SUMIFS(Data!$P$2:$P$1105,Data!$AK$2:$AK$1105,1,Data!$AY$2:$AY$1105,$BB$43)</f>
        <v/>
      </c>
      <c r="BE43" s="56">
        <f>IF(COUNTIFS(Data!$AK$2:$AK$1105,1,Data!$AY$2:$AY$1105,$BB$43)&lt;Controls!$B$19,"",IFERROR(SUMIFS(Data!$AN$2:$AN$1105,Data!$AK$2:$AK$1105,1,Data!$AY$2:$AY$1105,$BB$43)/$BD$43,""))</f>
        <v/>
      </c>
      <c r="BF43" s="56">
        <f>IF(COUNTIFS(Data!$AK$2:$AK$1105,1,Data!$AY$2:$AY$1105,$BB$43)&lt;Controls!$B$19,"",IFERROR(SUMIFS(Data!$AM$2:$AM$1105,Data!$AK$2:$AK$1105,1,Data!$AY$2:$AY$1105,$BB$43)/SUMIFS(Data!$P$2:$P$1105,Data!$AK$2:$AK$1105,1,Data!$AY$2:$AY$1105,$BB$43),""))</f>
        <v/>
      </c>
      <c r="BG43" s="57">
        <f>SUMIFS(Data!$AN$2:$AN$1105,Data!$AK$2:$AK$1105,1,Data!$AY$2:$AY$1105,$BB$43)</f>
        <v/>
      </c>
      <c r="BH43" s="61" t="n"/>
      <c r="BI43" s="61" t="n"/>
      <c r="BJ43" s="61" t="n"/>
      <c r="BK43" s="61">
        <f>IF($BC$43&lt;Controls!$B$22,"",$BE$43)</f>
        <v/>
      </c>
      <c r="BL43" s="61">
        <f>IF($BC$43&lt;Controls!$B$22,"",$BF$43)</f>
        <v/>
      </c>
      <c r="BM43" s="61">
        <f>IF($BC$43&lt;Controls!$B$22,"",$BG$43)</f>
        <v/>
      </c>
      <c r="BN43" s="61" t="n"/>
      <c r="BO43" s="61" t="n"/>
      <c r="BP43" s="61" t="n"/>
      <c r="BQ43" s="61" t="n"/>
      <c r="BR43" s="61" t="n"/>
      <c r="BS43" s="61" t="n"/>
      <c r="BT43" s="61" t="n"/>
    </row>
    <row r="44" ht="15.75" customHeight="1" s="79">
      <c r="A44" s="61">
        <f t="array" ref="A44">IFERROR(IF(6&gt;Controls!$B$18,"",IF(LARGE(Calc!$AT$81:$AT$130,6)&lt;-100000000000000,"",INDEX(Calc!$AN$81:$AN$130,MATCH(LARGE(Calc!$AT$81:$AT$130,6),Calc!$AT$81:$AT$130,0)))),"")</f>
        <v/>
      </c>
      <c r="B44" s="66">
        <f>IF($A$44="",NA(),IFERROR(SUMIFS(Data!$P$2:$P$1105,Data!$AK$2:$AK$1105,1,Data!$L$2:$L$1105,$A$44),NA()))</f>
        <v/>
      </c>
      <c r="C44" s="66">
        <f>IF($A$44="",NA(),IFERROR(SUMIFS(Data!$S$2:$S$1105,Data!$AK$2:$AK$1105,1,Data!$L$2:$L$1105,$A$44),NA()))</f>
        <v/>
      </c>
      <c r="D44" s="66">
        <f>IF(ISNA($B$44),NA(),$C$44-$B$44)</f>
        <v/>
      </c>
      <c r="E44" s="66">
        <f>IF($A$44="",NA(),IFERROR(SUMIFS(Data!$Q$2:$Q$1105,Data!$AK$2:$AK$1105,1,Data!$L$2:$L$1105,$A$44),NA()))</f>
        <v/>
      </c>
      <c r="F44" s="66">
        <f>IF($A$44="",NA(),IFERROR(SUMIFS(Data!$AN$2:$AN$1105,Data!$AK$2:$AK$1105,1,Data!$L$2:$L$1105,$A$44),NA()))</f>
        <v/>
      </c>
      <c r="G44" s="62">
        <f>IF($A$44="",NA(),IF(COUNTIFS(Data!$AK$2:$AK$1105,1,Data!$L$2:$L$1105,$A$44)&lt;Controls!$B$19,NA(),IFERROR(SUMIFS(Data!$AN$2:$AN$1105,Data!$AK$2:$AK$1105,1,Data!$L$2:$L$1105,$A$44)/$B$44,NA())))</f>
        <v/>
      </c>
      <c r="H44" s="62">
        <f>IF($A$44="",NA(),IF(COUNTIFS(Data!$AK$2:$AK$1105,1,Data!$L$2:$L$1105,$A$44)&lt;Controls!$B$19,NA(),IFERROR(SUMIFS(Data!$S$2:$S$1105,Data!$AK$2:$AK$1105,1,Data!$L$2:$L$1105,$A$44,Data!$AH$2:$AH$1105,1)/SUMIFS(Data!$P$2:$P$1105,Data!$AK$2:$AK$1105,1,Data!$L$2:$L$1105,$A$44,Data!$AH$2:$AH$1105,1),NA())))</f>
        <v/>
      </c>
      <c r="I44" s="62">
        <f>IF(ISNA($J$44),NA(),IF($J$44&lt;Controls!$B$19,NA(),IFERROR($D$44/$B$44,NA())))</f>
        <v/>
      </c>
      <c r="J44" s="67">
        <f>IF($A$44="",NA(),IFERROR(COUNTIFS(Data!$AK$2:$AK$1105,1,Data!$L$2:$L$1105,$A$44),NA()))</f>
        <v/>
      </c>
      <c r="K44" s="62">
        <f>IF(ISNA($B$44),NA(),IFERROR($B$44/Calc!$BT$6,NA()))</f>
        <v/>
      </c>
      <c r="L44" s="66">
        <f>IF(ISNA($J$44),NA(),IF($J$44&lt;Controls!$B$19,NA(),IFERROR($B$44/$J$44,NA())))</f>
        <v/>
      </c>
      <c r="M44" s="67">
        <f>IF($A$44="",NA(),IF(COUNTIFS(Data!$AK$2:$AK$1105,1,Data!$L$2:$L$1105,$A$44)&lt;Controls!$B$19,NA(),IFERROR(AVERAGEIFS(Data!$AE$2:$AE$1105,Data!$AK$2:$AK$1105,1,Data!$L$2:$L$1105,$A$44),NA())))</f>
        <v/>
      </c>
      <c r="N44" s="67">
        <f>IF($A$44="",NA(),IF(COUNTIFS(Data!$AK$2:$AK$1105,1,Data!$L$2:$L$1105,$A$44)&lt;Controls!$B$19,NA(),IFERROR(AVERAGEIFS(Data!$AD$2:$AD$1105,Data!$AK$2:$AK$1105,1,Data!$L$2:$L$1105,$A$44),NA())))</f>
        <v/>
      </c>
      <c r="O44" s="67">
        <f>IF($A$44="",NA(),IF(COUNTIFS(Data!$AK$2:$AK$1105,1,Data!$L$2:$L$1105,$A$44)&lt;Controls!$B$19,NA(),IFERROR(AVERAGEIFS(Data!$AS$2:$AS$1105,Data!$AK$2:$AK$1105,1,Data!$L$2:$L$1105,$A$44),NA())))</f>
        <v/>
      </c>
      <c r="P44" s="67">
        <f>IF($A$44="",NA(),IF(COUNTIFS(Data!$AK$2:$AK$1105,1,Data!$L$2:$L$1105,$A$44)&lt;Controls!$B$19,NA(),IFERROR(AVERAGEIFS(Data!$AT$2:$AT$1105,Data!$AK$2:$AK$1105,1,Data!$L$2:$L$1105,$A$44),NA())))</f>
        <v/>
      </c>
      <c r="Q44" s="62">
        <f>IF($A$44="",NA(),IF(COUNTIFS(Data!$AK$2:$AK$1105,1,Data!$L$2:$L$1105,$A$44)&lt;Controls!$B$19,NA(),IFERROR(COUNTIFS(Data!$AK$2:$AK$1105,1,Data!$L$2:$L$1105,$A$44,Data!$N$2:$N$1105,"Renewal")/COUNTIFS(Data!$AK$2:$AK$1105,1,Data!$L$2:$L$1105,$A$44),NA())))</f>
        <v/>
      </c>
      <c r="R44" s="62">
        <f>IF($A$44="",NA(),IF(COUNTIFS(Data!$AK$2:$AK$1105,1,Data!$L$2:$L$1105,$A$44)&lt;Controls!$B$19,NA(),IFERROR(SUMIFS(Data!$P$2:$P$1105,Data!$AK$2:$AK$1105,1,Data!$L$2:$L$1105,$A$44,Data!$N$2:$N$1105,"Renewal")/SUMIFS(Data!$P$2:$P$1105,Data!$AK$2:$AK$1105,1,Data!$L$2:$L$1105,$A$44),NA())))</f>
        <v/>
      </c>
      <c r="S44" s="62">
        <f>IF($A$44="",NA(),Calc!$BT$2)</f>
        <v/>
      </c>
      <c r="T44" s="62">
        <f>IF($A$44="",NA(),Calc!$BT$3)</f>
        <v/>
      </c>
      <c r="U44" s="62">
        <f>IF($A$44="",NA(),Calc!$BT$4)</f>
        <v/>
      </c>
      <c r="V44" s="62">
        <f>IF($A$44="",NA(),IF(COUNTIFS(Data!$AK$2:$AK$1105,1,Data!$L$2:$L$1105,$A$44)&lt;Controls!$B$19,NA(),IFERROR(COUNTIFS(Data!$AK$2:$AK$1105,1,Data!$L$2:$L$1105,$A$44,Data!$AH$2:$AH$1105,1)/COUNTIFS(Data!$AK$2:$AK$1105,1,Data!$L$2:$L$1105,$A$44),NA())))</f>
        <v/>
      </c>
      <c r="W44" s="61">
        <f>IF($A$44="","",$A$44&amp;" ("&amp;$J$44&amp;")")</f>
        <v/>
      </c>
      <c r="X44" s="61" t="n"/>
      <c r="Y44" s="61" t="n"/>
      <c r="Z44" s="61" t="n"/>
      <c r="AA44" s="61" t="n"/>
      <c r="AB44" s="61" t="n"/>
      <c r="AC44" s="61" t="n"/>
      <c r="AD44" s="61" t="n"/>
      <c r="AE44" s="61" t="n"/>
      <c r="AF44" s="61" t="n"/>
      <c r="AG44" s="61" t="n"/>
      <c r="AH44" s="61" t="n"/>
      <c r="AI44" s="61" t="n"/>
      <c r="AJ44" s="61" t="n"/>
      <c r="AK44" s="61" t="n"/>
      <c r="AL44" s="61" t="n"/>
      <c r="AM44" s="61" t="n"/>
      <c r="AN44" s="61">
        <f>Controls!$A$80</f>
        <v/>
      </c>
      <c r="AO44" s="61">
        <f>COUNTIFS(Data!$AK$2:$AK$1105,1,Data!$AY$2:$AY$1105,$AN$44)</f>
        <v/>
      </c>
      <c r="AP44" s="57">
        <f>SUMIFS(Data!$P$2:$P$1105,Data!$AK$2:$AK$1105,1,Data!$AY$2:$AY$1105,$AN$44)</f>
        <v/>
      </c>
      <c r="AQ44" s="56">
        <f>IFERROR(SUMIFS(Data!$AN$2:$AN$1105,Data!$AK$2:$AK$1105,1,Data!$AY$2:$AY$1105,$AN$44)/$AP$44,0)</f>
        <v/>
      </c>
      <c r="AR44" s="57">
        <f>SUMIFS(Data!$AN$2:$AN$1105,Data!$AK$2:$AK$1105,1,Data!$AY$2:$AY$1105,$AN$44)</f>
        <v/>
      </c>
      <c r="AS44" s="61">
        <f>Controls!$B$80</f>
        <v/>
      </c>
      <c r="AT44" s="61">
        <f>IF(OR(AO44=0,AO44&lt;Controls!$B$20),-1000000000000000,IF(AND(Controls!$B$21="Y",$AN$44="No SIC"),-1000000000000000,IF(Controls!$B$17="Selected only",IF(AS44="Y",AP44,-1000000000000000),IF(Controls!$B$17="Top by funded $",AP44,IF(Controls!$B$17="Top by funded units",AO44,IF(Controls!$B$17="Largest principal lost $",AR44,IF(Controls!$B$17="Highest net profit $",AU44,IF(AO44&lt;Controls!$B$19,-1000000000000000,IF(Controls!$B$17="Highest principal lost rate %",AQ44,IF(Controls!$B$17="Lowest principal lost rate %",1-AQ44,AP44))))))))) +41/1000000)</f>
        <v/>
      </c>
      <c r="AU44" s="57">
        <f>SUMIFS(Data!$AM$2:$AM$1105,Data!$AK$2:$AK$1105,1,Data!$AY$2:$AY$1105,$AN$44)</f>
        <v/>
      </c>
      <c r="AV44" s="61" t="n"/>
      <c r="AW44" s="61" t="n"/>
      <c r="AX44" s="61" t="n"/>
      <c r="AY44" s="61" t="n"/>
      <c r="AZ44" s="61" t="n"/>
      <c r="BA44" s="61" t="n"/>
      <c r="BB44" s="61">
        <f>Controls!$A$80</f>
        <v/>
      </c>
      <c r="BC44" s="61">
        <f>COUNTIFS(Data!$AK$2:$AK$1105,1,Data!$AY$2:$AY$1105,$BB$44)</f>
        <v/>
      </c>
      <c r="BD44" s="57">
        <f>SUMIFS(Data!$P$2:$P$1105,Data!$AK$2:$AK$1105,1,Data!$AY$2:$AY$1105,$BB$44)</f>
        <v/>
      </c>
      <c r="BE44" s="56">
        <f>IF(COUNTIFS(Data!$AK$2:$AK$1105,1,Data!$AY$2:$AY$1105,$BB$44)&lt;Controls!$B$19,"",IFERROR(SUMIFS(Data!$AN$2:$AN$1105,Data!$AK$2:$AK$1105,1,Data!$AY$2:$AY$1105,$BB$44)/$BD$44,""))</f>
        <v/>
      </c>
      <c r="BF44" s="56">
        <f>IF(COUNTIFS(Data!$AK$2:$AK$1105,1,Data!$AY$2:$AY$1105,$BB$44)&lt;Controls!$B$19,"",IFERROR(SUMIFS(Data!$AM$2:$AM$1105,Data!$AK$2:$AK$1105,1,Data!$AY$2:$AY$1105,$BB$44)/SUMIFS(Data!$P$2:$P$1105,Data!$AK$2:$AK$1105,1,Data!$AY$2:$AY$1105,$BB$44),""))</f>
        <v/>
      </c>
      <c r="BG44" s="57">
        <f>SUMIFS(Data!$AN$2:$AN$1105,Data!$AK$2:$AK$1105,1,Data!$AY$2:$AY$1105,$BB$44)</f>
        <v/>
      </c>
      <c r="BH44" s="61" t="n"/>
      <c r="BI44" s="61" t="n"/>
      <c r="BJ44" s="61" t="n"/>
      <c r="BK44" s="61">
        <f>IF($BC$44&lt;Controls!$B$22,"",$BE$44)</f>
        <v/>
      </c>
      <c r="BL44" s="61">
        <f>IF($BC$44&lt;Controls!$B$22,"",$BF$44)</f>
        <v/>
      </c>
      <c r="BM44" s="61">
        <f>IF($BC$44&lt;Controls!$B$22,"",$BG$44)</f>
        <v/>
      </c>
      <c r="BN44" s="61" t="n"/>
      <c r="BO44" s="61" t="n"/>
      <c r="BP44" s="61" t="n"/>
      <c r="BQ44" s="61" t="n"/>
      <c r="BR44" s="61" t="n"/>
      <c r="BS44" s="61" t="n"/>
      <c r="BT44" s="61" t="n"/>
    </row>
    <row r="45" ht="15.75" customHeight="1" s="79">
      <c r="A45" s="61">
        <f t="array" ref="A45">IFERROR(IF(7&gt;Controls!$B$18,"",IF(LARGE(Calc!$AT$81:$AT$130,7)&lt;-100000000000000,"",INDEX(Calc!$AN$81:$AN$130,MATCH(LARGE(Calc!$AT$81:$AT$130,7),Calc!$AT$81:$AT$130,0)))),"")</f>
        <v/>
      </c>
      <c r="B45" s="66">
        <f>IF($A$45="",NA(),IFERROR(SUMIFS(Data!$P$2:$P$1105,Data!$AK$2:$AK$1105,1,Data!$L$2:$L$1105,$A$45),NA()))</f>
        <v/>
      </c>
      <c r="C45" s="66">
        <f>IF($A$45="",NA(),IFERROR(SUMIFS(Data!$S$2:$S$1105,Data!$AK$2:$AK$1105,1,Data!$L$2:$L$1105,$A$45),NA()))</f>
        <v/>
      </c>
      <c r="D45" s="66">
        <f>IF(ISNA($B$45),NA(),$C$45-$B$45)</f>
        <v/>
      </c>
      <c r="E45" s="66">
        <f>IF($A$45="",NA(),IFERROR(SUMIFS(Data!$Q$2:$Q$1105,Data!$AK$2:$AK$1105,1,Data!$L$2:$L$1105,$A$45),NA()))</f>
        <v/>
      </c>
      <c r="F45" s="66">
        <f>IF($A$45="",NA(),IFERROR(SUMIFS(Data!$AN$2:$AN$1105,Data!$AK$2:$AK$1105,1,Data!$L$2:$L$1105,$A$45),NA()))</f>
        <v/>
      </c>
      <c r="G45" s="62">
        <f>IF($A$45="",NA(),IF(COUNTIFS(Data!$AK$2:$AK$1105,1,Data!$L$2:$L$1105,$A$45)&lt;Controls!$B$19,NA(),IFERROR(SUMIFS(Data!$AN$2:$AN$1105,Data!$AK$2:$AK$1105,1,Data!$L$2:$L$1105,$A$45)/$B$45,NA())))</f>
        <v/>
      </c>
      <c r="H45" s="62">
        <f>IF($A$45="",NA(),IF(COUNTIFS(Data!$AK$2:$AK$1105,1,Data!$L$2:$L$1105,$A$45)&lt;Controls!$B$19,NA(),IFERROR(SUMIFS(Data!$S$2:$S$1105,Data!$AK$2:$AK$1105,1,Data!$L$2:$L$1105,$A$45,Data!$AH$2:$AH$1105,1)/SUMIFS(Data!$P$2:$P$1105,Data!$AK$2:$AK$1105,1,Data!$L$2:$L$1105,$A$45,Data!$AH$2:$AH$1105,1),NA())))</f>
        <v/>
      </c>
      <c r="I45" s="62">
        <f>IF(ISNA($J$45),NA(),IF($J$45&lt;Controls!$B$19,NA(),IFERROR($D$45/$B$45,NA())))</f>
        <v/>
      </c>
      <c r="J45" s="67">
        <f>IF($A$45="",NA(),IFERROR(COUNTIFS(Data!$AK$2:$AK$1105,1,Data!$L$2:$L$1105,$A$45),NA()))</f>
        <v/>
      </c>
      <c r="K45" s="62">
        <f>IF(ISNA($B$45),NA(),IFERROR($B$45/Calc!$BT$6,NA()))</f>
        <v/>
      </c>
      <c r="L45" s="66">
        <f>IF(ISNA($J$45),NA(),IF($J$45&lt;Controls!$B$19,NA(),IFERROR($B$45/$J$45,NA())))</f>
        <v/>
      </c>
      <c r="M45" s="67">
        <f>IF($A$45="",NA(),IF(COUNTIFS(Data!$AK$2:$AK$1105,1,Data!$L$2:$L$1105,$A$45)&lt;Controls!$B$19,NA(),IFERROR(AVERAGEIFS(Data!$AE$2:$AE$1105,Data!$AK$2:$AK$1105,1,Data!$L$2:$L$1105,$A$45),NA())))</f>
        <v/>
      </c>
      <c r="N45" s="67">
        <f>IF($A$45="",NA(),IF(COUNTIFS(Data!$AK$2:$AK$1105,1,Data!$L$2:$L$1105,$A$45)&lt;Controls!$B$19,NA(),IFERROR(AVERAGEIFS(Data!$AD$2:$AD$1105,Data!$AK$2:$AK$1105,1,Data!$L$2:$L$1105,$A$45),NA())))</f>
        <v/>
      </c>
      <c r="O45" s="67">
        <f>IF($A$45="",NA(),IF(COUNTIFS(Data!$AK$2:$AK$1105,1,Data!$L$2:$L$1105,$A$45)&lt;Controls!$B$19,NA(),IFERROR(AVERAGEIFS(Data!$AS$2:$AS$1105,Data!$AK$2:$AK$1105,1,Data!$L$2:$L$1105,$A$45),NA())))</f>
        <v/>
      </c>
      <c r="P45" s="67">
        <f>IF($A$45="",NA(),IF(COUNTIFS(Data!$AK$2:$AK$1105,1,Data!$L$2:$L$1105,$A$45)&lt;Controls!$B$19,NA(),IFERROR(AVERAGEIFS(Data!$AT$2:$AT$1105,Data!$AK$2:$AK$1105,1,Data!$L$2:$L$1105,$A$45),NA())))</f>
        <v/>
      </c>
      <c r="Q45" s="62">
        <f>IF($A$45="",NA(),IF(COUNTIFS(Data!$AK$2:$AK$1105,1,Data!$L$2:$L$1105,$A$45)&lt;Controls!$B$19,NA(),IFERROR(COUNTIFS(Data!$AK$2:$AK$1105,1,Data!$L$2:$L$1105,$A$45,Data!$N$2:$N$1105,"Renewal")/COUNTIFS(Data!$AK$2:$AK$1105,1,Data!$L$2:$L$1105,$A$45),NA())))</f>
        <v/>
      </c>
      <c r="R45" s="62">
        <f>IF($A$45="",NA(),IF(COUNTIFS(Data!$AK$2:$AK$1105,1,Data!$L$2:$L$1105,$A$45)&lt;Controls!$B$19,NA(),IFERROR(SUMIFS(Data!$P$2:$P$1105,Data!$AK$2:$AK$1105,1,Data!$L$2:$L$1105,$A$45,Data!$N$2:$N$1105,"Renewal")/SUMIFS(Data!$P$2:$P$1105,Data!$AK$2:$AK$1105,1,Data!$L$2:$L$1105,$A$45),NA())))</f>
        <v/>
      </c>
      <c r="S45" s="62">
        <f>IF($A$45="",NA(),Calc!$BT$2)</f>
        <v/>
      </c>
      <c r="T45" s="62">
        <f>IF($A$45="",NA(),Calc!$BT$3)</f>
        <v/>
      </c>
      <c r="U45" s="62">
        <f>IF($A$45="",NA(),Calc!$BT$4)</f>
        <v/>
      </c>
      <c r="V45" s="62">
        <f>IF($A$45="",NA(),IF(COUNTIFS(Data!$AK$2:$AK$1105,1,Data!$L$2:$L$1105,$A$45)&lt;Controls!$B$19,NA(),IFERROR(COUNTIFS(Data!$AK$2:$AK$1105,1,Data!$L$2:$L$1105,$A$45,Data!$AH$2:$AH$1105,1)/COUNTIFS(Data!$AK$2:$AK$1105,1,Data!$L$2:$L$1105,$A$45),NA())))</f>
        <v/>
      </c>
      <c r="W45" s="61">
        <f>IF($A$45="","",$A$45&amp;" ("&amp;$J$45&amp;")")</f>
        <v/>
      </c>
      <c r="X45" s="61" t="n"/>
      <c r="Y45" s="61" t="n"/>
      <c r="Z45" s="61" t="n"/>
      <c r="AA45" s="61" t="n"/>
      <c r="AB45" s="61" t="n"/>
      <c r="AC45" s="61" t="n"/>
      <c r="AD45" s="61" t="n"/>
      <c r="AE45" s="61" t="n"/>
      <c r="AF45" s="61" t="n"/>
      <c r="AG45" s="61" t="n"/>
      <c r="AH45" s="61" t="n"/>
      <c r="AI45" s="61" t="n"/>
      <c r="AJ45" s="61" t="n"/>
      <c r="AK45" s="61" t="n"/>
      <c r="AL45" s="61" t="n"/>
      <c r="AM45" s="61" t="n"/>
      <c r="AN45" s="61">
        <f>Controls!$A$81</f>
        <v/>
      </c>
      <c r="AO45" s="61">
        <f>COUNTIFS(Data!$AK$2:$AK$1105,1,Data!$AY$2:$AY$1105,$AN$45)</f>
        <v/>
      </c>
      <c r="AP45" s="57">
        <f>SUMIFS(Data!$P$2:$P$1105,Data!$AK$2:$AK$1105,1,Data!$AY$2:$AY$1105,$AN$45)</f>
        <v/>
      </c>
      <c r="AQ45" s="56">
        <f>IFERROR(SUMIFS(Data!$AN$2:$AN$1105,Data!$AK$2:$AK$1105,1,Data!$AY$2:$AY$1105,$AN$45)/$AP$45,0)</f>
        <v/>
      </c>
      <c r="AR45" s="57">
        <f>SUMIFS(Data!$AN$2:$AN$1105,Data!$AK$2:$AK$1105,1,Data!$AY$2:$AY$1105,$AN$45)</f>
        <v/>
      </c>
      <c r="AS45" s="61">
        <f>Controls!$B$81</f>
        <v/>
      </c>
      <c r="AT45" s="61">
        <f>IF(OR(AO45=0,AO45&lt;Controls!$B$20),-1000000000000000,IF(AND(Controls!$B$21="Y",$AN$45="No SIC"),-1000000000000000,IF(Controls!$B$17="Selected only",IF(AS45="Y",AP45,-1000000000000000),IF(Controls!$B$17="Top by funded $",AP45,IF(Controls!$B$17="Top by funded units",AO45,IF(Controls!$B$17="Largest principal lost $",AR45,IF(Controls!$B$17="Highest net profit $",AU45,IF(AO45&lt;Controls!$B$19,-1000000000000000,IF(Controls!$B$17="Highest principal lost rate %",AQ45,IF(Controls!$B$17="Lowest principal lost rate %",1-AQ45,AP45))))))))) +42/1000000)</f>
        <v/>
      </c>
      <c r="AU45" s="57">
        <f>SUMIFS(Data!$AM$2:$AM$1105,Data!$AK$2:$AK$1105,1,Data!$AY$2:$AY$1105,$AN$45)</f>
        <v/>
      </c>
      <c r="AV45" s="61" t="n"/>
      <c r="AW45" s="61" t="n"/>
      <c r="AX45" s="61" t="n"/>
      <c r="AY45" s="61" t="n"/>
      <c r="AZ45" s="61" t="n"/>
      <c r="BA45" s="61" t="n"/>
      <c r="BB45" s="61">
        <f>Controls!$A$81</f>
        <v/>
      </c>
      <c r="BC45" s="61">
        <f>COUNTIFS(Data!$AK$2:$AK$1105,1,Data!$AY$2:$AY$1105,$BB$45)</f>
        <v/>
      </c>
      <c r="BD45" s="57">
        <f>SUMIFS(Data!$P$2:$P$1105,Data!$AK$2:$AK$1105,1,Data!$AY$2:$AY$1105,$BB$45)</f>
        <v/>
      </c>
      <c r="BE45" s="56">
        <f>IF(COUNTIFS(Data!$AK$2:$AK$1105,1,Data!$AY$2:$AY$1105,$BB$45)&lt;Controls!$B$19,"",IFERROR(SUMIFS(Data!$AN$2:$AN$1105,Data!$AK$2:$AK$1105,1,Data!$AY$2:$AY$1105,$BB$45)/$BD$45,""))</f>
        <v/>
      </c>
      <c r="BF45" s="56">
        <f>IF(COUNTIFS(Data!$AK$2:$AK$1105,1,Data!$AY$2:$AY$1105,$BB$45)&lt;Controls!$B$19,"",IFERROR(SUMIFS(Data!$AM$2:$AM$1105,Data!$AK$2:$AK$1105,1,Data!$AY$2:$AY$1105,$BB$45)/SUMIFS(Data!$P$2:$P$1105,Data!$AK$2:$AK$1105,1,Data!$AY$2:$AY$1105,$BB$45),""))</f>
        <v/>
      </c>
      <c r="BG45" s="57">
        <f>SUMIFS(Data!$AN$2:$AN$1105,Data!$AK$2:$AK$1105,1,Data!$AY$2:$AY$1105,$BB$45)</f>
        <v/>
      </c>
      <c r="BH45" s="61" t="n"/>
      <c r="BI45" s="61" t="n"/>
      <c r="BJ45" s="61" t="n"/>
      <c r="BK45" s="61">
        <f>IF($BC$45&lt;Controls!$B$22,"",$BE$45)</f>
        <v/>
      </c>
      <c r="BL45" s="61">
        <f>IF($BC$45&lt;Controls!$B$22,"",$BF$45)</f>
        <v/>
      </c>
      <c r="BM45" s="61">
        <f>IF($BC$45&lt;Controls!$B$22,"",$BG$45)</f>
        <v/>
      </c>
      <c r="BN45" s="61" t="n"/>
      <c r="BO45" s="61" t="n"/>
      <c r="BP45" s="61" t="n"/>
      <c r="BQ45" s="61" t="n"/>
      <c r="BR45" s="61" t="n"/>
      <c r="BS45" s="61" t="n"/>
      <c r="BT45" s="61" t="n"/>
    </row>
    <row r="46" ht="15.75" customHeight="1" s="79">
      <c r="A46" s="61">
        <f t="array" ref="A46">IFERROR(IF(8&gt;Controls!$B$18,"",IF(LARGE(Calc!$AT$81:$AT$130,8)&lt;-100000000000000,"",INDEX(Calc!$AN$81:$AN$130,MATCH(LARGE(Calc!$AT$81:$AT$130,8),Calc!$AT$81:$AT$130,0)))),"")</f>
        <v/>
      </c>
      <c r="B46" s="66">
        <f>IF($A$46="",NA(),IFERROR(SUMIFS(Data!$P$2:$P$1105,Data!$AK$2:$AK$1105,1,Data!$L$2:$L$1105,$A$46),NA()))</f>
        <v/>
      </c>
      <c r="C46" s="66">
        <f>IF($A$46="",NA(),IFERROR(SUMIFS(Data!$S$2:$S$1105,Data!$AK$2:$AK$1105,1,Data!$L$2:$L$1105,$A$46),NA()))</f>
        <v/>
      </c>
      <c r="D46" s="66">
        <f>IF(ISNA($B$46),NA(),$C$46-$B$46)</f>
        <v/>
      </c>
      <c r="E46" s="66">
        <f>IF($A$46="",NA(),IFERROR(SUMIFS(Data!$Q$2:$Q$1105,Data!$AK$2:$AK$1105,1,Data!$L$2:$L$1105,$A$46),NA()))</f>
        <v/>
      </c>
      <c r="F46" s="66">
        <f>IF($A$46="",NA(),IFERROR(SUMIFS(Data!$AN$2:$AN$1105,Data!$AK$2:$AK$1105,1,Data!$L$2:$L$1105,$A$46),NA()))</f>
        <v/>
      </c>
      <c r="G46" s="62">
        <f>IF($A$46="",NA(),IF(COUNTIFS(Data!$AK$2:$AK$1105,1,Data!$L$2:$L$1105,$A$46)&lt;Controls!$B$19,NA(),IFERROR(SUMIFS(Data!$AN$2:$AN$1105,Data!$AK$2:$AK$1105,1,Data!$L$2:$L$1105,$A$46)/$B$46,NA())))</f>
        <v/>
      </c>
      <c r="H46" s="62">
        <f>IF($A$46="",NA(),IF(COUNTIFS(Data!$AK$2:$AK$1105,1,Data!$L$2:$L$1105,$A$46)&lt;Controls!$B$19,NA(),IFERROR(SUMIFS(Data!$S$2:$S$1105,Data!$AK$2:$AK$1105,1,Data!$L$2:$L$1105,$A$46,Data!$AH$2:$AH$1105,1)/SUMIFS(Data!$P$2:$P$1105,Data!$AK$2:$AK$1105,1,Data!$L$2:$L$1105,$A$46,Data!$AH$2:$AH$1105,1),NA())))</f>
        <v/>
      </c>
      <c r="I46" s="62">
        <f>IF(ISNA($J$46),NA(),IF($J$46&lt;Controls!$B$19,NA(),IFERROR($D$46/$B$46,NA())))</f>
        <v/>
      </c>
      <c r="J46" s="67">
        <f>IF($A$46="",NA(),IFERROR(COUNTIFS(Data!$AK$2:$AK$1105,1,Data!$L$2:$L$1105,$A$46),NA()))</f>
        <v/>
      </c>
      <c r="K46" s="62">
        <f>IF(ISNA($B$46),NA(),IFERROR($B$46/Calc!$BT$6,NA()))</f>
        <v/>
      </c>
      <c r="L46" s="66">
        <f>IF(ISNA($J$46),NA(),IF($J$46&lt;Controls!$B$19,NA(),IFERROR($B$46/$J$46,NA())))</f>
        <v/>
      </c>
      <c r="M46" s="67">
        <f>IF($A$46="",NA(),IF(COUNTIFS(Data!$AK$2:$AK$1105,1,Data!$L$2:$L$1105,$A$46)&lt;Controls!$B$19,NA(),IFERROR(AVERAGEIFS(Data!$AE$2:$AE$1105,Data!$AK$2:$AK$1105,1,Data!$L$2:$L$1105,$A$46),NA())))</f>
        <v/>
      </c>
      <c r="N46" s="67">
        <f>IF($A$46="",NA(),IF(COUNTIFS(Data!$AK$2:$AK$1105,1,Data!$L$2:$L$1105,$A$46)&lt;Controls!$B$19,NA(),IFERROR(AVERAGEIFS(Data!$AD$2:$AD$1105,Data!$AK$2:$AK$1105,1,Data!$L$2:$L$1105,$A$46),NA())))</f>
        <v/>
      </c>
      <c r="O46" s="67">
        <f>IF($A$46="",NA(),IF(COUNTIFS(Data!$AK$2:$AK$1105,1,Data!$L$2:$L$1105,$A$46)&lt;Controls!$B$19,NA(),IFERROR(AVERAGEIFS(Data!$AS$2:$AS$1105,Data!$AK$2:$AK$1105,1,Data!$L$2:$L$1105,$A$46),NA())))</f>
        <v/>
      </c>
      <c r="P46" s="67">
        <f>IF($A$46="",NA(),IF(COUNTIFS(Data!$AK$2:$AK$1105,1,Data!$L$2:$L$1105,$A$46)&lt;Controls!$B$19,NA(),IFERROR(AVERAGEIFS(Data!$AT$2:$AT$1105,Data!$AK$2:$AK$1105,1,Data!$L$2:$L$1105,$A$46),NA())))</f>
        <v/>
      </c>
      <c r="Q46" s="62">
        <f>IF($A$46="",NA(),IF(COUNTIFS(Data!$AK$2:$AK$1105,1,Data!$L$2:$L$1105,$A$46)&lt;Controls!$B$19,NA(),IFERROR(COUNTIFS(Data!$AK$2:$AK$1105,1,Data!$L$2:$L$1105,$A$46,Data!$N$2:$N$1105,"Renewal")/COUNTIFS(Data!$AK$2:$AK$1105,1,Data!$L$2:$L$1105,$A$46),NA())))</f>
        <v/>
      </c>
      <c r="R46" s="62">
        <f>IF($A$46="",NA(),IF(COUNTIFS(Data!$AK$2:$AK$1105,1,Data!$L$2:$L$1105,$A$46)&lt;Controls!$B$19,NA(),IFERROR(SUMIFS(Data!$P$2:$P$1105,Data!$AK$2:$AK$1105,1,Data!$L$2:$L$1105,$A$46,Data!$N$2:$N$1105,"Renewal")/SUMIFS(Data!$P$2:$P$1105,Data!$AK$2:$AK$1105,1,Data!$L$2:$L$1105,$A$46),NA())))</f>
        <v/>
      </c>
      <c r="S46" s="62">
        <f>IF($A$46="",NA(),Calc!$BT$2)</f>
        <v/>
      </c>
      <c r="T46" s="62">
        <f>IF($A$46="",NA(),Calc!$BT$3)</f>
        <v/>
      </c>
      <c r="U46" s="62">
        <f>IF($A$46="",NA(),Calc!$BT$4)</f>
        <v/>
      </c>
      <c r="V46" s="62">
        <f>IF($A$46="",NA(),IF(COUNTIFS(Data!$AK$2:$AK$1105,1,Data!$L$2:$L$1105,$A$46)&lt;Controls!$B$19,NA(),IFERROR(COUNTIFS(Data!$AK$2:$AK$1105,1,Data!$L$2:$L$1105,$A$46,Data!$AH$2:$AH$1105,1)/COUNTIFS(Data!$AK$2:$AK$1105,1,Data!$L$2:$L$1105,$A$46),NA())))</f>
        <v/>
      </c>
      <c r="W46" s="61">
        <f>IF($A$46="","",$A$46&amp;" ("&amp;$J$46&amp;")")</f>
        <v/>
      </c>
      <c r="X46" s="61" t="n"/>
      <c r="Y46" s="61" t="n"/>
      <c r="Z46" s="61" t="n"/>
      <c r="AA46" s="61" t="n"/>
      <c r="AB46" s="61" t="n"/>
      <c r="AC46" s="61" t="n"/>
      <c r="AD46" s="61" t="n"/>
      <c r="AE46" s="61" t="n"/>
      <c r="AF46" s="61" t="n"/>
      <c r="AG46" s="61" t="n"/>
      <c r="AH46" s="61" t="n"/>
      <c r="AI46" s="61" t="n"/>
      <c r="AJ46" s="61" t="n"/>
      <c r="AK46" s="61" t="n"/>
      <c r="AL46" s="61" t="n"/>
      <c r="AM46" s="61" t="n"/>
      <c r="AN46" s="61">
        <f>Controls!$A$82</f>
        <v/>
      </c>
      <c r="AO46" s="61">
        <f>COUNTIFS(Data!$AK$2:$AK$1105,1,Data!$AY$2:$AY$1105,$AN$46)</f>
        <v/>
      </c>
      <c r="AP46" s="57">
        <f>SUMIFS(Data!$P$2:$P$1105,Data!$AK$2:$AK$1105,1,Data!$AY$2:$AY$1105,$AN$46)</f>
        <v/>
      </c>
      <c r="AQ46" s="56">
        <f>IFERROR(SUMIFS(Data!$AN$2:$AN$1105,Data!$AK$2:$AK$1105,1,Data!$AY$2:$AY$1105,$AN$46)/$AP$46,0)</f>
        <v/>
      </c>
      <c r="AR46" s="57">
        <f>SUMIFS(Data!$AN$2:$AN$1105,Data!$AK$2:$AK$1105,1,Data!$AY$2:$AY$1105,$AN$46)</f>
        <v/>
      </c>
      <c r="AS46" s="61">
        <f>Controls!$B$82</f>
        <v/>
      </c>
      <c r="AT46" s="61">
        <f>IF(OR(AO46=0,AO46&lt;Controls!$B$20),-1000000000000000,IF(AND(Controls!$B$21="Y",$AN$46="No SIC"),-1000000000000000,IF(Controls!$B$17="Selected only",IF(AS46="Y",AP46,-1000000000000000),IF(Controls!$B$17="Top by funded $",AP46,IF(Controls!$B$17="Top by funded units",AO46,IF(Controls!$B$17="Largest principal lost $",AR46,IF(Controls!$B$17="Highest net profit $",AU46,IF(AO46&lt;Controls!$B$19,-1000000000000000,IF(Controls!$B$17="Highest principal lost rate %",AQ46,IF(Controls!$B$17="Lowest principal lost rate %",1-AQ46,AP46))))))))) +43/1000000)</f>
        <v/>
      </c>
      <c r="AU46" s="57">
        <f>SUMIFS(Data!$AM$2:$AM$1105,Data!$AK$2:$AK$1105,1,Data!$AY$2:$AY$1105,$AN$46)</f>
        <v/>
      </c>
      <c r="AV46" s="61" t="n"/>
      <c r="AW46" s="61" t="n"/>
      <c r="AX46" s="61" t="n"/>
      <c r="AY46" s="61" t="n"/>
      <c r="AZ46" s="61" t="n"/>
      <c r="BA46" s="61" t="n"/>
      <c r="BB46" s="61">
        <f>Controls!$A$82</f>
        <v/>
      </c>
      <c r="BC46" s="61">
        <f>COUNTIFS(Data!$AK$2:$AK$1105,1,Data!$AY$2:$AY$1105,$BB$46)</f>
        <v/>
      </c>
      <c r="BD46" s="57">
        <f>SUMIFS(Data!$P$2:$P$1105,Data!$AK$2:$AK$1105,1,Data!$AY$2:$AY$1105,$BB$46)</f>
        <v/>
      </c>
      <c r="BE46" s="56">
        <f>IF(COUNTIFS(Data!$AK$2:$AK$1105,1,Data!$AY$2:$AY$1105,$BB$46)&lt;Controls!$B$19,"",IFERROR(SUMIFS(Data!$AN$2:$AN$1105,Data!$AK$2:$AK$1105,1,Data!$AY$2:$AY$1105,$BB$46)/$BD$46,""))</f>
        <v/>
      </c>
      <c r="BF46" s="56">
        <f>IF(COUNTIFS(Data!$AK$2:$AK$1105,1,Data!$AY$2:$AY$1105,$BB$46)&lt;Controls!$B$19,"",IFERROR(SUMIFS(Data!$AM$2:$AM$1105,Data!$AK$2:$AK$1105,1,Data!$AY$2:$AY$1105,$BB$46)/SUMIFS(Data!$P$2:$P$1105,Data!$AK$2:$AK$1105,1,Data!$AY$2:$AY$1105,$BB$46),""))</f>
        <v/>
      </c>
      <c r="BG46" s="57">
        <f>SUMIFS(Data!$AN$2:$AN$1105,Data!$AK$2:$AK$1105,1,Data!$AY$2:$AY$1105,$BB$46)</f>
        <v/>
      </c>
      <c r="BH46" s="61" t="n"/>
      <c r="BI46" s="61" t="n"/>
      <c r="BJ46" s="61" t="n"/>
      <c r="BK46" s="56">
        <f>IF($BC$46&lt;Controls!$B$22,"",$BE$46)</f>
        <v/>
      </c>
      <c r="BL46" s="56">
        <f>IF($BC$46&lt;Controls!$B$22,"",$BF$46)</f>
        <v/>
      </c>
      <c r="BM46" s="57">
        <f>IF($BC$46&lt;Controls!$B$22,"",$BG$46)</f>
        <v/>
      </c>
      <c r="BN46" s="61" t="n"/>
      <c r="BO46" s="61" t="n"/>
      <c r="BP46" s="61" t="n"/>
      <c r="BQ46" s="61" t="n"/>
      <c r="BR46" s="61" t="n"/>
      <c r="BS46" s="61" t="n"/>
      <c r="BT46" s="61" t="n"/>
    </row>
    <row r="47" ht="15.75" customHeight="1" s="79">
      <c r="A47" s="61">
        <f t="array" ref="A47">IFERROR(IF(9&gt;Controls!$B$18,"",IF(LARGE(Calc!$AT$81:$AT$130,9)&lt;-100000000000000,"",INDEX(Calc!$AN$81:$AN$130,MATCH(LARGE(Calc!$AT$81:$AT$130,9),Calc!$AT$81:$AT$130,0)))),"")</f>
        <v/>
      </c>
      <c r="B47" s="66">
        <f>IF($A$47="",NA(),IFERROR(SUMIFS(Data!$P$2:$P$1105,Data!$AK$2:$AK$1105,1,Data!$L$2:$L$1105,$A$47),NA()))</f>
        <v/>
      </c>
      <c r="C47" s="66">
        <f>IF($A$47="",NA(),IFERROR(SUMIFS(Data!$S$2:$S$1105,Data!$AK$2:$AK$1105,1,Data!$L$2:$L$1105,$A$47),NA()))</f>
        <v/>
      </c>
      <c r="D47" s="66">
        <f>IF(ISNA($B$47),NA(),$C$47-$B$47)</f>
        <v/>
      </c>
      <c r="E47" s="66">
        <f>IF($A$47="",NA(),IFERROR(SUMIFS(Data!$Q$2:$Q$1105,Data!$AK$2:$AK$1105,1,Data!$L$2:$L$1105,$A$47),NA()))</f>
        <v/>
      </c>
      <c r="F47" s="66">
        <f>IF($A$47="",NA(),IFERROR(SUMIFS(Data!$AN$2:$AN$1105,Data!$AK$2:$AK$1105,1,Data!$L$2:$L$1105,$A$47),NA()))</f>
        <v/>
      </c>
      <c r="G47" s="62">
        <f>IF($A$47="",NA(),IF(COUNTIFS(Data!$AK$2:$AK$1105,1,Data!$L$2:$L$1105,$A$47)&lt;Controls!$B$19,NA(),IFERROR(SUMIFS(Data!$AN$2:$AN$1105,Data!$AK$2:$AK$1105,1,Data!$L$2:$L$1105,$A$47)/$B$47,NA())))</f>
        <v/>
      </c>
      <c r="H47" s="62">
        <f>IF($A$47="",NA(),IF(COUNTIFS(Data!$AK$2:$AK$1105,1,Data!$L$2:$L$1105,$A$47)&lt;Controls!$B$19,NA(),IFERROR(SUMIFS(Data!$S$2:$S$1105,Data!$AK$2:$AK$1105,1,Data!$L$2:$L$1105,$A$47,Data!$AH$2:$AH$1105,1)/SUMIFS(Data!$P$2:$P$1105,Data!$AK$2:$AK$1105,1,Data!$L$2:$L$1105,$A$47,Data!$AH$2:$AH$1105,1),NA())))</f>
        <v/>
      </c>
      <c r="I47" s="62">
        <f>IF(ISNA($J$47),NA(),IF($J$47&lt;Controls!$B$19,NA(),IFERROR($D$47/$B$47,NA())))</f>
        <v/>
      </c>
      <c r="J47" s="67">
        <f>IF($A$47="",NA(),IFERROR(COUNTIFS(Data!$AK$2:$AK$1105,1,Data!$L$2:$L$1105,$A$47),NA()))</f>
        <v/>
      </c>
      <c r="K47" s="62">
        <f>IF(ISNA($B$47),NA(),IFERROR($B$47/Calc!$BT$6,NA()))</f>
        <v/>
      </c>
      <c r="L47" s="66">
        <f>IF(ISNA($J$47),NA(),IF($J$47&lt;Controls!$B$19,NA(),IFERROR($B$47/$J$47,NA())))</f>
        <v/>
      </c>
      <c r="M47" s="67">
        <f>IF($A$47="",NA(),IF(COUNTIFS(Data!$AK$2:$AK$1105,1,Data!$L$2:$L$1105,$A$47)&lt;Controls!$B$19,NA(),IFERROR(AVERAGEIFS(Data!$AE$2:$AE$1105,Data!$AK$2:$AK$1105,1,Data!$L$2:$L$1105,$A$47),NA())))</f>
        <v/>
      </c>
      <c r="N47" s="67">
        <f>IF($A$47="",NA(),IF(COUNTIFS(Data!$AK$2:$AK$1105,1,Data!$L$2:$L$1105,$A$47)&lt;Controls!$B$19,NA(),IFERROR(AVERAGEIFS(Data!$AD$2:$AD$1105,Data!$AK$2:$AK$1105,1,Data!$L$2:$L$1105,$A$47),NA())))</f>
        <v/>
      </c>
      <c r="O47" s="67">
        <f>IF($A$47="",NA(),IF(COUNTIFS(Data!$AK$2:$AK$1105,1,Data!$L$2:$L$1105,$A$47)&lt;Controls!$B$19,NA(),IFERROR(AVERAGEIFS(Data!$AS$2:$AS$1105,Data!$AK$2:$AK$1105,1,Data!$L$2:$L$1105,$A$47),NA())))</f>
        <v/>
      </c>
      <c r="P47" s="67">
        <f>IF($A$47="",NA(),IF(COUNTIFS(Data!$AK$2:$AK$1105,1,Data!$L$2:$L$1105,$A$47)&lt;Controls!$B$19,NA(),IFERROR(AVERAGEIFS(Data!$AT$2:$AT$1105,Data!$AK$2:$AK$1105,1,Data!$L$2:$L$1105,$A$47),NA())))</f>
        <v/>
      </c>
      <c r="Q47" s="62">
        <f>IF($A$47="",NA(),IF(COUNTIFS(Data!$AK$2:$AK$1105,1,Data!$L$2:$L$1105,$A$47)&lt;Controls!$B$19,NA(),IFERROR(COUNTIFS(Data!$AK$2:$AK$1105,1,Data!$L$2:$L$1105,$A$47,Data!$N$2:$N$1105,"Renewal")/COUNTIFS(Data!$AK$2:$AK$1105,1,Data!$L$2:$L$1105,$A$47),NA())))</f>
        <v/>
      </c>
      <c r="R47" s="62">
        <f>IF($A$47="",NA(),IF(COUNTIFS(Data!$AK$2:$AK$1105,1,Data!$L$2:$L$1105,$A$47)&lt;Controls!$B$19,NA(),IFERROR(SUMIFS(Data!$P$2:$P$1105,Data!$AK$2:$AK$1105,1,Data!$L$2:$L$1105,$A$47,Data!$N$2:$N$1105,"Renewal")/SUMIFS(Data!$P$2:$P$1105,Data!$AK$2:$AK$1105,1,Data!$L$2:$L$1105,$A$47),NA())))</f>
        <v/>
      </c>
      <c r="S47" s="62">
        <f>IF($A$47="",NA(),Calc!$BT$2)</f>
        <v/>
      </c>
      <c r="T47" s="62">
        <f>IF($A$47="",NA(),Calc!$BT$3)</f>
        <v/>
      </c>
      <c r="U47" s="62">
        <f>IF($A$47="",NA(),Calc!$BT$4)</f>
        <v/>
      </c>
      <c r="V47" s="62">
        <f>IF($A$47="",NA(),IF(COUNTIFS(Data!$AK$2:$AK$1105,1,Data!$L$2:$L$1105,$A$47)&lt;Controls!$B$19,NA(),IFERROR(COUNTIFS(Data!$AK$2:$AK$1105,1,Data!$L$2:$L$1105,$A$47,Data!$AH$2:$AH$1105,1)/COUNTIFS(Data!$AK$2:$AK$1105,1,Data!$L$2:$L$1105,$A$47),NA())))</f>
        <v/>
      </c>
      <c r="W47" s="61">
        <f>IF($A$47="","",$A$47&amp;" ("&amp;$J$47&amp;")")</f>
        <v/>
      </c>
      <c r="X47" s="61" t="n"/>
      <c r="Y47" s="61" t="n"/>
      <c r="Z47" s="61" t="n"/>
      <c r="AA47" s="61" t="n"/>
      <c r="AB47" s="61" t="n"/>
      <c r="AC47" s="61" t="n"/>
      <c r="AD47" s="61" t="n"/>
      <c r="AE47" s="61" t="n"/>
      <c r="AF47" s="61" t="n"/>
      <c r="AG47" s="61" t="n"/>
      <c r="AH47" s="61" t="n"/>
      <c r="AI47" s="61" t="n"/>
      <c r="AJ47" s="61" t="n"/>
      <c r="AK47" s="61" t="n"/>
      <c r="AL47" s="61" t="n"/>
      <c r="AM47" s="61" t="n"/>
      <c r="AN47" s="61">
        <f>Controls!$A$83</f>
        <v/>
      </c>
      <c r="AO47" s="61">
        <f>COUNTIFS(Data!$AK$2:$AK$1105,1,Data!$AY$2:$AY$1105,$AN$47)</f>
        <v/>
      </c>
      <c r="AP47" s="57">
        <f>SUMIFS(Data!$P$2:$P$1105,Data!$AK$2:$AK$1105,1,Data!$AY$2:$AY$1105,$AN$47)</f>
        <v/>
      </c>
      <c r="AQ47" s="56">
        <f>IFERROR(SUMIFS(Data!$AN$2:$AN$1105,Data!$AK$2:$AK$1105,1,Data!$AY$2:$AY$1105,$AN$47)/$AP$47,0)</f>
        <v/>
      </c>
      <c r="AR47" s="57">
        <f>SUMIFS(Data!$AN$2:$AN$1105,Data!$AK$2:$AK$1105,1,Data!$AY$2:$AY$1105,$AN$47)</f>
        <v/>
      </c>
      <c r="AS47" s="61">
        <f>Controls!$B$83</f>
        <v/>
      </c>
      <c r="AT47" s="61">
        <f>IF(OR(AO47=0,AO47&lt;Controls!$B$20),-1000000000000000,IF(AND(Controls!$B$21="Y",$AN$47="No SIC"),-1000000000000000,IF(Controls!$B$17="Selected only",IF(AS47="Y",AP47,-1000000000000000),IF(Controls!$B$17="Top by funded $",AP47,IF(Controls!$B$17="Top by funded units",AO47,IF(Controls!$B$17="Largest principal lost $",AR47,IF(Controls!$B$17="Highest net profit $",AU47,IF(AO47&lt;Controls!$B$19,-1000000000000000,IF(Controls!$B$17="Highest principal lost rate %",AQ47,IF(Controls!$B$17="Lowest principal lost rate %",1-AQ47,AP47))))))))) +44/1000000)</f>
        <v/>
      </c>
      <c r="AU47" s="57">
        <f>SUMIFS(Data!$AM$2:$AM$1105,Data!$AK$2:$AK$1105,1,Data!$AY$2:$AY$1105,$AN$47)</f>
        <v/>
      </c>
      <c r="AV47" s="61" t="n"/>
      <c r="AW47" s="61" t="n"/>
      <c r="AX47" s="61" t="n"/>
      <c r="AY47" s="61" t="n"/>
      <c r="AZ47" s="61" t="n"/>
      <c r="BA47" s="61" t="n"/>
      <c r="BB47" s="61">
        <f>Controls!$A$83</f>
        <v/>
      </c>
      <c r="BC47" s="61">
        <f>COUNTIFS(Data!$AK$2:$AK$1105,1,Data!$AY$2:$AY$1105,$BB$47)</f>
        <v/>
      </c>
      <c r="BD47" s="57">
        <f>SUMIFS(Data!$P$2:$P$1105,Data!$AK$2:$AK$1105,1,Data!$AY$2:$AY$1105,$BB$47)</f>
        <v/>
      </c>
      <c r="BE47" s="56">
        <f>IF(COUNTIFS(Data!$AK$2:$AK$1105,1,Data!$AY$2:$AY$1105,$BB$47)&lt;Controls!$B$19,"",IFERROR(SUMIFS(Data!$AN$2:$AN$1105,Data!$AK$2:$AK$1105,1,Data!$AY$2:$AY$1105,$BB$47)/$BD$47,""))</f>
        <v/>
      </c>
      <c r="BF47" s="56">
        <f>IF(COUNTIFS(Data!$AK$2:$AK$1105,1,Data!$AY$2:$AY$1105,$BB$47)&lt;Controls!$B$19,"",IFERROR(SUMIFS(Data!$AM$2:$AM$1105,Data!$AK$2:$AK$1105,1,Data!$AY$2:$AY$1105,$BB$47)/SUMIFS(Data!$P$2:$P$1105,Data!$AK$2:$AK$1105,1,Data!$AY$2:$AY$1105,$BB$47),""))</f>
        <v/>
      </c>
      <c r="BG47" s="57">
        <f>SUMIFS(Data!$AN$2:$AN$1105,Data!$AK$2:$AK$1105,1,Data!$AY$2:$AY$1105,$BB$47)</f>
        <v/>
      </c>
      <c r="BH47" s="61" t="n"/>
      <c r="BI47" s="61" t="n"/>
      <c r="BJ47" s="61" t="n"/>
      <c r="BK47" s="61">
        <f>IF($BC$47&lt;Controls!$B$22,"",$BE$47)</f>
        <v/>
      </c>
      <c r="BL47" s="61">
        <f>IF($BC$47&lt;Controls!$B$22,"",$BF$47)</f>
        <v/>
      </c>
      <c r="BM47" s="61">
        <f>IF($BC$47&lt;Controls!$B$22,"",$BG$47)</f>
        <v/>
      </c>
      <c r="BN47" s="61" t="n"/>
      <c r="BO47" s="61" t="n"/>
      <c r="BP47" s="61" t="n"/>
      <c r="BQ47" s="61" t="n"/>
      <c r="BR47" s="61" t="n"/>
      <c r="BS47" s="61" t="n"/>
      <c r="BT47" s="61" t="n"/>
    </row>
    <row r="48" ht="15.75" customHeight="1" s="79">
      <c r="A48" s="61">
        <f t="array" ref="A48">IFERROR(IF(10&gt;Controls!$B$18,"",IF(LARGE(Calc!$AT$81:$AT$130,10)&lt;-100000000000000,"",INDEX(Calc!$AN$81:$AN$130,MATCH(LARGE(Calc!$AT$81:$AT$130,10),Calc!$AT$81:$AT$130,0)))),"")</f>
        <v/>
      </c>
      <c r="B48" s="66">
        <f>IF($A$48="",NA(),IFERROR(SUMIFS(Data!$P$2:$P$1105,Data!$AK$2:$AK$1105,1,Data!$L$2:$L$1105,$A$48),NA()))</f>
        <v/>
      </c>
      <c r="C48" s="66">
        <f>IF($A$48="",NA(),IFERROR(SUMIFS(Data!$S$2:$S$1105,Data!$AK$2:$AK$1105,1,Data!$L$2:$L$1105,$A$48),NA()))</f>
        <v/>
      </c>
      <c r="D48" s="66">
        <f>IF(ISNA($B$48),NA(),$C$48-$B$48)</f>
        <v/>
      </c>
      <c r="E48" s="66">
        <f>IF($A$48="",NA(),IFERROR(SUMIFS(Data!$Q$2:$Q$1105,Data!$AK$2:$AK$1105,1,Data!$L$2:$L$1105,$A$48),NA()))</f>
        <v/>
      </c>
      <c r="F48" s="66">
        <f>IF($A$48="",NA(),IFERROR(SUMIFS(Data!$AN$2:$AN$1105,Data!$AK$2:$AK$1105,1,Data!$L$2:$L$1105,$A$48),NA()))</f>
        <v/>
      </c>
      <c r="G48" s="62">
        <f>IF($A$48="",NA(),IF(COUNTIFS(Data!$AK$2:$AK$1105,1,Data!$L$2:$L$1105,$A$48)&lt;Controls!$B$19,NA(),IFERROR(SUMIFS(Data!$AN$2:$AN$1105,Data!$AK$2:$AK$1105,1,Data!$L$2:$L$1105,$A$48)/$B$48,NA())))</f>
        <v/>
      </c>
      <c r="H48" s="62">
        <f>IF($A$48="",NA(),IF(COUNTIFS(Data!$AK$2:$AK$1105,1,Data!$L$2:$L$1105,$A$48)&lt;Controls!$B$19,NA(),IFERROR(SUMIFS(Data!$S$2:$S$1105,Data!$AK$2:$AK$1105,1,Data!$L$2:$L$1105,$A$48,Data!$AH$2:$AH$1105,1)/SUMIFS(Data!$P$2:$P$1105,Data!$AK$2:$AK$1105,1,Data!$L$2:$L$1105,$A$48,Data!$AH$2:$AH$1105,1),NA())))</f>
        <v/>
      </c>
      <c r="I48" s="62">
        <f>IF(ISNA($J$48),NA(),IF($J$48&lt;Controls!$B$19,NA(),IFERROR($D$48/$B$48,NA())))</f>
        <v/>
      </c>
      <c r="J48" s="67">
        <f>IF($A$48="",NA(),IFERROR(COUNTIFS(Data!$AK$2:$AK$1105,1,Data!$L$2:$L$1105,$A$48),NA()))</f>
        <v/>
      </c>
      <c r="K48" s="62">
        <f>IF(ISNA($B$48),NA(),IFERROR($B$48/Calc!$BT$6,NA()))</f>
        <v/>
      </c>
      <c r="L48" s="66">
        <f>IF(ISNA($J$48),NA(),IF($J$48&lt;Controls!$B$19,NA(),IFERROR($B$48/$J$48,NA())))</f>
        <v/>
      </c>
      <c r="M48" s="67">
        <f>IF($A$48="",NA(),IF(COUNTIFS(Data!$AK$2:$AK$1105,1,Data!$L$2:$L$1105,$A$48)&lt;Controls!$B$19,NA(),IFERROR(AVERAGEIFS(Data!$AE$2:$AE$1105,Data!$AK$2:$AK$1105,1,Data!$L$2:$L$1105,$A$48),NA())))</f>
        <v/>
      </c>
      <c r="N48" s="67">
        <f>IF($A$48="",NA(),IF(COUNTIFS(Data!$AK$2:$AK$1105,1,Data!$L$2:$L$1105,$A$48)&lt;Controls!$B$19,NA(),IFERROR(AVERAGEIFS(Data!$AD$2:$AD$1105,Data!$AK$2:$AK$1105,1,Data!$L$2:$L$1105,$A$48),NA())))</f>
        <v/>
      </c>
      <c r="O48" s="67">
        <f>IF($A$48="",NA(),IF(COUNTIFS(Data!$AK$2:$AK$1105,1,Data!$L$2:$L$1105,$A$48)&lt;Controls!$B$19,NA(),IFERROR(AVERAGEIFS(Data!$AS$2:$AS$1105,Data!$AK$2:$AK$1105,1,Data!$L$2:$L$1105,$A$48),NA())))</f>
        <v/>
      </c>
      <c r="P48" s="67">
        <f>IF($A$48="",NA(),IF(COUNTIFS(Data!$AK$2:$AK$1105,1,Data!$L$2:$L$1105,$A$48)&lt;Controls!$B$19,NA(),IFERROR(AVERAGEIFS(Data!$AT$2:$AT$1105,Data!$AK$2:$AK$1105,1,Data!$L$2:$L$1105,$A$48),NA())))</f>
        <v/>
      </c>
      <c r="Q48" s="62">
        <f>IF($A$48="",NA(),IF(COUNTIFS(Data!$AK$2:$AK$1105,1,Data!$L$2:$L$1105,$A$48)&lt;Controls!$B$19,NA(),IFERROR(COUNTIFS(Data!$AK$2:$AK$1105,1,Data!$L$2:$L$1105,$A$48,Data!$N$2:$N$1105,"Renewal")/COUNTIFS(Data!$AK$2:$AK$1105,1,Data!$L$2:$L$1105,$A$48),NA())))</f>
        <v/>
      </c>
      <c r="R48" s="62">
        <f>IF($A$48="",NA(),IF(COUNTIFS(Data!$AK$2:$AK$1105,1,Data!$L$2:$L$1105,$A$48)&lt;Controls!$B$19,NA(),IFERROR(SUMIFS(Data!$P$2:$P$1105,Data!$AK$2:$AK$1105,1,Data!$L$2:$L$1105,$A$48,Data!$N$2:$N$1105,"Renewal")/SUMIFS(Data!$P$2:$P$1105,Data!$AK$2:$AK$1105,1,Data!$L$2:$L$1105,$A$48),NA())))</f>
        <v/>
      </c>
      <c r="S48" s="62">
        <f>IF($A$48="",NA(),Calc!$BT$2)</f>
        <v/>
      </c>
      <c r="T48" s="62">
        <f>IF($A$48="",NA(),Calc!$BT$3)</f>
        <v/>
      </c>
      <c r="U48" s="62">
        <f>IF($A$48="",NA(),Calc!$BT$4)</f>
        <v/>
      </c>
      <c r="V48" s="62">
        <f>IF($A$48="",NA(),IF(COUNTIFS(Data!$AK$2:$AK$1105,1,Data!$L$2:$L$1105,$A$48)&lt;Controls!$B$19,NA(),IFERROR(COUNTIFS(Data!$AK$2:$AK$1105,1,Data!$L$2:$L$1105,$A$48,Data!$AH$2:$AH$1105,1)/COUNTIFS(Data!$AK$2:$AK$1105,1,Data!$L$2:$L$1105,$A$48),NA())))</f>
        <v/>
      </c>
      <c r="W48" s="61">
        <f>IF($A$48="","",$A$48&amp;" ("&amp;$J$48&amp;")")</f>
        <v/>
      </c>
      <c r="X48" s="61" t="n"/>
      <c r="Y48" s="61" t="n"/>
      <c r="Z48" s="61" t="n"/>
      <c r="AA48" s="61" t="n"/>
      <c r="AB48" s="61" t="n"/>
      <c r="AC48" s="61" t="n"/>
      <c r="AD48" s="61" t="n"/>
      <c r="AE48" s="61" t="n"/>
      <c r="AF48" s="61" t="n"/>
      <c r="AG48" s="61" t="n"/>
      <c r="AH48" s="61" t="n"/>
      <c r="AI48" s="61" t="n"/>
      <c r="AJ48" s="61" t="n"/>
      <c r="AK48" s="61" t="n"/>
      <c r="AL48" s="61" t="n"/>
      <c r="AM48" s="61" t="n"/>
      <c r="AN48" s="61">
        <f>Controls!$A$84</f>
        <v/>
      </c>
      <c r="AO48" s="61">
        <f>COUNTIFS(Data!$AK$2:$AK$1105,1,Data!$AY$2:$AY$1105,$AN$48)</f>
        <v/>
      </c>
      <c r="AP48" s="57">
        <f>SUMIFS(Data!$P$2:$P$1105,Data!$AK$2:$AK$1105,1,Data!$AY$2:$AY$1105,$AN$48)</f>
        <v/>
      </c>
      <c r="AQ48" s="56">
        <f>IFERROR(SUMIFS(Data!$AN$2:$AN$1105,Data!$AK$2:$AK$1105,1,Data!$AY$2:$AY$1105,$AN$48)/$AP$48,0)</f>
        <v/>
      </c>
      <c r="AR48" s="57">
        <f>SUMIFS(Data!$AN$2:$AN$1105,Data!$AK$2:$AK$1105,1,Data!$AY$2:$AY$1105,$AN$48)</f>
        <v/>
      </c>
      <c r="AS48" s="61">
        <f>Controls!$B$84</f>
        <v/>
      </c>
      <c r="AT48" s="61">
        <f>IF(OR(AO48=0,AO48&lt;Controls!$B$20),-1000000000000000,IF(AND(Controls!$B$21="Y",$AN$48="No SIC"),-1000000000000000,IF(Controls!$B$17="Selected only",IF(AS48="Y",AP48,-1000000000000000),IF(Controls!$B$17="Top by funded $",AP48,IF(Controls!$B$17="Top by funded units",AO48,IF(Controls!$B$17="Largest principal lost $",AR48,IF(Controls!$B$17="Highest net profit $",AU48,IF(AO48&lt;Controls!$B$19,-1000000000000000,IF(Controls!$B$17="Highest principal lost rate %",AQ48,IF(Controls!$B$17="Lowest principal lost rate %",1-AQ48,AP48))))))))) +45/1000000)</f>
        <v/>
      </c>
      <c r="AU48" s="57">
        <f>SUMIFS(Data!$AM$2:$AM$1105,Data!$AK$2:$AK$1105,1,Data!$AY$2:$AY$1105,$AN$48)</f>
        <v/>
      </c>
      <c r="AV48" s="61" t="n"/>
      <c r="AW48" s="61" t="n"/>
      <c r="AX48" s="61" t="n"/>
      <c r="AY48" s="61" t="n"/>
      <c r="AZ48" s="61" t="n"/>
      <c r="BA48" s="61" t="n"/>
      <c r="BB48" s="61">
        <f>Controls!$A$84</f>
        <v/>
      </c>
      <c r="BC48" s="61">
        <f>COUNTIFS(Data!$AK$2:$AK$1105,1,Data!$AY$2:$AY$1105,$BB$48)</f>
        <v/>
      </c>
      <c r="BD48" s="57">
        <f>SUMIFS(Data!$P$2:$P$1105,Data!$AK$2:$AK$1105,1,Data!$AY$2:$AY$1105,$BB$48)</f>
        <v/>
      </c>
      <c r="BE48" s="56">
        <f>IF(COUNTIFS(Data!$AK$2:$AK$1105,1,Data!$AY$2:$AY$1105,$BB$48)&lt;Controls!$B$19,"",IFERROR(SUMIFS(Data!$AN$2:$AN$1105,Data!$AK$2:$AK$1105,1,Data!$AY$2:$AY$1105,$BB$48)/$BD$48,""))</f>
        <v/>
      </c>
      <c r="BF48" s="56">
        <f>IF(COUNTIFS(Data!$AK$2:$AK$1105,1,Data!$AY$2:$AY$1105,$BB$48)&lt;Controls!$B$19,"",IFERROR(SUMIFS(Data!$AM$2:$AM$1105,Data!$AK$2:$AK$1105,1,Data!$AY$2:$AY$1105,$BB$48)/SUMIFS(Data!$P$2:$P$1105,Data!$AK$2:$AK$1105,1,Data!$AY$2:$AY$1105,$BB$48),""))</f>
        <v/>
      </c>
      <c r="BG48" s="57">
        <f>SUMIFS(Data!$AN$2:$AN$1105,Data!$AK$2:$AK$1105,1,Data!$AY$2:$AY$1105,$BB$48)</f>
        <v/>
      </c>
      <c r="BH48" s="61" t="n"/>
      <c r="BI48" s="61" t="n"/>
      <c r="BJ48" s="61" t="n"/>
      <c r="BK48" s="61">
        <f>IF($BC$48&lt;Controls!$B$22,"",$BE$48)</f>
        <v/>
      </c>
      <c r="BL48" s="61">
        <f>IF($BC$48&lt;Controls!$B$22,"",$BF$48)</f>
        <v/>
      </c>
      <c r="BM48" s="61">
        <f>IF($BC$48&lt;Controls!$B$22,"",$BG$48)</f>
        <v/>
      </c>
      <c r="BN48" s="61" t="n"/>
      <c r="BO48" s="61" t="n"/>
      <c r="BP48" s="61" t="n"/>
      <c r="BQ48" s="61" t="n"/>
      <c r="BR48" s="61" t="n"/>
      <c r="BS48" s="61" t="n"/>
      <c r="BT48" s="61" t="n"/>
    </row>
    <row r="49" ht="15.75" customHeight="1" s="79">
      <c r="A49" s="61">
        <f t="array" ref="A49">IFERROR(IF(11&gt;Controls!$B$18,"",IF(LARGE(Calc!$AT$81:$AT$130,11)&lt;-100000000000000,"",INDEX(Calc!$AN$81:$AN$130,MATCH(LARGE(Calc!$AT$81:$AT$130,11),Calc!$AT$81:$AT$130,0)))),"")</f>
        <v/>
      </c>
      <c r="B49" s="66">
        <f>IF($A$49="",NA(),IFERROR(SUMIFS(Data!$P$2:$P$1105,Data!$AK$2:$AK$1105,1,Data!$L$2:$L$1105,$A$49),NA()))</f>
        <v/>
      </c>
      <c r="C49" s="66">
        <f>IF($A$49="",NA(),IFERROR(SUMIFS(Data!$S$2:$S$1105,Data!$AK$2:$AK$1105,1,Data!$L$2:$L$1105,$A$49),NA()))</f>
        <v/>
      </c>
      <c r="D49" s="66">
        <f>IF(ISNA($B$49),NA(),$C$49-$B$49)</f>
        <v/>
      </c>
      <c r="E49" s="66">
        <f>IF($A$49="",NA(),IFERROR(SUMIFS(Data!$Q$2:$Q$1105,Data!$AK$2:$AK$1105,1,Data!$L$2:$L$1105,$A$49),NA()))</f>
        <v/>
      </c>
      <c r="F49" s="66">
        <f>IF($A$49="",NA(),IFERROR(SUMIFS(Data!$AN$2:$AN$1105,Data!$AK$2:$AK$1105,1,Data!$L$2:$L$1105,$A$49),NA()))</f>
        <v/>
      </c>
      <c r="G49" s="62">
        <f>IF($A$49="",NA(),IF(COUNTIFS(Data!$AK$2:$AK$1105,1,Data!$L$2:$L$1105,$A$49)&lt;Controls!$B$19,NA(),IFERROR(SUMIFS(Data!$AN$2:$AN$1105,Data!$AK$2:$AK$1105,1,Data!$L$2:$L$1105,$A$49)/$B$49,NA())))</f>
        <v/>
      </c>
      <c r="H49" s="62">
        <f>IF($A$49="",NA(),IF(COUNTIFS(Data!$AK$2:$AK$1105,1,Data!$L$2:$L$1105,$A$49)&lt;Controls!$B$19,NA(),IFERROR(SUMIFS(Data!$S$2:$S$1105,Data!$AK$2:$AK$1105,1,Data!$L$2:$L$1105,$A$49,Data!$AH$2:$AH$1105,1)/SUMIFS(Data!$P$2:$P$1105,Data!$AK$2:$AK$1105,1,Data!$L$2:$L$1105,$A$49,Data!$AH$2:$AH$1105,1),NA())))</f>
        <v/>
      </c>
      <c r="I49" s="62">
        <f>IF(ISNA($J$49),NA(),IF($J$49&lt;Controls!$B$19,NA(),IFERROR($D$49/$B$49,NA())))</f>
        <v/>
      </c>
      <c r="J49" s="67">
        <f>IF($A$49="",NA(),IFERROR(COUNTIFS(Data!$AK$2:$AK$1105,1,Data!$L$2:$L$1105,$A$49),NA()))</f>
        <v/>
      </c>
      <c r="K49" s="62">
        <f>IF(ISNA($B$49),NA(),IFERROR($B$49/Calc!$BT$6,NA()))</f>
        <v/>
      </c>
      <c r="L49" s="66">
        <f>IF(ISNA($J$49),NA(),IF($J$49&lt;Controls!$B$19,NA(),IFERROR($B$49/$J$49,NA())))</f>
        <v/>
      </c>
      <c r="M49" s="67">
        <f>IF($A$49="",NA(),IF(COUNTIFS(Data!$AK$2:$AK$1105,1,Data!$L$2:$L$1105,$A$49)&lt;Controls!$B$19,NA(),IFERROR(AVERAGEIFS(Data!$AE$2:$AE$1105,Data!$AK$2:$AK$1105,1,Data!$L$2:$L$1105,$A$49),NA())))</f>
        <v/>
      </c>
      <c r="N49" s="67">
        <f>IF($A$49="",NA(),IF(COUNTIFS(Data!$AK$2:$AK$1105,1,Data!$L$2:$L$1105,$A$49)&lt;Controls!$B$19,NA(),IFERROR(AVERAGEIFS(Data!$AD$2:$AD$1105,Data!$AK$2:$AK$1105,1,Data!$L$2:$L$1105,$A$49),NA())))</f>
        <v/>
      </c>
      <c r="O49" s="67">
        <f>IF($A$49="",NA(),IF(COUNTIFS(Data!$AK$2:$AK$1105,1,Data!$L$2:$L$1105,$A$49)&lt;Controls!$B$19,NA(),IFERROR(AVERAGEIFS(Data!$AS$2:$AS$1105,Data!$AK$2:$AK$1105,1,Data!$L$2:$L$1105,$A$49),NA())))</f>
        <v/>
      </c>
      <c r="P49" s="67">
        <f>IF($A$49="",NA(),IF(COUNTIFS(Data!$AK$2:$AK$1105,1,Data!$L$2:$L$1105,$A$49)&lt;Controls!$B$19,NA(),IFERROR(AVERAGEIFS(Data!$AT$2:$AT$1105,Data!$AK$2:$AK$1105,1,Data!$L$2:$L$1105,$A$49),NA())))</f>
        <v/>
      </c>
      <c r="Q49" s="62">
        <f>IF($A$49="",NA(),IF(COUNTIFS(Data!$AK$2:$AK$1105,1,Data!$L$2:$L$1105,$A$49)&lt;Controls!$B$19,NA(),IFERROR(COUNTIFS(Data!$AK$2:$AK$1105,1,Data!$L$2:$L$1105,$A$49,Data!$N$2:$N$1105,"Renewal")/COUNTIFS(Data!$AK$2:$AK$1105,1,Data!$L$2:$L$1105,$A$49),NA())))</f>
        <v/>
      </c>
      <c r="R49" s="62">
        <f>IF($A$49="",NA(),IF(COUNTIFS(Data!$AK$2:$AK$1105,1,Data!$L$2:$L$1105,$A$49)&lt;Controls!$B$19,NA(),IFERROR(SUMIFS(Data!$P$2:$P$1105,Data!$AK$2:$AK$1105,1,Data!$L$2:$L$1105,$A$49,Data!$N$2:$N$1105,"Renewal")/SUMIFS(Data!$P$2:$P$1105,Data!$AK$2:$AK$1105,1,Data!$L$2:$L$1105,$A$49),NA())))</f>
        <v/>
      </c>
      <c r="S49" s="62">
        <f>IF($A$49="",NA(),Calc!$BT$2)</f>
        <v/>
      </c>
      <c r="T49" s="62">
        <f>IF($A$49="",NA(),Calc!$BT$3)</f>
        <v/>
      </c>
      <c r="U49" s="62">
        <f>IF($A$49="",NA(),Calc!$BT$4)</f>
        <v/>
      </c>
      <c r="V49" s="62">
        <f>IF($A$49="",NA(),IF(COUNTIFS(Data!$AK$2:$AK$1105,1,Data!$L$2:$L$1105,$A$49)&lt;Controls!$B$19,NA(),IFERROR(COUNTIFS(Data!$AK$2:$AK$1105,1,Data!$L$2:$L$1105,$A$49,Data!$AH$2:$AH$1105,1)/COUNTIFS(Data!$AK$2:$AK$1105,1,Data!$L$2:$L$1105,$A$49),NA())))</f>
        <v/>
      </c>
      <c r="W49" s="61">
        <f>IF($A$49="","",$A$49&amp;" ("&amp;$J$49&amp;")")</f>
        <v/>
      </c>
      <c r="X49" s="61" t="n"/>
      <c r="Y49" s="61" t="n"/>
      <c r="Z49" s="61" t="n"/>
      <c r="AA49" s="61" t="n"/>
      <c r="AB49" s="61" t="n"/>
      <c r="AC49" s="61" t="n"/>
      <c r="AD49" s="61" t="n"/>
      <c r="AE49" s="61" t="n"/>
      <c r="AF49" s="61" t="n"/>
      <c r="AG49" s="61" t="n"/>
      <c r="AH49" s="61" t="n"/>
      <c r="AI49" s="61" t="n"/>
      <c r="AJ49" s="61" t="n"/>
      <c r="AK49" s="61" t="n"/>
      <c r="AL49" s="61" t="n"/>
      <c r="AM49" s="61" t="n"/>
      <c r="AN49" s="61">
        <f>Controls!$A$85</f>
        <v/>
      </c>
      <c r="AO49" s="61">
        <f>COUNTIFS(Data!$AK$2:$AK$1105,1,Data!$AY$2:$AY$1105,$AN$49)</f>
        <v/>
      </c>
      <c r="AP49" s="57">
        <f>SUMIFS(Data!$P$2:$P$1105,Data!$AK$2:$AK$1105,1,Data!$AY$2:$AY$1105,$AN$49)</f>
        <v/>
      </c>
      <c r="AQ49" s="56">
        <f>IFERROR(SUMIFS(Data!$AN$2:$AN$1105,Data!$AK$2:$AK$1105,1,Data!$AY$2:$AY$1105,$AN$49)/$AP$49,0)</f>
        <v/>
      </c>
      <c r="AR49" s="57">
        <f>SUMIFS(Data!$AN$2:$AN$1105,Data!$AK$2:$AK$1105,1,Data!$AY$2:$AY$1105,$AN$49)</f>
        <v/>
      </c>
      <c r="AS49" s="61">
        <f>Controls!$B$85</f>
        <v/>
      </c>
      <c r="AT49" s="61">
        <f>IF(OR(AO49=0,AO49&lt;Controls!$B$20),-1000000000000000,IF(AND(Controls!$B$21="Y",$AN$49="No SIC"),-1000000000000000,IF(Controls!$B$17="Selected only",IF(AS49="Y",AP49,-1000000000000000),IF(Controls!$B$17="Top by funded $",AP49,IF(Controls!$B$17="Top by funded units",AO49,IF(Controls!$B$17="Largest principal lost $",AR49,IF(Controls!$B$17="Highest net profit $",AU49,IF(AO49&lt;Controls!$B$19,-1000000000000000,IF(Controls!$B$17="Highest principal lost rate %",AQ49,IF(Controls!$B$17="Lowest principal lost rate %",1-AQ49,AP49))))))))) +46/1000000)</f>
        <v/>
      </c>
      <c r="AU49" s="57">
        <f>SUMIFS(Data!$AM$2:$AM$1105,Data!$AK$2:$AK$1105,1,Data!$AY$2:$AY$1105,$AN$49)</f>
        <v/>
      </c>
      <c r="AV49" s="61" t="n"/>
      <c r="AW49" s="61" t="n"/>
      <c r="AX49" s="61" t="n"/>
      <c r="AY49" s="61" t="n"/>
      <c r="AZ49" s="61" t="n"/>
      <c r="BA49" s="61" t="n"/>
      <c r="BB49" s="61">
        <f>Controls!$A$85</f>
        <v/>
      </c>
      <c r="BC49" s="61">
        <f>COUNTIFS(Data!$AK$2:$AK$1105,1,Data!$AY$2:$AY$1105,$BB$49)</f>
        <v/>
      </c>
      <c r="BD49" s="57">
        <f>SUMIFS(Data!$P$2:$P$1105,Data!$AK$2:$AK$1105,1,Data!$AY$2:$AY$1105,$BB$49)</f>
        <v/>
      </c>
      <c r="BE49" s="56">
        <f>IF(COUNTIFS(Data!$AK$2:$AK$1105,1,Data!$AY$2:$AY$1105,$BB$49)&lt;Controls!$B$19,"",IFERROR(SUMIFS(Data!$AN$2:$AN$1105,Data!$AK$2:$AK$1105,1,Data!$AY$2:$AY$1105,$BB$49)/$BD$49,""))</f>
        <v/>
      </c>
      <c r="BF49" s="56">
        <f>IF(COUNTIFS(Data!$AK$2:$AK$1105,1,Data!$AY$2:$AY$1105,$BB$49)&lt;Controls!$B$19,"",IFERROR(SUMIFS(Data!$AM$2:$AM$1105,Data!$AK$2:$AK$1105,1,Data!$AY$2:$AY$1105,$BB$49)/SUMIFS(Data!$P$2:$P$1105,Data!$AK$2:$AK$1105,1,Data!$AY$2:$AY$1105,$BB$49),""))</f>
        <v/>
      </c>
      <c r="BG49" s="57">
        <f>SUMIFS(Data!$AN$2:$AN$1105,Data!$AK$2:$AK$1105,1,Data!$AY$2:$AY$1105,$BB$49)</f>
        <v/>
      </c>
      <c r="BH49" s="61" t="n"/>
      <c r="BI49" s="61" t="n"/>
      <c r="BJ49" s="61" t="n"/>
      <c r="BK49" s="61">
        <f>IF($BC$49&lt;Controls!$B$22,"",$BE$49)</f>
        <v/>
      </c>
      <c r="BL49" s="61">
        <f>IF($BC$49&lt;Controls!$B$22,"",$BF$49)</f>
        <v/>
      </c>
      <c r="BM49" s="61">
        <f>IF($BC$49&lt;Controls!$B$22,"",$BG$49)</f>
        <v/>
      </c>
      <c r="BN49" s="61" t="n"/>
      <c r="BO49" s="61" t="n"/>
      <c r="BP49" s="61" t="n"/>
      <c r="BQ49" s="61" t="n"/>
      <c r="BR49" s="61" t="n"/>
      <c r="BS49" s="61" t="n"/>
      <c r="BT49" s="61" t="n"/>
    </row>
    <row r="50" ht="15.75" customHeight="1" s="79">
      <c r="A50" s="61">
        <f t="array" ref="A50">IFERROR(IF(12&gt;Controls!$B$18,"",IF(LARGE(Calc!$AT$81:$AT$130,12)&lt;-100000000000000,"",INDEX(Calc!$AN$81:$AN$130,MATCH(LARGE(Calc!$AT$81:$AT$130,12),Calc!$AT$81:$AT$130,0)))),"")</f>
        <v/>
      </c>
      <c r="B50" s="66">
        <f>IF($A$50="",NA(),IFERROR(SUMIFS(Data!$P$2:$P$1105,Data!$AK$2:$AK$1105,1,Data!$L$2:$L$1105,$A$50),NA()))</f>
        <v/>
      </c>
      <c r="C50" s="66">
        <f>IF($A$50="",NA(),IFERROR(SUMIFS(Data!$S$2:$S$1105,Data!$AK$2:$AK$1105,1,Data!$L$2:$L$1105,$A$50),NA()))</f>
        <v/>
      </c>
      <c r="D50" s="66">
        <f>IF(ISNA($B$50),NA(),$C$50-$B$50)</f>
        <v/>
      </c>
      <c r="E50" s="66">
        <f>IF($A$50="",NA(),IFERROR(SUMIFS(Data!$Q$2:$Q$1105,Data!$AK$2:$AK$1105,1,Data!$L$2:$L$1105,$A$50),NA()))</f>
        <v/>
      </c>
      <c r="F50" s="66">
        <f>IF($A$50="",NA(),IFERROR(SUMIFS(Data!$AN$2:$AN$1105,Data!$AK$2:$AK$1105,1,Data!$L$2:$L$1105,$A$50),NA()))</f>
        <v/>
      </c>
      <c r="G50" s="62">
        <f>IF($A$50="",NA(),IF(COUNTIFS(Data!$AK$2:$AK$1105,1,Data!$L$2:$L$1105,$A$50)&lt;Controls!$B$19,NA(),IFERROR(SUMIFS(Data!$AN$2:$AN$1105,Data!$AK$2:$AK$1105,1,Data!$L$2:$L$1105,$A$50)/$B$50,NA())))</f>
        <v/>
      </c>
      <c r="H50" s="62">
        <f>IF($A$50="",NA(),IF(COUNTIFS(Data!$AK$2:$AK$1105,1,Data!$L$2:$L$1105,$A$50)&lt;Controls!$B$19,NA(),IFERROR(SUMIFS(Data!$S$2:$S$1105,Data!$AK$2:$AK$1105,1,Data!$L$2:$L$1105,$A$50,Data!$AH$2:$AH$1105,1)/SUMIFS(Data!$P$2:$P$1105,Data!$AK$2:$AK$1105,1,Data!$L$2:$L$1105,$A$50,Data!$AH$2:$AH$1105,1),NA())))</f>
        <v/>
      </c>
      <c r="I50" s="62">
        <f>IF(ISNA($J$50),NA(),IF($J$50&lt;Controls!$B$19,NA(),IFERROR($D$50/$B$50,NA())))</f>
        <v/>
      </c>
      <c r="J50" s="67">
        <f>IF($A$50="",NA(),IFERROR(COUNTIFS(Data!$AK$2:$AK$1105,1,Data!$L$2:$L$1105,$A$50),NA()))</f>
        <v/>
      </c>
      <c r="K50" s="62">
        <f>IF(ISNA($B$50),NA(),IFERROR($B$50/Calc!$BT$6,NA()))</f>
        <v/>
      </c>
      <c r="L50" s="66">
        <f>IF(ISNA($J$50),NA(),IF($J$50&lt;Controls!$B$19,NA(),IFERROR($B$50/$J$50,NA())))</f>
        <v/>
      </c>
      <c r="M50" s="67">
        <f>IF($A$50="",NA(),IF(COUNTIFS(Data!$AK$2:$AK$1105,1,Data!$L$2:$L$1105,$A$50)&lt;Controls!$B$19,NA(),IFERROR(AVERAGEIFS(Data!$AE$2:$AE$1105,Data!$AK$2:$AK$1105,1,Data!$L$2:$L$1105,$A$50),NA())))</f>
        <v/>
      </c>
      <c r="N50" s="67">
        <f>IF($A$50="",NA(),IF(COUNTIFS(Data!$AK$2:$AK$1105,1,Data!$L$2:$L$1105,$A$50)&lt;Controls!$B$19,NA(),IFERROR(AVERAGEIFS(Data!$AD$2:$AD$1105,Data!$AK$2:$AK$1105,1,Data!$L$2:$L$1105,$A$50),NA())))</f>
        <v/>
      </c>
      <c r="O50" s="67">
        <f>IF($A$50="",NA(),IF(COUNTIFS(Data!$AK$2:$AK$1105,1,Data!$L$2:$L$1105,$A$50)&lt;Controls!$B$19,NA(),IFERROR(AVERAGEIFS(Data!$AS$2:$AS$1105,Data!$AK$2:$AK$1105,1,Data!$L$2:$L$1105,$A$50),NA())))</f>
        <v/>
      </c>
      <c r="P50" s="67">
        <f>IF($A$50="",NA(),IF(COUNTIFS(Data!$AK$2:$AK$1105,1,Data!$L$2:$L$1105,$A$50)&lt;Controls!$B$19,NA(),IFERROR(AVERAGEIFS(Data!$AT$2:$AT$1105,Data!$AK$2:$AK$1105,1,Data!$L$2:$L$1105,$A$50),NA())))</f>
        <v/>
      </c>
      <c r="Q50" s="62">
        <f>IF($A$50="",NA(),IF(COUNTIFS(Data!$AK$2:$AK$1105,1,Data!$L$2:$L$1105,$A$50)&lt;Controls!$B$19,NA(),IFERROR(COUNTIFS(Data!$AK$2:$AK$1105,1,Data!$L$2:$L$1105,$A$50,Data!$N$2:$N$1105,"Renewal")/COUNTIFS(Data!$AK$2:$AK$1105,1,Data!$L$2:$L$1105,$A$50),NA())))</f>
        <v/>
      </c>
      <c r="R50" s="62">
        <f>IF($A$50="",NA(),IF(COUNTIFS(Data!$AK$2:$AK$1105,1,Data!$L$2:$L$1105,$A$50)&lt;Controls!$B$19,NA(),IFERROR(SUMIFS(Data!$P$2:$P$1105,Data!$AK$2:$AK$1105,1,Data!$L$2:$L$1105,$A$50,Data!$N$2:$N$1105,"Renewal")/SUMIFS(Data!$P$2:$P$1105,Data!$AK$2:$AK$1105,1,Data!$L$2:$L$1105,$A$50),NA())))</f>
        <v/>
      </c>
      <c r="S50" s="62">
        <f>IF($A$50="",NA(),Calc!$BT$2)</f>
        <v/>
      </c>
      <c r="T50" s="62">
        <f>IF($A$50="",NA(),Calc!$BT$3)</f>
        <v/>
      </c>
      <c r="U50" s="62">
        <f>IF($A$50="",NA(),Calc!$BT$4)</f>
        <v/>
      </c>
      <c r="V50" s="62">
        <f>IF($A$50="",NA(),IF(COUNTIFS(Data!$AK$2:$AK$1105,1,Data!$L$2:$L$1105,$A$50)&lt;Controls!$B$19,NA(),IFERROR(COUNTIFS(Data!$AK$2:$AK$1105,1,Data!$L$2:$L$1105,$A$50,Data!$AH$2:$AH$1105,1)/COUNTIFS(Data!$AK$2:$AK$1105,1,Data!$L$2:$L$1105,$A$50),NA())))</f>
        <v/>
      </c>
      <c r="W50" s="61">
        <f>IF($A$50="","",$A$50&amp;" ("&amp;$J$50&amp;")")</f>
        <v/>
      </c>
      <c r="X50" s="61" t="n"/>
      <c r="Y50" s="61" t="n"/>
      <c r="Z50" s="61" t="n"/>
      <c r="AA50" s="61" t="n"/>
      <c r="AB50" s="61" t="n"/>
      <c r="AC50" s="61" t="n"/>
      <c r="AD50" s="61" t="n"/>
      <c r="AE50" s="61" t="n"/>
      <c r="AF50" s="61" t="n"/>
      <c r="AG50" s="61" t="n"/>
      <c r="AH50" s="61" t="n"/>
      <c r="AI50" s="61" t="n"/>
      <c r="AJ50" s="61" t="n"/>
      <c r="AK50" s="61" t="n"/>
      <c r="AL50" s="61" t="n"/>
      <c r="AM50" s="61" t="n"/>
      <c r="AN50" s="61">
        <f>Controls!$A$86</f>
        <v/>
      </c>
      <c r="AO50" s="61">
        <f>COUNTIFS(Data!$AK$2:$AK$1105,1,Data!$AY$2:$AY$1105,$AN$50)</f>
        <v/>
      </c>
      <c r="AP50" s="57">
        <f>SUMIFS(Data!$P$2:$P$1105,Data!$AK$2:$AK$1105,1,Data!$AY$2:$AY$1105,$AN$50)</f>
        <v/>
      </c>
      <c r="AQ50" s="56">
        <f>IFERROR(SUMIFS(Data!$AN$2:$AN$1105,Data!$AK$2:$AK$1105,1,Data!$AY$2:$AY$1105,$AN$50)/$AP$50,0)</f>
        <v/>
      </c>
      <c r="AR50" s="57">
        <f>SUMIFS(Data!$AN$2:$AN$1105,Data!$AK$2:$AK$1105,1,Data!$AY$2:$AY$1105,$AN$50)</f>
        <v/>
      </c>
      <c r="AS50" s="61">
        <f>Controls!$B$86</f>
        <v/>
      </c>
      <c r="AT50" s="61">
        <f>IF(OR(AO50=0,AO50&lt;Controls!$B$20),-1000000000000000,IF(AND(Controls!$B$21="Y",$AN$50="No SIC"),-1000000000000000,IF(Controls!$B$17="Selected only",IF(AS50="Y",AP50,-1000000000000000),IF(Controls!$B$17="Top by funded $",AP50,IF(Controls!$B$17="Top by funded units",AO50,IF(Controls!$B$17="Largest principal lost $",AR50,IF(Controls!$B$17="Highest net profit $",AU50,IF(AO50&lt;Controls!$B$19,-1000000000000000,IF(Controls!$B$17="Highest principal lost rate %",AQ50,IF(Controls!$B$17="Lowest principal lost rate %",1-AQ50,AP50))))))))) +47/1000000)</f>
        <v/>
      </c>
      <c r="AU50" s="57">
        <f>SUMIFS(Data!$AM$2:$AM$1105,Data!$AK$2:$AK$1105,1,Data!$AY$2:$AY$1105,$AN$50)</f>
        <v/>
      </c>
      <c r="AV50" s="61" t="n"/>
      <c r="AW50" s="61" t="n"/>
      <c r="AX50" s="61" t="n"/>
      <c r="AY50" s="61" t="n"/>
      <c r="AZ50" s="61" t="n"/>
      <c r="BA50" s="61" t="n"/>
      <c r="BB50" s="61">
        <f>Controls!$A$86</f>
        <v/>
      </c>
      <c r="BC50" s="61">
        <f>COUNTIFS(Data!$AK$2:$AK$1105,1,Data!$AY$2:$AY$1105,$BB$50)</f>
        <v/>
      </c>
      <c r="BD50" s="57">
        <f>SUMIFS(Data!$P$2:$P$1105,Data!$AK$2:$AK$1105,1,Data!$AY$2:$AY$1105,$BB$50)</f>
        <v/>
      </c>
      <c r="BE50" s="56">
        <f>IF(COUNTIFS(Data!$AK$2:$AK$1105,1,Data!$AY$2:$AY$1105,$BB$50)&lt;Controls!$B$19,"",IFERROR(SUMIFS(Data!$AN$2:$AN$1105,Data!$AK$2:$AK$1105,1,Data!$AY$2:$AY$1105,$BB$50)/$BD$50,""))</f>
        <v/>
      </c>
      <c r="BF50" s="56">
        <f>IF(COUNTIFS(Data!$AK$2:$AK$1105,1,Data!$AY$2:$AY$1105,$BB$50)&lt;Controls!$B$19,"",IFERROR(SUMIFS(Data!$AM$2:$AM$1105,Data!$AK$2:$AK$1105,1,Data!$AY$2:$AY$1105,$BB$50)/SUMIFS(Data!$P$2:$P$1105,Data!$AK$2:$AK$1105,1,Data!$AY$2:$AY$1105,$BB$50),""))</f>
        <v/>
      </c>
      <c r="BG50" s="57">
        <f>SUMIFS(Data!$AN$2:$AN$1105,Data!$AK$2:$AK$1105,1,Data!$AY$2:$AY$1105,$BB$50)</f>
        <v/>
      </c>
      <c r="BH50" s="61" t="n"/>
      <c r="BI50" s="61" t="n"/>
      <c r="BJ50" s="61" t="n"/>
      <c r="BK50" s="61">
        <f>IF($BC$50&lt;Controls!$B$22,"",$BE$50)</f>
        <v/>
      </c>
      <c r="BL50" s="61">
        <f>IF($BC$50&lt;Controls!$B$22,"",$BF$50)</f>
        <v/>
      </c>
      <c r="BM50" s="61">
        <f>IF($BC$50&lt;Controls!$B$22,"",$BG$50)</f>
        <v/>
      </c>
      <c r="BN50" s="61" t="n"/>
      <c r="BO50" s="61" t="n"/>
      <c r="BP50" s="61" t="n"/>
      <c r="BQ50" s="61" t="n"/>
      <c r="BR50" s="61" t="n"/>
      <c r="BS50" s="61" t="n"/>
      <c r="BT50" s="61" t="n"/>
    </row>
    <row r="51" ht="15.75" customHeight="1" s="79">
      <c r="A51" s="61">
        <f t="array" ref="A51">IFERROR(IF(13&gt;Controls!$B$18,"",IF(LARGE(Calc!$AT$81:$AT$130,13)&lt;-100000000000000,"",INDEX(Calc!$AN$81:$AN$130,MATCH(LARGE(Calc!$AT$81:$AT$130,13),Calc!$AT$81:$AT$130,0)))),"")</f>
        <v/>
      </c>
      <c r="B51" s="66">
        <f>IF($A$51="",NA(),IFERROR(SUMIFS(Data!$P$2:$P$1105,Data!$AK$2:$AK$1105,1,Data!$L$2:$L$1105,$A$51),NA()))</f>
        <v/>
      </c>
      <c r="C51" s="66">
        <f>IF($A$51="",NA(),IFERROR(SUMIFS(Data!$S$2:$S$1105,Data!$AK$2:$AK$1105,1,Data!$L$2:$L$1105,$A$51),NA()))</f>
        <v/>
      </c>
      <c r="D51" s="66">
        <f>IF(ISNA($B$51),NA(),$C$51-$B$51)</f>
        <v/>
      </c>
      <c r="E51" s="66">
        <f>IF($A$51="",NA(),IFERROR(SUMIFS(Data!$Q$2:$Q$1105,Data!$AK$2:$AK$1105,1,Data!$L$2:$L$1105,$A$51),NA()))</f>
        <v/>
      </c>
      <c r="F51" s="66">
        <f>IF($A$51="",NA(),IFERROR(SUMIFS(Data!$AN$2:$AN$1105,Data!$AK$2:$AK$1105,1,Data!$L$2:$L$1105,$A$51),NA()))</f>
        <v/>
      </c>
      <c r="G51" s="62">
        <f>IF($A$51="",NA(),IF(COUNTIFS(Data!$AK$2:$AK$1105,1,Data!$L$2:$L$1105,$A$51)&lt;Controls!$B$19,NA(),IFERROR(SUMIFS(Data!$AN$2:$AN$1105,Data!$AK$2:$AK$1105,1,Data!$L$2:$L$1105,$A$51)/$B$51,NA())))</f>
        <v/>
      </c>
      <c r="H51" s="62">
        <f>IF($A$51="",NA(),IF(COUNTIFS(Data!$AK$2:$AK$1105,1,Data!$L$2:$L$1105,$A$51)&lt;Controls!$B$19,NA(),IFERROR(SUMIFS(Data!$S$2:$S$1105,Data!$AK$2:$AK$1105,1,Data!$L$2:$L$1105,$A$51,Data!$AH$2:$AH$1105,1)/SUMIFS(Data!$P$2:$P$1105,Data!$AK$2:$AK$1105,1,Data!$L$2:$L$1105,$A$51,Data!$AH$2:$AH$1105,1),NA())))</f>
        <v/>
      </c>
      <c r="I51" s="62">
        <f>IF(ISNA($J$51),NA(),IF($J$51&lt;Controls!$B$19,NA(),IFERROR($D$51/$B$51,NA())))</f>
        <v/>
      </c>
      <c r="J51" s="67">
        <f>IF($A$51="",NA(),IFERROR(COUNTIFS(Data!$AK$2:$AK$1105,1,Data!$L$2:$L$1105,$A$51),NA()))</f>
        <v/>
      </c>
      <c r="K51" s="62">
        <f>IF(ISNA($B$51),NA(),IFERROR($B$51/Calc!$BT$6,NA()))</f>
        <v/>
      </c>
      <c r="L51" s="66">
        <f>IF(ISNA($J$51),NA(),IF($J$51&lt;Controls!$B$19,NA(),IFERROR($B$51/$J$51,NA())))</f>
        <v/>
      </c>
      <c r="M51" s="67">
        <f>IF($A$51="",NA(),IF(COUNTIFS(Data!$AK$2:$AK$1105,1,Data!$L$2:$L$1105,$A$51)&lt;Controls!$B$19,NA(),IFERROR(AVERAGEIFS(Data!$AE$2:$AE$1105,Data!$AK$2:$AK$1105,1,Data!$L$2:$L$1105,$A$51),NA())))</f>
        <v/>
      </c>
      <c r="N51" s="67">
        <f>IF($A$51="",NA(),IF(COUNTIFS(Data!$AK$2:$AK$1105,1,Data!$L$2:$L$1105,$A$51)&lt;Controls!$B$19,NA(),IFERROR(AVERAGEIFS(Data!$AD$2:$AD$1105,Data!$AK$2:$AK$1105,1,Data!$L$2:$L$1105,$A$51),NA())))</f>
        <v/>
      </c>
      <c r="O51" s="67">
        <f>IF($A$51="",NA(),IF(COUNTIFS(Data!$AK$2:$AK$1105,1,Data!$L$2:$L$1105,$A$51)&lt;Controls!$B$19,NA(),IFERROR(AVERAGEIFS(Data!$AS$2:$AS$1105,Data!$AK$2:$AK$1105,1,Data!$L$2:$L$1105,$A$51),NA())))</f>
        <v/>
      </c>
      <c r="P51" s="67">
        <f>IF($A$51="",NA(),IF(COUNTIFS(Data!$AK$2:$AK$1105,1,Data!$L$2:$L$1105,$A$51)&lt;Controls!$B$19,NA(),IFERROR(AVERAGEIFS(Data!$AT$2:$AT$1105,Data!$AK$2:$AK$1105,1,Data!$L$2:$L$1105,$A$51),NA())))</f>
        <v/>
      </c>
      <c r="Q51" s="62">
        <f>IF($A$51="",NA(),IF(COUNTIFS(Data!$AK$2:$AK$1105,1,Data!$L$2:$L$1105,$A$51)&lt;Controls!$B$19,NA(),IFERROR(COUNTIFS(Data!$AK$2:$AK$1105,1,Data!$L$2:$L$1105,$A$51,Data!$N$2:$N$1105,"Renewal")/COUNTIFS(Data!$AK$2:$AK$1105,1,Data!$L$2:$L$1105,$A$51),NA())))</f>
        <v/>
      </c>
      <c r="R51" s="62">
        <f>IF($A$51="",NA(),IF(COUNTIFS(Data!$AK$2:$AK$1105,1,Data!$L$2:$L$1105,$A$51)&lt;Controls!$B$19,NA(),IFERROR(SUMIFS(Data!$P$2:$P$1105,Data!$AK$2:$AK$1105,1,Data!$L$2:$L$1105,$A$51,Data!$N$2:$N$1105,"Renewal")/SUMIFS(Data!$P$2:$P$1105,Data!$AK$2:$AK$1105,1,Data!$L$2:$L$1105,$A$51),NA())))</f>
        <v/>
      </c>
      <c r="S51" s="62">
        <f>IF($A$51="",NA(),Calc!$BT$2)</f>
        <v/>
      </c>
      <c r="T51" s="62">
        <f>IF($A$51="",NA(),Calc!$BT$3)</f>
        <v/>
      </c>
      <c r="U51" s="62">
        <f>IF($A$51="",NA(),Calc!$BT$4)</f>
        <v/>
      </c>
      <c r="V51" s="62">
        <f>IF($A$51="",NA(),IF(COUNTIFS(Data!$AK$2:$AK$1105,1,Data!$L$2:$L$1105,$A$51)&lt;Controls!$B$19,NA(),IFERROR(COUNTIFS(Data!$AK$2:$AK$1105,1,Data!$L$2:$L$1105,$A$51,Data!$AH$2:$AH$1105,1)/COUNTIFS(Data!$AK$2:$AK$1105,1,Data!$L$2:$L$1105,$A$51),NA())))</f>
        <v/>
      </c>
      <c r="W51" s="61">
        <f>IF($A$51="","",$A$51&amp;" ("&amp;$J$51&amp;")")</f>
        <v/>
      </c>
      <c r="X51" s="61" t="n"/>
      <c r="Y51" s="61" t="n"/>
      <c r="Z51" s="61" t="n"/>
      <c r="AA51" s="61" t="n"/>
      <c r="AB51" s="61" t="n"/>
      <c r="AC51" s="61" t="n"/>
      <c r="AD51" s="61" t="n"/>
      <c r="AE51" s="61" t="n"/>
      <c r="AF51" s="61" t="n"/>
      <c r="AG51" s="61" t="n"/>
      <c r="AH51" s="61" t="n"/>
      <c r="AI51" s="61" t="n"/>
      <c r="AJ51" s="61" t="n"/>
      <c r="AK51" s="61" t="n"/>
      <c r="AL51" s="61" t="n"/>
      <c r="AM51" s="61" t="n"/>
      <c r="AN51" s="61">
        <f>Controls!$A$87</f>
        <v/>
      </c>
      <c r="AO51" s="61">
        <f>COUNTIFS(Data!$AK$2:$AK$1105,1,Data!$AY$2:$AY$1105,$AN$51)</f>
        <v/>
      </c>
      <c r="AP51" s="57">
        <f>SUMIFS(Data!$P$2:$P$1105,Data!$AK$2:$AK$1105,1,Data!$AY$2:$AY$1105,$AN$51)</f>
        <v/>
      </c>
      <c r="AQ51" s="56">
        <f>IFERROR(SUMIFS(Data!$AN$2:$AN$1105,Data!$AK$2:$AK$1105,1,Data!$AY$2:$AY$1105,$AN$51)/$AP$51,0)</f>
        <v/>
      </c>
      <c r="AR51" s="57">
        <f>SUMIFS(Data!$AN$2:$AN$1105,Data!$AK$2:$AK$1105,1,Data!$AY$2:$AY$1105,$AN$51)</f>
        <v/>
      </c>
      <c r="AS51" s="61">
        <f>Controls!$B$87</f>
        <v/>
      </c>
      <c r="AT51" s="61">
        <f>IF(OR(AO51=0,AO51&lt;Controls!$B$20),-1000000000000000,IF(AND(Controls!$B$21="Y",$AN$51="No SIC"),-1000000000000000,IF(Controls!$B$17="Selected only",IF(AS51="Y",AP51,-1000000000000000),IF(Controls!$B$17="Top by funded $",AP51,IF(Controls!$B$17="Top by funded units",AO51,IF(Controls!$B$17="Largest principal lost $",AR51,IF(Controls!$B$17="Highest net profit $",AU51,IF(AO51&lt;Controls!$B$19,-1000000000000000,IF(Controls!$B$17="Highest principal lost rate %",AQ51,IF(Controls!$B$17="Lowest principal lost rate %",1-AQ51,AP51))))))))) +48/1000000)</f>
        <v/>
      </c>
      <c r="AU51" s="57">
        <f>SUMIFS(Data!$AM$2:$AM$1105,Data!$AK$2:$AK$1105,1,Data!$AY$2:$AY$1105,$AN$51)</f>
        <v/>
      </c>
      <c r="AV51" s="61" t="n"/>
      <c r="AW51" s="61" t="n"/>
      <c r="AX51" s="61" t="n"/>
      <c r="AY51" s="61" t="n"/>
      <c r="AZ51" s="61" t="n"/>
      <c r="BA51" s="61" t="n"/>
      <c r="BB51" s="61">
        <f>Controls!$A$87</f>
        <v/>
      </c>
      <c r="BC51" s="61">
        <f>COUNTIFS(Data!$AK$2:$AK$1105,1,Data!$AY$2:$AY$1105,$BB$51)</f>
        <v/>
      </c>
      <c r="BD51" s="57">
        <f>SUMIFS(Data!$P$2:$P$1105,Data!$AK$2:$AK$1105,1,Data!$AY$2:$AY$1105,$BB$51)</f>
        <v/>
      </c>
      <c r="BE51" s="56">
        <f>IF(COUNTIFS(Data!$AK$2:$AK$1105,1,Data!$AY$2:$AY$1105,$BB$51)&lt;Controls!$B$19,"",IFERROR(SUMIFS(Data!$AN$2:$AN$1105,Data!$AK$2:$AK$1105,1,Data!$AY$2:$AY$1105,$BB$51)/$BD$51,""))</f>
        <v/>
      </c>
      <c r="BF51" s="56">
        <f>IF(COUNTIFS(Data!$AK$2:$AK$1105,1,Data!$AY$2:$AY$1105,$BB$51)&lt;Controls!$B$19,"",IFERROR(SUMIFS(Data!$AM$2:$AM$1105,Data!$AK$2:$AK$1105,1,Data!$AY$2:$AY$1105,$BB$51)/SUMIFS(Data!$P$2:$P$1105,Data!$AK$2:$AK$1105,1,Data!$AY$2:$AY$1105,$BB$51),""))</f>
        <v/>
      </c>
      <c r="BG51" s="57">
        <f>SUMIFS(Data!$AN$2:$AN$1105,Data!$AK$2:$AK$1105,1,Data!$AY$2:$AY$1105,$BB$51)</f>
        <v/>
      </c>
      <c r="BH51" s="61" t="n"/>
      <c r="BI51" s="61" t="n"/>
      <c r="BJ51" s="61" t="n"/>
      <c r="BK51" s="61">
        <f>IF($BC$51&lt;Controls!$B$22,"",$BE$51)</f>
        <v/>
      </c>
      <c r="BL51" s="61">
        <f>IF($BC$51&lt;Controls!$B$22,"",$BF$51)</f>
        <v/>
      </c>
      <c r="BM51" s="61">
        <f>IF($BC$51&lt;Controls!$B$22,"",$BG$51)</f>
        <v/>
      </c>
      <c r="BN51" s="61" t="n"/>
      <c r="BO51" s="61" t="n"/>
      <c r="BP51" s="61" t="n"/>
      <c r="BQ51" s="61" t="n"/>
      <c r="BR51" s="61" t="n"/>
      <c r="BS51" s="61" t="n"/>
      <c r="BT51" s="61" t="n"/>
    </row>
    <row r="52" ht="15.75" customHeight="1" s="79">
      <c r="A52" s="61">
        <f t="array" ref="A52">IFERROR(IF(14&gt;Controls!$B$18,"",IF(LARGE(Calc!$AT$81:$AT$130,14)&lt;-100000000000000,"",INDEX(Calc!$AN$81:$AN$130,MATCH(LARGE(Calc!$AT$81:$AT$130,14),Calc!$AT$81:$AT$130,0)))),"")</f>
        <v/>
      </c>
      <c r="B52" s="66">
        <f>IF($A$52="",NA(),IFERROR(SUMIFS(Data!$P$2:$P$1105,Data!$AK$2:$AK$1105,1,Data!$L$2:$L$1105,$A$52),NA()))</f>
        <v/>
      </c>
      <c r="C52" s="66">
        <f>IF($A$52="",NA(),IFERROR(SUMIFS(Data!$S$2:$S$1105,Data!$AK$2:$AK$1105,1,Data!$L$2:$L$1105,$A$52),NA()))</f>
        <v/>
      </c>
      <c r="D52" s="66">
        <f>IF(ISNA($B$52),NA(),$C$52-$B$52)</f>
        <v/>
      </c>
      <c r="E52" s="66">
        <f>IF($A$52="",NA(),IFERROR(SUMIFS(Data!$Q$2:$Q$1105,Data!$AK$2:$AK$1105,1,Data!$L$2:$L$1105,$A$52),NA()))</f>
        <v/>
      </c>
      <c r="F52" s="66">
        <f>IF($A$52="",NA(),IFERROR(SUMIFS(Data!$AN$2:$AN$1105,Data!$AK$2:$AK$1105,1,Data!$L$2:$L$1105,$A$52),NA()))</f>
        <v/>
      </c>
      <c r="G52" s="62">
        <f>IF($A$52="",NA(),IF(COUNTIFS(Data!$AK$2:$AK$1105,1,Data!$L$2:$L$1105,$A$52)&lt;Controls!$B$19,NA(),IFERROR(SUMIFS(Data!$AN$2:$AN$1105,Data!$AK$2:$AK$1105,1,Data!$L$2:$L$1105,$A$52)/$B$52,NA())))</f>
        <v/>
      </c>
      <c r="H52" s="62">
        <f>IF($A$52="",NA(),IF(COUNTIFS(Data!$AK$2:$AK$1105,1,Data!$L$2:$L$1105,$A$52)&lt;Controls!$B$19,NA(),IFERROR(SUMIFS(Data!$S$2:$S$1105,Data!$AK$2:$AK$1105,1,Data!$L$2:$L$1105,$A$52,Data!$AH$2:$AH$1105,1)/SUMIFS(Data!$P$2:$P$1105,Data!$AK$2:$AK$1105,1,Data!$L$2:$L$1105,$A$52,Data!$AH$2:$AH$1105,1),NA())))</f>
        <v/>
      </c>
      <c r="I52" s="62">
        <f>IF(ISNA($J$52),NA(),IF($J$52&lt;Controls!$B$19,NA(),IFERROR($D$52/$B$52,NA())))</f>
        <v/>
      </c>
      <c r="J52" s="67">
        <f>IF($A$52="",NA(),IFERROR(COUNTIFS(Data!$AK$2:$AK$1105,1,Data!$L$2:$L$1105,$A$52),NA()))</f>
        <v/>
      </c>
      <c r="K52" s="62">
        <f>IF(ISNA($B$52),NA(),IFERROR($B$52/Calc!$BT$6,NA()))</f>
        <v/>
      </c>
      <c r="L52" s="66">
        <f>IF(ISNA($J$52),NA(),IF($J$52&lt;Controls!$B$19,NA(),IFERROR($B$52/$J$52,NA())))</f>
        <v/>
      </c>
      <c r="M52" s="67">
        <f>IF($A$52="",NA(),IF(COUNTIFS(Data!$AK$2:$AK$1105,1,Data!$L$2:$L$1105,$A$52)&lt;Controls!$B$19,NA(),IFERROR(AVERAGEIFS(Data!$AE$2:$AE$1105,Data!$AK$2:$AK$1105,1,Data!$L$2:$L$1105,$A$52),NA())))</f>
        <v/>
      </c>
      <c r="N52" s="67">
        <f>IF($A$52="",NA(),IF(COUNTIFS(Data!$AK$2:$AK$1105,1,Data!$L$2:$L$1105,$A$52)&lt;Controls!$B$19,NA(),IFERROR(AVERAGEIFS(Data!$AD$2:$AD$1105,Data!$AK$2:$AK$1105,1,Data!$L$2:$L$1105,$A$52),NA())))</f>
        <v/>
      </c>
      <c r="O52" s="67">
        <f>IF($A$52="",NA(),IF(COUNTIFS(Data!$AK$2:$AK$1105,1,Data!$L$2:$L$1105,$A$52)&lt;Controls!$B$19,NA(),IFERROR(AVERAGEIFS(Data!$AS$2:$AS$1105,Data!$AK$2:$AK$1105,1,Data!$L$2:$L$1105,$A$52),NA())))</f>
        <v/>
      </c>
      <c r="P52" s="67">
        <f>IF($A$52="",NA(),IF(COUNTIFS(Data!$AK$2:$AK$1105,1,Data!$L$2:$L$1105,$A$52)&lt;Controls!$B$19,NA(),IFERROR(AVERAGEIFS(Data!$AT$2:$AT$1105,Data!$AK$2:$AK$1105,1,Data!$L$2:$L$1105,$A$52),NA())))</f>
        <v/>
      </c>
      <c r="Q52" s="62">
        <f>IF($A$52="",NA(),IF(COUNTIFS(Data!$AK$2:$AK$1105,1,Data!$L$2:$L$1105,$A$52)&lt;Controls!$B$19,NA(),IFERROR(COUNTIFS(Data!$AK$2:$AK$1105,1,Data!$L$2:$L$1105,$A$52,Data!$N$2:$N$1105,"Renewal")/COUNTIFS(Data!$AK$2:$AK$1105,1,Data!$L$2:$L$1105,$A$52),NA())))</f>
        <v/>
      </c>
      <c r="R52" s="62">
        <f>IF($A$52="",NA(),IF(COUNTIFS(Data!$AK$2:$AK$1105,1,Data!$L$2:$L$1105,$A$52)&lt;Controls!$B$19,NA(),IFERROR(SUMIFS(Data!$P$2:$P$1105,Data!$AK$2:$AK$1105,1,Data!$L$2:$L$1105,$A$52,Data!$N$2:$N$1105,"Renewal")/SUMIFS(Data!$P$2:$P$1105,Data!$AK$2:$AK$1105,1,Data!$L$2:$L$1105,$A$52),NA())))</f>
        <v/>
      </c>
      <c r="S52" s="62">
        <f>IF($A$52="",NA(),Calc!$BT$2)</f>
        <v/>
      </c>
      <c r="T52" s="62">
        <f>IF($A$52="",NA(),Calc!$BT$3)</f>
        <v/>
      </c>
      <c r="U52" s="62">
        <f>IF($A$52="",NA(),Calc!$BT$4)</f>
        <v/>
      </c>
      <c r="V52" s="62">
        <f>IF($A$52="",NA(),IF(COUNTIFS(Data!$AK$2:$AK$1105,1,Data!$L$2:$L$1105,$A$52)&lt;Controls!$B$19,NA(),IFERROR(COUNTIFS(Data!$AK$2:$AK$1105,1,Data!$L$2:$L$1105,$A$52,Data!$AH$2:$AH$1105,1)/COUNTIFS(Data!$AK$2:$AK$1105,1,Data!$L$2:$L$1105,$A$52),NA())))</f>
        <v/>
      </c>
      <c r="W52" s="61">
        <f>IF($A$52="","",$A$52&amp;" ("&amp;$J$52&amp;")")</f>
        <v/>
      </c>
      <c r="X52" s="61" t="n"/>
      <c r="Y52" s="61" t="n"/>
      <c r="Z52" s="61" t="n"/>
      <c r="AA52" s="61" t="n"/>
      <c r="AB52" s="61" t="n"/>
      <c r="AC52" s="61" t="n"/>
      <c r="AD52" s="61" t="n"/>
      <c r="AE52" s="61" t="n"/>
      <c r="AF52" s="61" t="n"/>
      <c r="AG52" s="61" t="n"/>
      <c r="AH52" s="61" t="n"/>
      <c r="AI52" s="61" t="n"/>
      <c r="AJ52" s="61" t="n"/>
      <c r="AK52" s="61" t="n"/>
      <c r="AL52" s="61" t="n"/>
      <c r="AM52" s="61" t="n"/>
      <c r="AN52" s="61">
        <f>Controls!$A$88</f>
        <v/>
      </c>
      <c r="AO52" s="61">
        <f>COUNTIFS(Data!$AK$2:$AK$1105,1,Data!$AY$2:$AY$1105,$AN$52)</f>
        <v/>
      </c>
      <c r="AP52" s="57">
        <f>SUMIFS(Data!$P$2:$P$1105,Data!$AK$2:$AK$1105,1,Data!$AY$2:$AY$1105,$AN$52)</f>
        <v/>
      </c>
      <c r="AQ52" s="56">
        <f>IFERROR(SUMIFS(Data!$AN$2:$AN$1105,Data!$AK$2:$AK$1105,1,Data!$AY$2:$AY$1105,$AN$52)/$AP$52,0)</f>
        <v/>
      </c>
      <c r="AR52" s="57">
        <f>SUMIFS(Data!$AN$2:$AN$1105,Data!$AK$2:$AK$1105,1,Data!$AY$2:$AY$1105,$AN$52)</f>
        <v/>
      </c>
      <c r="AS52" s="61">
        <f>Controls!$B$88</f>
        <v/>
      </c>
      <c r="AT52" s="61">
        <f>IF(OR(AO52=0,AO52&lt;Controls!$B$20),-1000000000000000,IF(AND(Controls!$B$21="Y",$AN$52="No SIC"),-1000000000000000,IF(Controls!$B$17="Selected only",IF(AS52="Y",AP52,-1000000000000000),IF(Controls!$B$17="Top by funded $",AP52,IF(Controls!$B$17="Top by funded units",AO52,IF(Controls!$B$17="Largest principal lost $",AR52,IF(Controls!$B$17="Highest net profit $",AU52,IF(AO52&lt;Controls!$B$19,-1000000000000000,IF(Controls!$B$17="Highest principal lost rate %",AQ52,IF(Controls!$B$17="Lowest principal lost rate %",1-AQ52,AP52))))))))) +49/1000000)</f>
        <v/>
      </c>
      <c r="AU52" s="57">
        <f>SUMIFS(Data!$AM$2:$AM$1105,Data!$AK$2:$AK$1105,1,Data!$AY$2:$AY$1105,$AN$52)</f>
        <v/>
      </c>
      <c r="AV52" s="61" t="n"/>
      <c r="AW52" s="61" t="n"/>
      <c r="AX52" s="61" t="n"/>
      <c r="AY52" s="61" t="n"/>
      <c r="AZ52" s="61" t="n"/>
      <c r="BA52" s="61" t="n"/>
      <c r="BB52" s="61">
        <f>Controls!$A$88</f>
        <v/>
      </c>
      <c r="BC52" s="61">
        <f>COUNTIFS(Data!$AK$2:$AK$1105,1,Data!$AY$2:$AY$1105,$BB$52)</f>
        <v/>
      </c>
      <c r="BD52" s="57">
        <f>SUMIFS(Data!$P$2:$P$1105,Data!$AK$2:$AK$1105,1,Data!$AY$2:$AY$1105,$BB$52)</f>
        <v/>
      </c>
      <c r="BE52" s="56">
        <f>IF(COUNTIFS(Data!$AK$2:$AK$1105,1,Data!$AY$2:$AY$1105,$BB$52)&lt;Controls!$B$19,"",IFERROR(SUMIFS(Data!$AN$2:$AN$1105,Data!$AK$2:$AK$1105,1,Data!$AY$2:$AY$1105,$BB$52)/$BD$52,""))</f>
        <v/>
      </c>
      <c r="BF52" s="56">
        <f>IF(COUNTIFS(Data!$AK$2:$AK$1105,1,Data!$AY$2:$AY$1105,$BB$52)&lt;Controls!$B$19,"",IFERROR(SUMIFS(Data!$AM$2:$AM$1105,Data!$AK$2:$AK$1105,1,Data!$AY$2:$AY$1105,$BB$52)/SUMIFS(Data!$P$2:$P$1105,Data!$AK$2:$AK$1105,1,Data!$AY$2:$AY$1105,$BB$52),""))</f>
        <v/>
      </c>
      <c r="BG52" s="57">
        <f>SUMIFS(Data!$AN$2:$AN$1105,Data!$AK$2:$AK$1105,1,Data!$AY$2:$AY$1105,$BB$52)</f>
        <v/>
      </c>
      <c r="BH52" s="61" t="n"/>
      <c r="BI52" s="61" t="n"/>
      <c r="BJ52" s="61" t="n"/>
      <c r="BK52" s="61">
        <f>IF($BC$52&lt;Controls!$B$22,"",$BE$52)</f>
        <v/>
      </c>
      <c r="BL52" s="61">
        <f>IF($BC$52&lt;Controls!$B$22,"",$BF$52)</f>
        <v/>
      </c>
      <c r="BM52" s="61">
        <f>IF($BC$52&lt;Controls!$B$22,"",$BG$52)</f>
        <v/>
      </c>
      <c r="BN52" s="61" t="n"/>
      <c r="BO52" s="61" t="n"/>
      <c r="BP52" s="61" t="n"/>
      <c r="BQ52" s="61" t="n"/>
      <c r="BR52" s="61" t="n"/>
      <c r="BS52" s="61" t="n"/>
      <c r="BT52" s="61" t="n"/>
    </row>
    <row r="53" ht="15.75" customHeight="1" s="79">
      <c r="A53" s="61">
        <f t="array" ref="A53">IFERROR(IF(15&gt;Controls!$B$18,"",IF(LARGE(Calc!$AT$81:$AT$130,15)&lt;-100000000000000,"",INDEX(Calc!$AN$81:$AN$130,MATCH(LARGE(Calc!$AT$81:$AT$130,15),Calc!$AT$81:$AT$130,0)))),"")</f>
        <v/>
      </c>
      <c r="B53" s="66">
        <f>IF($A$53="",NA(),IFERROR(SUMIFS(Data!$P$2:$P$1105,Data!$AK$2:$AK$1105,1,Data!$L$2:$L$1105,$A$53),NA()))</f>
        <v/>
      </c>
      <c r="C53" s="66">
        <f>IF($A$53="",NA(),IFERROR(SUMIFS(Data!$S$2:$S$1105,Data!$AK$2:$AK$1105,1,Data!$L$2:$L$1105,$A$53),NA()))</f>
        <v/>
      </c>
      <c r="D53" s="66">
        <f>IF(ISNA($B$53),NA(),$C$53-$B$53)</f>
        <v/>
      </c>
      <c r="E53" s="66">
        <f>IF($A$53="",NA(),IFERROR(SUMIFS(Data!$Q$2:$Q$1105,Data!$AK$2:$AK$1105,1,Data!$L$2:$L$1105,$A$53),NA()))</f>
        <v/>
      </c>
      <c r="F53" s="66">
        <f>IF($A$53="",NA(),IFERROR(SUMIFS(Data!$AN$2:$AN$1105,Data!$AK$2:$AK$1105,1,Data!$L$2:$L$1105,$A$53),NA()))</f>
        <v/>
      </c>
      <c r="G53" s="62">
        <f>IF($A$53="",NA(),IF(COUNTIFS(Data!$AK$2:$AK$1105,1,Data!$L$2:$L$1105,$A$53)&lt;Controls!$B$19,NA(),IFERROR(SUMIFS(Data!$AN$2:$AN$1105,Data!$AK$2:$AK$1105,1,Data!$L$2:$L$1105,$A$53)/$B$53,NA())))</f>
        <v/>
      </c>
      <c r="H53" s="62">
        <f>IF($A$53="",NA(),IF(COUNTIFS(Data!$AK$2:$AK$1105,1,Data!$L$2:$L$1105,$A$53)&lt;Controls!$B$19,NA(),IFERROR(SUMIFS(Data!$S$2:$S$1105,Data!$AK$2:$AK$1105,1,Data!$L$2:$L$1105,$A$53,Data!$AH$2:$AH$1105,1)/SUMIFS(Data!$P$2:$P$1105,Data!$AK$2:$AK$1105,1,Data!$L$2:$L$1105,$A$53,Data!$AH$2:$AH$1105,1),NA())))</f>
        <v/>
      </c>
      <c r="I53" s="62">
        <f>IF(ISNA($J$53),NA(),IF($J$53&lt;Controls!$B$19,NA(),IFERROR($D$53/$B$53,NA())))</f>
        <v/>
      </c>
      <c r="J53" s="67">
        <f>IF($A$53="",NA(),IFERROR(COUNTIFS(Data!$AK$2:$AK$1105,1,Data!$L$2:$L$1105,$A$53),NA()))</f>
        <v/>
      </c>
      <c r="K53" s="62">
        <f>IF(ISNA($B$53),NA(),IFERROR($B$53/Calc!$BT$6,NA()))</f>
        <v/>
      </c>
      <c r="L53" s="66">
        <f>IF(ISNA($J$53),NA(),IF($J$53&lt;Controls!$B$19,NA(),IFERROR($B$53/$J$53,NA())))</f>
        <v/>
      </c>
      <c r="M53" s="67">
        <f>IF($A$53="",NA(),IF(COUNTIFS(Data!$AK$2:$AK$1105,1,Data!$L$2:$L$1105,$A$53)&lt;Controls!$B$19,NA(),IFERROR(AVERAGEIFS(Data!$AE$2:$AE$1105,Data!$AK$2:$AK$1105,1,Data!$L$2:$L$1105,$A$53),NA())))</f>
        <v/>
      </c>
      <c r="N53" s="67">
        <f>IF($A$53="",NA(),IF(COUNTIFS(Data!$AK$2:$AK$1105,1,Data!$L$2:$L$1105,$A$53)&lt;Controls!$B$19,NA(),IFERROR(AVERAGEIFS(Data!$AD$2:$AD$1105,Data!$AK$2:$AK$1105,1,Data!$L$2:$L$1105,$A$53),NA())))</f>
        <v/>
      </c>
      <c r="O53" s="67">
        <f>IF($A$53="",NA(),IF(COUNTIFS(Data!$AK$2:$AK$1105,1,Data!$L$2:$L$1105,$A$53)&lt;Controls!$B$19,NA(),IFERROR(AVERAGEIFS(Data!$AS$2:$AS$1105,Data!$AK$2:$AK$1105,1,Data!$L$2:$L$1105,$A$53),NA())))</f>
        <v/>
      </c>
      <c r="P53" s="67">
        <f>IF($A$53="",NA(),IF(COUNTIFS(Data!$AK$2:$AK$1105,1,Data!$L$2:$L$1105,$A$53)&lt;Controls!$B$19,NA(),IFERROR(AVERAGEIFS(Data!$AT$2:$AT$1105,Data!$AK$2:$AK$1105,1,Data!$L$2:$L$1105,$A$53),NA())))</f>
        <v/>
      </c>
      <c r="Q53" s="62">
        <f>IF($A$53="",NA(),IF(COUNTIFS(Data!$AK$2:$AK$1105,1,Data!$L$2:$L$1105,$A$53)&lt;Controls!$B$19,NA(),IFERROR(COUNTIFS(Data!$AK$2:$AK$1105,1,Data!$L$2:$L$1105,$A$53,Data!$N$2:$N$1105,"Renewal")/COUNTIFS(Data!$AK$2:$AK$1105,1,Data!$L$2:$L$1105,$A$53),NA())))</f>
        <v/>
      </c>
      <c r="R53" s="62">
        <f>IF($A$53="",NA(),IF(COUNTIFS(Data!$AK$2:$AK$1105,1,Data!$L$2:$L$1105,$A$53)&lt;Controls!$B$19,NA(),IFERROR(SUMIFS(Data!$P$2:$P$1105,Data!$AK$2:$AK$1105,1,Data!$L$2:$L$1105,$A$53,Data!$N$2:$N$1105,"Renewal")/SUMIFS(Data!$P$2:$P$1105,Data!$AK$2:$AK$1105,1,Data!$L$2:$L$1105,$A$53),NA())))</f>
        <v/>
      </c>
      <c r="S53" s="62">
        <f>IF($A$53="",NA(),Calc!$BT$2)</f>
        <v/>
      </c>
      <c r="T53" s="62">
        <f>IF($A$53="",NA(),Calc!$BT$3)</f>
        <v/>
      </c>
      <c r="U53" s="62">
        <f>IF($A$53="",NA(),Calc!$BT$4)</f>
        <v/>
      </c>
      <c r="V53" s="62">
        <f>IF($A$53="",NA(),IF(COUNTIFS(Data!$AK$2:$AK$1105,1,Data!$L$2:$L$1105,$A$53)&lt;Controls!$B$19,NA(),IFERROR(COUNTIFS(Data!$AK$2:$AK$1105,1,Data!$L$2:$L$1105,$A$53,Data!$AH$2:$AH$1105,1)/COUNTIFS(Data!$AK$2:$AK$1105,1,Data!$L$2:$L$1105,$A$53),NA())))</f>
        <v/>
      </c>
      <c r="W53" s="61">
        <f>IF($A$53="","",$A$53&amp;" ("&amp;$J$53&amp;")")</f>
        <v/>
      </c>
      <c r="X53" s="61" t="n"/>
      <c r="Y53" s="61" t="n"/>
      <c r="Z53" s="61" t="n"/>
      <c r="AA53" s="61" t="n"/>
      <c r="AB53" s="61" t="n"/>
      <c r="AC53" s="61" t="n"/>
      <c r="AD53" s="61" t="n"/>
      <c r="AE53" s="61" t="n"/>
      <c r="AF53" s="61" t="n"/>
      <c r="AG53" s="61" t="n"/>
      <c r="AH53" s="61" t="n"/>
      <c r="AI53" s="61" t="n"/>
      <c r="AJ53" s="61" t="n"/>
      <c r="AK53" s="61" t="n"/>
      <c r="AL53" s="61" t="n"/>
      <c r="AM53" s="61" t="n"/>
      <c r="AN53" s="61">
        <f>Controls!$A$89</f>
        <v/>
      </c>
      <c r="AO53" s="61">
        <f>COUNTIFS(Data!$AK$2:$AK$1105,1,Data!$AY$2:$AY$1105,$AN$53)</f>
        <v/>
      </c>
      <c r="AP53" s="57">
        <f>SUMIFS(Data!$P$2:$P$1105,Data!$AK$2:$AK$1105,1,Data!$AY$2:$AY$1105,$AN$53)</f>
        <v/>
      </c>
      <c r="AQ53" s="56">
        <f>IFERROR(SUMIFS(Data!$AN$2:$AN$1105,Data!$AK$2:$AK$1105,1,Data!$AY$2:$AY$1105,$AN$53)/$AP$53,0)</f>
        <v/>
      </c>
      <c r="AR53" s="57">
        <f>SUMIFS(Data!$AN$2:$AN$1105,Data!$AK$2:$AK$1105,1,Data!$AY$2:$AY$1105,$AN$53)</f>
        <v/>
      </c>
      <c r="AS53" s="61">
        <f>Controls!$B$89</f>
        <v/>
      </c>
      <c r="AT53" s="57">
        <f>IF(OR(AO53=0,AO53&lt;Controls!$B$20),-1000000000000000,IF(AND(Controls!$B$21="Y",$AN$53="No SIC"),-1000000000000000,IF(Controls!$B$17="Selected only",IF(AS53="Y",AP53,-1000000000000000),IF(Controls!$B$17="Top by funded $",AP53,IF(Controls!$B$17="Top by funded units",AO53,IF(Controls!$B$17="Largest principal lost $",AR53,IF(Controls!$B$17="Highest net profit $",AU53,IF(AO53&lt;Controls!$B$19,-1000000000000000,IF(Controls!$B$17="Highest principal lost rate %",AQ53,IF(Controls!$B$17="Lowest principal lost rate %",1-AQ53,AP53))))))))) +50/1000000)</f>
        <v/>
      </c>
      <c r="AU53" s="57">
        <f>SUMIFS(Data!$AM$2:$AM$1105,Data!$AK$2:$AK$1105,1,Data!$AY$2:$AY$1105,$AN$53)</f>
        <v/>
      </c>
      <c r="AV53" s="61" t="n"/>
      <c r="AW53" s="61" t="n"/>
      <c r="AX53" s="61" t="n"/>
      <c r="AY53" s="61" t="n"/>
      <c r="AZ53" s="61" t="n"/>
      <c r="BA53" s="61" t="n"/>
      <c r="BB53" s="61">
        <f>Controls!$A$89</f>
        <v/>
      </c>
      <c r="BC53" s="61">
        <f>COUNTIFS(Data!$AK$2:$AK$1105,1,Data!$AY$2:$AY$1105,$BB$53)</f>
        <v/>
      </c>
      <c r="BD53" s="57">
        <f>SUMIFS(Data!$P$2:$P$1105,Data!$AK$2:$AK$1105,1,Data!$AY$2:$AY$1105,$BB$53)</f>
        <v/>
      </c>
      <c r="BE53" s="56">
        <f>IF(COUNTIFS(Data!$AK$2:$AK$1105,1,Data!$AY$2:$AY$1105,$BB$53)&lt;Controls!$B$19,"",IFERROR(SUMIFS(Data!$AN$2:$AN$1105,Data!$AK$2:$AK$1105,1,Data!$AY$2:$AY$1105,$BB$53)/$BD$53,""))</f>
        <v/>
      </c>
      <c r="BF53" s="56">
        <f>IF(COUNTIFS(Data!$AK$2:$AK$1105,1,Data!$AY$2:$AY$1105,$BB$53)&lt;Controls!$B$19,"",IFERROR(SUMIFS(Data!$AM$2:$AM$1105,Data!$AK$2:$AK$1105,1,Data!$AY$2:$AY$1105,$BB$53)/SUMIFS(Data!$P$2:$P$1105,Data!$AK$2:$AK$1105,1,Data!$AY$2:$AY$1105,$BB$53),""))</f>
        <v/>
      </c>
      <c r="BG53" s="57">
        <f>SUMIFS(Data!$AN$2:$AN$1105,Data!$AK$2:$AK$1105,1,Data!$AY$2:$AY$1105,$BB$53)</f>
        <v/>
      </c>
      <c r="BH53" s="61" t="n"/>
      <c r="BI53" s="61" t="n"/>
      <c r="BJ53" s="61" t="n"/>
      <c r="BK53" s="56">
        <f>IF($BC$53&lt;Controls!$B$22,"",$BE$53)</f>
        <v/>
      </c>
      <c r="BL53" s="56">
        <f>IF($BC$53&lt;Controls!$B$22,"",$BF$53)</f>
        <v/>
      </c>
      <c r="BM53" s="57">
        <f>IF($BC$53&lt;Controls!$B$22,"",$BG$53)</f>
        <v/>
      </c>
      <c r="BN53" s="61" t="n"/>
      <c r="BO53" s="61" t="n"/>
      <c r="BP53" s="61" t="n"/>
      <c r="BQ53" s="61" t="n"/>
      <c r="BR53" s="61" t="n"/>
      <c r="BS53" s="61" t="n"/>
      <c r="BT53" s="61" t="n"/>
    </row>
    <row r="54" ht="15.75" customHeight="1" s="79">
      <c r="A54" s="61">
        <f t="array" ref="A54">IFERROR(IF(16&gt;Controls!$B$18,"",IF(LARGE(Calc!$AT$81:$AT$130,16)&lt;-100000000000000,"",INDEX(Calc!$AN$81:$AN$130,MATCH(LARGE(Calc!$AT$81:$AT$130,16),Calc!$AT$81:$AT$130,0)))),"")</f>
        <v/>
      </c>
      <c r="B54" s="66">
        <f>IF($A$54="",NA(),IFERROR(SUMIFS(Data!$P$2:$P$1105,Data!$AK$2:$AK$1105,1,Data!$L$2:$L$1105,$A$54),NA()))</f>
        <v/>
      </c>
      <c r="C54" s="66">
        <f>IF($A$54="",NA(),IFERROR(SUMIFS(Data!$S$2:$S$1105,Data!$AK$2:$AK$1105,1,Data!$L$2:$L$1105,$A$54),NA()))</f>
        <v/>
      </c>
      <c r="D54" s="66">
        <f>IF(ISNA($B$54),NA(),$C$54-$B$54)</f>
        <v/>
      </c>
      <c r="E54" s="66">
        <f>IF($A$54="",NA(),IFERROR(SUMIFS(Data!$Q$2:$Q$1105,Data!$AK$2:$AK$1105,1,Data!$L$2:$L$1105,$A$54),NA()))</f>
        <v/>
      </c>
      <c r="F54" s="66">
        <f>IF($A$54="",NA(),IFERROR(SUMIFS(Data!$AN$2:$AN$1105,Data!$AK$2:$AK$1105,1,Data!$L$2:$L$1105,$A$54),NA()))</f>
        <v/>
      </c>
      <c r="G54" s="62">
        <f>IF($A$54="",NA(),IF(COUNTIFS(Data!$AK$2:$AK$1105,1,Data!$L$2:$L$1105,$A$54)&lt;Controls!$B$19,NA(),IFERROR(SUMIFS(Data!$AN$2:$AN$1105,Data!$AK$2:$AK$1105,1,Data!$L$2:$L$1105,$A$54)/$B$54,NA())))</f>
        <v/>
      </c>
      <c r="H54" s="62">
        <f>IF($A$54="",NA(),IF(COUNTIFS(Data!$AK$2:$AK$1105,1,Data!$L$2:$L$1105,$A$54)&lt;Controls!$B$19,NA(),IFERROR(SUMIFS(Data!$S$2:$S$1105,Data!$AK$2:$AK$1105,1,Data!$L$2:$L$1105,$A$54,Data!$AH$2:$AH$1105,1)/SUMIFS(Data!$P$2:$P$1105,Data!$AK$2:$AK$1105,1,Data!$L$2:$L$1105,$A$54,Data!$AH$2:$AH$1105,1),NA())))</f>
        <v/>
      </c>
      <c r="I54" s="62">
        <f>IF(ISNA($J$54),NA(),IF($J$54&lt;Controls!$B$19,NA(),IFERROR($D$54/$B$54,NA())))</f>
        <v/>
      </c>
      <c r="J54" s="67">
        <f>IF($A$54="",NA(),IFERROR(COUNTIFS(Data!$AK$2:$AK$1105,1,Data!$L$2:$L$1105,$A$54),NA()))</f>
        <v/>
      </c>
      <c r="K54" s="62">
        <f>IF(ISNA($B$54),NA(),IFERROR($B$54/Calc!$BT$6,NA()))</f>
        <v/>
      </c>
      <c r="L54" s="66">
        <f>IF(ISNA($J$54),NA(),IF($J$54&lt;Controls!$B$19,NA(),IFERROR($B$54/$J$54,NA())))</f>
        <v/>
      </c>
      <c r="M54" s="67">
        <f>IF($A$54="",NA(),IF(COUNTIFS(Data!$AK$2:$AK$1105,1,Data!$L$2:$L$1105,$A$54)&lt;Controls!$B$19,NA(),IFERROR(AVERAGEIFS(Data!$AE$2:$AE$1105,Data!$AK$2:$AK$1105,1,Data!$L$2:$L$1105,$A$54),NA())))</f>
        <v/>
      </c>
      <c r="N54" s="67">
        <f>IF($A$54="",NA(),IF(COUNTIFS(Data!$AK$2:$AK$1105,1,Data!$L$2:$L$1105,$A$54)&lt;Controls!$B$19,NA(),IFERROR(AVERAGEIFS(Data!$AD$2:$AD$1105,Data!$AK$2:$AK$1105,1,Data!$L$2:$L$1105,$A$54),NA())))</f>
        <v/>
      </c>
      <c r="O54" s="67">
        <f>IF($A$54="",NA(),IF(COUNTIFS(Data!$AK$2:$AK$1105,1,Data!$L$2:$L$1105,$A$54)&lt;Controls!$B$19,NA(),IFERROR(AVERAGEIFS(Data!$AS$2:$AS$1105,Data!$AK$2:$AK$1105,1,Data!$L$2:$L$1105,$A$54),NA())))</f>
        <v/>
      </c>
      <c r="P54" s="67">
        <f>IF($A$54="",NA(),IF(COUNTIFS(Data!$AK$2:$AK$1105,1,Data!$L$2:$L$1105,$A$54)&lt;Controls!$B$19,NA(),IFERROR(AVERAGEIFS(Data!$AT$2:$AT$1105,Data!$AK$2:$AK$1105,1,Data!$L$2:$L$1105,$A$54),NA())))</f>
        <v/>
      </c>
      <c r="Q54" s="62">
        <f>IF($A$54="",NA(),IF(COUNTIFS(Data!$AK$2:$AK$1105,1,Data!$L$2:$L$1105,$A$54)&lt;Controls!$B$19,NA(),IFERROR(COUNTIFS(Data!$AK$2:$AK$1105,1,Data!$L$2:$L$1105,$A$54,Data!$N$2:$N$1105,"Renewal")/COUNTIFS(Data!$AK$2:$AK$1105,1,Data!$L$2:$L$1105,$A$54),NA())))</f>
        <v/>
      </c>
      <c r="R54" s="62">
        <f>IF($A$54="",NA(),IF(COUNTIFS(Data!$AK$2:$AK$1105,1,Data!$L$2:$L$1105,$A$54)&lt;Controls!$B$19,NA(),IFERROR(SUMIFS(Data!$P$2:$P$1105,Data!$AK$2:$AK$1105,1,Data!$L$2:$L$1105,$A$54,Data!$N$2:$N$1105,"Renewal")/SUMIFS(Data!$P$2:$P$1105,Data!$AK$2:$AK$1105,1,Data!$L$2:$L$1105,$A$54),NA())))</f>
        <v/>
      </c>
      <c r="S54" s="62">
        <f>IF($A$54="",NA(),Calc!$BT$2)</f>
        <v/>
      </c>
      <c r="T54" s="62">
        <f>IF($A$54="",NA(),Calc!$BT$3)</f>
        <v/>
      </c>
      <c r="U54" s="62">
        <f>IF($A$54="",NA(),Calc!$BT$4)</f>
        <v/>
      </c>
      <c r="V54" s="62">
        <f>IF($A$54="",NA(),IF(COUNTIFS(Data!$AK$2:$AK$1105,1,Data!$L$2:$L$1105,$A$54)&lt;Controls!$B$19,NA(),IFERROR(COUNTIFS(Data!$AK$2:$AK$1105,1,Data!$L$2:$L$1105,$A$54,Data!$AH$2:$AH$1105,1)/COUNTIFS(Data!$AK$2:$AK$1105,1,Data!$L$2:$L$1105,$A$54),NA())))</f>
        <v/>
      </c>
      <c r="W54" s="61">
        <f>IF($A$54="","",$A$54&amp;" ("&amp;$J$54&amp;")")</f>
        <v/>
      </c>
      <c r="X54" s="61" t="n"/>
      <c r="Y54" s="61" t="n"/>
      <c r="Z54" s="61" t="n"/>
      <c r="AA54" s="61" t="n"/>
      <c r="AB54" s="61" t="n"/>
      <c r="AC54" s="61" t="n"/>
      <c r="AD54" s="61" t="n"/>
      <c r="AE54" s="61" t="n"/>
      <c r="AF54" s="61" t="n"/>
      <c r="AG54" s="61" t="n"/>
      <c r="AH54" s="61" t="n"/>
      <c r="AI54" s="61" t="n"/>
      <c r="AJ54" s="61" t="n"/>
      <c r="AK54" s="61" t="n"/>
      <c r="AL54" s="61" t="n"/>
      <c r="AM54" s="61" t="n"/>
      <c r="AN54" s="61">
        <f>Controls!$A$90</f>
        <v/>
      </c>
      <c r="AO54" s="61">
        <f>COUNTIFS(Data!$AK$2:$AK$1105,1,Data!$AY$2:$AY$1105,$AN$54)</f>
        <v/>
      </c>
      <c r="AP54" s="57">
        <f>SUMIFS(Data!$P$2:$P$1105,Data!$AK$2:$AK$1105,1,Data!$AY$2:$AY$1105,$AN$54)</f>
        <v/>
      </c>
      <c r="AQ54" s="56">
        <f>IFERROR(SUMIFS(Data!$AN$2:$AN$1105,Data!$AK$2:$AK$1105,1,Data!$AY$2:$AY$1105,$AN$54)/$AP$54,0)</f>
        <v/>
      </c>
      <c r="AR54" s="57">
        <f>SUMIFS(Data!$AN$2:$AN$1105,Data!$AK$2:$AK$1105,1,Data!$AY$2:$AY$1105,$AN$54)</f>
        <v/>
      </c>
      <c r="AS54" s="61">
        <f>Controls!$B$90</f>
        <v/>
      </c>
      <c r="AT54" s="61">
        <f>IF(OR(AO54=0,AO54&lt;Controls!$B$20),-1000000000000000,IF(AND(Controls!$B$21="Y",$AN$54="No SIC"),-1000000000000000,IF(Controls!$B$17="Selected only",IF(AS54="Y",AP54,-1000000000000000),IF(Controls!$B$17="Top by funded $",AP54,IF(Controls!$B$17="Top by funded units",AO54,IF(Controls!$B$17="Largest principal lost $",AR54,IF(Controls!$B$17="Highest net profit $",AU54,IF(AO54&lt;Controls!$B$19,-1000000000000000,IF(Controls!$B$17="Highest principal lost rate %",AQ54,IF(Controls!$B$17="Lowest principal lost rate %",1-AQ54,AP54))))))))) +51/1000000)</f>
        <v/>
      </c>
      <c r="AU54" s="57">
        <f>SUMIFS(Data!$AM$2:$AM$1105,Data!$AK$2:$AK$1105,1,Data!$AY$2:$AY$1105,$AN$54)</f>
        <v/>
      </c>
      <c r="AV54" s="61" t="n"/>
      <c r="AW54" s="61" t="n"/>
      <c r="AX54" s="61" t="n"/>
      <c r="AY54" s="61" t="n"/>
      <c r="AZ54" s="61" t="n"/>
      <c r="BA54" s="61" t="n"/>
      <c r="BB54" s="61">
        <f>Controls!$A$90</f>
        <v/>
      </c>
      <c r="BC54" s="61">
        <f>COUNTIFS(Data!$AK$2:$AK$1105,1,Data!$AY$2:$AY$1105,$BB$54)</f>
        <v/>
      </c>
      <c r="BD54" s="57">
        <f>SUMIFS(Data!$P$2:$P$1105,Data!$AK$2:$AK$1105,1,Data!$AY$2:$AY$1105,$BB$54)</f>
        <v/>
      </c>
      <c r="BE54" s="56">
        <f>IF(COUNTIFS(Data!$AK$2:$AK$1105,1,Data!$AY$2:$AY$1105,$BB$54)&lt;Controls!$B$19,"",IFERROR(SUMIFS(Data!$AN$2:$AN$1105,Data!$AK$2:$AK$1105,1,Data!$AY$2:$AY$1105,$BB$54)/$BD$54,""))</f>
        <v/>
      </c>
      <c r="BF54" s="56">
        <f>IF(COUNTIFS(Data!$AK$2:$AK$1105,1,Data!$AY$2:$AY$1105,$BB$54)&lt;Controls!$B$19,"",IFERROR(SUMIFS(Data!$AM$2:$AM$1105,Data!$AK$2:$AK$1105,1,Data!$AY$2:$AY$1105,$BB$54)/SUMIFS(Data!$P$2:$P$1105,Data!$AK$2:$AK$1105,1,Data!$AY$2:$AY$1105,$BB$54),""))</f>
        <v/>
      </c>
      <c r="BG54" s="57">
        <f>SUMIFS(Data!$AN$2:$AN$1105,Data!$AK$2:$AK$1105,1,Data!$AY$2:$AY$1105,$BB$54)</f>
        <v/>
      </c>
      <c r="BH54" s="61" t="n"/>
      <c r="BI54" s="61" t="n"/>
      <c r="BJ54" s="61" t="n"/>
      <c r="BK54" s="61">
        <f>IF($BC$54&lt;Controls!$B$22,"",$BE$54)</f>
        <v/>
      </c>
      <c r="BL54" s="61">
        <f>IF($BC$54&lt;Controls!$B$22,"",$BF$54)</f>
        <v/>
      </c>
      <c r="BM54" s="61">
        <f>IF($BC$54&lt;Controls!$B$22,"",$BG$54)</f>
        <v/>
      </c>
      <c r="BN54" s="61" t="n"/>
      <c r="BO54" s="61" t="n"/>
      <c r="BP54" s="61" t="n"/>
      <c r="BQ54" s="61" t="n"/>
      <c r="BR54" s="61" t="n"/>
      <c r="BS54" s="61" t="n"/>
      <c r="BT54" s="61" t="n"/>
    </row>
    <row r="55" ht="15.75" customHeight="1" s="79">
      <c r="A55" s="61">
        <f t="array" ref="A55">IFERROR(IF(17&gt;Controls!$B$18,"",IF(LARGE(Calc!$AT$81:$AT$130,17)&lt;-100000000000000,"",INDEX(Calc!$AN$81:$AN$130,MATCH(LARGE(Calc!$AT$81:$AT$130,17),Calc!$AT$81:$AT$130,0)))),"")</f>
        <v/>
      </c>
      <c r="B55" s="66">
        <f>IF($A$55="",NA(),IFERROR(SUMIFS(Data!$P$2:$P$1105,Data!$AK$2:$AK$1105,1,Data!$L$2:$L$1105,$A$55),NA()))</f>
        <v/>
      </c>
      <c r="C55" s="66">
        <f>IF($A$55="",NA(),IFERROR(SUMIFS(Data!$S$2:$S$1105,Data!$AK$2:$AK$1105,1,Data!$L$2:$L$1105,$A$55),NA()))</f>
        <v/>
      </c>
      <c r="D55" s="66">
        <f>IF(ISNA($B$55),NA(),$C$55-$B$55)</f>
        <v/>
      </c>
      <c r="E55" s="66">
        <f>IF($A$55="",NA(),IFERROR(SUMIFS(Data!$Q$2:$Q$1105,Data!$AK$2:$AK$1105,1,Data!$L$2:$L$1105,$A$55),NA()))</f>
        <v/>
      </c>
      <c r="F55" s="66">
        <f>IF($A$55="",NA(),IFERROR(SUMIFS(Data!$AN$2:$AN$1105,Data!$AK$2:$AK$1105,1,Data!$L$2:$L$1105,$A$55),NA()))</f>
        <v/>
      </c>
      <c r="G55" s="62">
        <f>IF($A$55="",NA(),IF(COUNTIFS(Data!$AK$2:$AK$1105,1,Data!$L$2:$L$1105,$A$55)&lt;Controls!$B$19,NA(),IFERROR(SUMIFS(Data!$AN$2:$AN$1105,Data!$AK$2:$AK$1105,1,Data!$L$2:$L$1105,$A$55)/$B$55,NA())))</f>
        <v/>
      </c>
      <c r="H55" s="62">
        <f>IF($A$55="",NA(),IF(COUNTIFS(Data!$AK$2:$AK$1105,1,Data!$L$2:$L$1105,$A$55)&lt;Controls!$B$19,NA(),IFERROR(SUMIFS(Data!$S$2:$S$1105,Data!$AK$2:$AK$1105,1,Data!$L$2:$L$1105,$A$55,Data!$AH$2:$AH$1105,1)/SUMIFS(Data!$P$2:$P$1105,Data!$AK$2:$AK$1105,1,Data!$L$2:$L$1105,$A$55,Data!$AH$2:$AH$1105,1),NA())))</f>
        <v/>
      </c>
      <c r="I55" s="62">
        <f>IF(ISNA($J$55),NA(),IF($J$55&lt;Controls!$B$19,NA(),IFERROR($D$55/$B$55,NA())))</f>
        <v/>
      </c>
      <c r="J55" s="67">
        <f>IF($A$55="",NA(),IFERROR(COUNTIFS(Data!$AK$2:$AK$1105,1,Data!$L$2:$L$1105,$A$55),NA()))</f>
        <v/>
      </c>
      <c r="K55" s="62">
        <f>IF(ISNA($B$55),NA(),IFERROR($B$55/Calc!$BT$6,NA()))</f>
        <v/>
      </c>
      <c r="L55" s="66">
        <f>IF(ISNA($J$55),NA(),IF($J$55&lt;Controls!$B$19,NA(),IFERROR($B$55/$J$55,NA())))</f>
        <v/>
      </c>
      <c r="M55" s="67">
        <f>IF($A$55="",NA(),IF(COUNTIFS(Data!$AK$2:$AK$1105,1,Data!$L$2:$L$1105,$A$55)&lt;Controls!$B$19,NA(),IFERROR(AVERAGEIFS(Data!$AE$2:$AE$1105,Data!$AK$2:$AK$1105,1,Data!$L$2:$L$1105,$A$55),NA())))</f>
        <v/>
      </c>
      <c r="N55" s="67">
        <f>IF($A$55="",NA(),IF(COUNTIFS(Data!$AK$2:$AK$1105,1,Data!$L$2:$L$1105,$A$55)&lt;Controls!$B$19,NA(),IFERROR(AVERAGEIFS(Data!$AD$2:$AD$1105,Data!$AK$2:$AK$1105,1,Data!$L$2:$L$1105,$A$55),NA())))</f>
        <v/>
      </c>
      <c r="O55" s="67">
        <f>IF($A$55="",NA(),IF(COUNTIFS(Data!$AK$2:$AK$1105,1,Data!$L$2:$L$1105,$A$55)&lt;Controls!$B$19,NA(),IFERROR(AVERAGEIFS(Data!$AS$2:$AS$1105,Data!$AK$2:$AK$1105,1,Data!$L$2:$L$1105,$A$55),NA())))</f>
        <v/>
      </c>
      <c r="P55" s="67">
        <f>IF($A$55="",NA(),IF(COUNTIFS(Data!$AK$2:$AK$1105,1,Data!$L$2:$L$1105,$A$55)&lt;Controls!$B$19,NA(),IFERROR(AVERAGEIFS(Data!$AT$2:$AT$1105,Data!$AK$2:$AK$1105,1,Data!$L$2:$L$1105,$A$55),NA())))</f>
        <v/>
      </c>
      <c r="Q55" s="62">
        <f>IF($A$55="",NA(),IF(COUNTIFS(Data!$AK$2:$AK$1105,1,Data!$L$2:$L$1105,$A$55)&lt;Controls!$B$19,NA(),IFERROR(COUNTIFS(Data!$AK$2:$AK$1105,1,Data!$L$2:$L$1105,$A$55,Data!$N$2:$N$1105,"Renewal")/COUNTIFS(Data!$AK$2:$AK$1105,1,Data!$L$2:$L$1105,$A$55),NA())))</f>
        <v/>
      </c>
      <c r="R55" s="62">
        <f>IF($A$55="",NA(),IF(COUNTIFS(Data!$AK$2:$AK$1105,1,Data!$L$2:$L$1105,$A$55)&lt;Controls!$B$19,NA(),IFERROR(SUMIFS(Data!$P$2:$P$1105,Data!$AK$2:$AK$1105,1,Data!$L$2:$L$1105,$A$55,Data!$N$2:$N$1105,"Renewal")/SUMIFS(Data!$P$2:$P$1105,Data!$AK$2:$AK$1105,1,Data!$L$2:$L$1105,$A$55),NA())))</f>
        <v/>
      </c>
      <c r="S55" s="62">
        <f>IF($A$55="",NA(),Calc!$BT$2)</f>
        <v/>
      </c>
      <c r="T55" s="62">
        <f>IF($A$55="",NA(),Calc!$BT$3)</f>
        <v/>
      </c>
      <c r="U55" s="62">
        <f>IF($A$55="",NA(),Calc!$BT$4)</f>
        <v/>
      </c>
      <c r="V55" s="62">
        <f>IF($A$55="",NA(),IF(COUNTIFS(Data!$AK$2:$AK$1105,1,Data!$L$2:$L$1105,$A$55)&lt;Controls!$B$19,NA(),IFERROR(COUNTIFS(Data!$AK$2:$AK$1105,1,Data!$L$2:$L$1105,$A$55,Data!$AH$2:$AH$1105,1)/COUNTIFS(Data!$AK$2:$AK$1105,1,Data!$L$2:$L$1105,$A$55),NA())))</f>
        <v/>
      </c>
      <c r="W55" s="61">
        <f>IF($A$55="","",$A$55&amp;" ("&amp;$J$55&amp;")")</f>
        <v/>
      </c>
      <c r="X55" s="61" t="n"/>
      <c r="Y55" s="61" t="n"/>
      <c r="Z55" s="61" t="n"/>
      <c r="AA55" s="61" t="n"/>
      <c r="AB55" s="61" t="n"/>
      <c r="AC55" s="61" t="n"/>
      <c r="AD55" s="61" t="n"/>
      <c r="AE55" s="61" t="n"/>
      <c r="AF55" s="61" t="n"/>
      <c r="AG55" s="61" t="n"/>
      <c r="AH55" s="61" t="n"/>
      <c r="AI55" s="61" t="n"/>
      <c r="AJ55" s="61" t="n"/>
      <c r="AK55" s="61" t="n"/>
      <c r="AL55" s="61" t="n"/>
      <c r="AM55" s="61" t="n"/>
      <c r="AN55" s="61">
        <f>Controls!$A$91</f>
        <v/>
      </c>
      <c r="AO55" s="61">
        <f>COUNTIFS(Data!$AK$2:$AK$1105,1,Data!$AY$2:$AY$1105,$AN$55)</f>
        <v/>
      </c>
      <c r="AP55" s="57">
        <f>SUMIFS(Data!$P$2:$P$1105,Data!$AK$2:$AK$1105,1,Data!$AY$2:$AY$1105,$AN$55)</f>
        <v/>
      </c>
      <c r="AQ55" s="56">
        <f>IFERROR(SUMIFS(Data!$AN$2:$AN$1105,Data!$AK$2:$AK$1105,1,Data!$AY$2:$AY$1105,$AN$55)/$AP$55,0)</f>
        <v/>
      </c>
      <c r="AR55" s="57">
        <f>SUMIFS(Data!$AN$2:$AN$1105,Data!$AK$2:$AK$1105,1,Data!$AY$2:$AY$1105,$AN$55)</f>
        <v/>
      </c>
      <c r="AS55" s="61">
        <f>Controls!$B$91</f>
        <v/>
      </c>
      <c r="AT55" s="61">
        <f>IF(OR(AO55=0,AO55&lt;Controls!$B$20),-1000000000000000,IF(AND(Controls!$B$21="Y",$AN$55="No SIC"),-1000000000000000,IF(Controls!$B$17="Selected only",IF(AS55="Y",AP55,-1000000000000000),IF(Controls!$B$17="Top by funded $",AP55,IF(Controls!$B$17="Top by funded units",AO55,IF(Controls!$B$17="Largest principal lost $",AR55,IF(Controls!$B$17="Highest net profit $",AU55,IF(AO55&lt;Controls!$B$19,-1000000000000000,IF(Controls!$B$17="Highest principal lost rate %",AQ55,IF(Controls!$B$17="Lowest principal lost rate %",1-AQ55,AP55))))))))) +52/1000000)</f>
        <v/>
      </c>
      <c r="AU55" s="57">
        <f>SUMIFS(Data!$AM$2:$AM$1105,Data!$AK$2:$AK$1105,1,Data!$AY$2:$AY$1105,$AN$55)</f>
        <v/>
      </c>
      <c r="AV55" s="61" t="n"/>
      <c r="AW55" s="61" t="n"/>
      <c r="AX55" s="61" t="n"/>
      <c r="AY55" s="61" t="n"/>
      <c r="AZ55" s="61" t="n"/>
      <c r="BA55" s="61" t="n"/>
      <c r="BB55" s="61">
        <f>Controls!$A$91</f>
        <v/>
      </c>
      <c r="BC55" s="61">
        <f>COUNTIFS(Data!$AK$2:$AK$1105,1,Data!$AY$2:$AY$1105,$BB$55)</f>
        <v/>
      </c>
      <c r="BD55" s="57">
        <f>SUMIFS(Data!$P$2:$P$1105,Data!$AK$2:$AK$1105,1,Data!$AY$2:$AY$1105,$BB$55)</f>
        <v/>
      </c>
      <c r="BE55" s="56">
        <f>IF(COUNTIFS(Data!$AK$2:$AK$1105,1,Data!$AY$2:$AY$1105,$BB$55)&lt;Controls!$B$19,"",IFERROR(SUMIFS(Data!$AN$2:$AN$1105,Data!$AK$2:$AK$1105,1,Data!$AY$2:$AY$1105,$BB$55)/$BD$55,""))</f>
        <v/>
      </c>
      <c r="BF55" s="56">
        <f>IF(COUNTIFS(Data!$AK$2:$AK$1105,1,Data!$AY$2:$AY$1105,$BB$55)&lt;Controls!$B$19,"",IFERROR(SUMIFS(Data!$AM$2:$AM$1105,Data!$AK$2:$AK$1105,1,Data!$AY$2:$AY$1105,$BB$55)/SUMIFS(Data!$P$2:$P$1105,Data!$AK$2:$AK$1105,1,Data!$AY$2:$AY$1105,$BB$55),""))</f>
        <v/>
      </c>
      <c r="BG55" s="57">
        <f>SUMIFS(Data!$AN$2:$AN$1105,Data!$AK$2:$AK$1105,1,Data!$AY$2:$AY$1105,$BB$55)</f>
        <v/>
      </c>
      <c r="BH55" s="61" t="n"/>
      <c r="BI55" s="61" t="n"/>
      <c r="BJ55" s="61" t="n"/>
      <c r="BK55" s="61">
        <f>IF($BC$55&lt;Controls!$B$22,"",$BE$55)</f>
        <v/>
      </c>
      <c r="BL55" s="61">
        <f>IF($BC$55&lt;Controls!$B$22,"",$BF$55)</f>
        <v/>
      </c>
      <c r="BM55" s="61">
        <f>IF($BC$55&lt;Controls!$B$22,"",$BG$55)</f>
        <v/>
      </c>
      <c r="BN55" s="61" t="n"/>
      <c r="BO55" s="61" t="n"/>
      <c r="BP55" s="61" t="n"/>
      <c r="BQ55" s="61" t="n"/>
      <c r="BR55" s="61" t="n"/>
      <c r="BS55" s="61" t="n"/>
      <c r="BT55" s="61" t="n"/>
    </row>
    <row r="56" ht="15.75" customHeight="1" s="79">
      <c r="A56" s="61">
        <f t="array" ref="A56">IFERROR(IF(18&gt;Controls!$B$18,"",IF(LARGE(Calc!$AT$81:$AT$130,18)&lt;-100000000000000,"",INDEX(Calc!$AN$81:$AN$130,MATCH(LARGE(Calc!$AT$81:$AT$130,18),Calc!$AT$81:$AT$130,0)))),"")</f>
        <v/>
      </c>
      <c r="B56" s="66">
        <f>IF($A$56="",NA(),IFERROR(SUMIFS(Data!$P$2:$P$1105,Data!$AK$2:$AK$1105,1,Data!$L$2:$L$1105,$A$56),NA()))</f>
        <v/>
      </c>
      <c r="C56" s="66">
        <f>IF($A$56="",NA(),IFERROR(SUMIFS(Data!$S$2:$S$1105,Data!$AK$2:$AK$1105,1,Data!$L$2:$L$1105,$A$56),NA()))</f>
        <v/>
      </c>
      <c r="D56" s="66">
        <f>IF(ISNA($B$56),NA(),$C$56-$B$56)</f>
        <v/>
      </c>
      <c r="E56" s="66">
        <f>IF($A$56="",NA(),IFERROR(SUMIFS(Data!$Q$2:$Q$1105,Data!$AK$2:$AK$1105,1,Data!$L$2:$L$1105,$A$56),NA()))</f>
        <v/>
      </c>
      <c r="F56" s="66">
        <f>IF($A$56="",NA(),IFERROR(SUMIFS(Data!$AN$2:$AN$1105,Data!$AK$2:$AK$1105,1,Data!$L$2:$L$1105,$A$56),NA()))</f>
        <v/>
      </c>
      <c r="G56" s="62">
        <f>IF($A$56="",NA(),IF(COUNTIFS(Data!$AK$2:$AK$1105,1,Data!$L$2:$L$1105,$A$56)&lt;Controls!$B$19,NA(),IFERROR(SUMIFS(Data!$AN$2:$AN$1105,Data!$AK$2:$AK$1105,1,Data!$L$2:$L$1105,$A$56)/$B$56,NA())))</f>
        <v/>
      </c>
      <c r="H56" s="62">
        <f>IF($A$56="",NA(),IF(COUNTIFS(Data!$AK$2:$AK$1105,1,Data!$L$2:$L$1105,$A$56)&lt;Controls!$B$19,NA(),IFERROR(SUMIFS(Data!$S$2:$S$1105,Data!$AK$2:$AK$1105,1,Data!$L$2:$L$1105,$A$56,Data!$AH$2:$AH$1105,1)/SUMIFS(Data!$P$2:$P$1105,Data!$AK$2:$AK$1105,1,Data!$L$2:$L$1105,$A$56,Data!$AH$2:$AH$1105,1),NA())))</f>
        <v/>
      </c>
      <c r="I56" s="62">
        <f>IF(ISNA($J$56),NA(),IF($J$56&lt;Controls!$B$19,NA(),IFERROR($D$56/$B$56,NA())))</f>
        <v/>
      </c>
      <c r="J56" s="67">
        <f>IF($A$56="",NA(),IFERROR(COUNTIFS(Data!$AK$2:$AK$1105,1,Data!$L$2:$L$1105,$A$56),NA()))</f>
        <v/>
      </c>
      <c r="K56" s="62">
        <f>IF(ISNA($B$56),NA(),IFERROR($B$56/Calc!$BT$6,NA()))</f>
        <v/>
      </c>
      <c r="L56" s="66">
        <f>IF(ISNA($J$56),NA(),IF($J$56&lt;Controls!$B$19,NA(),IFERROR($B$56/$J$56,NA())))</f>
        <v/>
      </c>
      <c r="M56" s="67">
        <f>IF($A$56="",NA(),IF(COUNTIFS(Data!$AK$2:$AK$1105,1,Data!$L$2:$L$1105,$A$56)&lt;Controls!$B$19,NA(),IFERROR(AVERAGEIFS(Data!$AE$2:$AE$1105,Data!$AK$2:$AK$1105,1,Data!$L$2:$L$1105,$A$56),NA())))</f>
        <v/>
      </c>
      <c r="N56" s="67">
        <f>IF($A$56="",NA(),IF(COUNTIFS(Data!$AK$2:$AK$1105,1,Data!$L$2:$L$1105,$A$56)&lt;Controls!$B$19,NA(),IFERROR(AVERAGEIFS(Data!$AD$2:$AD$1105,Data!$AK$2:$AK$1105,1,Data!$L$2:$L$1105,$A$56),NA())))</f>
        <v/>
      </c>
      <c r="O56" s="67">
        <f>IF($A$56="",NA(),IF(COUNTIFS(Data!$AK$2:$AK$1105,1,Data!$L$2:$L$1105,$A$56)&lt;Controls!$B$19,NA(),IFERROR(AVERAGEIFS(Data!$AS$2:$AS$1105,Data!$AK$2:$AK$1105,1,Data!$L$2:$L$1105,$A$56),NA())))</f>
        <v/>
      </c>
      <c r="P56" s="67">
        <f>IF($A$56="",NA(),IF(COUNTIFS(Data!$AK$2:$AK$1105,1,Data!$L$2:$L$1105,$A$56)&lt;Controls!$B$19,NA(),IFERROR(AVERAGEIFS(Data!$AT$2:$AT$1105,Data!$AK$2:$AK$1105,1,Data!$L$2:$L$1105,$A$56),NA())))</f>
        <v/>
      </c>
      <c r="Q56" s="62">
        <f>IF($A$56="",NA(),IF(COUNTIFS(Data!$AK$2:$AK$1105,1,Data!$L$2:$L$1105,$A$56)&lt;Controls!$B$19,NA(),IFERROR(COUNTIFS(Data!$AK$2:$AK$1105,1,Data!$L$2:$L$1105,$A$56,Data!$N$2:$N$1105,"Renewal")/COUNTIFS(Data!$AK$2:$AK$1105,1,Data!$L$2:$L$1105,$A$56),NA())))</f>
        <v/>
      </c>
      <c r="R56" s="62">
        <f>IF($A$56="",NA(),IF(COUNTIFS(Data!$AK$2:$AK$1105,1,Data!$L$2:$L$1105,$A$56)&lt;Controls!$B$19,NA(),IFERROR(SUMIFS(Data!$P$2:$P$1105,Data!$AK$2:$AK$1105,1,Data!$L$2:$L$1105,$A$56,Data!$N$2:$N$1105,"Renewal")/SUMIFS(Data!$P$2:$P$1105,Data!$AK$2:$AK$1105,1,Data!$L$2:$L$1105,$A$56),NA())))</f>
        <v/>
      </c>
      <c r="S56" s="62">
        <f>IF($A$56="",NA(),Calc!$BT$2)</f>
        <v/>
      </c>
      <c r="T56" s="62">
        <f>IF($A$56="",NA(),Calc!$BT$3)</f>
        <v/>
      </c>
      <c r="U56" s="62">
        <f>IF($A$56="",NA(),Calc!$BT$4)</f>
        <v/>
      </c>
      <c r="V56" s="62">
        <f>IF($A$56="",NA(),IF(COUNTIFS(Data!$AK$2:$AK$1105,1,Data!$L$2:$L$1105,$A$56)&lt;Controls!$B$19,NA(),IFERROR(COUNTIFS(Data!$AK$2:$AK$1105,1,Data!$L$2:$L$1105,$A$56,Data!$AH$2:$AH$1105,1)/COUNTIFS(Data!$AK$2:$AK$1105,1,Data!$L$2:$L$1105,$A$56),NA())))</f>
        <v/>
      </c>
      <c r="W56" s="61">
        <f>IF($A$56="","",$A$56&amp;" ("&amp;$J$56&amp;")")</f>
        <v/>
      </c>
      <c r="X56" s="61" t="n"/>
      <c r="Y56" s="61" t="n"/>
      <c r="Z56" s="61" t="n"/>
      <c r="AA56" s="61" t="n"/>
      <c r="AB56" s="61" t="n"/>
      <c r="AC56" s="61" t="n"/>
      <c r="AD56" s="61" t="n"/>
      <c r="AE56" s="61" t="n"/>
      <c r="AF56" s="61" t="n"/>
      <c r="AG56" s="61" t="n"/>
      <c r="AH56" s="61" t="n"/>
      <c r="AI56" s="61" t="n"/>
      <c r="AJ56" s="61" t="n"/>
      <c r="AK56" s="61" t="n"/>
      <c r="AL56" s="61" t="n"/>
      <c r="AM56" s="61" t="n"/>
      <c r="AN56" s="61">
        <f>Controls!$A$92</f>
        <v/>
      </c>
      <c r="AO56" s="61">
        <f>COUNTIFS(Data!$AK$2:$AK$1105,1,Data!$AY$2:$AY$1105,$AN$56)</f>
        <v/>
      </c>
      <c r="AP56" s="57">
        <f>SUMIFS(Data!$P$2:$P$1105,Data!$AK$2:$AK$1105,1,Data!$AY$2:$AY$1105,$AN$56)</f>
        <v/>
      </c>
      <c r="AQ56" s="56">
        <f>IFERROR(SUMIFS(Data!$AN$2:$AN$1105,Data!$AK$2:$AK$1105,1,Data!$AY$2:$AY$1105,$AN$56)/$AP$56,0)</f>
        <v/>
      </c>
      <c r="AR56" s="57">
        <f>SUMIFS(Data!$AN$2:$AN$1105,Data!$AK$2:$AK$1105,1,Data!$AY$2:$AY$1105,$AN$56)</f>
        <v/>
      </c>
      <c r="AS56" s="61">
        <f>Controls!$B$92</f>
        <v/>
      </c>
      <c r="AT56" s="57">
        <f>IF(OR(AO56=0,AO56&lt;Controls!$B$20),-1000000000000000,IF(AND(Controls!$B$21="Y",$AN$56="No SIC"),-1000000000000000,IF(Controls!$B$17="Selected only",IF(AS56="Y",AP56,-1000000000000000),IF(Controls!$B$17="Top by funded $",AP56,IF(Controls!$B$17="Top by funded units",AO56,IF(Controls!$B$17="Largest principal lost $",AR56,IF(Controls!$B$17="Highest net profit $",AU56,IF(AO56&lt;Controls!$B$19,-1000000000000000,IF(Controls!$B$17="Highest principal lost rate %",AQ56,IF(Controls!$B$17="Lowest principal lost rate %",1-AQ56,AP56))))))))) +53/1000000)</f>
        <v/>
      </c>
      <c r="AU56" s="57">
        <f>SUMIFS(Data!$AM$2:$AM$1105,Data!$AK$2:$AK$1105,1,Data!$AY$2:$AY$1105,$AN$56)</f>
        <v/>
      </c>
      <c r="AV56" s="61" t="n"/>
      <c r="AW56" s="61" t="n"/>
      <c r="AX56" s="61" t="n"/>
      <c r="AY56" s="61" t="n"/>
      <c r="AZ56" s="61" t="n"/>
      <c r="BA56" s="61" t="n"/>
      <c r="BB56" s="61">
        <f>Controls!$A$92</f>
        <v/>
      </c>
      <c r="BC56" s="61">
        <f>COUNTIFS(Data!$AK$2:$AK$1105,1,Data!$AY$2:$AY$1105,$BB$56)</f>
        <v/>
      </c>
      <c r="BD56" s="57">
        <f>SUMIFS(Data!$P$2:$P$1105,Data!$AK$2:$AK$1105,1,Data!$AY$2:$AY$1105,$BB$56)</f>
        <v/>
      </c>
      <c r="BE56" s="56">
        <f>IF(COUNTIFS(Data!$AK$2:$AK$1105,1,Data!$AY$2:$AY$1105,$BB$56)&lt;Controls!$B$19,"",IFERROR(SUMIFS(Data!$AN$2:$AN$1105,Data!$AK$2:$AK$1105,1,Data!$AY$2:$AY$1105,$BB$56)/$BD$56,""))</f>
        <v/>
      </c>
      <c r="BF56" s="56">
        <f>IF(COUNTIFS(Data!$AK$2:$AK$1105,1,Data!$AY$2:$AY$1105,$BB$56)&lt;Controls!$B$19,"",IFERROR(SUMIFS(Data!$AM$2:$AM$1105,Data!$AK$2:$AK$1105,1,Data!$AY$2:$AY$1105,$BB$56)/SUMIFS(Data!$P$2:$P$1105,Data!$AK$2:$AK$1105,1,Data!$AY$2:$AY$1105,$BB$56),""))</f>
        <v/>
      </c>
      <c r="BG56" s="57">
        <f>SUMIFS(Data!$AN$2:$AN$1105,Data!$AK$2:$AK$1105,1,Data!$AY$2:$AY$1105,$BB$56)</f>
        <v/>
      </c>
      <c r="BH56" s="61" t="n"/>
      <c r="BI56" s="61" t="n"/>
      <c r="BJ56" s="61" t="n"/>
      <c r="BK56" s="56">
        <f>IF($BC$56&lt;Controls!$B$22,"",$BE$56)</f>
        <v/>
      </c>
      <c r="BL56" s="56">
        <f>IF($BC$56&lt;Controls!$B$22,"",$BF$56)</f>
        <v/>
      </c>
      <c r="BM56" s="57">
        <f>IF($BC$56&lt;Controls!$B$22,"",$BG$56)</f>
        <v/>
      </c>
      <c r="BN56" s="61" t="n"/>
      <c r="BO56" s="61" t="n"/>
      <c r="BP56" s="61" t="n"/>
      <c r="BQ56" s="61" t="n"/>
      <c r="BR56" s="61" t="n"/>
      <c r="BS56" s="61" t="n"/>
      <c r="BT56" s="61" t="n"/>
    </row>
    <row r="57" ht="15.75" customHeight="1" s="79">
      <c r="A57" s="61">
        <f t="array" ref="A57">IFERROR(IF(19&gt;Controls!$B$18,"",IF(LARGE(Calc!$AT$81:$AT$130,19)&lt;-100000000000000,"",INDEX(Calc!$AN$81:$AN$130,MATCH(LARGE(Calc!$AT$81:$AT$130,19),Calc!$AT$81:$AT$130,0)))),"")</f>
        <v/>
      </c>
      <c r="B57" s="66">
        <f>IF($A$57="",NA(),IFERROR(SUMIFS(Data!$P$2:$P$1105,Data!$AK$2:$AK$1105,1,Data!$L$2:$L$1105,$A$57),NA()))</f>
        <v/>
      </c>
      <c r="C57" s="66">
        <f>IF($A$57="",NA(),IFERROR(SUMIFS(Data!$S$2:$S$1105,Data!$AK$2:$AK$1105,1,Data!$L$2:$L$1105,$A$57),NA()))</f>
        <v/>
      </c>
      <c r="D57" s="66">
        <f>IF(ISNA($B$57),NA(),$C$57-$B$57)</f>
        <v/>
      </c>
      <c r="E57" s="66">
        <f>IF($A$57="",NA(),IFERROR(SUMIFS(Data!$Q$2:$Q$1105,Data!$AK$2:$AK$1105,1,Data!$L$2:$L$1105,$A$57),NA()))</f>
        <v/>
      </c>
      <c r="F57" s="66">
        <f>IF($A$57="",NA(),IFERROR(SUMIFS(Data!$AN$2:$AN$1105,Data!$AK$2:$AK$1105,1,Data!$L$2:$L$1105,$A$57),NA()))</f>
        <v/>
      </c>
      <c r="G57" s="62">
        <f>IF($A$57="",NA(),IF(COUNTIFS(Data!$AK$2:$AK$1105,1,Data!$L$2:$L$1105,$A$57)&lt;Controls!$B$19,NA(),IFERROR(SUMIFS(Data!$AN$2:$AN$1105,Data!$AK$2:$AK$1105,1,Data!$L$2:$L$1105,$A$57)/$B$57,NA())))</f>
        <v/>
      </c>
      <c r="H57" s="62">
        <f>IF($A$57="",NA(),IF(COUNTIFS(Data!$AK$2:$AK$1105,1,Data!$L$2:$L$1105,$A$57)&lt;Controls!$B$19,NA(),IFERROR(SUMIFS(Data!$S$2:$S$1105,Data!$AK$2:$AK$1105,1,Data!$L$2:$L$1105,$A$57,Data!$AH$2:$AH$1105,1)/SUMIFS(Data!$P$2:$P$1105,Data!$AK$2:$AK$1105,1,Data!$L$2:$L$1105,$A$57,Data!$AH$2:$AH$1105,1),NA())))</f>
        <v/>
      </c>
      <c r="I57" s="62">
        <f>IF(ISNA($J$57),NA(),IF($J$57&lt;Controls!$B$19,NA(),IFERROR($D$57/$B$57,NA())))</f>
        <v/>
      </c>
      <c r="J57" s="67">
        <f>IF($A$57="",NA(),IFERROR(COUNTIFS(Data!$AK$2:$AK$1105,1,Data!$L$2:$L$1105,$A$57),NA()))</f>
        <v/>
      </c>
      <c r="K57" s="62">
        <f>IF(ISNA($B$57),NA(),IFERROR($B$57/Calc!$BT$6,NA()))</f>
        <v/>
      </c>
      <c r="L57" s="66">
        <f>IF(ISNA($J$57),NA(),IF($J$57&lt;Controls!$B$19,NA(),IFERROR($B$57/$J$57,NA())))</f>
        <v/>
      </c>
      <c r="M57" s="67">
        <f>IF($A$57="",NA(),IF(COUNTIFS(Data!$AK$2:$AK$1105,1,Data!$L$2:$L$1105,$A$57)&lt;Controls!$B$19,NA(),IFERROR(AVERAGEIFS(Data!$AE$2:$AE$1105,Data!$AK$2:$AK$1105,1,Data!$L$2:$L$1105,$A$57),NA())))</f>
        <v/>
      </c>
      <c r="N57" s="67">
        <f>IF($A$57="",NA(),IF(COUNTIFS(Data!$AK$2:$AK$1105,1,Data!$L$2:$L$1105,$A$57)&lt;Controls!$B$19,NA(),IFERROR(AVERAGEIFS(Data!$AD$2:$AD$1105,Data!$AK$2:$AK$1105,1,Data!$L$2:$L$1105,$A$57),NA())))</f>
        <v/>
      </c>
      <c r="O57" s="67">
        <f>IF($A$57="",NA(),IF(COUNTIFS(Data!$AK$2:$AK$1105,1,Data!$L$2:$L$1105,$A$57)&lt;Controls!$B$19,NA(),IFERROR(AVERAGEIFS(Data!$AS$2:$AS$1105,Data!$AK$2:$AK$1105,1,Data!$L$2:$L$1105,$A$57),NA())))</f>
        <v/>
      </c>
      <c r="P57" s="67">
        <f>IF($A$57="",NA(),IF(COUNTIFS(Data!$AK$2:$AK$1105,1,Data!$L$2:$L$1105,$A$57)&lt;Controls!$B$19,NA(),IFERROR(AVERAGEIFS(Data!$AT$2:$AT$1105,Data!$AK$2:$AK$1105,1,Data!$L$2:$L$1105,$A$57),NA())))</f>
        <v/>
      </c>
      <c r="Q57" s="62">
        <f>IF($A$57="",NA(),IF(COUNTIFS(Data!$AK$2:$AK$1105,1,Data!$L$2:$L$1105,$A$57)&lt;Controls!$B$19,NA(),IFERROR(COUNTIFS(Data!$AK$2:$AK$1105,1,Data!$L$2:$L$1105,$A$57,Data!$N$2:$N$1105,"Renewal")/COUNTIFS(Data!$AK$2:$AK$1105,1,Data!$L$2:$L$1105,$A$57),NA())))</f>
        <v/>
      </c>
      <c r="R57" s="62">
        <f>IF($A$57="",NA(),IF(COUNTIFS(Data!$AK$2:$AK$1105,1,Data!$L$2:$L$1105,$A$57)&lt;Controls!$B$19,NA(),IFERROR(SUMIFS(Data!$P$2:$P$1105,Data!$AK$2:$AK$1105,1,Data!$L$2:$L$1105,$A$57,Data!$N$2:$N$1105,"Renewal")/SUMIFS(Data!$P$2:$P$1105,Data!$AK$2:$AK$1105,1,Data!$L$2:$L$1105,$A$57),NA())))</f>
        <v/>
      </c>
      <c r="S57" s="62">
        <f>IF($A$57="",NA(),Calc!$BT$2)</f>
        <v/>
      </c>
      <c r="T57" s="62">
        <f>IF($A$57="",NA(),Calc!$BT$3)</f>
        <v/>
      </c>
      <c r="U57" s="62">
        <f>IF($A$57="",NA(),Calc!$BT$4)</f>
        <v/>
      </c>
      <c r="V57" s="62">
        <f>IF($A$57="",NA(),IF(COUNTIFS(Data!$AK$2:$AK$1105,1,Data!$L$2:$L$1105,$A$57)&lt;Controls!$B$19,NA(),IFERROR(COUNTIFS(Data!$AK$2:$AK$1105,1,Data!$L$2:$L$1105,$A$57,Data!$AH$2:$AH$1105,1)/COUNTIFS(Data!$AK$2:$AK$1105,1,Data!$L$2:$L$1105,$A$57),NA())))</f>
        <v/>
      </c>
      <c r="W57" s="61">
        <f>IF($A$57="","",$A$57&amp;" ("&amp;$J$57&amp;")")</f>
        <v/>
      </c>
      <c r="X57" s="61" t="n"/>
      <c r="Y57" s="61" t="n"/>
      <c r="Z57" s="61" t="n"/>
      <c r="AA57" s="61" t="n"/>
      <c r="AB57" s="61" t="n"/>
      <c r="AC57" s="61" t="n"/>
      <c r="AD57" s="61" t="n"/>
      <c r="AE57" s="61" t="n"/>
      <c r="AF57" s="61" t="n"/>
      <c r="AG57" s="61" t="n"/>
      <c r="AH57" s="61" t="n"/>
      <c r="AI57" s="61" t="n"/>
      <c r="AJ57" s="61" t="n"/>
      <c r="AK57" s="61" t="n"/>
      <c r="AL57" s="61" t="n"/>
      <c r="AM57" s="61" t="n"/>
      <c r="AN57" s="61">
        <f>Controls!$A$93</f>
        <v/>
      </c>
      <c r="AO57" s="61">
        <f>COUNTIFS(Data!$AK$2:$AK$1105,1,Data!$AY$2:$AY$1105,$AN$57)</f>
        <v/>
      </c>
      <c r="AP57" s="57">
        <f>SUMIFS(Data!$P$2:$P$1105,Data!$AK$2:$AK$1105,1,Data!$AY$2:$AY$1105,$AN$57)</f>
        <v/>
      </c>
      <c r="AQ57" s="56">
        <f>IFERROR(SUMIFS(Data!$AN$2:$AN$1105,Data!$AK$2:$AK$1105,1,Data!$AY$2:$AY$1105,$AN$57)/$AP$57,0)</f>
        <v/>
      </c>
      <c r="AR57" s="57">
        <f>SUMIFS(Data!$AN$2:$AN$1105,Data!$AK$2:$AK$1105,1,Data!$AY$2:$AY$1105,$AN$57)</f>
        <v/>
      </c>
      <c r="AS57" s="61">
        <f>Controls!$B$93</f>
        <v/>
      </c>
      <c r="AT57" s="61">
        <f>IF(OR(AO57=0,AO57&lt;Controls!$B$20),-1000000000000000,IF(AND(Controls!$B$21="Y",$AN$57="No SIC"),-1000000000000000,IF(Controls!$B$17="Selected only",IF(AS57="Y",AP57,-1000000000000000),IF(Controls!$B$17="Top by funded $",AP57,IF(Controls!$B$17="Top by funded units",AO57,IF(Controls!$B$17="Largest principal lost $",AR57,IF(Controls!$B$17="Highest net profit $",AU57,IF(AO57&lt;Controls!$B$19,-1000000000000000,IF(Controls!$B$17="Highest principal lost rate %",AQ57,IF(Controls!$B$17="Lowest principal lost rate %",1-AQ57,AP57))))))))) +54/1000000)</f>
        <v/>
      </c>
      <c r="AU57" s="57">
        <f>SUMIFS(Data!$AM$2:$AM$1105,Data!$AK$2:$AK$1105,1,Data!$AY$2:$AY$1105,$AN$57)</f>
        <v/>
      </c>
      <c r="AV57" s="61" t="n"/>
      <c r="AW57" s="61" t="n"/>
      <c r="AX57" s="61" t="n"/>
      <c r="AY57" s="61" t="n"/>
      <c r="AZ57" s="61" t="n"/>
      <c r="BA57" s="61" t="n"/>
      <c r="BB57" s="61">
        <f>Controls!$A$93</f>
        <v/>
      </c>
      <c r="BC57" s="61">
        <f>COUNTIFS(Data!$AK$2:$AK$1105,1,Data!$AY$2:$AY$1105,$BB$57)</f>
        <v/>
      </c>
      <c r="BD57" s="57">
        <f>SUMIFS(Data!$P$2:$P$1105,Data!$AK$2:$AK$1105,1,Data!$AY$2:$AY$1105,$BB$57)</f>
        <v/>
      </c>
      <c r="BE57" s="56">
        <f>IF(COUNTIFS(Data!$AK$2:$AK$1105,1,Data!$AY$2:$AY$1105,$BB$57)&lt;Controls!$B$19,"",IFERROR(SUMIFS(Data!$AN$2:$AN$1105,Data!$AK$2:$AK$1105,1,Data!$AY$2:$AY$1105,$BB$57)/$BD$57,""))</f>
        <v/>
      </c>
      <c r="BF57" s="56">
        <f>IF(COUNTIFS(Data!$AK$2:$AK$1105,1,Data!$AY$2:$AY$1105,$BB$57)&lt;Controls!$B$19,"",IFERROR(SUMIFS(Data!$AM$2:$AM$1105,Data!$AK$2:$AK$1105,1,Data!$AY$2:$AY$1105,$BB$57)/SUMIFS(Data!$P$2:$P$1105,Data!$AK$2:$AK$1105,1,Data!$AY$2:$AY$1105,$BB$57),""))</f>
        <v/>
      </c>
      <c r="BG57" s="57">
        <f>SUMIFS(Data!$AN$2:$AN$1105,Data!$AK$2:$AK$1105,1,Data!$AY$2:$AY$1105,$BB$57)</f>
        <v/>
      </c>
      <c r="BH57" s="61" t="n"/>
      <c r="BI57" s="61" t="n"/>
      <c r="BJ57" s="61" t="n"/>
      <c r="BK57" s="61">
        <f>IF($BC$57&lt;Controls!$B$22,"",$BE$57)</f>
        <v/>
      </c>
      <c r="BL57" s="61">
        <f>IF($BC$57&lt;Controls!$B$22,"",$BF$57)</f>
        <v/>
      </c>
      <c r="BM57" s="61">
        <f>IF($BC$57&lt;Controls!$B$22,"",$BG$57)</f>
        <v/>
      </c>
      <c r="BN57" s="61" t="n"/>
      <c r="BO57" s="61" t="n"/>
      <c r="BP57" s="61" t="n"/>
      <c r="BQ57" s="61" t="n"/>
      <c r="BR57" s="61" t="n"/>
      <c r="BS57" s="61" t="n"/>
      <c r="BT57" s="61" t="n"/>
    </row>
    <row r="58" ht="15.75" customHeight="1" s="79">
      <c r="A58" s="61">
        <f t="array" ref="A58">IFERROR(IF(20&gt;Controls!$B$18,"",IF(LARGE(Calc!$AT$81:$AT$130,20)&lt;-100000000000000,"",INDEX(Calc!$AN$81:$AN$130,MATCH(LARGE(Calc!$AT$81:$AT$130,20),Calc!$AT$81:$AT$130,0)))),"")</f>
        <v/>
      </c>
      <c r="B58" s="66">
        <f>IF($A$58="",NA(),IFERROR(SUMIFS(Data!$P$2:$P$1105,Data!$AK$2:$AK$1105,1,Data!$L$2:$L$1105,$A$58),NA()))</f>
        <v/>
      </c>
      <c r="C58" s="66">
        <f>IF($A$58="",NA(),IFERROR(SUMIFS(Data!$S$2:$S$1105,Data!$AK$2:$AK$1105,1,Data!$L$2:$L$1105,$A$58),NA()))</f>
        <v/>
      </c>
      <c r="D58" s="66">
        <f>IF(ISNA($B$58),NA(),$C$58-$B$58)</f>
        <v/>
      </c>
      <c r="E58" s="66">
        <f>IF($A$58="",NA(),IFERROR(SUMIFS(Data!$Q$2:$Q$1105,Data!$AK$2:$AK$1105,1,Data!$L$2:$L$1105,$A$58),NA()))</f>
        <v/>
      </c>
      <c r="F58" s="66">
        <f>IF($A$58="",NA(),IFERROR(SUMIFS(Data!$AN$2:$AN$1105,Data!$AK$2:$AK$1105,1,Data!$L$2:$L$1105,$A$58),NA()))</f>
        <v/>
      </c>
      <c r="G58" s="62">
        <f>IF($A$58="",NA(),IF(COUNTIFS(Data!$AK$2:$AK$1105,1,Data!$L$2:$L$1105,$A$58)&lt;Controls!$B$19,NA(),IFERROR(SUMIFS(Data!$AN$2:$AN$1105,Data!$AK$2:$AK$1105,1,Data!$L$2:$L$1105,$A$58)/$B$58,NA())))</f>
        <v/>
      </c>
      <c r="H58" s="62">
        <f>IF($A$58="",NA(),IF(COUNTIFS(Data!$AK$2:$AK$1105,1,Data!$L$2:$L$1105,$A$58)&lt;Controls!$B$19,NA(),IFERROR(SUMIFS(Data!$S$2:$S$1105,Data!$AK$2:$AK$1105,1,Data!$L$2:$L$1105,$A$58,Data!$AH$2:$AH$1105,1)/SUMIFS(Data!$P$2:$P$1105,Data!$AK$2:$AK$1105,1,Data!$L$2:$L$1105,$A$58,Data!$AH$2:$AH$1105,1),NA())))</f>
        <v/>
      </c>
      <c r="I58" s="62">
        <f>IF(ISNA($J$58),NA(),IF($J$58&lt;Controls!$B$19,NA(),IFERROR($D$58/$B$58,NA())))</f>
        <v/>
      </c>
      <c r="J58" s="67">
        <f>IF($A$58="",NA(),IFERROR(COUNTIFS(Data!$AK$2:$AK$1105,1,Data!$L$2:$L$1105,$A$58),NA()))</f>
        <v/>
      </c>
      <c r="K58" s="62">
        <f>IF(ISNA($B$58),NA(),IFERROR($B$58/Calc!$BT$6,NA()))</f>
        <v/>
      </c>
      <c r="L58" s="66">
        <f>IF(ISNA($J$58),NA(),IF($J$58&lt;Controls!$B$19,NA(),IFERROR($B$58/$J$58,NA())))</f>
        <v/>
      </c>
      <c r="M58" s="67">
        <f>IF($A$58="",NA(),IF(COUNTIFS(Data!$AK$2:$AK$1105,1,Data!$L$2:$L$1105,$A$58)&lt;Controls!$B$19,NA(),IFERROR(AVERAGEIFS(Data!$AE$2:$AE$1105,Data!$AK$2:$AK$1105,1,Data!$L$2:$L$1105,$A$58),NA())))</f>
        <v/>
      </c>
      <c r="N58" s="67">
        <f>IF($A$58="",NA(),IF(COUNTIFS(Data!$AK$2:$AK$1105,1,Data!$L$2:$L$1105,$A$58)&lt;Controls!$B$19,NA(),IFERROR(AVERAGEIFS(Data!$AD$2:$AD$1105,Data!$AK$2:$AK$1105,1,Data!$L$2:$L$1105,$A$58),NA())))</f>
        <v/>
      </c>
      <c r="O58" s="67">
        <f>IF($A$58="",NA(),IF(COUNTIFS(Data!$AK$2:$AK$1105,1,Data!$L$2:$L$1105,$A$58)&lt;Controls!$B$19,NA(),IFERROR(AVERAGEIFS(Data!$AS$2:$AS$1105,Data!$AK$2:$AK$1105,1,Data!$L$2:$L$1105,$A$58),NA())))</f>
        <v/>
      </c>
      <c r="P58" s="67">
        <f>IF($A$58="",NA(),IF(COUNTIFS(Data!$AK$2:$AK$1105,1,Data!$L$2:$L$1105,$A$58)&lt;Controls!$B$19,NA(),IFERROR(AVERAGEIFS(Data!$AT$2:$AT$1105,Data!$AK$2:$AK$1105,1,Data!$L$2:$L$1105,$A$58),NA())))</f>
        <v/>
      </c>
      <c r="Q58" s="62">
        <f>IF($A$58="",NA(),IF(COUNTIFS(Data!$AK$2:$AK$1105,1,Data!$L$2:$L$1105,$A$58)&lt;Controls!$B$19,NA(),IFERROR(COUNTIFS(Data!$AK$2:$AK$1105,1,Data!$L$2:$L$1105,$A$58,Data!$N$2:$N$1105,"Renewal")/COUNTIFS(Data!$AK$2:$AK$1105,1,Data!$L$2:$L$1105,$A$58),NA())))</f>
        <v/>
      </c>
      <c r="R58" s="62">
        <f>IF($A$58="",NA(),IF(COUNTIFS(Data!$AK$2:$AK$1105,1,Data!$L$2:$L$1105,$A$58)&lt;Controls!$B$19,NA(),IFERROR(SUMIFS(Data!$P$2:$P$1105,Data!$AK$2:$AK$1105,1,Data!$L$2:$L$1105,$A$58,Data!$N$2:$N$1105,"Renewal")/SUMIFS(Data!$P$2:$P$1105,Data!$AK$2:$AK$1105,1,Data!$L$2:$L$1105,$A$58),NA())))</f>
        <v/>
      </c>
      <c r="S58" s="62">
        <f>IF($A$58="",NA(),Calc!$BT$2)</f>
        <v/>
      </c>
      <c r="T58" s="62">
        <f>IF($A$58="",NA(),Calc!$BT$3)</f>
        <v/>
      </c>
      <c r="U58" s="62">
        <f>IF($A$58="",NA(),Calc!$BT$4)</f>
        <v/>
      </c>
      <c r="V58" s="62">
        <f>IF($A$58="",NA(),IF(COUNTIFS(Data!$AK$2:$AK$1105,1,Data!$L$2:$L$1105,$A$58)&lt;Controls!$B$19,NA(),IFERROR(COUNTIFS(Data!$AK$2:$AK$1105,1,Data!$L$2:$L$1105,$A$58,Data!$AH$2:$AH$1105,1)/COUNTIFS(Data!$AK$2:$AK$1105,1,Data!$L$2:$L$1105,$A$58),NA())))</f>
        <v/>
      </c>
      <c r="W58" s="61">
        <f>IF($A$58="","",$A$58&amp;" ("&amp;$J$58&amp;")")</f>
        <v/>
      </c>
      <c r="X58" s="61" t="n"/>
      <c r="Y58" s="61" t="n"/>
      <c r="Z58" s="61" t="n"/>
      <c r="AA58" s="61" t="n"/>
      <c r="AB58" s="61" t="n"/>
      <c r="AC58" s="61" t="n"/>
      <c r="AD58" s="61" t="n"/>
      <c r="AE58" s="61" t="n"/>
      <c r="AF58" s="61" t="n"/>
      <c r="AG58" s="61" t="n"/>
      <c r="AH58" s="61" t="n"/>
      <c r="AI58" s="61" t="n"/>
      <c r="AJ58" s="61" t="n"/>
      <c r="AK58" s="61" t="n"/>
      <c r="AL58" s="61" t="n"/>
      <c r="AM58" s="61" t="n"/>
      <c r="AN58" s="61">
        <f>Controls!$A$94</f>
        <v/>
      </c>
      <c r="AO58" s="61">
        <f>COUNTIFS(Data!$AK$2:$AK$1105,1,Data!$AY$2:$AY$1105,$AN$58)</f>
        <v/>
      </c>
      <c r="AP58" s="57">
        <f>SUMIFS(Data!$P$2:$P$1105,Data!$AK$2:$AK$1105,1,Data!$AY$2:$AY$1105,$AN$58)</f>
        <v/>
      </c>
      <c r="AQ58" s="56">
        <f>IFERROR(SUMIFS(Data!$AN$2:$AN$1105,Data!$AK$2:$AK$1105,1,Data!$AY$2:$AY$1105,$AN$58)/$AP$58,0)</f>
        <v/>
      </c>
      <c r="AR58" s="57">
        <f>SUMIFS(Data!$AN$2:$AN$1105,Data!$AK$2:$AK$1105,1,Data!$AY$2:$AY$1105,$AN$58)</f>
        <v/>
      </c>
      <c r="AS58" s="61">
        <f>Controls!$B$94</f>
        <v/>
      </c>
      <c r="AT58" s="61">
        <f>IF(OR(AO58=0,AO58&lt;Controls!$B$20),-1000000000000000,IF(AND(Controls!$B$21="Y",$AN$58="No SIC"),-1000000000000000,IF(Controls!$B$17="Selected only",IF(AS58="Y",AP58,-1000000000000000),IF(Controls!$B$17="Top by funded $",AP58,IF(Controls!$B$17="Top by funded units",AO58,IF(Controls!$B$17="Largest principal lost $",AR58,IF(Controls!$B$17="Highest net profit $",AU58,IF(AO58&lt;Controls!$B$19,-1000000000000000,IF(Controls!$B$17="Highest principal lost rate %",AQ58,IF(Controls!$B$17="Lowest principal lost rate %",1-AQ58,AP58))))))))) +55/1000000)</f>
        <v/>
      </c>
      <c r="AU58" s="57">
        <f>SUMIFS(Data!$AM$2:$AM$1105,Data!$AK$2:$AK$1105,1,Data!$AY$2:$AY$1105,$AN$58)</f>
        <v/>
      </c>
      <c r="AV58" s="61" t="n"/>
      <c r="AW58" s="61" t="n"/>
      <c r="AX58" s="61" t="n"/>
      <c r="AY58" s="61" t="n"/>
      <c r="AZ58" s="61" t="n"/>
      <c r="BA58" s="61" t="n"/>
      <c r="BB58" s="61">
        <f>Controls!$A$94</f>
        <v/>
      </c>
      <c r="BC58" s="61">
        <f>COUNTIFS(Data!$AK$2:$AK$1105,1,Data!$AY$2:$AY$1105,$BB$58)</f>
        <v/>
      </c>
      <c r="BD58" s="57">
        <f>SUMIFS(Data!$P$2:$P$1105,Data!$AK$2:$AK$1105,1,Data!$AY$2:$AY$1105,$BB$58)</f>
        <v/>
      </c>
      <c r="BE58" s="56">
        <f>IF(COUNTIFS(Data!$AK$2:$AK$1105,1,Data!$AY$2:$AY$1105,$BB$58)&lt;Controls!$B$19,"",IFERROR(SUMIFS(Data!$AN$2:$AN$1105,Data!$AK$2:$AK$1105,1,Data!$AY$2:$AY$1105,$BB$58)/$BD$58,""))</f>
        <v/>
      </c>
      <c r="BF58" s="56">
        <f>IF(COUNTIFS(Data!$AK$2:$AK$1105,1,Data!$AY$2:$AY$1105,$BB$58)&lt;Controls!$B$19,"",IFERROR(SUMIFS(Data!$AM$2:$AM$1105,Data!$AK$2:$AK$1105,1,Data!$AY$2:$AY$1105,$BB$58)/SUMIFS(Data!$P$2:$P$1105,Data!$AK$2:$AK$1105,1,Data!$AY$2:$AY$1105,$BB$58),""))</f>
        <v/>
      </c>
      <c r="BG58" s="57">
        <f>SUMIFS(Data!$AN$2:$AN$1105,Data!$AK$2:$AK$1105,1,Data!$AY$2:$AY$1105,$BB$58)</f>
        <v/>
      </c>
      <c r="BH58" s="61" t="n"/>
      <c r="BI58" s="61" t="n"/>
      <c r="BJ58" s="61" t="n"/>
      <c r="BK58" s="61">
        <f>IF($BC$58&lt;Controls!$B$22,"",$BE$58)</f>
        <v/>
      </c>
      <c r="BL58" s="61">
        <f>IF($BC$58&lt;Controls!$B$22,"",$BF$58)</f>
        <v/>
      </c>
      <c r="BM58" s="61">
        <f>IF($BC$58&lt;Controls!$B$22,"",$BG$58)</f>
        <v/>
      </c>
      <c r="BN58" s="61" t="n"/>
      <c r="BO58" s="61" t="n"/>
      <c r="BP58" s="61" t="n"/>
      <c r="BQ58" s="61" t="n"/>
      <c r="BR58" s="61" t="n"/>
      <c r="BS58" s="61" t="n"/>
      <c r="BT58" s="61" t="n"/>
    </row>
    <row r="59" ht="15.75" customHeight="1" s="79">
      <c r="A59" s="61">
        <f t="array" ref="A59">IFERROR(IF(21&gt;Controls!$B$18,"",IF(LARGE(Calc!$AT$81:$AT$130,21)&lt;-100000000000000,"",INDEX(Calc!$AN$81:$AN$130,MATCH(LARGE(Calc!$AT$81:$AT$130,21),Calc!$AT$81:$AT$130,0)))),"")</f>
        <v/>
      </c>
      <c r="B59" s="66">
        <f>IF($A$59="",NA(),IFERROR(SUMIFS(Data!$P$2:$P$1105,Data!$AK$2:$AK$1105,1,Data!$L$2:$L$1105,$A$59),NA()))</f>
        <v/>
      </c>
      <c r="C59" s="66">
        <f>IF($A$59="",NA(),IFERROR(SUMIFS(Data!$S$2:$S$1105,Data!$AK$2:$AK$1105,1,Data!$L$2:$L$1105,$A$59),NA()))</f>
        <v/>
      </c>
      <c r="D59" s="66">
        <f>IF(ISNA($B$59),NA(),$C$59-$B$59)</f>
        <v/>
      </c>
      <c r="E59" s="66">
        <f>IF($A$59="",NA(),IFERROR(SUMIFS(Data!$Q$2:$Q$1105,Data!$AK$2:$AK$1105,1,Data!$L$2:$L$1105,$A$59),NA()))</f>
        <v/>
      </c>
      <c r="F59" s="66">
        <f>IF($A$59="",NA(),IFERROR(SUMIFS(Data!$AN$2:$AN$1105,Data!$AK$2:$AK$1105,1,Data!$L$2:$L$1105,$A$59),NA()))</f>
        <v/>
      </c>
      <c r="G59" s="62">
        <f>IF($A$59="",NA(),IF(COUNTIFS(Data!$AK$2:$AK$1105,1,Data!$L$2:$L$1105,$A$59)&lt;Controls!$B$19,NA(),IFERROR(SUMIFS(Data!$AN$2:$AN$1105,Data!$AK$2:$AK$1105,1,Data!$L$2:$L$1105,$A$59)/$B$59,NA())))</f>
        <v/>
      </c>
      <c r="H59" s="62">
        <f>IF($A$59="",NA(),IF(COUNTIFS(Data!$AK$2:$AK$1105,1,Data!$L$2:$L$1105,$A$59)&lt;Controls!$B$19,NA(),IFERROR(SUMIFS(Data!$S$2:$S$1105,Data!$AK$2:$AK$1105,1,Data!$L$2:$L$1105,$A$59,Data!$AH$2:$AH$1105,1)/SUMIFS(Data!$P$2:$P$1105,Data!$AK$2:$AK$1105,1,Data!$L$2:$L$1105,$A$59,Data!$AH$2:$AH$1105,1),NA())))</f>
        <v/>
      </c>
      <c r="I59" s="62">
        <f>IF(ISNA($J$59),NA(),IF($J$59&lt;Controls!$B$19,NA(),IFERROR($D$59/$B$59,NA())))</f>
        <v/>
      </c>
      <c r="J59" s="67">
        <f>IF($A$59="",NA(),IFERROR(COUNTIFS(Data!$AK$2:$AK$1105,1,Data!$L$2:$L$1105,$A$59),NA()))</f>
        <v/>
      </c>
      <c r="K59" s="62">
        <f>IF(ISNA($B$59),NA(),IFERROR($B$59/Calc!$BT$6,NA()))</f>
        <v/>
      </c>
      <c r="L59" s="66">
        <f>IF(ISNA($J$59),NA(),IF($J$59&lt;Controls!$B$19,NA(),IFERROR($B$59/$J$59,NA())))</f>
        <v/>
      </c>
      <c r="M59" s="67">
        <f>IF($A$59="",NA(),IF(COUNTIFS(Data!$AK$2:$AK$1105,1,Data!$L$2:$L$1105,$A$59)&lt;Controls!$B$19,NA(),IFERROR(AVERAGEIFS(Data!$AE$2:$AE$1105,Data!$AK$2:$AK$1105,1,Data!$L$2:$L$1105,$A$59),NA())))</f>
        <v/>
      </c>
      <c r="N59" s="67">
        <f>IF($A$59="",NA(),IF(COUNTIFS(Data!$AK$2:$AK$1105,1,Data!$L$2:$L$1105,$A$59)&lt;Controls!$B$19,NA(),IFERROR(AVERAGEIFS(Data!$AD$2:$AD$1105,Data!$AK$2:$AK$1105,1,Data!$L$2:$L$1105,$A$59),NA())))</f>
        <v/>
      </c>
      <c r="O59" s="67">
        <f>IF($A$59="",NA(),IF(COUNTIFS(Data!$AK$2:$AK$1105,1,Data!$L$2:$L$1105,$A$59)&lt;Controls!$B$19,NA(),IFERROR(AVERAGEIFS(Data!$AS$2:$AS$1105,Data!$AK$2:$AK$1105,1,Data!$L$2:$L$1105,$A$59),NA())))</f>
        <v/>
      </c>
      <c r="P59" s="67">
        <f>IF($A$59="",NA(),IF(COUNTIFS(Data!$AK$2:$AK$1105,1,Data!$L$2:$L$1105,$A$59)&lt;Controls!$B$19,NA(),IFERROR(AVERAGEIFS(Data!$AT$2:$AT$1105,Data!$AK$2:$AK$1105,1,Data!$L$2:$L$1105,$A$59),NA())))</f>
        <v/>
      </c>
      <c r="Q59" s="62">
        <f>IF($A$59="",NA(),IF(COUNTIFS(Data!$AK$2:$AK$1105,1,Data!$L$2:$L$1105,$A$59)&lt;Controls!$B$19,NA(),IFERROR(COUNTIFS(Data!$AK$2:$AK$1105,1,Data!$L$2:$L$1105,$A$59,Data!$N$2:$N$1105,"Renewal")/COUNTIFS(Data!$AK$2:$AK$1105,1,Data!$L$2:$L$1105,$A$59),NA())))</f>
        <v/>
      </c>
      <c r="R59" s="62">
        <f>IF($A$59="",NA(),IF(COUNTIFS(Data!$AK$2:$AK$1105,1,Data!$L$2:$L$1105,$A$59)&lt;Controls!$B$19,NA(),IFERROR(SUMIFS(Data!$P$2:$P$1105,Data!$AK$2:$AK$1105,1,Data!$L$2:$L$1105,$A$59,Data!$N$2:$N$1105,"Renewal")/SUMIFS(Data!$P$2:$P$1105,Data!$AK$2:$AK$1105,1,Data!$L$2:$L$1105,$A$59),NA())))</f>
        <v/>
      </c>
      <c r="S59" s="62">
        <f>IF($A$59="",NA(),Calc!$BT$2)</f>
        <v/>
      </c>
      <c r="T59" s="62">
        <f>IF($A$59="",NA(),Calc!$BT$3)</f>
        <v/>
      </c>
      <c r="U59" s="62">
        <f>IF($A$59="",NA(),Calc!$BT$4)</f>
        <v/>
      </c>
      <c r="V59" s="62">
        <f>IF($A$59="",NA(),IF(COUNTIFS(Data!$AK$2:$AK$1105,1,Data!$L$2:$L$1105,$A$59)&lt;Controls!$B$19,NA(),IFERROR(COUNTIFS(Data!$AK$2:$AK$1105,1,Data!$L$2:$L$1105,$A$59,Data!$AH$2:$AH$1105,1)/COUNTIFS(Data!$AK$2:$AK$1105,1,Data!$L$2:$L$1105,$A$59),NA())))</f>
        <v/>
      </c>
      <c r="W59" s="61">
        <f>IF($A$59="","",$A$59&amp;" ("&amp;$J$59&amp;")")</f>
        <v/>
      </c>
      <c r="X59" s="61" t="n"/>
      <c r="Y59" s="61" t="n"/>
      <c r="Z59" s="61" t="n"/>
      <c r="AA59" s="61" t="n"/>
      <c r="AB59" s="61" t="n"/>
      <c r="AC59" s="61" t="n"/>
      <c r="AD59" s="61" t="n"/>
      <c r="AE59" s="61" t="n"/>
      <c r="AF59" s="61" t="n"/>
      <c r="AG59" s="61" t="n"/>
      <c r="AH59" s="61" t="n"/>
      <c r="AI59" s="61" t="n"/>
      <c r="AJ59" s="61" t="n"/>
      <c r="AK59" s="61" t="n"/>
      <c r="AL59" s="61" t="n"/>
      <c r="AM59" s="61" t="n"/>
      <c r="AN59" s="61">
        <f>Controls!$A$95</f>
        <v/>
      </c>
      <c r="AO59" s="61">
        <f>COUNTIFS(Data!$AK$2:$AK$1105,1,Data!$AY$2:$AY$1105,$AN$59)</f>
        <v/>
      </c>
      <c r="AP59" s="57">
        <f>SUMIFS(Data!$P$2:$P$1105,Data!$AK$2:$AK$1105,1,Data!$AY$2:$AY$1105,$AN$59)</f>
        <v/>
      </c>
      <c r="AQ59" s="56">
        <f>IFERROR(SUMIFS(Data!$AN$2:$AN$1105,Data!$AK$2:$AK$1105,1,Data!$AY$2:$AY$1105,$AN$59)/$AP$59,0)</f>
        <v/>
      </c>
      <c r="AR59" s="57">
        <f>SUMIFS(Data!$AN$2:$AN$1105,Data!$AK$2:$AK$1105,1,Data!$AY$2:$AY$1105,$AN$59)</f>
        <v/>
      </c>
      <c r="AS59" s="61">
        <f>Controls!$B$95</f>
        <v/>
      </c>
      <c r="AT59" s="61">
        <f>IF(OR(AO59=0,AO59&lt;Controls!$B$20),-1000000000000000,IF(AND(Controls!$B$21="Y",$AN$59="No SIC"),-1000000000000000,IF(Controls!$B$17="Selected only",IF(AS59="Y",AP59,-1000000000000000),IF(Controls!$B$17="Top by funded $",AP59,IF(Controls!$B$17="Top by funded units",AO59,IF(Controls!$B$17="Largest principal lost $",AR59,IF(Controls!$B$17="Highest net profit $",AU59,IF(AO59&lt;Controls!$B$19,-1000000000000000,IF(Controls!$B$17="Highest principal lost rate %",AQ59,IF(Controls!$B$17="Lowest principal lost rate %",1-AQ59,AP59))))))))) +56/1000000)</f>
        <v/>
      </c>
      <c r="AU59" s="57">
        <f>SUMIFS(Data!$AM$2:$AM$1105,Data!$AK$2:$AK$1105,1,Data!$AY$2:$AY$1105,$AN$59)</f>
        <v/>
      </c>
      <c r="AV59" s="61" t="n"/>
      <c r="AW59" s="61" t="n"/>
      <c r="AX59" s="61" t="n"/>
      <c r="AY59" s="61" t="n"/>
      <c r="AZ59" s="61" t="n"/>
      <c r="BA59" s="61" t="n"/>
      <c r="BB59" s="61">
        <f>Controls!$A$95</f>
        <v/>
      </c>
      <c r="BC59" s="61">
        <f>COUNTIFS(Data!$AK$2:$AK$1105,1,Data!$AY$2:$AY$1105,$BB$59)</f>
        <v/>
      </c>
      <c r="BD59" s="57">
        <f>SUMIFS(Data!$P$2:$P$1105,Data!$AK$2:$AK$1105,1,Data!$AY$2:$AY$1105,$BB$59)</f>
        <v/>
      </c>
      <c r="BE59" s="56">
        <f>IF(COUNTIFS(Data!$AK$2:$AK$1105,1,Data!$AY$2:$AY$1105,$BB$59)&lt;Controls!$B$19,"",IFERROR(SUMIFS(Data!$AN$2:$AN$1105,Data!$AK$2:$AK$1105,1,Data!$AY$2:$AY$1105,$BB$59)/$BD$59,""))</f>
        <v/>
      </c>
      <c r="BF59" s="56">
        <f>IF(COUNTIFS(Data!$AK$2:$AK$1105,1,Data!$AY$2:$AY$1105,$BB$59)&lt;Controls!$B$19,"",IFERROR(SUMIFS(Data!$AM$2:$AM$1105,Data!$AK$2:$AK$1105,1,Data!$AY$2:$AY$1105,$BB$59)/SUMIFS(Data!$P$2:$P$1105,Data!$AK$2:$AK$1105,1,Data!$AY$2:$AY$1105,$BB$59),""))</f>
        <v/>
      </c>
      <c r="BG59" s="57">
        <f>SUMIFS(Data!$AN$2:$AN$1105,Data!$AK$2:$AK$1105,1,Data!$AY$2:$AY$1105,$BB$59)</f>
        <v/>
      </c>
      <c r="BH59" s="61" t="n"/>
      <c r="BI59" s="61" t="n"/>
      <c r="BJ59" s="61" t="n"/>
      <c r="BK59" s="61">
        <f>IF($BC$59&lt;Controls!$B$22,"",$BE$59)</f>
        <v/>
      </c>
      <c r="BL59" s="61">
        <f>IF($BC$59&lt;Controls!$B$22,"",$BF$59)</f>
        <v/>
      </c>
      <c r="BM59" s="61">
        <f>IF($BC$59&lt;Controls!$B$22,"",$BG$59)</f>
        <v/>
      </c>
      <c r="BN59" s="61" t="n"/>
      <c r="BO59" s="61" t="n"/>
      <c r="BP59" s="61" t="n"/>
      <c r="BQ59" s="61" t="n"/>
      <c r="BR59" s="61" t="n"/>
      <c r="BS59" s="61" t="n"/>
      <c r="BT59" s="61" t="n"/>
    </row>
    <row r="60" ht="15.75" customHeight="1" s="79">
      <c r="A60" s="61">
        <f t="array" ref="A60">IFERROR(IF(22&gt;Controls!$B$18,"",IF(LARGE(Calc!$AT$81:$AT$130,22)&lt;-100000000000000,"",INDEX(Calc!$AN$81:$AN$130,MATCH(LARGE(Calc!$AT$81:$AT$130,22),Calc!$AT$81:$AT$130,0)))),"")</f>
        <v/>
      </c>
      <c r="B60" s="66">
        <f>IF($A$60="",NA(),IFERROR(SUMIFS(Data!$P$2:$P$1105,Data!$AK$2:$AK$1105,1,Data!$L$2:$L$1105,$A$60),NA()))</f>
        <v/>
      </c>
      <c r="C60" s="66">
        <f>IF($A$60="",NA(),IFERROR(SUMIFS(Data!$S$2:$S$1105,Data!$AK$2:$AK$1105,1,Data!$L$2:$L$1105,$A$60),NA()))</f>
        <v/>
      </c>
      <c r="D60" s="66">
        <f>IF(ISNA($B$60),NA(),$C$60-$B$60)</f>
        <v/>
      </c>
      <c r="E60" s="66">
        <f>IF($A$60="",NA(),IFERROR(SUMIFS(Data!$Q$2:$Q$1105,Data!$AK$2:$AK$1105,1,Data!$L$2:$L$1105,$A$60),NA()))</f>
        <v/>
      </c>
      <c r="F60" s="66">
        <f>IF($A$60="",NA(),IFERROR(SUMIFS(Data!$AN$2:$AN$1105,Data!$AK$2:$AK$1105,1,Data!$L$2:$L$1105,$A$60),NA()))</f>
        <v/>
      </c>
      <c r="G60" s="62">
        <f>IF($A$60="",NA(),IF(COUNTIFS(Data!$AK$2:$AK$1105,1,Data!$L$2:$L$1105,$A$60)&lt;Controls!$B$19,NA(),IFERROR(SUMIFS(Data!$AN$2:$AN$1105,Data!$AK$2:$AK$1105,1,Data!$L$2:$L$1105,$A$60)/$B$60,NA())))</f>
        <v/>
      </c>
      <c r="H60" s="62">
        <f>IF($A$60="",NA(),IF(COUNTIFS(Data!$AK$2:$AK$1105,1,Data!$L$2:$L$1105,$A$60)&lt;Controls!$B$19,NA(),IFERROR(SUMIFS(Data!$S$2:$S$1105,Data!$AK$2:$AK$1105,1,Data!$L$2:$L$1105,$A$60,Data!$AH$2:$AH$1105,1)/SUMIFS(Data!$P$2:$P$1105,Data!$AK$2:$AK$1105,1,Data!$L$2:$L$1105,$A$60,Data!$AH$2:$AH$1105,1),NA())))</f>
        <v/>
      </c>
      <c r="I60" s="62">
        <f>IF(ISNA($J$60),NA(),IF($J$60&lt;Controls!$B$19,NA(),IFERROR($D$60/$B$60,NA())))</f>
        <v/>
      </c>
      <c r="J60" s="67">
        <f>IF($A$60="",NA(),IFERROR(COUNTIFS(Data!$AK$2:$AK$1105,1,Data!$L$2:$L$1105,$A$60),NA()))</f>
        <v/>
      </c>
      <c r="K60" s="62">
        <f>IF(ISNA($B$60),NA(),IFERROR($B$60/Calc!$BT$6,NA()))</f>
        <v/>
      </c>
      <c r="L60" s="66">
        <f>IF(ISNA($J$60),NA(),IF($J$60&lt;Controls!$B$19,NA(),IFERROR($B$60/$J$60,NA())))</f>
        <v/>
      </c>
      <c r="M60" s="67">
        <f>IF($A$60="",NA(),IF(COUNTIFS(Data!$AK$2:$AK$1105,1,Data!$L$2:$L$1105,$A$60)&lt;Controls!$B$19,NA(),IFERROR(AVERAGEIFS(Data!$AE$2:$AE$1105,Data!$AK$2:$AK$1105,1,Data!$L$2:$L$1105,$A$60),NA())))</f>
        <v/>
      </c>
      <c r="N60" s="67">
        <f>IF($A$60="",NA(),IF(COUNTIFS(Data!$AK$2:$AK$1105,1,Data!$L$2:$L$1105,$A$60)&lt;Controls!$B$19,NA(),IFERROR(AVERAGEIFS(Data!$AD$2:$AD$1105,Data!$AK$2:$AK$1105,1,Data!$L$2:$L$1105,$A$60),NA())))</f>
        <v/>
      </c>
      <c r="O60" s="67">
        <f>IF($A$60="",NA(),IF(COUNTIFS(Data!$AK$2:$AK$1105,1,Data!$L$2:$L$1105,$A$60)&lt;Controls!$B$19,NA(),IFERROR(AVERAGEIFS(Data!$AS$2:$AS$1105,Data!$AK$2:$AK$1105,1,Data!$L$2:$L$1105,$A$60),NA())))</f>
        <v/>
      </c>
      <c r="P60" s="67">
        <f>IF($A$60="",NA(),IF(COUNTIFS(Data!$AK$2:$AK$1105,1,Data!$L$2:$L$1105,$A$60)&lt;Controls!$B$19,NA(),IFERROR(AVERAGEIFS(Data!$AT$2:$AT$1105,Data!$AK$2:$AK$1105,1,Data!$L$2:$L$1105,$A$60),NA())))</f>
        <v/>
      </c>
      <c r="Q60" s="62">
        <f>IF($A$60="",NA(),IF(COUNTIFS(Data!$AK$2:$AK$1105,1,Data!$L$2:$L$1105,$A$60)&lt;Controls!$B$19,NA(),IFERROR(COUNTIFS(Data!$AK$2:$AK$1105,1,Data!$L$2:$L$1105,$A$60,Data!$N$2:$N$1105,"Renewal")/COUNTIFS(Data!$AK$2:$AK$1105,1,Data!$L$2:$L$1105,$A$60),NA())))</f>
        <v/>
      </c>
      <c r="R60" s="62">
        <f>IF($A$60="",NA(),IF(COUNTIFS(Data!$AK$2:$AK$1105,1,Data!$L$2:$L$1105,$A$60)&lt;Controls!$B$19,NA(),IFERROR(SUMIFS(Data!$P$2:$P$1105,Data!$AK$2:$AK$1105,1,Data!$L$2:$L$1105,$A$60,Data!$N$2:$N$1105,"Renewal")/SUMIFS(Data!$P$2:$P$1105,Data!$AK$2:$AK$1105,1,Data!$L$2:$L$1105,$A$60),NA())))</f>
        <v/>
      </c>
      <c r="S60" s="62">
        <f>IF($A$60="",NA(),Calc!$BT$2)</f>
        <v/>
      </c>
      <c r="T60" s="62">
        <f>IF($A$60="",NA(),Calc!$BT$3)</f>
        <v/>
      </c>
      <c r="U60" s="62">
        <f>IF($A$60="",NA(),Calc!$BT$4)</f>
        <v/>
      </c>
      <c r="V60" s="62">
        <f>IF($A$60="",NA(),IF(COUNTIFS(Data!$AK$2:$AK$1105,1,Data!$L$2:$L$1105,$A$60)&lt;Controls!$B$19,NA(),IFERROR(COUNTIFS(Data!$AK$2:$AK$1105,1,Data!$L$2:$L$1105,$A$60,Data!$AH$2:$AH$1105,1)/COUNTIFS(Data!$AK$2:$AK$1105,1,Data!$L$2:$L$1105,$A$60),NA())))</f>
        <v/>
      </c>
      <c r="W60" s="61">
        <f>IF($A$60="","",$A$60&amp;" ("&amp;$J$60&amp;")")</f>
        <v/>
      </c>
      <c r="X60" s="61" t="n"/>
      <c r="Y60" s="61" t="n"/>
      <c r="Z60" s="61" t="n"/>
      <c r="AA60" s="61" t="n"/>
      <c r="AB60" s="61" t="n"/>
      <c r="AC60" s="61" t="n"/>
      <c r="AD60" s="61" t="n"/>
      <c r="AE60" s="61" t="n"/>
      <c r="AF60" s="61" t="n"/>
      <c r="AG60" s="61" t="n"/>
      <c r="AH60" s="61" t="n"/>
      <c r="AI60" s="61" t="n"/>
      <c r="AJ60" s="61" t="n"/>
      <c r="AK60" s="61" t="n"/>
      <c r="AL60" s="61" t="n"/>
      <c r="AM60" s="61" t="n"/>
      <c r="AN60" s="61">
        <f>Controls!$A$96</f>
        <v/>
      </c>
      <c r="AO60" s="61">
        <f>COUNTIFS(Data!$AK$2:$AK$1105,1,Data!$AY$2:$AY$1105,$AN$60)</f>
        <v/>
      </c>
      <c r="AP60" s="57">
        <f>SUMIFS(Data!$P$2:$P$1105,Data!$AK$2:$AK$1105,1,Data!$AY$2:$AY$1105,$AN$60)</f>
        <v/>
      </c>
      <c r="AQ60" s="56">
        <f>IFERROR(SUMIFS(Data!$AN$2:$AN$1105,Data!$AK$2:$AK$1105,1,Data!$AY$2:$AY$1105,$AN$60)/$AP$60,0)</f>
        <v/>
      </c>
      <c r="AR60" s="57">
        <f>SUMIFS(Data!$AN$2:$AN$1105,Data!$AK$2:$AK$1105,1,Data!$AY$2:$AY$1105,$AN$60)</f>
        <v/>
      </c>
      <c r="AS60" s="61">
        <f>Controls!$B$96</f>
        <v/>
      </c>
      <c r="AT60" s="61">
        <f>IF(OR(AO60=0,AO60&lt;Controls!$B$20),-1000000000000000,IF(AND(Controls!$B$21="Y",$AN$60="No SIC"),-1000000000000000,IF(Controls!$B$17="Selected only",IF(AS60="Y",AP60,-1000000000000000),IF(Controls!$B$17="Top by funded $",AP60,IF(Controls!$B$17="Top by funded units",AO60,IF(Controls!$B$17="Largest principal lost $",AR60,IF(Controls!$B$17="Highest net profit $",AU60,IF(AO60&lt;Controls!$B$19,-1000000000000000,IF(Controls!$B$17="Highest principal lost rate %",AQ60,IF(Controls!$B$17="Lowest principal lost rate %",1-AQ60,AP60))))))))) +57/1000000)</f>
        <v/>
      </c>
      <c r="AU60" s="57">
        <f>SUMIFS(Data!$AM$2:$AM$1105,Data!$AK$2:$AK$1105,1,Data!$AY$2:$AY$1105,$AN$60)</f>
        <v/>
      </c>
      <c r="AV60" s="61" t="n"/>
      <c r="AW60" s="61" t="n"/>
      <c r="AX60" s="61" t="n"/>
      <c r="AY60" s="61" t="n"/>
      <c r="AZ60" s="61" t="n"/>
      <c r="BA60" s="61" t="n"/>
      <c r="BB60" s="61">
        <f>Controls!$A$96</f>
        <v/>
      </c>
      <c r="BC60" s="61">
        <f>COUNTIFS(Data!$AK$2:$AK$1105,1,Data!$AY$2:$AY$1105,$BB$60)</f>
        <v/>
      </c>
      <c r="BD60" s="57">
        <f>SUMIFS(Data!$P$2:$P$1105,Data!$AK$2:$AK$1105,1,Data!$AY$2:$AY$1105,$BB$60)</f>
        <v/>
      </c>
      <c r="BE60" s="56">
        <f>IF(COUNTIFS(Data!$AK$2:$AK$1105,1,Data!$AY$2:$AY$1105,$BB$60)&lt;Controls!$B$19,"",IFERROR(SUMIFS(Data!$AN$2:$AN$1105,Data!$AK$2:$AK$1105,1,Data!$AY$2:$AY$1105,$BB$60)/$BD$60,""))</f>
        <v/>
      </c>
      <c r="BF60" s="56">
        <f>IF(COUNTIFS(Data!$AK$2:$AK$1105,1,Data!$AY$2:$AY$1105,$BB$60)&lt;Controls!$B$19,"",IFERROR(SUMIFS(Data!$AM$2:$AM$1105,Data!$AK$2:$AK$1105,1,Data!$AY$2:$AY$1105,$BB$60)/SUMIFS(Data!$P$2:$P$1105,Data!$AK$2:$AK$1105,1,Data!$AY$2:$AY$1105,$BB$60),""))</f>
        <v/>
      </c>
      <c r="BG60" s="57">
        <f>SUMIFS(Data!$AN$2:$AN$1105,Data!$AK$2:$AK$1105,1,Data!$AY$2:$AY$1105,$BB$60)</f>
        <v/>
      </c>
      <c r="BH60" s="61" t="n"/>
      <c r="BI60" s="61" t="n"/>
      <c r="BJ60" s="61" t="n"/>
      <c r="BK60" s="56">
        <f>IF($BC$60&lt;Controls!$B$22,"",$BE$60)</f>
        <v/>
      </c>
      <c r="BL60" s="56">
        <f>IF($BC$60&lt;Controls!$B$22,"",$BF$60)</f>
        <v/>
      </c>
      <c r="BM60" s="57">
        <f>IF($BC$60&lt;Controls!$B$22,"",$BG$60)</f>
        <v/>
      </c>
      <c r="BN60" s="61" t="n"/>
      <c r="BO60" s="61" t="n"/>
      <c r="BP60" s="61" t="n"/>
      <c r="BQ60" s="61" t="n"/>
      <c r="BR60" s="61" t="n"/>
      <c r="BS60" s="61" t="n"/>
      <c r="BT60" s="61" t="n"/>
    </row>
    <row r="61" ht="15.75" customHeight="1" s="79">
      <c r="A61" s="61">
        <f t="array" ref="A61">IFERROR(IF(23&gt;Controls!$B$18,"",IF(LARGE(Calc!$AT$81:$AT$130,23)&lt;-100000000000000,"",INDEX(Calc!$AN$81:$AN$130,MATCH(LARGE(Calc!$AT$81:$AT$130,23),Calc!$AT$81:$AT$130,0)))),"")</f>
        <v/>
      </c>
      <c r="B61" s="66">
        <f>IF($A$61="",NA(),IFERROR(SUMIFS(Data!$P$2:$P$1105,Data!$AK$2:$AK$1105,1,Data!$L$2:$L$1105,$A$61),NA()))</f>
        <v/>
      </c>
      <c r="C61" s="66">
        <f>IF($A$61="",NA(),IFERROR(SUMIFS(Data!$S$2:$S$1105,Data!$AK$2:$AK$1105,1,Data!$L$2:$L$1105,$A$61),NA()))</f>
        <v/>
      </c>
      <c r="D61" s="66">
        <f>IF(ISNA($B$61),NA(),$C$61-$B$61)</f>
        <v/>
      </c>
      <c r="E61" s="66">
        <f>IF($A$61="",NA(),IFERROR(SUMIFS(Data!$Q$2:$Q$1105,Data!$AK$2:$AK$1105,1,Data!$L$2:$L$1105,$A$61),NA()))</f>
        <v/>
      </c>
      <c r="F61" s="66">
        <f>IF($A$61="",NA(),IFERROR(SUMIFS(Data!$AN$2:$AN$1105,Data!$AK$2:$AK$1105,1,Data!$L$2:$L$1105,$A$61),NA()))</f>
        <v/>
      </c>
      <c r="G61" s="62">
        <f>IF($A$61="",NA(),IF(COUNTIFS(Data!$AK$2:$AK$1105,1,Data!$L$2:$L$1105,$A$61)&lt;Controls!$B$19,NA(),IFERROR(SUMIFS(Data!$AN$2:$AN$1105,Data!$AK$2:$AK$1105,1,Data!$L$2:$L$1105,$A$61)/$B$61,NA())))</f>
        <v/>
      </c>
      <c r="H61" s="62">
        <f>IF($A$61="",NA(),IF(COUNTIFS(Data!$AK$2:$AK$1105,1,Data!$L$2:$L$1105,$A$61)&lt;Controls!$B$19,NA(),IFERROR(SUMIFS(Data!$S$2:$S$1105,Data!$AK$2:$AK$1105,1,Data!$L$2:$L$1105,$A$61,Data!$AH$2:$AH$1105,1)/SUMIFS(Data!$P$2:$P$1105,Data!$AK$2:$AK$1105,1,Data!$L$2:$L$1105,$A$61,Data!$AH$2:$AH$1105,1),NA())))</f>
        <v/>
      </c>
      <c r="I61" s="62">
        <f>IF(ISNA($J$61),NA(),IF($J$61&lt;Controls!$B$19,NA(),IFERROR($D$61/$B$61,NA())))</f>
        <v/>
      </c>
      <c r="J61" s="67">
        <f>IF($A$61="",NA(),IFERROR(COUNTIFS(Data!$AK$2:$AK$1105,1,Data!$L$2:$L$1105,$A$61),NA()))</f>
        <v/>
      </c>
      <c r="K61" s="62">
        <f>IF(ISNA($B$61),NA(),IFERROR($B$61/Calc!$BT$6,NA()))</f>
        <v/>
      </c>
      <c r="L61" s="66">
        <f>IF(ISNA($J$61),NA(),IF($J$61&lt;Controls!$B$19,NA(),IFERROR($B$61/$J$61,NA())))</f>
        <v/>
      </c>
      <c r="M61" s="67">
        <f>IF($A$61="",NA(),IF(COUNTIFS(Data!$AK$2:$AK$1105,1,Data!$L$2:$L$1105,$A$61)&lt;Controls!$B$19,NA(),IFERROR(AVERAGEIFS(Data!$AE$2:$AE$1105,Data!$AK$2:$AK$1105,1,Data!$L$2:$L$1105,$A$61),NA())))</f>
        <v/>
      </c>
      <c r="N61" s="67">
        <f>IF($A$61="",NA(),IF(COUNTIFS(Data!$AK$2:$AK$1105,1,Data!$L$2:$L$1105,$A$61)&lt;Controls!$B$19,NA(),IFERROR(AVERAGEIFS(Data!$AD$2:$AD$1105,Data!$AK$2:$AK$1105,1,Data!$L$2:$L$1105,$A$61),NA())))</f>
        <v/>
      </c>
      <c r="O61" s="67">
        <f>IF($A$61="",NA(),IF(COUNTIFS(Data!$AK$2:$AK$1105,1,Data!$L$2:$L$1105,$A$61)&lt;Controls!$B$19,NA(),IFERROR(AVERAGEIFS(Data!$AS$2:$AS$1105,Data!$AK$2:$AK$1105,1,Data!$L$2:$L$1105,$A$61),NA())))</f>
        <v/>
      </c>
      <c r="P61" s="67">
        <f>IF($A$61="",NA(),IF(COUNTIFS(Data!$AK$2:$AK$1105,1,Data!$L$2:$L$1105,$A$61)&lt;Controls!$B$19,NA(),IFERROR(AVERAGEIFS(Data!$AT$2:$AT$1105,Data!$AK$2:$AK$1105,1,Data!$L$2:$L$1105,$A$61),NA())))</f>
        <v/>
      </c>
      <c r="Q61" s="62">
        <f>IF($A$61="",NA(),IF(COUNTIFS(Data!$AK$2:$AK$1105,1,Data!$L$2:$L$1105,$A$61)&lt;Controls!$B$19,NA(),IFERROR(COUNTIFS(Data!$AK$2:$AK$1105,1,Data!$L$2:$L$1105,$A$61,Data!$N$2:$N$1105,"Renewal")/COUNTIFS(Data!$AK$2:$AK$1105,1,Data!$L$2:$L$1105,$A$61),NA())))</f>
        <v/>
      </c>
      <c r="R61" s="62">
        <f>IF($A$61="",NA(),IF(COUNTIFS(Data!$AK$2:$AK$1105,1,Data!$L$2:$L$1105,$A$61)&lt;Controls!$B$19,NA(),IFERROR(SUMIFS(Data!$P$2:$P$1105,Data!$AK$2:$AK$1105,1,Data!$L$2:$L$1105,$A$61,Data!$N$2:$N$1105,"Renewal")/SUMIFS(Data!$P$2:$P$1105,Data!$AK$2:$AK$1105,1,Data!$L$2:$L$1105,$A$61),NA())))</f>
        <v/>
      </c>
      <c r="S61" s="62">
        <f>IF($A$61="",NA(),Calc!$BT$2)</f>
        <v/>
      </c>
      <c r="T61" s="62">
        <f>IF($A$61="",NA(),Calc!$BT$3)</f>
        <v/>
      </c>
      <c r="U61" s="62">
        <f>IF($A$61="",NA(),Calc!$BT$4)</f>
        <v/>
      </c>
      <c r="V61" s="62">
        <f>IF($A$61="",NA(),IF(COUNTIFS(Data!$AK$2:$AK$1105,1,Data!$L$2:$L$1105,$A$61)&lt;Controls!$B$19,NA(),IFERROR(COUNTIFS(Data!$AK$2:$AK$1105,1,Data!$L$2:$L$1105,$A$61,Data!$AH$2:$AH$1105,1)/COUNTIFS(Data!$AK$2:$AK$1105,1,Data!$L$2:$L$1105,$A$61),NA())))</f>
        <v/>
      </c>
      <c r="W61" s="61">
        <f>IF($A$61="","",$A$61&amp;" ("&amp;$J$61&amp;")")</f>
        <v/>
      </c>
      <c r="X61" s="61" t="n"/>
      <c r="Y61" s="61" t="n"/>
      <c r="Z61" s="61" t="n"/>
      <c r="AA61" s="61" t="n"/>
      <c r="AB61" s="61" t="n"/>
      <c r="AC61" s="61" t="n"/>
      <c r="AD61" s="61" t="n"/>
      <c r="AE61" s="61" t="n"/>
      <c r="AF61" s="61" t="n"/>
      <c r="AG61" s="61" t="n"/>
      <c r="AH61" s="61" t="n"/>
      <c r="AI61" s="61" t="n"/>
      <c r="AJ61" s="61" t="n"/>
      <c r="AK61" s="61" t="n"/>
      <c r="AL61" s="61" t="n"/>
      <c r="AM61" s="61" t="n"/>
      <c r="AN61" s="61">
        <f>Controls!$A$97</f>
        <v/>
      </c>
      <c r="AO61" s="61">
        <f>COUNTIFS(Data!$AK$2:$AK$1105,1,Data!$AY$2:$AY$1105,$AN$61)</f>
        <v/>
      </c>
      <c r="AP61" s="57">
        <f>SUMIFS(Data!$P$2:$P$1105,Data!$AK$2:$AK$1105,1,Data!$AY$2:$AY$1105,$AN$61)</f>
        <v/>
      </c>
      <c r="AQ61" s="56">
        <f>IFERROR(SUMIFS(Data!$AN$2:$AN$1105,Data!$AK$2:$AK$1105,1,Data!$AY$2:$AY$1105,$AN$61)/$AP$61,0)</f>
        <v/>
      </c>
      <c r="AR61" s="57">
        <f>SUMIFS(Data!$AN$2:$AN$1105,Data!$AK$2:$AK$1105,1,Data!$AY$2:$AY$1105,$AN$61)</f>
        <v/>
      </c>
      <c r="AS61" s="61">
        <f>Controls!$B$97</f>
        <v/>
      </c>
      <c r="AT61" s="61">
        <f>IF(OR(AO61=0,AO61&lt;Controls!$B$20),-1000000000000000,IF(AND(Controls!$B$21="Y",$AN$61="No SIC"),-1000000000000000,IF(Controls!$B$17="Selected only",IF(AS61="Y",AP61,-1000000000000000),IF(Controls!$B$17="Top by funded $",AP61,IF(Controls!$B$17="Top by funded units",AO61,IF(Controls!$B$17="Largest principal lost $",AR61,IF(Controls!$B$17="Highest net profit $",AU61,IF(AO61&lt;Controls!$B$19,-1000000000000000,IF(Controls!$B$17="Highest principal lost rate %",AQ61,IF(Controls!$B$17="Lowest principal lost rate %",1-AQ61,AP61))))))))) +58/1000000)</f>
        <v/>
      </c>
      <c r="AU61" s="57">
        <f>SUMIFS(Data!$AM$2:$AM$1105,Data!$AK$2:$AK$1105,1,Data!$AY$2:$AY$1105,$AN$61)</f>
        <v/>
      </c>
      <c r="AV61" s="61" t="n"/>
      <c r="AW61" s="61" t="n"/>
      <c r="AX61" s="61" t="n"/>
      <c r="AY61" s="61" t="n"/>
      <c r="AZ61" s="61" t="n"/>
      <c r="BA61" s="61" t="n"/>
      <c r="BB61" s="61">
        <f>Controls!$A$97</f>
        <v/>
      </c>
      <c r="BC61" s="61">
        <f>COUNTIFS(Data!$AK$2:$AK$1105,1,Data!$AY$2:$AY$1105,$BB$61)</f>
        <v/>
      </c>
      <c r="BD61" s="57">
        <f>SUMIFS(Data!$P$2:$P$1105,Data!$AK$2:$AK$1105,1,Data!$AY$2:$AY$1105,$BB$61)</f>
        <v/>
      </c>
      <c r="BE61" s="56">
        <f>IF(COUNTIFS(Data!$AK$2:$AK$1105,1,Data!$AY$2:$AY$1105,$BB$61)&lt;Controls!$B$19,"",IFERROR(SUMIFS(Data!$AN$2:$AN$1105,Data!$AK$2:$AK$1105,1,Data!$AY$2:$AY$1105,$BB$61)/$BD$61,""))</f>
        <v/>
      </c>
      <c r="BF61" s="56">
        <f>IF(COUNTIFS(Data!$AK$2:$AK$1105,1,Data!$AY$2:$AY$1105,$BB$61)&lt;Controls!$B$19,"",IFERROR(SUMIFS(Data!$AM$2:$AM$1105,Data!$AK$2:$AK$1105,1,Data!$AY$2:$AY$1105,$BB$61)/SUMIFS(Data!$P$2:$P$1105,Data!$AK$2:$AK$1105,1,Data!$AY$2:$AY$1105,$BB$61),""))</f>
        <v/>
      </c>
      <c r="BG61" s="57">
        <f>SUMIFS(Data!$AN$2:$AN$1105,Data!$AK$2:$AK$1105,1,Data!$AY$2:$AY$1105,$BB$61)</f>
        <v/>
      </c>
      <c r="BH61" s="61" t="n"/>
      <c r="BI61" s="61" t="n"/>
      <c r="BJ61" s="61" t="n"/>
      <c r="BK61" s="56">
        <f>IF($BC$61&lt;Controls!$B$22,"",$BE$61)</f>
        <v/>
      </c>
      <c r="BL61" s="56">
        <f>IF($BC$61&lt;Controls!$B$22,"",$BF$61)</f>
        <v/>
      </c>
      <c r="BM61" s="57">
        <f>IF($BC$61&lt;Controls!$B$22,"",$BG$61)</f>
        <v/>
      </c>
      <c r="BN61" s="61" t="n"/>
      <c r="BO61" s="61" t="n"/>
      <c r="BP61" s="61" t="n"/>
      <c r="BQ61" s="61" t="n"/>
      <c r="BR61" s="61" t="n"/>
      <c r="BS61" s="61" t="n"/>
      <c r="BT61" s="61" t="n"/>
    </row>
    <row r="62" ht="15.75" customHeight="1" s="79">
      <c r="A62" s="61">
        <f t="array" ref="A62">IFERROR(IF(24&gt;Controls!$B$18,"",IF(LARGE(Calc!$AT$81:$AT$130,24)&lt;-100000000000000,"",INDEX(Calc!$AN$81:$AN$130,MATCH(LARGE(Calc!$AT$81:$AT$130,24),Calc!$AT$81:$AT$130,0)))),"")</f>
        <v/>
      </c>
      <c r="B62" s="66">
        <f>IF($A$62="",NA(),IFERROR(SUMIFS(Data!$P$2:$P$1105,Data!$AK$2:$AK$1105,1,Data!$L$2:$L$1105,$A$62),NA()))</f>
        <v/>
      </c>
      <c r="C62" s="66">
        <f>IF($A$62="",NA(),IFERROR(SUMIFS(Data!$S$2:$S$1105,Data!$AK$2:$AK$1105,1,Data!$L$2:$L$1105,$A$62),NA()))</f>
        <v/>
      </c>
      <c r="D62" s="66">
        <f>IF(ISNA($B$62),NA(),$C$62-$B$62)</f>
        <v/>
      </c>
      <c r="E62" s="66">
        <f>IF($A$62="",NA(),IFERROR(SUMIFS(Data!$Q$2:$Q$1105,Data!$AK$2:$AK$1105,1,Data!$L$2:$L$1105,$A$62),NA()))</f>
        <v/>
      </c>
      <c r="F62" s="66">
        <f>IF($A$62="",NA(),IFERROR(SUMIFS(Data!$AN$2:$AN$1105,Data!$AK$2:$AK$1105,1,Data!$L$2:$L$1105,$A$62),NA()))</f>
        <v/>
      </c>
      <c r="G62" s="62">
        <f>IF($A$62="",NA(),IF(COUNTIFS(Data!$AK$2:$AK$1105,1,Data!$L$2:$L$1105,$A$62)&lt;Controls!$B$19,NA(),IFERROR(SUMIFS(Data!$AN$2:$AN$1105,Data!$AK$2:$AK$1105,1,Data!$L$2:$L$1105,$A$62)/$B$62,NA())))</f>
        <v/>
      </c>
      <c r="H62" s="62">
        <f>IF($A$62="",NA(),IF(COUNTIFS(Data!$AK$2:$AK$1105,1,Data!$L$2:$L$1105,$A$62)&lt;Controls!$B$19,NA(),IFERROR(SUMIFS(Data!$S$2:$S$1105,Data!$AK$2:$AK$1105,1,Data!$L$2:$L$1105,$A$62,Data!$AH$2:$AH$1105,1)/SUMIFS(Data!$P$2:$P$1105,Data!$AK$2:$AK$1105,1,Data!$L$2:$L$1105,$A$62,Data!$AH$2:$AH$1105,1),NA())))</f>
        <v/>
      </c>
      <c r="I62" s="62">
        <f>IF(ISNA($J$62),NA(),IF($J$62&lt;Controls!$B$19,NA(),IFERROR($D$62/$B$62,NA())))</f>
        <v/>
      </c>
      <c r="J62" s="67">
        <f>IF($A$62="",NA(),IFERROR(COUNTIFS(Data!$AK$2:$AK$1105,1,Data!$L$2:$L$1105,$A$62),NA()))</f>
        <v/>
      </c>
      <c r="K62" s="62">
        <f>IF(ISNA($B$62),NA(),IFERROR($B$62/Calc!$BT$6,NA()))</f>
        <v/>
      </c>
      <c r="L62" s="66">
        <f>IF(ISNA($J$62),NA(),IF($J$62&lt;Controls!$B$19,NA(),IFERROR($B$62/$J$62,NA())))</f>
        <v/>
      </c>
      <c r="M62" s="67">
        <f>IF($A$62="",NA(),IF(COUNTIFS(Data!$AK$2:$AK$1105,1,Data!$L$2:$L$1105,$A$62)&lt;Controls!$B$19,NA(),IFERROR(AVERAGEIFS(Data!$AE$2:$AE$1105,Data!$AK$2:$AK$1105,1,Data!$L$2:$L$1105,$A$62),NA())))</f>
        <v/>
      </c>
      <c r="N62" s="67">
        <f>IF($A$62="",NA(),IF(COUNTIFS(Data!$AK$2:$AK$1105,1,Data!$L$2:$L$1105,$A$62)&lt;Controls!$B$19,NA(),IFERROR(AVERAGEIFS(Data!$AD$2:$AD$1105,Data!$AK$2:$AK$1105,1,Data!$L$2:$L$1105,$A$62),NA())))</f>
        <v/>
      </c>
      <c r="O62" s="67">
        <f>IF($A$62="",NA(),IF(COUNTIFS(Data!$AK$2:$AK$1105,1,Data!$L$2:$L$1105,$A$62)&lt;Controls!$B$19,NA(),IFERROR(AVERAGEIFS(Data!$AS$2:$AS$1105,Data!$AK$2:$AK$1105,1,Data!$L$2:$L$1105,$A$62),NA())))</f>
        <v/>
      </c>
      <c r="P62" s="67">
        <f>IF($A$62="",NA(),IF(COUNTIFS(Data!$AK$2:$AK$1105,1,Data!$L$2:$L$1105,$A$62)&lt;Controls!$B$19,NA(),IFERROR(AVERAGEIFS(Data!$AT$2:$AT$1105,Data!$AK$2:$AK$1105,1,Data!$L$2:$L$1105,$A$62),NA())))</f>
        <v/>
      </c>
      <c r="Q62" s="62">
        <f>IF($A$62="",NA(),IF(COUNTIFS(Data!$AK$2:$AK$1105,1,Data!$L$2:$L$1105,$A$62)&lt;Controls!$B$19,NA(),IFERROR(COUNTIFS(Data!$AK$2:$AK$1105,1,Data!$L$2:$L$1105,$A$62,Data!$N$2:$N$1105,"Renewal")/COUNTIFS(Data!$AK$2:$AK$1105,1,Data!$L$2:$L$1105,$A$62),NA())))</f>
        <v/>
      </c>
      <c r="R62" s="62">
        <f>IF($A$62="",NA(),IF(COUNTIFS(Data!$AK$2:$AK$1105,1,Data!$L$2:$L$1105,$A$62)&lt;Controls!$B$19,NA(),IFERROR(SUMIFS(Data!$P$2:$P$1105,Data!$AK$2:$AK$1105,1,Data!$L$2:$L$1105,$A$62,Data!$N$2:$N$1105,"Renewal")/SUMIFS(Data!$P$2:$P$1105,Data!$AK$2:$AK$1105,1,Data!$L$2:$L$1105,$A$62),NA())))</f>
        <v/>
      </c>
      <c r="S62" s="62">
        <f>IF($A$62="",NA(),Calc!$BT$2)</f>
        <v/>
      </c>
      <c r="T62" s="62">
        <f>IF($A$62="",NA(),Calc!$BT$3)</f>
        <v/>
      </c>
      <c r="U62" s="62">
        <f>IF($A$62="",NA(),Calc!$BT$4)</f>
        <v/>
      </c>
      <c r="V62" s="62">
        <f>IF($A$62="",NA(),IF(COUNTIFS(Data!$AK$2:$AK$1105,1,Data!$L$2:$L$1105,$A$62)&lt;Controls!$B$19,NA(),IFERROR(COUNTIFS(Data!$AK$2:$AK$1105,1,Data!$L$2:$L$1105,$A$62,Data!$AH$2:$AH$1105,1)/COUNTIFS(Data!$AK$2:$AK$1105,1,Data!$L$2:$L$1105,$A$62),NA())))</f>
        <v/>
      </c>
      <c r="W62" s="61">
        <f>IF($A$62="","",$A$62&amp;" ("&amp;$J$62&amp;")")</f>
        <v/>
      </c>
      <c r="X62" s="61" t="n"/>
      <c r="Y62" s="61" t="n"/>
      <c r="Z62" s="61" t="n"/>
      <c r="AA62" s="61" t="n"/>
      <c r="AB62" s="61" t="n"/>
      <c r="AC62" s="61" t="n"/>
      <c r="AD62" s="61" t="n"/>
      <c r="AE62" s="61" t="n"/>
      <c r="AF62" s="61" t="n"/>
      <c r="AG62" s="61" t="n"/>
      <c r="AH62" s="61" t="n"/>
      <c r="AI62" s="61" t="n"/>
      <c r="AJ62" s="61" t="n"/>
      <c r="AK62" s="61" t="n"/>
      <c r="AL62" s="61" t="n"/>
      <c r="AM62" s="61" t="n"/>
      <c r="AN62" s="61">
        <f>Controls!$A$98</f>
        <v/>
      </c>
      <c r="AO62" s="61">
        <f>COUNTIFS(Data!$AK$2:$AK$1105,1,Data!$AY$2:$AY$1105,$AN$62)</f>
        <v/>
      </c>
      <c r="AP62" s="57">
        <f>SUMIFS(Data!$P$2:$P$1105,Data!$AK$2:$AK$1105,1,Data!$AY$2:$AY$1105,$AN$62)</f>
        <v/>
      </c>
      <c r="AQ62" s="56">
        <f>IFERROR(SUMIFS(Data!$AN$2:$AN$1105,Data!$AK$2:$AK$1105,1,Data!$AY$2:$AY$1105,$AN$62)/$AP$62,0)</f>
        <v/>
      </c>
      <c r="AR62" s="57">
        <f>SUMIFS(Data!$AN$2:$AN$1105,Data!$AK$2:$AK$1105,1,Data!$AY$2:$AY$1105,$AN$62)</f>
        <v/>
      </c>
      <c r="AS62" s="61">
        <f>Controls!$B$98</f>
        <v/>
      </c>
      <c r="AT62" s="61">
        <f>IF(OR(AO62=0,AO62&lt;Controls!$B$20),-1000000000000000,IF(AND(Controls!$B$21="Y",$AN$62="No SIC"),-1000000000000000,IF(Controls!$B$17="Selected only",IF(AS62="Y",AP62,-1000000000000000),IF(Controls!$B$17="Top by funded $",AP62,IF(Controls!$B$17="Top by funded units",AO62,IF(Controls!$B$17="Largest principal lost $",AR62,IF(Controls!$B$17="Highest net profit $",AU62,IF(AO62&lt;Controls!$B$19,-1000000000000000,IF(Controls!$B$17="Highest principal lost rate %",AQ62,IF(Controls!$B$17="Lowest principal lost rate %",1-AQ62,AP62))))))))) +59/1000000)</f>
        <v/>
      </c>
      <c r="AU62" s="57">
        <f>SUMIFS(Data!$AM$2:$AM$1105,Data!$AK$2:$AK$1105,1,Data!$AY$2:$AY$1105,$AN$62)</f>
        <v/>
      </c>
      <c r="AV62" s="61" t="n"/>
      <c r="AW62" s="61" t="n"/>
      <c r="AX62" s="61" t="n"/>
      <c r="AY62" s="61" t="n"/>
      <c r="AZ62" s="61" t="n"/>
      <c r="BA62" s="61" t="n"/>
      <c r="BB62" s="61">
        <f>Controls!$A$98</f>
        <v/>
      </c>
      <c r="BC62" s="61">
        <f>COUNTIFS(Data!$AK$2:$AK$1105,1,Data!$AY$2:$AY$1105,$BB$62)</f>
        <v/>
      </c>
      <c r="BD62" s="57">
        <f>SUMIFS(Data!$P$2:$P$1105,Data!$AK$2:$AK$1105,1,Data!$AY$2:$AY$1105,$BB$62)</f>
        <v/>
      </c>
      <c r="BE62" s="56">
        <f>IF(COUNTIFS(Data!$AK$2:$AK$1105,1,Data!$AY$2:$AY$1105,$BB$62)&lt;Controls!$B$19,"",IFERROR(SUMIFS(Data!$AN$2:$AN$1105,Data!$AK$2:$AK$1105,1,Data!$AY$2:$AY$1105,$BB$62)/$BD$62,""))</f>
        <v/>
      </c>
      <c r="BF62" s="56">
        <f>IF(COUNTIFS(Data!$AK$2:$AK$1105,1,Data!$AY$2:$AY$1105,$BB$62)&lt;Controls!$B$19,"",IFERROR(SUMIFS(Data!$AM$2:$AM$1105,Data!$AK$2:$AK$1105,1,Data!$AY$2:$AY$1105,$BB$62)/SUMIFS(Data!$P$2:$P$1105,Data!$AK$2:$AK$1105,1,Data!$AY$2:$AY$1105,$BB$62),""))</f>
        <v/>
      </c>
      <c r="BG62" s="57">
        <f>SUMIFS(Data!$AN$2:$AN$1105,Data!$AK$2:$AK$1105,1,Data!$AY$2:$AY$1105,$BB$62)</f>
        <v/>
      </c>
      <c r="BH62" s="61" t="n"/>
      <c r="BI62" s="61" t="n"/>
      <c r="BJ62" s="61" t="n"/>
      <c r="BK62" s="61">
        <f>IF($BC$62&lt;Controls!$B$22,"",$BE$62)</f>
        <v/>
      </c>
      <c r="BL62" s="61">
        <f>IF($BC$62&lt;Controls!$B$22,"",$BF$62)</f>
        <v/>
      </c>
      <c r="BM62" s="61">
        <f>IF($BC$62&lt;Controls!$B$22,"",$BG$62)</f>
        <v/>
      </c>
      <c r="BN62" s="61" t="n"/>
      <c r="BO62" s="61" t="n"/>
      <c r="BP62" s="61" t="n"/>
      <c r="BQ62" s="61" t="n"/>
      <c r="BR62" s="61" t="n"/>
      <c r="BS62" s="61" t="n"/>
      <c r="BT62" s="61" t="n"/>
    </row>
    <row r="63" ht="15.75" customHeight="1" s="79">
      <c r="A63" s="61">
        <f t="array" ref="A63">IFERROR(IF(25&gt;Controls!$B$18,"",IF(LARGE(Calc!$AT$81:$AT$130,25)&lt;-100000000000000,"",INDEX(Calc!$AN$81:$AN$130,MATCH(LARGE(Calc!$AT$81:$AT$130,25),Calc!$AT$81:$AT$130,0)))),"")</f>
        <v/>
      </c>
      <c r="B63" s="66">
        <f>IF($A$63="",NA(),IFERROR(SUMIFS(Data!$P$2:$P$1105,Data!$AK$2:$AK$1105,1,Data!$L$2:$L$1105,$A$63),NA()))</f>
        <v/>
      </c>
      <c r="C63" s="66">
        <f>IF($A$63="",NA(),IFERROR(SUMIFS(Data!$S$2:$S$1105,Data!$AK$2:$AK$1105,1,Data!$L$2:$L$1105,$A$63),NA()))</f>
        <v/>
      </c>
      <c r="D63" s="66">
        <f>IF(ISNA($B$63),NA(),$C$63-$B$63)</f>
        <v/>
      </c>
      <c r="E63" s="66">
        <f>IF($A$63="",NA(),IFERROR(SUMIFS(Data!$Q$2:$Q$1105,Data!$AK$2:$AK$1105,1,Data!$L$2:$L$1105,$A$63),NA()))</f>
        <v/>
      </c>
      <c r="F63" s="66">
        <f>IF($A$63="",NA(),IFERROR(SUMIFS(Data!$AN$2:$AN$1105,Data!$AK$2:$AK$1105,1,Data!$L$2:$L$1105,$A$63),NA()))</f>
        <v/>
      </c>
      <c r="G63" s="62">
        <f>IF($A$63="",NA(),IF(COUNTIFS(Data!$AK$2:$AK$1105,1,Data!$L$2:$L$1105,$A$63)&lt;Controls!$B$19,NA(),IFERROR(SUMIFS(Data!$AN$2:$AN$1105,Data!$AK$2:$AK$1105,1,Data!$L$2:$L$1105,$A$63)/$B$63,NA())))</f>
        <v/>
      </c>
      <c r="H63" s="62">
        <f>IF($A$63="",NA(),IF(COUNTIFS(Data!$AK$2:$AK$1105,1,Data!$L$2:$L$1105,$A$63)&lt;Controls!$B$19,NA(),IFERROR(SUMIFS(Data!$S$2:$S$1105,Data!$AK$2:$AK$1105,1,Data!$L$2:$L$1105,$A$63,Data!$AH$2:$AH$1105,1)/SUMIFS(Data!$P$2:$P$1105,Data!$AK$2:$AK$1105,1,Data!$L$2:$L$1105,$A$63,Data!$AH$2:$AH$1105,1),NA())))</f>
        <v/>
      </c>
      <c r="I63" s="62">
        <f>IF(ISNA($J$63),NA(),IF($J$63&lt;Controls!$B$19,NA(),IFERROR($D$63/$B$63,NA())))</f>
        <v/>
      </c>
      <c r="J63" s="67">
        <f>IF($A$63="",NA(),IFERROR(COUNTIFS(Data!$AK$2:$AK$1105,1,Data!$L$2:$L$1105,$A$63),NA()))</f>
        <v/>
      </c>
      <c r="K63" s="62">
        <f>IF(ISNA($B$63),NA(),IFERROR($B$63/Calc!$BT$6,NA()))</f>
        <v/>
      </c>
      <c r="L63" s="66">
        <f>IF(ISNA($J$63),NA(),IF($J$63&lt;Controls!$B$19,NA(),IFERROR($B$63/$J$63,NA())))</f>
        <v/>
      </c>
      <c r="M63" s="67">
        <f>IF($A$63="",NA(),IF(COUNTIFS(Data!$AK$2:$AK$1105,1,Data!$L$2:$L$1105,$A$63)&lt;Controls!$B$19,NA(),IFERROR(AVERAGEIFS(Data!$AE$2:$AE$1105,Data!$AK$2:$AK$1105,1,Data!$L$2:$L$1105,$A$63),NA())))</f>
        <v/>
      </c>
      <c r="N63" s="67">
        <f>IF($A$63="",NA(),IF(COUNTIFS(Data!$AK$2:$AK$1105,1,Data!$L$2:$L$1105,$A$63)&lt;Controls!$B$19,NA(),IFERROR(AVERAGEIFS(Data!$AD$2:$AD$1105,Data!$AK$2:$AK$1105,1,Data!$L$2:$L$1105,$A$63),NA())))</f>
        <v/>
      </c>
      <c r="O63" s="67">
        <f>IF($A$63="",NA(),IF(COUNTIFS(Data!$AK$2:$AK$1105,1,Data!$L$2:$L$1105,$A$63)&lt;Controls!$B$19,NA(),IFERROR(AVERAGEIFS(Data!$AS$2:$AS$1105,Data!$AK$2:$AK$1105,1,Data!$L$2:$L$1105,$A$63),NA())))</f>
        <v/>
      </c>
      <c r="P63" s="67">
        <f>IF($A$63="",NA(),IF(COUNTIFS(Data!$AK$2:$AK$1105,1,Data!$L$2:$L$1105,$A$63)&lt;Controls!$B$19,NA(),IFERROR(AVERAGEIFS(Data!$AT$2:$AT$1105,Data!$AK$2:$AK$1105,1,Data!$L$2:$L$1105,$A$63),NA())))</f>
        <v/>
      </c>
      <c r="Q63" s="62">
        <f>IF($A$63="",NA(),IF(COUNTIFS(Data!$AK$2:$AK$1105,1,Data!$L$2:$L$1105,$A$63)&lt;Controls!$B$19,NA(),IFERROR(COUNTIFS(Data!$AK$2:$AK$1105,1,Data!$L$2:$L$1105,$A$63,Data!$N$2:$N$1105,"Renewal")/COUNTIFS(Data!$AK$2:$AK$1105,1,Data!$L$2:$L$1105,$A$63),NA())))</f>
        <v/>
      </c>
      <c r="R63" s="62">
        <f>IF($A$63="",NA(),IF(COUNTIFS(Data!$AK$2:$AK$1105,1,Data!$L$2:$L$1105,$A$63)&lt;Controls!$B$19,NA(),IFERROR(SUMIFS(Data!$P$2:$P$1105,Data!$AK$2:$AK$1105,1,Data!$L$2:$L$1105,$A$63,Data!$N$2:$N$1105,"Renewal")/SUMIFS(Data!$P$2:$P$1105,Data!$AK$2:$AK$1105,1,Data!$L$2:$L$1105,$A$63),NA())))</f>
        <v/>
      </c>
      <c r="S63" s="62">
        <f>IF($A$63="",NA(),Calc!$BT$2)</f>
        <v/>
      </c>
      <c r="T63" s="62">
        <f>IF($A$63="",NA(),Calc!$BT$3)</f>
        <v/>
      </c>
      <c r="U63" s="62">
        <f>IF($A$63="",NA(),Calc!$BT$4)</f>
        <v/>
      </c>
      <c r="V63" s="62">
        <f>IF($A$63="",NA(),IF(COUNTIFS(Data!$AK$2:$AK$1105,1,Data!$L$2:$L$1105,$A$63)&lt;Controls!$B$19,NA(),IFERROR(COUNTIFS(Data!$AK$2:$AK$1105,1,Data!$L$2:$L$1105,$A$63,Data!$AH$2:$AH$1105,1)/COUNTIFS(Data!$AK$2:$AK$1105,1,Data!$L$2:$L$1105,$A$63),NA())))</f>
        <v/>
      </c>
      <c r="W63" s="61">
        <f>IF($A$63="","",$A$63&amp;" ("&amp;$J$63&amp;")")</f>
        <v/>
      </c>
      <c r="X63" s="61" t="n"/>
      <c r="Y63" s="61" t="n"/>
      <c r="Z63" s="61" t="n"/>
      <c r="AA63" s="61" t="n"/>
      <c r="AB63" s="61" t="n"/>
      <c r="AC63" s="61" t="n"/>
      <c r="AD63" s="61" t="n"/>
      <c r="AE63" s="61" t="n"/>
      <c r="AF63" s="61" t="n"/>
      <c r="AG63" s="61" t="n"/>
      <c r="AH63" s="61" t="n"/>
      <c r="AI63" s="61" t="n"/>
      <c r="AJ63" s="61" t="n"/>
      <c r="AK63" s="61" t="n"/>
      <c r="AL63" s="61" t="n"/>
      <c r="AM63" s="61" t="n"/>
      <c r="AN63" s="61">
        <f>Controls!$A$99</f>
        <v/>
      </c>
      <c r="AO63" s="61">
        <f>COUNTIFS(Data!$AK$2:$AK$1105,1,Data!$AY$2:$AY$1105,$AN$63)</f>
        <v/>
      </c>
      <c r="AP63" s="57">
        <f>SUMIFS(Data!$P$2:$P$1105,Data!$AK$2:$AK$1105,1,Data!$AY$2:$AY$1105,$AN$63)</f>
        <v/>
      </c>
      <c r="AQ63" s="56">
        <f>IFERROR(SUMIFS(Data!$AN$2:$AN$1105,Data!$AK$2:$AK$1105,1,Data!$AY$2:$AY$1105,$AN$63)/$AP$63,0)</f>
        <v/>
      </c>
      <c r="AR63" s="57">
        <f>SUMIFS(Data!$AN$2:$AN$1105,Data!$AK$2:$AK$1105,1,Data!$AY$2:$AY$1105,$AN$63)</f>
        <v/>
      </c>
      <c r="AS63" s="61">
        <f>Controls!$B$99</f>
        <v/>
      </c>
      <c r="AT63" s="61">
        <f>IF(OR(AO63=0,AO63&lt;Controls!$B$20),-1000000000000000,IF(AND(Controls!$B$21="Y",$AN$63="No SIC"),-1000000000000000,IF(Controls!$B$17="Selected only",IF(AS63="Y",AP63,-1000000000000000),IF(Controls!$B$17="Top by funded $",AP63,IF(Controls!$B$17="Top by funded units",AO63,IF(Controls!$B$17="Largest principal lost $",AR63,IF(Controls!$B$17="Highest net profit $",AU63,IF(AO63&lt;Controls!$B$19,-1000000000000000,IF(Controls!$B$17="Highest principal lost rate %",AQ63,IF(Controls!$B$17="Lowest principal lost rate %",1-AQ63,AP63))))))))) +60/1000000)</f>
        <v/>
      </c>
      <c r="AU63" s="57">
        <f>SUMIFS(Data!$AM$2:$AM$1105,Data!$AK$2:$AK$1105,1,Data!$AY$2:$AY$1105,$AN$63)</f>
        <v/>
      </c>
      <c r="AV63" s="61" t="n"/>
      <c r="AW63" s="61" t="n"/>
      <c r="AX63" s="61" t="n"/>
      <c r="AY63" s="61" t="n"/>
      <c r="AZ63" s="61" t="n"/>
      <c r="BA63" s="61" t="n"/>
      <c r="BB63" s="61">
        <f>Controls!$A$99</f>
        <v/>
      </c>
      <c r="BC63" s="61">
        <f>COUNTIFS(Data!$AK$2:$AK$1105,1,Data!$AY$2:$AY$1105,$BB$63)</f>
        <v/>
      </c>
      <c r="BD63" s="57">
        <f>SUMIFS(Data!$P$2:$P$1105,Data!$AK$2:$AK$1105,1,Data!$AY$2:$AY$1105,$BB$63)</f>
        <v/>
      </c>
      <c r="BE63" s="56">
        <f>IF(COUNTIFS(Data!$AK$2:$AK$1105,1,Data!$AY$2:$AY$1105,$BB$63)&lt;Controls!$B$19,"",IFERROR(SUMIFS(Data!$AN$2:$AN$1105,Data!$AK$2:$AK$1105,1,Data!$AY$2:$AY$1105,$BB$63)/$BD$63,""))</f>
        <v/>
      </c>
      <c r="BF63" s="56">
        <f>IF(COUNTIFS(Data!$AK$2:$AK$1105,1,Data!$AY$2:$AY$1105,$BB$63)&lt;Controls!$B$19,"",IFERROR(SUMIFS(Data!$AM$2:$AM$1105,Data!$AK$2:$AK$1105,1,Data!$AY$2:$AY$1105,$BB$63)/SUMIFS(Data!$P$2:$P$1105,Data!$AK$2:$AK$1105,1,Data!$AY$2:$AY$1105,$BB$63),""))</f>
        <v/>
      </c>
      <c r="BG63" s="57">
        <f>SUMIFS(Data!$AN$2:$AN$1105,Data!$AK$2:$AK$1105,1,Data!$AY$2:$AY$1105,$BB$63)</f>
        <v/>
      </c>
      <c r="BH63" s="61" t="n"/>
      <c r="BI63" s="61" t="n"/>
      <c r="BJ63" s="61" t="n"/>
      <c r="BK63" s="61">
        <f>IF($BC$63&lt;Controls!$B$22,"",$BE$63)</f>
        <v/>
      </c>
      <c r="BL63" s="61">
        <f>IF($BC$63&lt;Controls!$B$22,"",$BF$63)</f>
        <v/>
      </c>
      <c r="BM63" s="61">
        <f>IF($BC$63&lt;Controls!$B$22,"",$BG$63)</f>
        <v/>
      </c>
      <c r="BN63" s="61" t="n"/>
      <c r="BO63" s="61" t="n"/>
      <c r="BP63" s="61" t="n"/>
      <c r="BQ63" s="61" t="n"/>
      <c r="BR63" s="61" t="n"/>
      <c r="BS63" s="61" t="n"/>
      <c r="BT63" s="61" t="n"/>
    </row>
    <row r="64" ht="15.75" customHeight="1" s="79">
      <c r="A64" s="61">
        <f t="array" ref="A64">IFERROR(IF(26&gt;Controls!$B$18,"",IF(LARGE(Calc!$AT$81:$AT$130,26)&lt;-100000000000000,"",INDEX(Calc!$AN$81:$AN$130,MATCH(LARGE(Calc!$AT$81:$AT$130,26),Calc!$AT$81:$AT$130,0)))),"")</f>
        <v/>
      </c>
      <c r="B64" s="66">
        <f>IF($A$64="",NA(),IFERROR(SUMIFS(Data!$P$2:$P$1105,Data!$AK$2:$AK$1105,1,Data!$L$2:$L$1105,$A$64),NA()))</f>
        <v/>
      </c>
      <c r="C64" s="66">
        <f>IF($A$64="",NA(),IFERROR(SUMIFS(Data!$S$2:$S$1105,Data!$AK$2:$AK$1105,1,Data!$L$2:$L$1105,$A$64),NA()))</f>
        <v/>
      </c>
      <c r="D64" s="66">
        <f>IF(ISNA($B$64),NA(),$C$64-$B$64)</f>
        <v/>
      </c>
      <c r="E64" s="66">
        <f>IF($A$64="",NA(),IFERROR(SUMIFS(Data!$Q$2:$Q$1105,Data!$AK$2:$AK$1105,1,Data!$L$2:$L$1105,$A$64),NA()))</f>
        <v/>
      </c>
      <c r="F64" s="66">
        <f>IF($A$64="",NA(),IFERROR(SUMIFS(Data!$AN$2:$AN$1105,Data!$AK$2:$AK$1105,1,Data!$L$2:$L$1105,$A$64),NA()))</f>
        <v/>
      </c>
      <c r="G64" s="62">
        <f>IF($A$64="",NA(),IF(COUNTIFS(Data!$AK$2:$AK$1105,1,Data!$L$2:$L$1105,$A$64)&lt;Controls!$B$19,NA(),IFERROR(SUMIFS(Data!$AN$2:$AN$1105,Data!$AK$2:$AK$1105,1,Data!$L$2:$L$1105,$A$64)/$B$64,NA())))</f>
        <v/>
      </c>
      <c r="H64" s="62">
        <f>IF($A$64="",NA(),IF(COUNTIFS(Data!$AK$2:$AK$1105,1,Data!$L$2:$L$1105,$A$64)&lt;Controls!$B$19,NA(),IFERROR(SUMIFS(Data!$S$2:$S$1105,Data!$AK$2:$AK$1105,1,Data!$L$2:$L$1105,$A$64,Data!$AH$2:$AH$1105,1)/SUMIFS(Data!$P$2:$P$1105,Data!$AK$2:$AK$1105,1,Data!$L$2:$L$1105,$A$64,Data!$AH$2:$AH$1105,1),NA())))</f>
        <v/>
      </c>
      <c r="I64" s="62">
        <f>IF(ISNA($J$64),NA(),IF($J$64&lt;Controls!$B$19,NA(),IFERROR($D$64/$B$64,NA())))</f>
        <v/>
      </c>
      <c r="J64" s="67">
        <f>IF($A$64="",NA(),IFERROR(COUNTIFS(Data!$AK$2:$AK$1105,1,Data!$L$2:$L$1105,$A$64),NA()))</f>
        <v/>
      </c>
      <c r="K64" s="62">
        <f>IF(ISNA($B$64),NA(),IFERROR($B$64/Calc!$BT$6,NA()))</f>
        <v/>
      </c>
      <c r="L64" s="66">
        <f>IF(ISNA($J$64),NA(),IF($J$64&lt;Controls!$B$19,NA(),IFERROR($B$64/$J$64,NA())))</f>
        <v/>
      </c>
      <c r="M64" s="67">
        <f>IF($A$64="",NA(),IF(COUNTIFS(Data!$AK$2:$AK$1105,1,Data!$L$2:$L$1105,$A$64)&lt;Controls!$B$19,NA(),IFERROR(AVERAGEIFS(Data!$AE$2:$AE$1105,Data!$AK$2:$AK$1105,1,Data!$L$2:$L$1105,$A$64),NA())))</f>
        <v/>
      </c>
      <c r="N64" s="67">
        <f>IF($A$64="",NA(),IF(COUNTIFS(Data!$AK$2:$AK$1105,1,Data!$L$2:$L$1105,$A$64)&lt;Controls!$B$19,NA(),IFERROR(AVERAGEIFS(Data!$AD$2:$AD$1105,Data!$AK$2:$AK$1105,1,Data!$L$2:$L$1105,$A$64),NA())))</f>
        <v/>
      </c>
      <c r="O64" s="67">
        <f>IF($A$64="",NA(),IF(COUNTIFS(Data!$AK$2:$AK$1105,1,Data!$L$2:$L$1105,$A$64)&lt;Controls!$B$19,NA(),IFERROR(AVERAGEIFS(Data!$AS$2:$AS$1105,Data!$AK$2:$AK$1105,1,Data!$L$2:$L$1105,$A$64),NA())))</f>
        <v/>
      </c>
      <c r="P64" s="67">
        <f>IF($A$64="",NA(),IF(COUNTIFS(Data!$AK$2:$AK$1105,1,Data!$L$2:$L$1105,$A$64)&lt;Controls!$B$19,NA(),IFERROR(AVERAGEIFS(Data!$AT$2:$AT$1105,Data!$AK$2:$AK$1105,1,Data!$L$2:$L$1105,$A$64),NA())))</f>
        <v/>
      </c>
      <c r="Q64" s="62">
        <f>IF($A$64="",NA(),IF(COUNTIFS(Data!$AK$2:$AK$1105,1,Data!$L$2:$L$1105,$A$64)&lt;Controls!$B$19,NA(),IFERROR(COUNTIFS(Data!$AK$2:$AK$1105,1,Data!$L$2:$L$1105,$A$64,Data!$N$2:$N$1105,"Renewal")/COUNTIFS(Data!$AK$2:$AK$1105,1,Data!$L$2:$L$1105,$A$64),NA())))</f>
        <v/>
      </c>
      <c r="R64" s="62">
        <f>IF($A$64="",NA(),IF(COUNTIFS(Data!$AK$2:$AK$1105,1,Data!$L$2:$L$1105,$A$64)&lt;Controls!$B$19,NA(),IFERROR(SUMIFS(Data!$P$2:$P$1105,Data!$AK$2:$AK$1105,1,Data!$L$2:$L$1105,$A$64,Data!$N$2:$N$1105,"Renewal")/SUMIFS(Data!$P$2:$P$1105,Data!$AK$2:$AK$1105,1,Data!$L$2:$L$1105,$A$64),NA())))</f>
        <v/>
      </c>
      <c r="S64" s="62">
        <f>IF($A$64="",NA(),Calc!$BT$2)</f>
        <v/>
      </c>
      <c r="T64" s="62">
        <f>IF($A$64="",NA(),Calc!$BT$3)</f>
        <v/>
      </c>
      <c r="U64" s="62">
        <f>IF($A$64="",NA(),Calc!$BT$4)</f>
        <v/>
      </c>
      <c r="V64" s="62">
        <f>IF($A$64="",NA(),IF(COUNTIFS(Data!$AK$2:$AK$1105,1,Data!$L$2:$L$1105,$A$64)&lt;Controls!$B$19,NA(),IFERROR(COUNTIFS(Data!$AK$2:$AK$1105,1,Data!$L$2:$L$1105,$A$64,Data!$AH$2:$AH$1105,1)/COUNTIFS(Data!$AK$2:$AK$1105,1,Data!$L$2:$L$1105,$A$64),NA())))</f>
        <v/>
      </c>
      <c r="W64" s="61">
        <f>IF($A$64="","",$A$64&amp;" ("&amp;$J$64&amp;")")</f>
        <v/>
      </c>
      <c r="X64" s="61" t="n"/>
      <c r="Y64" s="61" t="n"/>
      <c r="Z64" s="61" t="n"/>
      <c r="AA64" s="61" t="n"/>
      <c r="AB64" s="61" t="n"/>
      <c r="AC64" s="61" t="n"/>
      <c r="AD64" s="61" t="n"/>
      <c r="AE64" s="61" t="n"/>
      <c r="AF64" s="61" t="n"/>
      <c r="AG64" s="61" t="n"/>
      <c r="AH64" s="61" t="n"/>
      <c r="AI64" s="61" t="n"/>
      <c r="AJ64" s="61" t="n"/>
      <c r="AK64" s="61" t="n"/>
      <c r="AL64" s="61" t="n"/>
      <c r="AM64" s="61" t="n"/>
      <c r="AN64" s="61">
        <f>Controls!$A$100</f>
        <v/>
      </c>
      <c r="AO64" s="61">
        <f>COUNTIFS(Data!$AK$2:$AK$1105,1,Data!$AY$2:$AY$1105,$AN$64)</f>
        <v/>
      </c>
      <c r="AP64" s="57">
        <f>SUMIFS(Data!$P$2:$P$1105,Data!$AK$2:$AK$1105,1,Data!$AY$2:$AY$1105,$AN$64)</f>
        <v/>
      </c>
      <c r="AQ64" s="56">
        <f>IFERROR(SUMIFS(Data!$AN$2:$AN$1105,Data!$AK$2:$AK$1105,1,Data!$AY$2:$AY$1105,$AN$64)/$AP$64,0)</f>
        <v/>
      </c>
      <c r="AR64" s="57">
        <f>SUMIFS(Data!$AN$2:$AN$1105,Data!$AK$2:$AK$1105,1,Data!$AY$2:$AY$1105,$AN$64)</f>
        <v/>
      </c>
      <c r="AS64" s="61">
        <f>Controls!$B$100</f>
        <v/>
      </c>
      <c r="AT64" s="61">
        <f>IF(OR(AO64=0,AO64&lt;Controls!$B$20),-1000000000000000,IF(AND(Controls!$B$21="Y",$AN$64="No SIC"),-1000000000000000,IF(Controls!$B$17="Selected only",IF(AS64="Y",AP64,-1000000000000000),IF(Controls!$B$17="Top by funded $",AP64,IF(Controls!$B$17="Top by funded units",AO64,IF(Controls!$B$17="Largest principal lost $",AR64,IF(Controls!$B$17="Highest net profit $",AU64,IF(AO64&lt;Controls!$B$19,-1000000000000000,IF(Controls!$B$17="Highest principal lost rate %",AQ64,IF(Controls!$B$17="Lowest principal lost rate %",1-AQ64,AP64))))))))) +61/1000000)</f>
        <v/>
      </c>
      <c r="AU64" s="57">
        <f>SUMIFS(Data!$AM$2:$AM$1105,Data!$AK$2:$AK$1105,1,Data!$AY$2:$AY$1105,$AN$64)</f>
        <v/>
      </c>
      <c r="AV64" s="61" t="n"/>
      <c r="AW64" s="61" t="n"/>
      <c r="AX64" s="61" t="n"/>
      <c r="AY64" s="61" t="n"/>
      <c r="AZ64" s="61" t="n"/>
      <c r="BA64" s="61" t="n"/>
      <c r="BB64" s="61">
        <f>Controls!$A$100</f>
        <v/>
      </c>
      <c r="BC64" s="61">
        <f>COUNTIFS(Data!$AK$2:$AK$1105,1,Data!$AY$2:$AY$1105,$BB$64)</f>
        <v/>
      </c>
      <c r="BD64" s="57">
        <f>SUMIFS(Data!$P$2:$P$1105,Data!$AK$2:$AK$1105,1,Data!$AY$2:$AY$1105,$BB$64)</f>
        <v/>
      </c>
      <c r="BE64" s="56">
        <f>IF(COUNTIFS(Data!$AK$2:$AK$1105,1,Data!$AY$2:$AY$1105,$BB$64)&lt;Controls!$B$19,"",IFERROR(SUMIFS(Data!$AN$2:$AN$1105,Data!$AK$2:$AK$1105,1,Data!$AY$2:$AY$1105,$BB$64)/$BD$64,""))</f>
        <v/>
      </c>
      <c r="BF64" s="56">
        <f>IF(COUNTIFS(Data!$AK$2:$AK$1105,1,Data!$AY$2:$AY$1105,$BB$64)&lt;Controls!$B$19,"",IFERROR(SUMIFS(Data!$AM$2:$AM$1105,Data!$AK$2:$AK$1105,1,Data!$AY$2:$AY$1105,$BB$64)/SUMIFS(Data!$P$2:$P$1105,Data!$AK$2:$AK$1105,1,Data!$AY$2:$AY$1105,$BB$64),""))</f>
        <v/>
      </c>
      <c r="BG64" s="57">
        <f>SUMIFS(Data!$AN$2:$AN$1105,Data!$AK$2:$AK$1105,1,Data!$AY$2:$AY$1105,$BB$64)</f>
        <v/>
      </c>
      <c r="BH64" s="61" t="n"/>
      <c r="BI64" s="61" t="n"/>
      <c r="BJ64" s="61" t="n"/>
      <c r="BK64" s="56">
        <f>IF($BC$64&lt;Controls!$B$22,"",$BE$64)</f>
        <v/>
      </c>
      <c r="BL64" s="56">
        <f>IF($BC$64&lt;Controls!$B$22,"",$BF$64)</f>
        <v/>
      </c>
      <c r="BM64" s="57">
        <f>IF($BC$64&lt;Controls!$B$22,"",$BG$64)</f>
        <v/>
      </c>
      <c r="BN64" s="61" t="n"/>
      <c r="BO64" s="61" t="n"/>
      <c r="BP64" s="61" t="n"/>
      <c r="BQ64" s="61" t="n"/>
      <c r="BR64" s="61" t="n"/>
      <c r="BS64" s="61" t="n"/>
      <c r="BT64" s="61" t="n"/>
    </row>
    <row r="65" ht="15.75" customHeight="1" s="79">
      <c r="A65" s="61">
        <f t="array" ref="A65">IFERROR(IF(27&gt;Controls!$B$18,"",IF(LARGE(Calc!$AT$81:$AT$130,27)&lt;-100000000000000,"",INDEX(Calc!$AN$81:$AN$130,MATCH(LARGE(Calc!$AT$81:$AT$130,27),Calc!$AT$81:$AT$130,0)))),"")</f>
        <v/>
      </c>
      <c r="B65" s="66">
        <f>IF($A$65="",NA(),IFERROR(SUMIFS(Data!$P$2:$P$1105,Data!$AK$2:$AK$1105,1,Data!$L$2:$L$1105,$A$65),NA()))</f>
        <v/>
      </c>
      <c r="C65" s="66">
        <f>IF($A$65="",NA(),IFERROR(SUMIFS(Data!$S$2:$S$1105,Data!$AK$2:$AK$1105,1,Data!$L$2:$L$1105,$A$65),NA()))</f>
        <v/>
      </c>
      <c r="D65" s="66">
        <f>IF(ISNA($B$65),NA(),$C$65-$B$65)</f>
        <v/>
      </c>
      <c r="E65" s="66">
        <f>IF($A$65="",NA(),IFERROR(SUMIFS(Data!$Q$2:$Q$1105,Data!$AK$2:$AK$1105,1,Data!$L$2:$L$1105,$A$65),NA()))</f>
        <v/>
      </c>
      <c r="F65" s="66">
        <f>IF($A$65="",NA(),IFERROR(SUMIFS(Data!$AN$2:$AN$1105,Data!$AK$2:$AK$1105,1,Data!$L$2:$L$1105,$A$65),NA()))</f>
        <v/>
      </c>
      <c r="G65" s="62">
        <f>IF($A$65="",NA(),IF(COUNTIFS(Data!$AK$2:$AK$1105,1,Data!$L$2:$L$1105,$A$65)&lt;Controls!$B$19,NA(),IFERROR(SUMIFS(Data!$AN$2:$AN$1105,Data!$AK$2:$AK$1105,1,Data!$L$2:$L$1105,$A$65)/$B$65,NA())))</f>
        <v/>
      </c>
      <c r="H65" s="62">
        <f>IF($A$65="",NA(),IF(COUNTIFS(Data!$AK$2:$AK$1105,1,Data!$L$2:$L$1105,$A$65)&lt;Controls!$B$19,NA(),IFERROR(SUMIFS(Data!$S$2:$S$1105,Data!$AK$2:$AK$1105,1,Data!$L$2:$L$1105,$A$65,Data!$AH$2:$AH$1105,1)/SUMIFS(Data!$P$2:$P$1105,Data!$AK$2:$AK$1105,1,Data!$L$2:$L$1105,$A$65,Data!$AH$2:$AH$1105,1),NA())))</f>
        <v/>
      </c>
      <c r="I65" s="62">
        <f>IF(ISNA($J$65),NA(),IF($J$65&lt;Controls!$B$19,NA(),IFERROR($D$65/$B$65,NA())))</f>
        <v/>
      </c>
      <c r="J65" s="67">
        <f>IF($A$65="",NA(),IFERROR(COUNTIFS(Data!$AK$2:$AK$1105,1,Data!$L$2:$L$1105,$A$65),NA()))</f>
        <v/>
      </c>
      <c r="K65" s="62">
        <f>IF(ISNA($B$65),NA(),IFERROR($B$65/Calc!$BT$6,NA()))</f>
        <v/>
      </c>
      <c r="L65" s="66">
        <f>IF(ISNA($J$65),NA(),IF($J$65&lt;Controls!$B$19,NA(),IFERROR($B$65/$J$65,NA())))</f>
        <v/>
      </c>
      <c r="M65" s="67">
        <f>IF($A$65="",NA(),IF(COUNTIFS(Data!$AK$2:$AK$1105,1,Data!$L$2:$L$1105,$A$65)&lt;Controls!$B$19,NA(),IFERROR(AVERAGEIFS(Data!$AE$2:$AE$1105,Data!$AK$2:$AK$1105,1,Data!$L$2:$L$1105,$A$65),NA())))</f>
        <v/>
      </c>
      <c r="N65" s="67">
        <f>IF($A$65="",NA(),IF(COUNTIFS(Data!$AK$2:$AK$1105,1,Data!$L$2:$L$1105,$A$65)&lt;Controls!$B$19,NA(),IFERROR(AVERAGEIFS(Data!$AD$2:$AD$1105,Data!$AK$2:$AK$1105,1,Data!$L$2:$L$1105,$A$65),NA())))</f>
        <v/>
      </c>
      <c r="O65" s="67">
        <f>IF($A$65="",NA(),IF(COUNTIFS(Data!$AK$2:$AK$1105,1,Data!$L$2:$L$1105,$A$65)&lt;Controls!$B$19,NA(),IFERROR(AVERAGEIFS(Data!$AS$2:$AS$1105,Data!$AK$2:$AK$1105,1,Data!$L$2:$L$1105,$A$65),NA())))</f>
        <v/>
      </c>
      <c r="P65" s="67">
        <f>IF($A$65="",NA(),IF(COUNTIFS(Data!$AK$2:$AK$1105,1,Data!$L$2:$L$1105,$A$65)&lt;Controls!$B$19,NA(),IFERROR(AVERAGEIFS(Data!$AT$2:$AT$1105,Data!$AK$2:$AK$1105,1,Data!$L$2:$L$1105,$A$65),NA())))</f>
        <v/>
      </c>
      <c r="Q65" s="62">
        <f>IF($A$65="",NA(),IF(COUNTIFS(Data!$AK$2:$AK$1105,1,Data!$L$2:$L$1105,$A$65)&lt;Controls!$B$19,NA(),IFERROR(COUNTIFS(Data!$AK$2:$AK$1105,1,Data!$L$2:$L$1105,$A$65,Data!$N$2:$N$1105,"Renewal")/COUNTIFS(Data!$AK$2:$AK$1105,1,Data!$L$2:$L$1105,$A$65),NA())))</f>
        <v/>
      </c>
      <c r="R65" s="62">
        <f>IF($A$65="",NA(),IF(COUNTIFS(Data!$AK$2:$AK$1105,1,Data!$L$2:$L$1105,$A$65)&lt;Controls!$B$19,NA(),IFERROR(SUMIFS(Data!$P$2:$P$1105,Data!$AK$2:$AK$1105,1,Data!$L$2:$L$1105,$A$65,Data!$N$2:$N$1105,"Renewal")/SUMIFS(Data!$P$2:$P$1105,Data!$AK$2:$AK$1105,1,Data!$L$2:$L$1105,$A$65),NA())))</f>
        <v/>
      </c>
      <c r="S65" s="62">
        <f>IF($A$65="",NA(),Calc!$BT$2)</f>
        <v/>
      </c>
      <c r="T65" s="62">
        <f>IF($A$65="",NA(),Calc!$BT$3)</f>
        <v/>
      </c>
      <c r="U65" s="62">
        <f>IF($A$65="",NA(),Calc!$BT$4)</f>
        <v/>
      </c>
      <c r="V65" s="62">
        <f>IF($A$65="",NA(),IF(COUNTIFS(Data!$AK$2:$AK$1105,1,Data!$L$2:$L$1105,$A$65)&lt;Controls!$B$19,NA(),IFERROR(COUNTIFS(Data!$AK$2:$AK$1105,1,Data!$L$2:$L$1105,$A$65,Data!$AH$2:$AH$1105,1)/COUNTIFS(Data!$AK$2:$AK$1105,1,Data!$L$2:$L$1105,$A$65),NA())))</f>
        <v/>
      </c>
      <c r="W65" s="61">
        <f>IF($A$65="","",$A$65&amp;" ("&amp;$J$65&amp;")")</f>
        <v/>
      </c>
      <c r="X65" s="61" t="n"/>
      <c r="Y65" s="61" t="n"/>
      <c r="Z65" s="61" t="n"/>
      <c r="AA65" s="61" t="n"/>
      <c r="AB65" s="61" t="n"/>
      <c r="AC65" s="61" t="n"/>
      <c r="AD65" s="61" t="n"/>
      <c r="AE65" s="61" t="n"/>
      <c r="AF65" s="61" t="n"/>
      <c r="AG65" s="61" t="n"/>
      <c r="AH65" s="61" t="n"/>
      <c r="AI65" s="61" t="n"/>
      <c r="AJ65" s="61" t="n"/>
      <c r="AK65" s="61" t="n"/>
      <c r="AL65" s="61" t="n"/>
      <c r="AM65" s="61" t="n"/>
      <c r="AN65" s="61">
        <f>Controls!$A$101</f>
        <v/>
      </c>
      <c r="AO65" s="61">
        <f>COUNTIFS(Data!$AK$2:$AK$1105,1,Data!$AY$2:$AY$1105,$AN$65)</f>
        <v/>
      </c>
      <c r="AP65" s="57">
        <f>SUMIFS(Data!$P$2:$P$1105,Data!$AK$2:$AK$1105,1,Data!$AY$2:$AY$1105,$AN$65)</f>
        <v/>
      </c>
      <c r="AQ65" s="56">
        <f>IFERROR(SUMIFS(Data!$AN$2:$AN$1105,Data!$AK$2:$AK$1105,1,Data!$AY$2:$AY$1105,$AN$65)/$AP$65,0)</f>
        <v/>
      </c>
      <c r="AR65" s="57">
        <f>SUMIFS(Data!$AN$2:$AN$1105,Data!$AK$2:$AK$1105,1,Data!$AY$2:$AY$1105,$AN$65)</f>
        <v/>
      </c>
      <c r="AS65" s="61">
        <f>Controls!$B$101</f>
        <v/>
      </c>
      <c r="AT65" s="57">
        <f>IF(OR(AO65=0,AO65&lt;Controls!$B$20),-1000000000000000,IF(AND(Controls!$B$21="Y",$AN$65="No SIC"),-1000000000000000,IF(Controls!$B$17="Selected only",IF(AS65="Y",AP65,-1000000000000000),IF(Controls!$B$17="Top by funded $",AP65,IF(Controls!$B$17="Top by funded units",AO65,IF(Controls!$B$17="Largest principal lost $",AR65,IF(Controls!$B$17="Highest net profit $",AU65,IF(AO65&lt;Controls!$B$19,-1000000000000000,IF(Controls!$B$17="Highest principal lost rate %",AQ65,IF(Controls!$B$17="Lowest principal lost rate %",1-AQ65,AP65))))))))) +62/1000000)</f>
        <v/>
      </c>
      <c r="AU65" s="57">
        <f>SUMIFS(Data!$AM$2:$AM$1105,Data!$AK$2:$AK$1105,1,Data!$AY$2:$AY$1105,$AN$65)</f>
        <v/>
      </c>
      <c r="AV65" s="61" t="n"/>
      <c r="AW65" s="61" t="n"/>
      <c r="AX65" s="61" t="n"/>
      <c r="AY65" s="61" t="n"/>
      <c r="AZ65" s="61" t="n"/>
      <c r="BA65" s="61" t="n"/>
      <c r="BB65" s="61">
        <f>Controls!$A$101</f>
        <v/>
      </c>
      <c r="BC65" s="61">
        <f>COUNTIFS(Data!$AK$2:$AK$1105,1,Data!$AY$2:$AY$1105,$BB$65)</f>
        <v/>
      </c>
      <c r="BD65" s="57">
        <f>SUMIFS(Data!$P$2:$P$1105,Data!$AK$2:$AK$1105,1,Data!$AY$2:$AY$1105,$BB$65)</f>
        <v/>
      </c>
      <c r="BE65" s="56">
        <f>IF(COUNTIFS(Data!$AK$2:$AK$1105,1,Data!$AY$2:$AY$1105,$BB$65)&lt;Controls!$B$19,"",IFERROR(SUMIFS(Data!$AN$2:$AN$1105,Data!$AK$2:$AK$1105,1,Data!$AY$2:$AY$1105,$BB$65)/$BD$65,""))</f>
        <v/>
      </c>
      <c r="BF65" s="56">
        <f>IF(COUNTIFS(Data!$AK$2:$AK$1105,1,Data!$AY$2:$AY$1105,$BB$65)&lt;Controls!$B$19,"",IFERROR(SUMIFS(Data!$AM$2:$AM$1105,Data!$AK$2:$AK$1105,1,Data!$AY$2:$AY$1105,$BB$65)/SUMIFS(Data!$P$2:$P$1105,Data!$AK$2:$AK$1105,1,Data!$AY$2:$AY$1105,$BB$65),""))</f>
        <v/>
      </c>
      <c r="BG65" s="57">
        <f>SUMIFS(Data!$AN$2:$AN$1105,Data!$AK$2:$AK$1105,1,Data!$AY$2:$AY$1105,$BB$65)</f>
        <v/>
      </c>
      <c r="BH65" s="61" t="n"/>
      <c r="BI65" s="61" t="n"/>
      <c r="BJ65" s="61" t="n"/>
      <c r="BK65" s="56">
        <f>IF($BC$65&lt;Controls!$B$22,"",$BE$65)</f>
        <v/>
      </c>
      <c r="BL65" s="56">
        <f>IF($BC$65&lt;Controls!$B$22,"",$BF$65)</f>
        <v/>
      </c>
      <c r="BM65" s="57">
        <f>IF($BC$65&lt;Controls!$B$22,"",$BG$65)</f>
        <v/>
      </c>
      <c r="BN65" s="61" t="n"/>
      <c r="BO65" s="61" t="n"/>
      <c r="BP65" s="61" t="n"/>
      <c r="BQ65" s="61" t="n"/>
      <c r="BR65" s="61" t="n"/>
      <c r="BS65" s="61" t="n"/>
      <c r="BT65" s="61" t="n"/>
    </row>
    <row r="66" ht="15.75" customHeight="1" s="79">
      <c r="A66" s="61">
        <f t="array" ref="A66">IFERROR(IF(28&gt;Controls!$B$18,"",IF(LARGE(Calc!$AT$81:$AT$130,28)&lt;-100000000000000,"",INDEX(Calc!$AN$81:$AN$130,MATCH(LARGE(Calc!$AT$81:$AT$130,28),Calc!$AT$81:$AT$130,0)))),"")</f>
        <v/>
      </c>
      <c r="B66" s="66">
        <f>IF($A$66="",NA(),IFERROR(SUMIFS(Data!$P$2:$P$1105,Data!$AK$2:$AK$1105,1,Data!$L$2:$L$1105,$A$66),NA()))</f>
        <v/>
      </c>
      <c r="C66" s="66">
        <f>IF($A$66="",NA(),IFERROR(SUMIFS(Data!$S$2:$S$1105,Data!$AK$2:$AK$1105,1,Data!$L$2:$L$1105,$A$66),NA()))</f>
        <v/>
      </c>
      <c r="D66" s="66">
        <f>IF(ISNA($B$66),NA(),$C$66-$B$66)</f>
        <v/>
      </c>
      <c r="E66" s="66">
        <f>IF($A$66="",NA(),IFERROR(SUMIFS(Data!$Q$2:$Q$1105,Data!$AK$2:$AK$1105,1,Data!$L$2:$L$1105,$A$66),NA()))</f>
        <v/>
      </c>
      <c r="F66" s="66">
        <f>IF($A$66="",NA(),IFERROR(SUMIFS(Data!$AN$2:$AN$1105,Data!$AK$2:$AK$1105,1,Data!$L$2:$L$1105,$A$66),NA()))</f>
        <v/>
      </c>
      <c r="G66" s="62">
        <f>IF($A$66="",NA(),IF(COUNTIFS(Data!$AK$2:$AK$1105,1,Data!$L$2:$L$1105,$A$66)&lt;Controls!$B$19,NA(),IFERROR(SUMIFS(Data!$AN$2:$AN$1105,Data!$AK$2:$AK$1105,1,Data!$L$2:$L$1105,$A$66)/$B$66,NA())))</f>
        <v/>
      </c>
      <c r="H66" s="62">
        <f>IF($A$66="",NA(),IF(COUNTIFS(Data!$AK$2:$AK$1105,1,Data!$L$2:$L$1105,$A$66)&lt;Controls!$B$19,NA(),IFERROR(SUMIFS(Data!$S$2:$S$1105,Data!$AK$2:$AK$1105,1,Data!$L$2:$L$1105,$A$66,Data!$AH$2:$AH$1105,1)/SUMIFS(Data!$P$2:$P$1105,Data!$AK$2:$AK$1105,1,Data!$L$2:$L$1105,$A$66,Data!$AH$2:$AH$1105,1),NA())))</f>
        <v/>
      </c>
      <c r="I66" s="62">
        <f>IF(ISNA($J$66),NA(),IF($J$66&lt;Controls!$B$19,NA(),IFERROR($D$66/$B$66,NA())))</f>
        <v/>
      </c>
      <c r="J66" s="67">
        <f>IF($A$66="",NA(),IFERROR(COUNTIFS(Data!$AK$2:$AK$1105,1,Data!$L$2:$L$1105,$A$66),NA()))</f>
        <v/>
      </c>
      <c r="K66" s="62">
        <f>IF(ISNA($B$66),NA(),IFERROR($B$66/Calc!$BT$6,NA()))</f>
        <v/>
      </c>
      <c r="L66" s="66">
        <f>IF(ISNA($J$66),NA(),IF($J$66&lt;Controls!$B$19,NA(),IFERROR($B$66/$J$66,NA())))</f>
        <v/>
      </c>
      <c r="M66" s="67">
        <f>IF($A$66="",NA(),IF(COUNTIFS(Data!$AK$2:$AK$1105,1,Data!$L$2:$L$1105,$A$66)&lt;Controls!$B$19,NA(),IFERROR(AVERAGEIFS(Data!$AE$2:$AE$1105,Data!$AK$2:$AK$1105,1,Data!$L$2:$L$1105,$A$66),NA())))</f>
        <v/>
      </c>
      <c r="N66" s="67">
        <f>IF($A$66="",NA(),IF(COUNTIFS(Data!$AK$2:$AK$1105,1,Data!$L$2:$L$1105,$A$66)&lt;Controls!$B$19,NA(),IFERROR(AVERAGEIFS(Data!$AD$2:$AD$1105,Data!$AK$2:$AK$1105,1,Data!$L$2:$L$1105,$A$66),NA())))</f>
        <v/>
      </c>
      <c r="O66" s="67">
        <f>IF($A$66="",NA(),IF(COUNTIFS(Data!$AK$2:$AK$1105,1,Data!$L$2:$L$1105,$A$66)&lt;Controls!$B$19,NA(),IFERROR(AVERAGEIFS(Data!$AS$2:$AS$1105,Data!$AK$2:$AK$1105,1,Data!$L$2:$L$1105,$A$66),NA())))</f>
        <v/>
      </c>
      <c r="P66" s="67">
        <f>IF($A$66="",NA(),IF(COUNTIFS(Data!$AK$2:$AK$1105,1,Data!$L$2:$L$1105,$A$66)&lt;Controls!$B$19,NA(),IFERROR(AVERAGEIFS(Data!$AT$2:$AT$1105,Data!$AK$2:$AK$1105,1,Data!$L$2:$L$1105,$A$66),NA())))</f>
        <v/>
      </c>
      <c r="Q66" s="62">
        <f>IF($A$66="",NA(),IF(COUNTIFS(Data!$AK$2:$AK$1105,1,Data!$L$2:$L$1105,$A$66)&lt;Controls!$B$19,NA(),IFERROR(COUNTIFS(Data!$AK$2:$AK$1105,1,Data!$L$2:$L$1105,$A$66,Data!$N$2:$N$1105,"Renewal")/COUNTIFS(Data!$AK$2:$AK$1105,1,Data!$L$2:$L$1105,$A$66),NA())))</f>
        <v/>
      </c>
      <c r="R66" s="62">
        <f>IF($A$66="",NA(),IF(COUNTIFS(Data!$AK$2:$AK$1105,1,Data!$L$2:$L$1105,$A$66)&lt;Controls!$B$19,NA(),IFERROR(SUMIFS(Data!$P$2:$P$1105,Data!$AK$2:$AK$1105,1,Data!$L$2:$L$1105,$A$66,Data!$N$2:$N$1105,"Renewal")/SUMIFS(Data!$P$2:$P$1105,Data!$AK$2:$AK$1105,1,Data!$L$2:$L$1105,$A$66),NA())))</f>
        <v/>
      </c>
      <c r="S66" s="62">
        <f>IF($A$66="",NA(),Calc!$BT$2)</f>
        <v/>
      </c>
      <c r="T66" s="62">
        <f>IF($A$66="",NA(),Calc!$BT$3)</f>
        <v/>
      </c>
      <c r="U66" s="62">
        <f>IF($A$66="",NA(),Calc!$BT$4)</f>
        <v/>
      </c>
      <c r="V66" s="62">
        <f>IF($A$66="",NA(),IF(COUNTIFS(Data!$AK$2:$AK$1105,1,Data!$L$2:$L$1105,$A$66)&lt;Controls!$B$19,NA(),IFERROR(COUNTIFS(Data!$AK$2:$AK$1105,1,Data!$L$2:$L$1105,$A$66,Data!$AH$2:$AH$1105,1)/COUNTIFS(Data!$AK$2:$AK$1105,1,Data!$L$2:$L$1105,$A$66),NA())))</f>
        <v/>
      </c>
      <c r="W66" s="61">
        <f>IF($A$66="","",$A$66&amp;" ("&amp;$J$66&amp;")")</f>
        <v/>
      </c>
      <c r="X66" s="61" t="n"/>
      <c r="Y66" s="61" t="n"/>
      <c r="Z66" s="61" t="n"/>
      <c r="AA66" s="61" t="n"/>
      <c r="AB66" s="61" t="n"/>
      <c r="AC66" s="61" t="n"/>
      <c r="AD66" s="61" t="n"/>
      <c r="AE66" s="61" t="n"/>
      <c r="AF66" s="61" t="n"/>
      <c r="AG66" s="61" t="n"/>
      <c r="AH66" s="61" t="n"/>
      <c r="AI66" s="61" t="n"/>
      <c r="AJ66" s="61" t="n"/>
      <c r="AK66" s="61" t="n"/>
      <c r="AL66" s="61" t="n"/>
      <c r="AM66" s="61" t="n"/>
      <c r="AN66" s="61">
        <f>Controls!$A$102</f>
        <v/>
      </c>
      <c r="AO66" s="61">
        <f>COUNTIFS(Data!$AK$2:$AK$1105,1,Data!$AY$2:$AY$1105,$AN$66)</f>
        <v/>
      </c>
      <c r="AP66" s="57">
        <f>SUMIFS(Data!$P$2:$P$1105,Data!$AK$2:$AK$1105,1,Data!$AY$2:$AY$1105,$AN$66)</f>
        <v/>
      </c>
      <c r="AQ66" s="56">
        <f>IFERROR(SUMIFS(Data!$AN$2:$AN$1105,Data!$AK$2:$AK$1105,1,Data!$AY$2:$AY$1105,$AN$66)/$AP$66,0)</f>
        <v/>
      </c>
      <c r="AR66" s="57">
        <f>SUMIFS(Data!$AN$2:$AN$1105,Data!$AK$2:$AK$1105,1,Data!$AY$2:$AY$1105,$AN$66)</f>
        <v/>
      </c>
      <c r="AS66" s="61">
        <f>Controls!$B$102</f>
        <v/>
      </c>
      <c r="AT66" s="61">
        <f>IF(OR(AO66=0,AO66&lt;Controls!$B$20),-1000000000000000,IF(AND(Controls!$B$21="Y",$AN$66="No SIC"),-1000000000000000,IF(Controls!$B$17="Selected only",IF(AS66="Y",AP66,-1000000000000000),IF(Controls!$B$17="Top by funded $",AP66,IF(Controls!$B$17="Top by funded units",AO66,IF(Controls!$B$17="Largest principal lost $",AR66,IF(Controls!$B$17="Highest net profit $",AU66,IF(AO66&lt;Controls!$B$19,-1000000000000000,IF(Controls!$B$17="Highest principal lost rate %",AQ66,IF(Controls!$B$17="Lowest principal lost rate %",1-AQ66,AP66))))))))) +63/1000000)</f>
        <v/>
      </c>
      <c r="AU66" s="57">
        <f>SUMIFS(Data!$AM$2:$AM$1105,Data!$AK$2:$AK$1105,1,Data!$AY$2:$AY$1105,$AN$66)</f>
        <v/>
      </c>
      <c r="AV66" s="61" t="n"/>
      <c r="AW66" s="61" t="n"/>
      <c r="AX66" s="61" t="n"/>
      <c r="AY66" s="61" t="n"/>
      <c r="AZ66" s="61" t="n"/>
      <c r="BA66" s="61" t="n"/>
      <c r="BB66" s="61">
        <f>Controls!$A$102</f>
        <v/>
      </c>
      <c r="BC66" s="61">
        <f>COUNTIFS(Data!$AK$2:$AK$1105,1,Data!$AY$2:$AY$1105,$BB$66)</f>
        <v/>
      </c>
      <c r="BD66" s="57">
        <f>SUMIFS(Data!$P$2:$P$1105,Data!$AK$2:$AK$1105,1,Data!$AY$2:$AY$1105,$BB$66)</f>
        <v/>
      </c>
      <c r="BE66" s="56">
        <f>IF(COUNTIFS(Data!$AK$2:$AK$1105,1,Data!$AY$2:$AY$1105,$BB$66)&lt;Controls!$B$19,"",IFERROR(SUMIFS(Data!$AN$2:$AN$1105,Data!$AK$2:$AK$1105,1,Data!$AY$2:$AY$1105,$BB$66)/$BD$66,""))</f>
        <v/>
      </c>
      <c r="BF66" s="56">
        <f>IF(COUNTIFS(Data!$AK$2:$AK$1105,1,Data!$AY$2:$AY$1105,$BB$66)&lt;Controls!$B$19,"",IFERROR(SUMIFS(Data!$AM$2:$AM$1105,Data!$AK$2:$AK$1105,1,Data!$AY$2:$AY$1105,$BB$66)/SUMIFS(Data!$P$2:$P$1105,Data!$AK$2:$AK$1105,1,Data!$AY$2:$AY$1105,$BB$66),""))</f>
        <v/>
      </c>
      <c r="BG66" s="57">
        <f>SUMIFS(Data!$AN$2:$AN$1105,Data!$AK$2:$AK$1105,1,Data!$AY$2:$AY$1105,$BB$66)</f>
        <v/>
      </c>
      <c r="BH66" s="61" t="n"/>
      <c r="BI66" s="61" t="n"/>
      <c r="BJ66" s="61" t="n"/>
      <c r="BK66" s="61">
        <f>IF($BC$66&lt;Controls!$B$22,"",$BE$66)</f>
        <v/>
      </c>
      <c r="BL66" s="61">
        <f>IF($BC$66&lt;Controls!$B$22,"",$BF$66)</f>
        <v/>
      </c>
      <c r="BM66" s="61">
        <f>IF($BC$66&lt;Controls!$B$22,"",$BG$66)</f>
        <v/>
      </c>
      <c r="BN66" s="61" t="n"/>
      <c r="BO66" s="61" t="n"/>
      <c r="BP66" s="61" t="n"/>
      <c r="BQ66" s="61" t="n"/>
      <c r="BR66" s="61" t="n"/>
      <c r="BS66" s="61" t="n"/>
      <c r="BT66" s="61" t="n"/>
    </row>
    <row r="67" ht="15.75" customHeight="1" s="79">
      <c r="A67" s="61">
        <f t="array" ref="A67">IFERROR(IF(29&gt;Controls!$B$18,"",IF(LARGE(Calc!$AT$81:$AT$130,29)&lt;-100000000000000,"",INDEX(Calc!$AN$81:$AN$130,MATCH(LARGE(Calc!$AT$81:$AT$130,29),Calc!$AT$81:$AT$130,0)))),"")</f>
        <v/>
      </c>
      <c r="B67" s="66">
        <f>IF($A$67="",NA(),IFERROR(SUMIFS(Data!$P$2:$P$1105,Data!$AK$2:$AK$1105,1,Data!$L$2:$L$1105,$A$67),NA()))</f>
        <v/>
      </c>
      <c r="C67" s="66">
        <f>IF($A$67="",NA(),IFERROR(SUMIFS(Data!$S$2:$S$1105,Data!$AK$2:$AK$1105,1,Data!$L$2:$L$1105,$A$67),NA()))</f>
        <v/>
      </c>
      <c r="D67" s="66">
        <f>IF(ISNA($B$67),NA(),$C$67-$B$67)</f>
        <v/>
      </c>
      <c r="E67" s="66">
        <f>IF($A$67="",NA(),IFERROR(SUMIFS(Data!$Q$2:$Q$1105,Data!$AK$2:$AK$1105,1,Data!$L$2:$L$1105,$A$67),NA()))</f>
        <v/>
      </c>
      <c r="F67" s="66">
        <f>IF($A$67="",NA(),IFERROR(SUMIFS(Data!$AN$2:$AN$1105,Data!$AK$2:$AK$1105,1,Data!$L$2:$L$1105,$A$67),NA()))</f>
        <v/>
      </c>
      <c r="G67" s="62">
        <f>IF($A$67="",NA(),IF(COUNTIFS(Data!$AK$2:$AK$1105,1,Data!$L$2:$L$1105,$A$67)&lt;Controls!$B$19,NA(),IFERROR(SUMIFS(Data!$AN$2:$AN$1105,Data!$AK$2:$AK$1105,1,Data!$L$2:$L$1105,$A$67)/$B$67,NA())))</f>
        <v/>
      </c>
      <c r="H67" s="62">
        <f>IF($A$67="",NA(),IF(COUNTIFS(Data!$AK$2:$AK$1105,1,Data!$L$2:$L$1105,$A$67)&lt;Controls!$B$19,NA(),IFERROR(SUMIFS(Data!$S$2:$S$1105,Data!$AK$2:$AK$1105,1,Data!$L$2:$L$1105,$A$67,Data!$AH$2:$AH$1105,1)/SUMIFS(Data!$P$2:$P$1105,Data!$AK$2:$AK$1105,1,Data!$L$2:$L$1105,$A$67,Data!$AH$2:$AH$1105,1),NA())))</f>
        <v/>
      </c>
      <c r="I67" s="62">
        <f>IF(ISNA($J$67),NA(),IF($J$67&lt;Controls!$B$19,NA(),IFERROR($D$67/$B$67,NA())))</f>
        <v/>
      </c>
      <c r="J67" s="67">
        <f>IF($A$67="",NA(),IFERROR(COUNTIFS(Data!$AK$2:$AK$1105,1,Data!$L$2:$L$1105,$A$67),NA()))</f>
        <v/>
      </c>
      <c r="K67" s="62">
        <f>IF(ISNA($B$67),NA(),IFERROR($B$67/Calc!$BT$6,NA()))</f>
        <v/>
      </c>
      <c r="L67" s="66">
        <f>IF(ISNA($J$67),NA(),IF($J$67&lt;Controls!$B$19,NA(),IFERROR($B$67/$J$67,NA())))</f>
        <v/>
      </c>
      <c r="M67" s="67">
        <f>IF($A$67="",NA(),IF(COUNTIFS(Data!$AK$2:$AK$1105,1,Data!$L$2:$L$1105,$A$67)&lt;Controls!$B$19,NA(),IFERROR(AVERAGEIFS(Data!$AE$2:$AE$1105,Data!$AK$2:$AK$1105,1,Data!$L$2:$L$1105,$A$67),NA())))</f>
        <v/>
      </c>
      <c r="N67" s="67">
        <f>IF($A$67="",NA(),IF(COUNTIFS(Data!$AK$2:$AK$1105,1,Data!$L$2:$L$1105,$A$67)&lt;Controls!$B$19,NA(),IFERROR(AVERAGEIFS(Data!$AD$2:$AD$1105,Data!$AK$2:$AK$1105,1,Data!$L$2:$L$1105,$A$67),NA())))</f>
        <v/>
      </c>
      <c r="O67" s="67">
        <f>IF($A$67="",NA(),IF(COUNTIFS(Data!$AK$2:$AK$1105,1,Data!$L$2:$L$1105,$A$67)&lt;Controls!$B$19,NA(),IFERROR(AVERAGEIFS(Data!$AS$2:$AS$1105,Data!$AK$2:$AK$1105,1,Data!$L$2:$L$1105,$A$67),NA())))</f>
        <v/>
      </c>
      <c r="P67" s="67">
        <f>IF($A$67="",NA(),IF(COUNTIFS(Data!$AK$2:$AK$1105,1,Data!$L$2:$L$1105,$A$67)&lt;Controls!$B$19,NA(),IFERROR(AVERAGEIFS(Data!$AT$2:$AT$1105,Data!$AK$2:$AK$1105,1,Data!$L$2:$L$1105,$A$67),NA())))</f>
        <v/>
      </c>
      <c r="Q67" s="62">
        <f>IF($A$67="",NA(),IF(COUNTIFS(Data!$AK$2:$AK$1105,1,Data!$L$2:$L$1105,$A$67)&lt;Controls!$B$19,NA(),IFERROR(COUNTIFS(Data!$AK$2:$AK$1105,1,Data!$L$2:$L$1105,$A$67,Data!$N$2:$N$1105,"Renewal")/COUNTIFS(Data!$AK$2:$AK$1105,1,Data!$L$2:$L$1105,$A$67),NA())))</f>
        <v/>
      </c>
      <c r="R67" s="62">
        <f>IF($A$67="",NA(),IF(COUNTIFS(Data!$AK$2:$AK$1105,1,Data!$L$2:$L$1105,$A$67)&lt;Controls!$B$19,NA(),IFERROR(SUMIFS(Data!$P$2:$P$1105,Data!$AK$2:$AK$1105,1,Data!$L$2:$L$1105,$A$67,Data!$N$2:$N$1105,"Renewal")/SUMIFS(Data!$P$2:$P$1105,Data!$AK$2:$AK$1105,1,Data!$L$2:$L$1105,$A$67),NA())))</f>
        <v/>
      </c>
      <c r="S67" s="62">
        <f>IF($A$67="",NA(),Calc!$BT$2)</f>
        <v/>
      </c>
      <c r="T67" s="62">
        <f>IF($A$67="",NA(),Calc!$BT$3)</f>
        <v/>
      </c>
      <c r="U67" s="62">
        <f>IF($A$67="",NA(),Calc!$BT$4)</f>
        <v/>
      </c>
      <c r="V67" s="62">
        <f>IF($A$67="",NA(),IF(COUNTIFS(Data!$AK$2:$AK$1105,1,Data!$L$2:$L$1105,$A$67)&lt;Controls!$B$19,NA(),IFERROR(COUNTIFS(Data!$AK$2:$AK$1105,1,Data!$L$2:$L$1105,$A$67,Data!$AH$2:$AH$1105,1)/COUNTIFS(Data!$AK$2:$AK$1105,1,Data!$L$2:$L$1105,$A$67),NA())))</f>
        <v/>
      </c>
      <c r="W67" s="61">
        <f>IF($A$67="","",$A$67&amp;" ("&amp;$J$67&amp;")")</f>
        <v/>
      </c>
      <c r="X67" s="61" t="n"/>
      <c r="Y67" s="61" t="n"/>
      <c r="Z67" s="61" t="n"/>
      <c r="AA67" s="61" t="n"/>
      <c r="AB67" s="61" t="n"/>
      <c r="AC67" s="61" t="n"/>
      <c r="AD67" s="61" t="n"/>
      <c r="AE67" s="61" t="n"/>
      <c r="AF67" s="61" t="n"/>
      <c r="AG67" s="61" t="n"/>
      <c r="AH67" s="61" t="n"/>
      <c r="AI67" s="61" t="n"/>
      <c r="AJ67" s="61" t="n"/>
      <c r="AK67" s="61" t="n"/>
      <c r="AL67" s="61" t="n"/>
      <c r="AM67" s="61" t="n"/>
      <c r="AN67" s="61">
        <f>Controls!$A$103</f>
        <v/>
      </c>
      <c r="AO67" s="61">
        <f>COUNTIFS(Data!$AK$2:$AK$1105,1,Data!$AY$2:$AY$1105,$AN$67)</f>
        <v/>
      </c>
      <c r="AP67" s="57">
        <f>SUMIFS(Data!$P$2:$P$1105,Data!$AK$2:$AK$1105,1,Data!$AY$2:$AY$1105,$AN$67)</f>
        <v/>
      </c>
      <c r="AQ67" s="56">
        <f>IFERROR(SUMIFS(Data!$AN$2:$AN$1105,Data!$AK$2:$AK$1105,1,Data!$AY$2:$AY$1105,$AN$67)/$AP$67,0)</f>
        <v/>
      </c>
      <c r="AR67" s="57">
        <f>SUMIFS(Data!$AN$2:$AN$1105,Data!$AK$2:$AK$1105,1,Data!$AY$2:$AY$1105,$AN$67)</f>
        <v/>
      </c>
      <c r="AS67" s="61">
        <f>Controls!$B$103</f>
        <v/>
      </c>
      <c r="AT67" s="61">
        <f>IF(OR(AO67=0,AO67&lt;Controls!$B$20),-1000000000000000,IF(AND(Controls!$B$21="Y",$AN$67="No SIC"),-1000000000000000,IF(Controls!$B$17="Selected only",IF(AS67="Y",AP67,-1000000000000000),IF(Controls!$B$17="Top by funded $",AP67,IF(Controls!$B$17="Top by funded units",AO67,IF(Controls!$B$17="Largest principal lost $",AR67,IF(Controls!$B$17="Highest net profit $",AU67,IF(AO67&lt;Controls!$B$19,-1000000000000000,IF(Controls!$B$17="Highest principal lost rate %",AQ67,IF(Controls!$B$17="Lowest principal lost rate %",1-AQ67,AP67))))))))) +64/1000000)</f>
        <v/>
      </c>
      <c r="AU67" s="57">
        <f>SUMIFS(Data!$AM$2:$AM$1105,Data!$AK$2:$AK$1105,1,Data!$AY$2:$AY$1105,$AN$67)</f>
        <v/>
      </c>
      <c r="AV67" s="61" t="n"/>
      <c r="AW67" s="61" t="n"/>
      <c r="AX67" s="61" t="n"/>
      <c r="AY67" s="61" t="n"/>
      <c r="AZ67" s="61" t="n"/>
      <c r="BA67" s="61" t="n"/>
      <c r="BB67" s="61">
        <f>Controls!$A$103</f>
        <v/>
      </c>
      <c r="BC67" s="61">
        <f>COUNTIFS(Data!$AK$2:$AK$1105,1,Data!$AY$2:$AY$1105,$BB$67)</f>
        <v/>
      </c>
      <c r="BD67" s="57">
        <f>SUMIFS(Data!$P$2:$P$1105,Data!$AK$2:$AK$1105,1,Data!$AY$2:$AY$1105,$BB$67)</f>
        <v/>
      </c>
      <c r="BE67" s="56">
        <f>IF(COUNTIFS(Data!$AK$2:$AK$1105,1,Data!$AY$2:$AY$1105,$BB$67)&lt;Controls!$B$19,"",IFERROR(SUMIFS(Data!$AN$2:$AN$1105,Data!$AK$2:$AK$1105,1,Data!$AY$2:$AY$1105,$BB$67)/$BD$67,""))</f>
        <v/>
      </c>
      <c r="BF67" s="56">
        <f>IF(COUNTIFS(Data!$AK$2:$AK$1105,1,Data!$AY$2:$AY$1105,$BB$67)&lt;Controls!$B$19,"",IFERROR(SUMIFS(Data!$AM$2:$AM$1105,Data!$AK$2:$AK$1105,1,Data!$AY$2:$AY$1105,$BB$67)/SUMIFS(Data!$P$2:$P$1105,Data!$AK$2:$AK$1105,1,Data!$AY$2:$AY$1105,$BB$67),""))</f>
        <v/>
      </c>
      <c r="BG67" s="57">
        <f>SUMIFS(Data!$AN$2:$AN$1105,Data!$AK$2:$AK$1105,1,Data!$AY$2:$AY$1105,$BB$67)</f>
        <v/>
      </c>
      <c r="BH67" s="61" t="n"/>
      <c r="BI67" s="61" t="n"/>
      <c r="BJ67" s="61" t="n"/>
      <c r="BK67" s="56">
        <f>IF($BC$67&lt;Controls!$B$22,"",$BE$67)</f>
        <v/>
      </c>
      <c r="BL67" s="56">
        <f>IF($BC$67&lt;Controls!$B$22,"",$BF$67)</f>
        <v/>
      </c>
      <c r="BM67" s="57">
        <f>IF($BC$67&lt;Controls!$B$22,"",$BG$67)</f>
        <v/>
      </c>
      <c r="BN67" s="61" t="n"/>
      <c r="BO67" s="61" t="n"/>
      <c r="BP67" s="61" t="n"/>
      <c r="BQ67" s="61" t="n"/>
      <c r="BR67" s="61" t="n"/>
      <c r="BS67" s="61" t="n"/>
      <c r="BT67" s="61" t="n"/>
    </row>
    <row r="68" ht="15.75" customHeight="1" s="79">
      <c r="A68" s="61">
        <f t="array" ref="A68">IFERROR(IF(30&gt;Controls!$B$18,"",IF(LARGE(Calc!$AT$81:$AT$130,30)&lt;-100000000000000,"",INDEX(Calc!$AN$81:$AN$130,MATCH(LARGE(Calc!$AT$81:$AT$130,30),Calc!$AT$81:$AT$130,0)))),"")</f>
        <v/>
      </c>
      <c r="B68" s="66">
        <f>IF($A$68="",NA(),IFERROR(SUMIFS(Data!$P$2:$P$1105,Data!$AK$2:$AK$1105,1,Data!$L$2:$L$1105,$A$68),NA()))</f>
        <v/>
      </c>
      <c r="C68" s="66">
        <f>IF($A$68="",NA(),IFERROR(SUMIFS(Data!$S$2:$S$1105,Data!$AK$2:$AK$1105,1,Data!$L$2:$L$1105,$A$68),NA()))</f>
        <v/>
      </c>
      <c r="D68" s="66">
        <f>IF(ISNA($B$68),NA(),$C$68-$B$68)</f>
        <v/>
      </c>
      <c r="E68" s="66">
        <f>IF($A$68="",NA(),IFERROR(SUMIFS(Data!$Q$2:$Q$1105,Data!$AK$2:$AK$1105,1,Data!$L$2:$L$1105,$A$68),NA()))</f>
        <v/>
      </c>
      <c r="F68" s="66">
        <f>IF($A$68="",NA(),IFERROR(SUMIFS(Data!$AN$2:$AN$1105,Data!$AK$2:$AK$1105,1,Data!$L$2:$L$1105,$A$68),NA()))</f>
        <v/>
      </c>
      <c r="G68" s="62">
        <f>IF($A$68="",NA(),IF(COUNTIFS(Data!$AK$2:$AK$1105,1,Data!$L$2:$L$1105,$A$68)&lt;Controls!$B$19,NA(),IFERROR(SUMIFS(Data!$AN$2:$AN$1105,Data!$AK$2:$AK$1105,1,Data!$L$2:$L$1105,$A$68)/$B$68,NA())))</f>
        <v/>
      </c>
      <c r="H68" s="62">
        <f>IF($A$68="",NA(),IF(COUNTIFS(Data!$AK$2:$AK$1105,1,Data!$L$2:$L$1105,$A$68)&lt;Controls!$B$19,NA(),IFERROR(SUMIFS(Data!$S$2:$S$1105,Data!$AK$2:$AK$1105,1,Data!$L$2:$L$1105,$A$68,Data!$AH$2:$AH$1105,1)/SUMIFS(Data!$P$2:$P$1105,Data!$AK$2:$AK$1105,1,Data!$L$2:$L$1105,$A$68,Data!$AH$2:$AH$1105,1),NA())))</f>
        <v/>
      </c>
      <c r="I68" s="62">
        <f>IF(ISNA($J$68),NA(),IF($J$68&lt;Controls!$B$19,NA(),IFERROR($D$68/$B$68,NA())))</f>
        <v/>
      </c>
      <c r="J68" s="67">
        <f>IF($A$68="",NA(),IFERROR(COUNTIFS(Data!$AK$2:$AK$1105,1,Data!$L$2:$L$1105,$A$68),NA()))</f>
        <v/>
      </c>
      <c r="K68" s="62">
        <f>IF(ISNA($B$68),NA(),IFERROR($B$68/Calc!$BT$6,NA()))</f>
        <v/>
      </c>
      <c r="L68" s="66">
        <f>IF(ISNA($J$68),NA(),IF($J$68&lt;Controls!$B$19,NA(),IFERROR($B$68/$J$68,NA())))</f>
        <v/>
      </c>
      <c r="M68" s="67">
        <f>IF($A$68="",NA(),IF(COUNTIFS(Data!$AK$2:$AK$1105,1,Data!$L$2:$L$1105,$A$68)&lt;Controls!$B$19,NA(),IFERROR(AVERAGEIFS(Data!$AE$2:$AE$1105,Data!$AK$2:$AK$1105,1,Data!$L$2:$L$1105,$A$68),NA())))</f>
        <v/>
      </c>
      <c r="N68" s="67">
        <f>IF($A$68="",NA(),IF(COUNTIFS(Data!$AK$2:$AK$1105,1,Data!$L$2:$L$1105,$A$68)&lt;Controls!$B$19,NA(),IFERROR(AVERAGEIFS(Data!$AD$2:$AD$1105,Data!$AK$2:$AK$1105,1,Data!$L$2:$L$1105,$A$68),NA())))</f>
        <v/>
      </c>
      <c r="O68" s="67">
        <f>IF($A$68="",NA(),IF(COUNTIFS(Data!$AK$2:$AK$1105,1,Data!$L$2:$L$1105,$A$68)&lt;Controls!$B$19,NA(),IFERROR(AVERAGEIFS(Data!$AS$2:$AS$1105,Data!$AK$2:$AK$1105,1,Data!$L$2:$L$1105,$A$68),NA())))</f>
        <v/>
      </c>
      <c r="P68" s="67">
        <f>IF($A$68="",NA(),IF(COUNTIFS(Data!$AK$2:$AK$1105,1,Data!$L$2:$L$1105,$A$68)&lt;Controls!$B$19,NA(),IFERROR(AVERAGEIFS(Data!$AT$2:$AT$1105,Data!$AK$2:$AK$1105,1,Data!$L$2:$L$1105,$A$68),NA())))</f>
        <v/>
      </c>
      <c r="Q68" s="62">
        <f>IF($A$68="",NA(),IF(COUNTIFS(Data!$AK$2:$AK$1105,1,Data!$L$2:$L$1105,$A$68)&lt;Controls!$B$19,NA(),IFERROR(COUNTIFS(Data!$AK$2:$AK$1105,1,Data!$L$2:$L$1105,$A$68,Data!$N$2:$N$1105,"Renewal")/COUNTIFS(Data!$AK$2:$AK$1105,1,Data!$L$2:$L$1105,$A$68),NA())))</f>
        <v/>
      </c>
      <c r="R68" s="62">
        <f>IF($A$68="",NA(),IF(COUNTIFS(Data!$AK$2:$AK$1105,1,Data!$L$2:$L$1105,$A$68)&lt;Controls!$B$19,NA(),IFERROR(SUMIFS(Data!$P$2:$P$1105,Data!$AK$2:$AK$1105,1,Data!$L$2:$L$1105,$A$68,Data!$N$2:$N$1105,"Renewal")/SUMIFS(Data!$P$2:$P$1105,Data!$AK$2:$AK$1105,1,Data!$L$2:$L$1105,$A$68),NA())))</f>
        <v/>
      </c>
      <c r="S68" s="62">
        <f>IF($A$68="",NA(),Calc!$BT$2)</f>
        <v/>
      </c>
      <c r="T68" s="62">
        <f>IF($A$68="",NA(),Calc!$BT$3)</f>
        <v/>
      </c>
      <c r="U68" s="62">
        <f>IF($A$68="",NA(),Calc!$BT$4)</f>
        <v/>
      </c>
      <c r="V68" s="62">
        <f>IF($A$68="",NA(),IF(COUNTIFS(Data!$AK$2:$AK$1105,1,Data!$L$2:$L$1105,$A$68)&lt;Controls!$B$19,NA(),IFERROR(COUNTIFS(Data!$AK$2:$AK$1105,1,Data!$L$2:$L$1105,$A$68,Data!$AH$2:$AH$1105,1)/COUNTIFS(Data!$AK$2:$AK$1105,1,Data!$L$2:$L$1105,$A$68),NA())))</f>
        <v/>
      </c>
      <c r="W68" s="61">
        <f>IF($A$68="","",$A$68&amp;" ("&amp;$J$68&amp;")")</f>
        <v/>
      </c>
      <c r="X68" s="61" t="n"/>
      <c r="Y68" s="61" t="n"/>
      <c r="Z68" s="61" t="n"/>
      <c r="AA68" s="61" t="n"/>
      <c r="AB68" s="61" t="n"/>
      <c r="AC68" s="61" t="n"/>
      <c r="AD68" s="61" t="n"/>
      <c r="AE68" s="61" t="n"/>
      <c r="AF68" s="61" t="n"/>
      <c r="AG68" s="61" t="n"/>
      <c r="AH68" s="61" t="n"/>
      <c r="AI68" s="61" t="n"/>
      <c r="AJ68" s="61" t="n"/>
      <c r="AK68" s="61" t="n"/>
      <c r="AL68" s="61" t="n"/>
      <c r="AM68" s="61" t="n"/>
      <c r="AN68" s="61">
        <f>Controls!$A$104</f>
        <v/>
      </c>
      <c r="AO68" s="61">
        <f>COUNTIFS(Data!$AK$2:$AK$1105,1,Data!$AY$2:$AY$1105,$AN$68)</f>
        <v/>
      </c>
      <c r="AP68" s="57">
        <f>SUMIFS(Data!$P$2:$P$1105,Data!$AK$2:$AK$1105,1,Data!$AY$2:$AY$1105,$AN$68)</f>
        <v/>
      </c>
      <c r="AQ68" s="56">
        <f>IFERROR(SUMIFS(Data!$AN$2:$AN$1105,Data!$AK$2:$AK$1105,1,Data!$AY$2:$AY$1105,$AN$68)/$AP$68,0)</f>
        <v/>
      </c>
      <c r="AR68" s="57">
        <f>SUMIFS(Data!$AN$2:$AN$1105,Data!$AK$2:$AK$1105,1,Data!$AY$2:$AY$1105,$AN$68)</f>
        <v/>
      </c>
      <c r="AS68" s="61">
        <f>Controls!$B$104</f>
        <v/>
      </c>
      <c r="AT68" s="61">
        <f>IF(OR(AO68=0,AO68&lt;Controls!$B$20),-1000000000000000,IF(AND(Controls!$B$21="Y",$AN$68="No SIC"),-1000000000000000,IF(Controls!$B$17="Selected only",IF(AS68="Y",AP68,-1000000000000000),IF(Controls!$B$17="Top by funded $",AP68,IF(Controls!$B$17="Top by funded units",AO68,IF(Controls!$B$17="Largest principal lost $",AR68,IF(Controls!$B$17="Highest net profit $",AU68,IF(AO68&lt;Controls!$B$19,-1000000000000000,IF(Controls!$B$17="Highest principal lost rate %",AQ68,IF(Controls!$B$17="Lowest principal lost rate %",1-AQ68,AP68))))))))) +65/1000000)</f>
        <v/>
      </c>
      <c r="AU68" s="57">
        <f>SUMIFS(Data!$AM$2:$AM$1105,Data!$AK$2:$AK$1105,1,Data!$AY$2:$AY$1105,$AN$68)</f>
        <v/>
      </c>
      <c r="AV68" s="61" t="n"/>
      <c r="AW68" s="61" t="n"/>
      <c r="AX68" s="61" t="n"/>
      <c r="AY68" s="61" t="n"/>
      <c r="AZ68" s="61" t="n"/>
      <c r="BA68" s="61" t="n"/>
      <c r="BB68" s="61">
        <f>Controls!$A$104</f>
        <v/>
      </c>
      <c r="BC68" s="61">
        <f>COUNTIFS(Data!$AK$2:$AK$1105,1,Data!$AY$2:$AY$1105,$BB$68)</f>
        <v/>
      </c>
      <c r="BD68" s="57">
        <f>SUMIFS(Data!$P$2:$P$1105,Data!$AK$2:$AK$1105,1,Data!$AY$2:$AY$1105,$BB$68)</f>
        <v/>
      </c>
      <c r="BE68" s="56">
        <f>IF(COUNTIFS(Data!$AK$2:$AK$1105,1,Data!$AY$2:$AY$1105,$BB$68)&lt;Controls!$B$19,"",IFERROR(SUMIFS(Data!$AN$2:$AN$1105,Data!$AK$2:$AK$1105,1,Data!$AY$2:$AY$1105,$BB$68)/$BD$68,""))</f>
        <v/>
      </c>
      <c r="BF68" s="56">
        <f>IF(COUNTIFS(Data!$AK$2:$AK$1105,1,Data!$AY$2:$AY$1105,$BB$68)&lt;Controls!$B$19,"",IFERROR(SUMIFS(Data!$AM$2:$AM$1105,Data!$AK$2:$AK$1105,1,Data!$AY$2:$AY$1105,$BB$68)/SUMIFS(Data!$P$2:$P$1105,Data!$AK$2:$AK$1105,1,Data!$AY$2:$AY$1105,$BB$68),""))</f>
        <v/>
      </c>
      <c r="BG68" s="57">
        <f>SUMIFS(Data!$AN$2:$AN$1105,Data!$AK$2:$AK$1105,1,Data!$AY$2:$AY$1105,$BB$68)</f>
        <v/>
      </c>
      <c r="BH68" s="61" t="n"/>
      <c r="BI68" s="61" t="n"/>
      <c r="BJ68" s="61" t="n"/>
      <c r="BK68" s="56">
        <f>IF($BC$68&lt;Controls!$B$22,"",$BE$68)</f>
        <v/>
      </c>
      <c r="BL68" s="56">
        <f>IF($BC$68&lt;Controls!$B$22,"",$BF$68)</f>
        <v/>
      </c>
      <c r="BM68" s="57">
        <f>IF($BC$68&lt;Controls!$B$22,"",$BG$68)</f>
        <v/>
      </c>
      <c r="BN68" s="61" t="n"/>
      <c r="BO68" s="61" t="n"/>
      <c r="BP68" s="61" t="n"/>
      <c r="BQ68" s="61" t="n"/>
      <c r="BR68" s="61" t="n"/>
      <c r="BS68" s="61" t="n"/>
      <c r="BT68" s="61" t="n"/>
    </row>
    <row r="69" ht="15.75" customHeight="1" s="79">
      <c r="A69" s="61" t="n"/>
      <c r="B69" s="61" t="n"/>
      <c r="C69" s="61" t="n"/>
      <c r="D69" s="61" t="n"/>
      <c r="E69" s="61" t="n"/>
      <c r="F69" s="61" t="n"/>
      <c r="G69" s="61" t="n"/>
      <c r="H69" s="61" t="n"/>
      <c r="I69" s="61" t="n"/>
      <c r="J69" s="61" t="n"/>
      <c r="K69" s="61" t="n"/>
      <c r="L69" s="61" t="n"/>
      <c r="M69" s="61" t="n"/>
      <c r="N69" s="61" t="n"/>
      <c r="O69" s="61" t="n"/>
      <c r="P69" s="61" t="n"/>
      <c r="Q69" s="61" t="n"/>
      <c r="R69" s="61" t="n"/>
      <c r="S69" s="61" t="n"/>
      <c r="T69" s="61" t="n"/>
      <c r="U69" s="61" t="n"/>
      <c r="V69" s="61" t="n"/>
      <c r="W69" s="61" t="n"/>
      <c r="X69" s="61" t="n"/>
      <c r="Y69" s="61" t="n"/>
      <c r="Z69" s="61" t="n"/>
      <c r="AA69" s="61" t="n"/>
      <c r="AB69" s="61" t="n"/>
      <c r="AC69" s="61" t="n"/>
      <c r="AD69" s="61" t="n"/>
      <c r="AE69" s="61" t="n"/>
      <c r="AF69" s="61" t="n"/>
      <c r="AG69" s="61" t="n"/>
      <c r="AH69" s="61" t="n"/>
      <c r="AI69" s="61" t="n"/>
      <c r="AJ69" s="61" t="n"/>
      <c r="AK69" s="61" t="n"/>
      <c r="AL69" s="61" t="n"/>
      <c r="AM69" s="61" t="n"/>
      <c r="AN69" s="61" t="n"/>
      <c r="AO69" s="61" t="n"/>
      <c r="AP69" s="57" t="n"/>
      <c r="AQ69" s="56" t="n"/>
      <c r="AR69" s="57" t="n"/>
      <c r="AS69" s="61" t="n"/>
      <c r="AT69" s="61" t="n"/>
      <c r="AU69" s="57" t="n"/>
      <c r="AV69" s="61" t="n"/>
      <c r="AW69" s="61" t="n"/>
      <c r="AX69" s="61" t="n"/>
      <c r="AY69" s="61" t="n"/>
      <c r="AZ69" s="61" t="n"/>
      <c r="BA69" s="61" t="n"/>
      <c r="BB69" s="61" t="n"/>
      <c r="BC69" s="61" t="n"/>
      <c r="BD69" s="57" t="n"/>
      <c r="BE69" s="56" t="n"/>
      <c r="BF69" s="56" t="n"/>
      <c r="BG69" s="57" t="n"/>
      <c r="BH69" s="61" t="n"/>
      <c r="BI69" s="61" t="n"/>
      <c r="BJ69" s="61" t="n"/>
      <c r="BK69" s="61" t="n"/>
      <c r="BL69" s="61" t="n"/>
      <c r="BM69" s="61" t="n"/>
      <c r="BN69" s="61" t="n"/>
      <c r="BO69" s="61" t="n"/>
      <c r="BP69" s="61" t="n"/>
      <c r="BQ69" s="61" t="n"/>
      <c r="BR69" s="61" t="n"/>
      <c r="BS69" s="61" t="n"/>
      <c r="BT69" s="61" t="n"/>
    </row>
    <row r="70" ht="15.75" customHeight="1" s="79">
      <c r="A70" s="61" t="n"/>
      <c r="B70" s="61" t="n"/>
      <c r="C70" s="61" t="n"/>
      <c r="D70" s="61" t="n"/>
      <c r="E70" s="61" t="n"/>
      <c r="F70" s="61" t="n"/>
      <c r="G70" s="61" t="n"/>
      <c r="H70" s="61" t="n"/>
      <c r="I70" s="61" t="n"/>
      <c r="J70" s="61" t="n"/>
      <c r="K70" s="61" t="n"/>
      <c r="L70" s="61" t="n"/>
      <c r="M70" s="61" t="n"/>
      <c r="N70" s="61" t="n"/>
      <c r="O70" s="61" t="n"/>
      <c r="P70" s="61" t="n"/>
      <c r="Q70" s="61" t="n"/>
      <c r="R70" s="61" t="n"/>
      <c r="S70" s="61" t="n"/>
      <c r="T70" s="61" t="n"/>
      <c r="U70" s="61" t="n"/>
      <c r="V70" s="61" t="n"/>
      <c r="W70" s="61" t="n"/>
      <c r="X70" s="61" t="n"/>
      <c r="Y70" s="61" t="n"/>
      <c r="Z70" s="61" t="n"/>
      <c r="AA70" s="61" t="n"/>
      <c r="AB70" s="61" t="n"/>
      <c r="AC70" s="61" t="n"/>
      <c r="AD70" s="61" t="n"/>
      <c r="AE70" s="61" t="n"/>
      <c r="AF70" s="61" t="n"/>
      <c r="AG70" s="61" t="n"/>
      <c r="AH70" s="61" t="n"/>
      <c r="AI70" s="61" t="n"/>
      <c r="AJ70" s="61" t="n"/>
      <c r="AK70" s="61" t="n"/>
      <c r="AL70" s="61" t="n"/>
      <c r="AM70" s="61" t="n"/>
      <c r="AN70" s="61" t="n"/>
      <c r="AO70" s="61" t="n"/>
      <c r="AP70" s="57" t="n"/>
      <c r="AQ70" s="56" t="n"/>
      <c r="AR70" s="57" t="n"/>
      <c r="AS70" s="61" t="n"/>
      <c r="AT70" s="61" t="n"/>
      <c r="AU70" s="57" t="n"/>
      <c r="AV70" s="61" t="n"/>
      <c r="AW70" s="61" t="n"/>
      <c r="AX70" s="61" t="n"/>
      <c r="AY70" s="61" t="n"/>
      <c r="AZ70" s="61" t="n"/>
      <c r="BA70" s="61" t="n"/>
      <c r="BB70" s="61" t="n"/>
      <c r="BC70" s="61" t="n"/>
      <c r="BD70" s="57" t="n"/>
      <c r="BE70" s="56" t="n"/>
      <c r="BF70" s="56" t="n"/>
      <c r="BG70" s="57" t="n"/>
      <c r="BH70" s="61" t="n"/>
      <c r="BI70" s="61" t="n"/>
      <c r="BJ70" s="61" t="n"/>
      <c r="BK70" s="61" t="n"/>
      <c r="BL70" s="61" t="n"/>
      <c r="BM70" s="61" t="n"/>
      <c r="BN70" s="61" t="n"/>
      <c r="BO70" s="61" t="n"/>
      <c r="BP70" s="61" t="n"/>
      <c r="BQ70" s="61" t="n"/>
      <c r="BR70" s="61" t="n"/>
      <c r="BS70" s="61" t="n"/>
      <c r="BT70" s="61" t="n"/>
    </row>
    <row r="71" ht="15.75" customHeight="1" s="79">
      <c r="A71" s="61" t="inlineStr">
        <is>
          <t>ISO - master</t>
        </is>
      </c>
      <c r="B71" s="61" t="n"/>
      <c r="C71" s="61" t="n"/>
      <c r="D71" s="61" t="n"/>
      <c r="E71" s="61" t="n"/>
      <c r="F71" s="61" t="n"/>
      <c r="G71" s="61" t="n"/>
      <c r="H71" s="61" t="n"/>
      <c r="I71" s="61" t="n"/>
      <c r="J71" s="61" t="n"/>
      <c r="K71" s="61" t="n"/>
      <c r="L71" s="61" t="n"/>
      <c r="M71" s="61" t="n"/>
      <c r="N71" s="61" t="n"/>
      <c r="O71" s="61" t="n"/>
      <c r="P71" s="61" t="n"/>
      <c r="Q71" s="61" t="n"/>
      <c r="R71" s="61" t="n"/>
      <c r="S71" s="61" t="n"/>
      <c r="T71" s="61" t="n"/>
      <c r="U71" s="61" t="n"/>
      <c r="V71" s="61" t="n"/>
      <c r="W71" s="61" t="n"/>
      <c r="X71" s="61" t="n"/>
      <c r="Y71" s="61" t="n"/>
      <c r="Z71" s="61" t="n"/>
      <c r="AA71" s="61" t="n"/>
      <c r="AB71" s="61" t="n"/>
      <c r="AC71" s="61" t="n"/>
      <c r="AD71" s="61" t="n"/>
      <c r="AE71" s="61" t="n"/>
      <c r="AF71" s="61" t="n"/>
      <c r="AG71" s="61" t="n"/>
      <c r="AH71" s="61" t="n"/>
      <c r="AI71" s="61" t="n"/>
      <c r="AJ71" s="61" t="n"/>
      <c r="AK71" s="61" t="n"/>
      <c r="AL71" s="61" t="n"/>
      <c r="AM71" s="61" t="n"/>
      <c r="AN71" s="61" t="n"/>
      <c r="AO71" s="61" t="n"/>
      <c r="AP71" s="57" t="n"/>
      <c r="AQ71" s="56" t="n"/>
      <c r="AR71" s="57" t="n"/>
      <c r="AS71" s="61" t="n"/>
      <c r="AT71" s="61" t="n"/>
      <c r="AU71" s="57" t="n"/>
      <c r="AV71" s="61" t="n"/>
      <c r="AW71" s="61" t="n"/>
      <c r="AX71" s="61" t="n"/>
      <c r="AY71" s="61" t="n"/>
      <c r="AZ71" s="61" t="n"/>
      <c r="BA71" s="61" t="n"/>
      <c r="BB71" s="61" t="n"/>
      <c r="BC71" s="61" t="n"/>
      <c r="BD71" s="57" t="n"/>
      <c r="BE71" s="56" t="n"/>
      <c r="BF71" s="56" t="n"/>
      <c r="BG71" s="57" t="n"/>
      <c r="BH71" s="61" t="n"/>
      <c r="BI71" s="61" t="n"/>
      <c r="BJ71" s="61" t="n"/>
      <c r="BK71" s="61" t="n"/>
      <c r="BL71" s="61" t="n"/>
      <c r="BM71" s="61" t="n"/>
      <c r="BN71" s="61" t="n"/>
      <c r="BO71" s="61" t="n"/>
      <c r="BP71" s="61" t="n"/>
      <c r="BQ71" s="61" t="n"/>
      <c r="BR71" s="61" t="n"/>
      <c r="BS71" s="61" t="n"/>
      <c r="BT71" s="61" t="n"/>
    </row>
    <row r="72" ht="15.75" customHeight="1" s="79">
      <c r="A72" s="61" t="inlineStr">
        <is>
          <t>Label</t>
        </is>
      </c>
      <c r="B72" s="61" t="inlineStr">
        <is>
          <t>Funded $</t>
        </is>
      </c>
      <c r="C72" s="61" t="inlineStr">
        <is>
          <t>Collected $</t>
        </is>
      </c>
      <c r="D72" s="61" t="inlineStr">
        <is>
          <t>Net profit / loss $</t>
        </is>
      </c>
      <c r="E72" s="61" t="inlineStr">
        <is>
          <t>Commission $</t>
        </is>
      </c>
      <c r="F72" s="61" t="inlineStr">
        <is>
          <t>Principal lost $</t>
        </is>
      </c>
      <c r="G72" s="61" t="inlineStr">
        <is>
          <t>Principal lost rate</t>
        </is>
      </c>
      <c r="H72" s="61" t="inlineStr">
        <is>
          <t>Recovery rate</t>
        </is>
      </c>
      <c r="I72" s="61" t="inlineStr">
        <is>
          <t>Return on funded capital (%)</t>
        </is>
      </c>
      <c r="J72" s="61" t="inlineStr">
        <is>
          <t>Deals</t>
        </is>
      </c>
      <c r="K72" s="61" t="inlineStr">
        <is>
          <t>Share of funded dollars</t>
        </is>
      </c>
      <c r="L72" s="61" t="inlineStr">
        <is>
          <t>Avg deal size</t>
        </is>
      </c>
      <c r="M72" s="61" t="inlineStr">
        <is>
          <t>Avg expected term (business days)</t>
        </is>
      </c>
      <c r="N72" s="61" t="inlineStr">
        <is>
          <t>Avg expected term (payments)</t>
        </is>
      </c>
      <c r="O72" s="61" t="inlineStr">
        <is>
          <t>Avg days on book, defaulted</t>
        </is>
      </c>
      <c r="P72" s="61" t="inlineStr">
        <is>
          <t>Avg days to close</t>
        </is>
      </c>
      <c r="Q72" s="61" t="inlineStr">
        <is>
          <t>% of deals that were renewals</t>
        </is>
      </c>
      <c r="R72" s="61" t="inlineStr">
        <is>
          <t>% of funded dollars from renewals</t>
        </is>
      </c>
      <c r="S72" s="61" t="inlineStr">
        <is>
          <t>Book lost rate</t>
        </is>
      </c>
      <c r="T72" s="61" t="inlineStr">
        <is>
          <t>Book recovery</t>
        </is>
      </c>
      <c r="U72" s="61" t="inlineStr">
        <is>
          <t>Book return on funded capital</t>
        </is>
      </c>
      <c r="V72" s="61" t="inlineStr">
        <is>
          <t>Default rate (#)</t>
        </is>
      </c>
      <c r="W72" s="61" t="inlineStr">
        <is>
          <t>Chart label (name + deals)</t>
        </is>
      </c>
      <c r="X72" s="61" t="n"/>
      <c r="Y72" s="61" t="n"/>
      <c r="Z72" s="61" t="n"/>
      <c r="AA72" s="61" t="n"/>
      <c r="AB72" s="61" t="n"/>
      <c r="AC72" s="61" t="n"/>
      <c r="AD72" s="61" t="n"/>
      <c r="AE72" s="61" t="n"/>
      <c r="AF72" s="61" t="n"/>
      <c r="AG72" s="61" t="n"/>
      <c r="AH72" s="61" t="n"/>
      <c r="AI72" s="61" t="n"/>
      <c r="AJ72" s="61" t="n"/>
      <c r="AK72" s="61" t="n"/>
      <c r="AL72" s="61" t="n"/>
      <c r="AM72" s="61" t="n"/>
      <c r="AN72" s="61" t="n"/>
      <c r="AO72" s="61" t="n"/>
      <c r="AP72" s="57" t="n"/>
      <c r="AQ72" s="56" t="n"/>
      <c r="AR72" s="57" t="n"/>
      <c r="AS72" s="61" t="n"/>
      <c r="AT72" s="61" t="n"/>
      <c r="AU72" s="57" t="n"/>
      <c r="AV72" s="61" t="n"/>
      <c r="AW72" s="61" t="n"/>
      <c r="AX72" s="61" t="n"/>
      <c r="AY72" s="61" t="n"/>
      <c r="AZ72" s="61" t="n"/>
      <c r="BA72" s="61" t="n"/>
      <c r="BB72" s="61" t="n"/>
      <c r="BC72" s="61" t="n"/>
      <c r="BD72" s="57" t="n"/>
      <c r="BE72" s="56" t="n"/>
      <c r="BF72" s="56" t="n"/>
      <c r="BG72" s="57" t="n"/>
      <c r="BH72" s="61" t="n"/>
      <c r="BI72" s="61" t="n"/>
      <c r="BJ72" s="61" t="n"/>
      <c r="BK72" s="61" t="n"/>
      <c r="BL72" s="61" t="n"/>
      <c r="BM72" s="61" t="n"/>
      <c r="BN72" s="61" t="n"/>
      <c r="BO72" s="61" t="n"/>
      <c r="BP72" s="61" t="n"/>
      <c r="BQ72" s="61" t="n"/>
      <c r="BR72" s="61" t="n"/>
      <c r="BS72" s="61" t="n"/>
      <c r="BT72" s="61" t="n"/>
    </row>
    <row r="73" ht="15.75" customHeight="1" s="79">
      <c r="A73" s="61">
        <f t="array" ref="A73">IFERROR(IF(1&gt;Controls!$B$18,"",IF(LARGE(Calc!$AT$143:$AT$298,1)&lt;-100000000000000,"",INDEX(Calc!$AN$143:$AN$298,MATCH(LARGE(Calc!$AT$143:$AT$298,1),Calc!$AT$143:$AT$298,0)))),"")</f>
        <v/>
      </c>
      <c r="B73" s="66">
        <f>IF($A$73="",NA(),IFERROR(SUMIFS(Data!$P$2:$P$1105,Data!$AK$2:$AK$1105,1,Data!$M$2:$M$1105,$A$73),NA()))</f>
        <v/>
      </c>
      <c r="C73" s="66">
        <f>IF($A$73="",NA(),IFERROR(SUMIFS(Data!$S$2:$S$1105,Data!$AK$2:$AK$1105,1,Data!$M$2:$M$1105,$A$73),NA()))</f>
        <v/>
      </c>
      <c r="D73" s="66">
        <f>IF(ISNA($B$73),NA(),$C$73-$B$73)</f>
        <v/>
      </c>
      <c r="E73" s="66">
        <f>IF($A$73="",NA(),IFERROR(SUMIFS(Data!$Q$2:$Q$1105,Data!$AK$2:$AK$1105,1,Data!$M$2:$M$1105,$A$73),NA()))</f>
        <v/>
      </c>
      <c r="F73" s="66">
        <f>IF($A$73="",NA(),IFERROR(SUMIFS(Data!$AN$2:$AN$1105,Data!$AK$2:$AK$1105,1,Data!$M$2:$M$1105,$A$73),NA()))</f>
        <v/>
      </c>
      <c r="G73" s="62">
        <f>IF($A$73="",NA(),IF(COUNTIFS(Data!$AK$2:$AK$1105,1,Data!$M$2:$M$1105,$A$73)&lt;Controls!$B$19,NA(),IFERROR(SUMIFS(Data!$AN$2:$AN$1105,Data!$AK$2:$AK$1105,1,Data!$M$2:$M$1105,$A$73)/$B$73,NA())))</f>
        <v/>
      </c>
      <c r="H73" s="62">
        <f>IF($A$73="",NA(),IF(COUNTIFS(Data!$AK$2:$AK$1105,1,Data!$M$2:$M$1105,$A$73)&lt;Controls!$B$19,NA(),IFERROR(SUMIFS(Data!$S$2:$S$1105,Data!$AK$2:$AK$1105,1,Data!$M$2:$M$1105,$A$73,Data!$AH$2:$AH$1105,1)/SUMIFS(Data!$P$2:$P$1105,Data!$AK$2:$AK$1105,1,Data!$M$2:$M$1105,$A$73,Data!$AH$2:$AH$1105,1),NA())))</f>
        <v/>
      </c>
      <c r="I73" s="62">
        <f>IF(ISNA($J$73),NA(),IF($J$73&lt;Controls!$B$19,NA(),IFERROR($D$73/$B$73,NA())))</f>
        <v/>
      </c>
      <c r="J73" s="67">
        <f>IF($A$73="",NA(),IFERROR(COUNTIFS(Data!$AK$2:$AK$1105,1,Data!$M$2:$M$1105,$A$73),NA()))</f>
        <v/>
      </c>
      <c r="K73" s="62">
        <f>IF(ISNA($B$73),NA(),IFERROR($B$73/Calc!$BT$6,NA()))</f>
        <v/>
      </c>
      <c r="L73" s="66">
        <f>IF(ISNA($J$73),NA(),IF($J$73&lt;Controls!$B$19,NA(),IFERROR($B$73/$J$73,NA())))</f>
        <v/>
      </c>
      <c r="M73" s="67">
        <f>IF($A$73="",NA(),IF(COUNTIFS(Data!$AK$2:$AK$1105,1,Data!$M$2:$M$1105,$A$73)&lt;Controls!$B$19,NA(),IFERROR(AVERAGEIFS(Data!$AE$2:$AE$1105,Data!$AK$2:$AK$1105,1,Data!$M$2:$M$1105,$A$73),NA())))</f>
        <v/>
      </c>
      <c r="N73" s="67">
        <f>IF($A$73="",NA(),IF(COUNTIFS(Data!$AK$2:$AK$1105,1,Data!$M$2:$M$1105,$A$73)&lt;Controls!$B$19,NA(),IFERROR(AVERAGEIFS(Data!$AD$2:$AD$1105,Data!$AK$2:$AK$1105,1,Data!$M$2:$M$1105,$A$73),NA())))</f>
        <v/>
      </c>
      <c r="O73" s="67">
        <f>IF($A$73="",NA(),IF(COUNTIFS(Data!$AK$2:$AK$1105,1,Data!$M$2:$M$1105,$A$73)&lt;Controls!$B$19,NA(),IFERROR(AVERAGEIFS(Data!$AS$2:$AS$1105,Data!$AK$2:$AK$1105,1,Data!$M$2:$M$1105,$A$73),NA())))</f>
        <v/>
      </c>
      <c r="P73" s="67">
        <f>IF($A$73="",NA(),IF(COUNTIFS(Data!$AK$2:$AK$1105,1,Data!$M$2:$M$1105,$A$73)&lt;Controls!$B$19,NA(),IFERROR(AVERAGEIFS(Data!$AT$2:$AT$1105,Data!$AK$2:$AK$1105,1,Data!$M$2:$M$1105,$A$73),NA())))</f>
        <v/>
      </c>
      <c r="Q73" s="62">
        <f>IF($A$73="",NA(),IF(COUNTIFS(Data!$AK$2:$AK$1105,1,Data!$M$2:$M$1105,$A$73)&lt;Controls!$B$19,NA(),IFERROR(COUNTIFS(Data!$AK$2:$AK$1105,1,Data!$M$2:$M$1105,$A$73,Data!$N$2:$N$1105,"Renewal")/COUNTIFS(Data!$AK$2:$AK$1105,1,Data!$M$2:$M$1105,$A$73),NA())))</f>
        <v/>
      </c>
      <c r="R73" s="62">
        <f>IF($A$73="",NA(),IF(COUNTIFS(Data!$AK$2:$AK$1105,1,Data!$M$2:$M$1105,$A$73)&lt;Controls!$B$19,NA(),IFERROR(SUMIFS(Data!$P$2:$P$1105,Data!$AK$2:$AK$1105,1,Data!$M$2:$M$1105,$A$73,Data!$N$2:$N$1105,"Renewal")/SUMIFS(Data!$P$2:$P$1105,Data!$AK$2:$AK$1105,1,Data!$M$2:$M$1105,$A$73),NA())))</f>
        <v/>
      </c>
      <c r="S73" s="62">
        <f>IF($A$73="",NA(),Calc!$BT$2)</f>
        <v/>
      </c>
      <c r="T73" s="62">
        <f>IF($A$73="",NA(),Calc!$BT$3)</f>
        <v/>
      </c>
      <c r="U73" s="62">
        <f>IF($A$73="",NA(),Calc!$BT$4)</f>
        <v/>
      </c>
      <c r="V73" s="62">
        <f>IF($A$73="",NA(),IF(COUNTIFS(Data!$AK$2:$AK$1105,1,Data!$M$2:$M$1105,$A$73)&lt;Controls!$B$19,NA(),IFERROR(COUNTIFS(Data!$AK$2:$AK$1105,1,Data!$M$2:$M$1105,$A$73,Data!$AH$2:$AH$1105,1)/COUNTIFS(Data!$AK$2:$AK$1105,1,Data!$M$2:$M$1105,$A$73),NA())))</f>
        <v/>
      </c>
      <c r="W73" s="61">
        <f>IF($A$73="","",$A$73&amp;" ("&amp;$J$73&amp;")")</f>
        <v/>
      </c>
      <c r="X73" s="61" t="n"/>
      <c r="Y73" s="61" t="n"/>
      <c r="Z73" s="61" t="n"/>
      <c r="AA73" s="61" t="n"/>
      <c r="AB73" s="61" t="n"/>
      <c r="AC73" s="61" t="n"/>
      <c r="AD73" s="61" t="n"/>
      <c r="AE73" s="61" t="n"/>
      <c r="AF73" s="61" t="n"/>
      <c r="AG73" s="61" t="n"/>
      <c r="AH73" s="61" t="n"/>
      <c r="AI73" s="61" t="n"/>
      <c r="AJ73" s="61" t="n"/>
      <c r="AK73" s="61" t="n"/>
      <c r="AL73" s="61" t="n"/>
      <c r="AM73" s="61" t="n"/>
      <c r="AN73" s="61" t="n"/>
      <c r="AO73" s="61" t="n"/>
      <c r="AP73" s="57" t="n"/>
      <c r="AQ73" s="56" t="n"/>
      <c r="AR73" s="57" t="n"/>
      <c r="AS73" s="61" t="n"/>
      <c r="AT73" s="61" t="n"/>
      <c r="AU73" s="57" t="n"/>
      <c r="AV73" s="61" t="n"/>
      <c r="AW73" s="61" t="n"/>
      <c r="AX73" s="61" t="n"/>
      <c r="AY73" s="61" t="n"/>
      <c r="AZ73" s="61" t="n"/>
      <c r="BA73" s="61" t="n"/>
      <c r="BB73" s="61" t="n"/>
      <c r="BC73" s="61" t="n"/>
      <c r="BD73" s="57" t="n"/>
      <c r="BE73" s="56" t="n"/>
      <c r="BF73" s="56" t="n"/>
      <c r="BG73" s="57" t="n"/>
      <c r="BH73" s="61" t="n"/>
      <c r="BI73" s="61" t="n"/>
      <c r="BJ73" s="61" t="n"/>
      <c r="BK73" s="61" t="n"/>
      <c r="BL73" s="61" t="n"/>
      <c r="BM73" s="61" t="n"/>
      <c r="BN73" s="61" t="n"/>
      <c r="BO73" s="61" t="n"/>
      <c r="BP73" s="61" t="n"/>
      <c r="BQ73" s="61" t="n"/>
      <c r="BR73" s="61" t="n"/>
      <c r="BS73" s="61" t="n"/>
      <c r="BT73" s="61" t="n"/>
    </row>
    <row r="74" ht="15.75" customHeight="1" s="79">
      <c r="A74" s="61">
        <f t="array" ref="A74">IFERROR(IF(2&gt;Controls!$B$18,"",IF(LARGE(Calc!$AT$143:$AT$298,2)&lt;-100000000000000,"",INDEX(Calc!$AN$143:$AN$298,MATCH(LARGE(Calc!$AT$143:$AT$298,2),Calc!$AT$143:$AT$298,0)))),"")</f>
        <v/>
      </c>
      <c r="B74" s="66">
        <f>IF($A$74="",NA(),IFERROR(SUMIFS(Data!$P$2:$P$1105,Data!$AK$2:$AK$1105,1,Data!$M$2:$M$1105,$A$74),NA()))</f>
        <v/>
      </c>
      <c r="C74" s="66">
        <f>IF($A$74="",NA(),IFERROR(SUMIFS(Data!$S$2:$S$1105,Data!$AK$2:$AK$1105,1,Data!$M$2:$M$1105,$A$74),NA()))</f>
        <v/>
      </c>
      <c r="D74" s="66">
        <f>IF(ISNA($B$74),NA(),$C$74-$B$74)</f>
        <v/>
      </c>
      <c r="E74" s="66">
        <f>IF($A$74="",NA(),IFERROR(SUMIFS(Data!$Q$2:$Q$1105,Data!$AK$2:$AK$1105,1,Data!$M$2:$M$1105,$A$74),NA()))</f>
        <v/>
      </c>
      <c r="F74" s="66">
        <f>IF($A$74="",NA(),IFERROR(SUMIFS(Data!$AN$2:$AN$1105,Data!$AK$2:$AK$1105,1,Data!$M$2:$M$1105,$A$74),NA()))</f>
        <v/>
      </c>
      <c r="G74" s="62">
        <f>IF($A$74="",NA(),IF(COUNTIFS(Data!$AK$2:$AK$1105,1,Data!$M$2:$M$1105,$A$74)&lt;Controls!$B$19,NA(),IFERROR(SUMIFS(Data!$AN$2:$AN$1105,Data!$AK$2:$AK$1105,1,Data!$M$2:$M$1105,$A$74)/$B$74,NA())))</f>
        <v/>
      </c>
      <c r="H74" s="62">
        <f>IF($A$74="",NA(),IF(COUNTIFS(Data!$AK$2:$AK$1105,1,Data!$M$2:$M$1105,$A$74)&lt;Controls!$B$19,NA(),IFERROR(SUMIFS(Data!$S$2:$S$1105,Data!$AK$2:$AK$1105,1,Data!$M$2:$M$1105,$A$74,Data!$AH$2:$AH$1105,1)/SUMIFS(Data!$P$2:$P$1105,Data!$AK$2:$AK$1105,1,Data!$M$2:$M$1105,$A$74,Data!$AH$2:$AH$1105,1),NA())))</f>
        <v/>
      </c>
      <c r="I74" s="62">
        <f>IF(ISNA($J$74),NA(),IF($J$74&lt;Controls!$B$19,NA(),IFERROR($D$74/$B$74,NA())))</f>
        <v/>
      </c>
      <c r="J74" s="67">
        <f>IF($A$74="",NA(),IFERROR(COUNTIFS(Data!$AK$2:$AK$1105,1,Data!$M$2:$M$1105,$A$74),NA()))</f>
        <v/>
      </c>
      <c r="K74" s="62">
        <f>IF(ISNA($B$74),NA(),IFERROR($B$74/Calc!$BT$6,NA()))</f>
        <v/>
      </c>
      <c r="L74" s="66">
        <f>IF(ISNA($J$74),NA(),IF($J$74&lt;Controls!$B$19,NA(),IFERROR($B$74/$J$74,NA())))</f>
        <v/>
      </c>
      <c r="M74" s="67">
        <f>IF($A$74="",NA(),IF(COUNTIFS(Data!$AK$2:$AK$1105,1,Data!$M$2:$M$1105,$A$74)&lt;Controls!$B$19,NA(),IFERROR(AVERAGEIFS(Data!$AE$2:$AE$1105,Data!$AK$2:$AK$1105,1,Data!$M$2:$M$1105,$A$74),NA())))</f>
        <v/>
      </c>
      <c r="N74" s="67">
        <f>IF($A$74="",NA(),IF(COUNTIFS(Data!$AK$2:$AK$1105,1,Data!$M$2:$M$1105,$A$74)&lt;Controls!$B$19,NA(),IFERROR(AVERAGEIFS(Data!$AD$2:$AD$1105,Data!$AK$2:$AK$1105,1,Data!$M$2:$M$1105,$A$74),NA())))</f>
        <v/>
      </c>
      <c r="O74" s="67">
        <f>IF($A$74="",NA(),IF(COUNTIFS(Data!$AK$2:$AK$1105,1,Data!$M$2:$M$1105,$A$74)&lt;Controls!$B$19,NA(),IFERROR(AVERAGEIFS(Data!$AS$2:$AS$1105,Data!$AK$2:$AK$1105,1,Data!$M$2:$M$1105,$A$74),NA())))</f>
        <v/>
      </c>
      <c r="P74" s="67">
        <f>IF($A$74="",NA(),IF(COUNTIFS(Data!$AK$2:$AK$1105,1,Data!$M$2:$M$1105,$A$74)&lt;Controls!$B$19,NA(),IFERROR(AVERAGEIFS(Data!$AT$2:$AT$1105,Data!$AK$2:$AK$1105,1,Data!$M$2:$M$1105,$A$74),NA())))</f>
        <v/>
      </c>
      <c r="Q74" s="62">
        <f>IF($A$74="",NA(),IF(COUNTIFS(Data!$AK$2:$AK$1105,1,Data!$M$2:$M$1105,$A$74)&lt;Controls!$B$19,NA(),IFERROR(COUNTIFS(Data!$AK$2:$AK$1105,1,Data!$M$2:$M$1105,$A$74,Data!$N$2:$N$1105,"Renewal")/COUNTIFS(Data!$AK$2:$AK$1105,1,Data!$M$2:$M$1105,$A$74),NA())))</f>
        <v/>
      </c>
      <c r="R74" s="62">
        <f>IF($A$74="",NA(),IF(COUNTIFS(Data!$AK$2:$AK$1105,1,Data!$M$2:$M$1105,$A$74)&lt;Controls!$B$19,NA(),IFERROR(SUMIFS(Data!$P$2:$P$1105,Data!$AK$2:$AK$1105,1,Data!$M$2:$M$1105,$A$74,Data!$N$2:$N$1105,"Renewal")/SUMIFS(Data!$P$2:$P$1105,Data!$AK$2:$AK$1105,1,Data!$M$2:$M$1105,$A$74),NA())))</f>
        <v/>
      </c>
      <c r="S74" s="62">
        <f>IF($A$74="",NA(),Calc!$BT$2)</f>
        <v/>
      </c>
      <c r="T74" s="62">
        <f>IF($A$74="",NA(),Calc!$BT$3)</f>
        <v/>
      </c>
      <c r="U74" s="62">
        <f>IF($A$74="",NA(),Calc!$BT$4)</f>
        <v/>
      </c>
      <c r="V74" s="62">
        <f>IF($A$74="",NA(),IF(COUNTIFS(Data!$AK$2:$AK$1105,1,Data!$M$2:$M$1105,$A$74)&lt;Controls!$B$19,NA(),IFERROR(COUNTIFS(Data!$AK$2:$AK$1105,1,Data!$M$2:$M$1105,$A$74,Data!$AH$2:$AH$1105,1)/COUNTIFS(Data!$AK$2:$AK$1105,1,Data!$M$2:$M$1105,$A$74),NA())))</f>
        <v/>
      </c>
      <c r="W74" s="61">
        <f>IF($A$74="","",$A$74&amp;" ("&amp;$J$74&amp;")")</f>
        <v/>
      </c>
      <c r="X74" s="61" t="n"/>
      <c r="Y74" s="61" t="n"/>
      <c r="Z74" s="61" t="n"/>
      <c r="AA74" s="61" t="n"/>
      <c r="AB74" s="61" t="n"/>
      <c r="AC74" s="61" t="n"/>
      <c r="AD74" s="61" t="n"/>
      <c r="AE74" s="61" t="n"/>
      <c r="AF74" s="61" t="n"/>
      <c r="AG74" s="61" t="n"/>
      <c r="AH74" s="61" t="n"/>
      <c r="AI74" s="61" t="n"/>
      <c r="AJ74" s="61" t="n"/>
      <c r="AK74" s="61" t="n"/>
      <c r="AL74" s="61" t="n"/>
      <c r="AM74" s="61" t="n"/>
      <c r="AN74" s="61" t="n"/>
      <c r="AO74" s="61" t="n"/>
      <c r="AP74" s="57" t="n"/>
      <c r="AQ74" s="56" t="n"/>
      <c r="AR74" s="57" t="n"/>
      <c r="AS74" s="61" t="n"/>
      <c r="AT74" s="61" t="n"/>
      <c r="AU74" s="57" t="n"/>
      <c r="AV74" s="61" t="n"/>
      <c r="AW74" s="61" t="n"/>
      <c r="AX74" s="61" t="n"/>
      <c r="AY74" s="61" t="n"/>
      <c r="AZ74" s="61" t="n"/>
      <c r="BA74" s="61" t="n"/>
      <c r="BB74" s="61" t="n"/>
      <c r="BC74" s="61" t="n"/>
      <c r="BD74" s="57" t="n"/>
      <c r="BE74" s="56" t="n"/>
      <c r="BF74" s="56" t="n"/>
      <c r="BG74" s="57" t="n"/>
      <c r="BH74" s="61" t="n"/>
      <c r="BI74" s="61" t="n"/>
      <c r="BJ74" s="61" t="n"/>
      <c r="BK74" s="61" t="n"/>
      <c r="BL74" s="61" t="n"/>
      <c r="BM74" s="61" t="n"/>
      <c r="BN74" s="61" t="n"/>
      <c r="BO74" s="61" t="n"/>
      <c r="BP74" s="61" t="n"/>
      <c r="BQ74" s="61" t="n"/>
      <c r="BR74" s="61" t="n"/>
      <c r="BS74" s="61" t="n"/>
      <c r="BT74" s="61" t="n"/>
    </row>
    <row r="75" ht="15.75" customHeight="1" s="79">
      <c r="A75" s="61">
        <f t="array" ref="A75">IFERROR(IF(3&gt;Controls!$B$18,"",IF(LARGE(Calc!$AT$143:$AT$298,3)&lt;-100000000000000,"",INDEX(Calc!$AN$143:$AN$298,MATCH(LARGE(Calc!$AT$143:$AT$298,3),Calc!$AT$143:$AT$298,0)))),"")</f>
        <v/>
      </c>
      <c r="B75" s="66">
        <f>IF($A$75="",NA(),IFERROR(SUMIFS(Data!$P$2:$P$1105,Data!$AK$2:$AK$1105,1,Data!$M$2:$M$1105,$A$75),NA()))</f>
        <v/>
      </c>
      <c r="C75" s="66">
        <f>IF($A$75="",NA(),IFERROR(SUMIFS(Data!$S$2:$S$1105,Data!$AK$2:$AK$1105,1,Data!$M$2:$M$1105,$A$75),NA()))</f>
        <v/>
      </c>
      <c r="D75" s="66">
        <f>IF(ISNA($B$75),NA(),$C$75-$B$75)</f>
        <v/>
      </c>
      <c r="E75" s="66">
        <f>IF($A$75="",NA(),IFERROR(SUMIFS(Data!$Q$2:$Q$1105,Data!$AK$2:$AK$1105,1,Data!$M$2:$M$1105,$A$75),NA()))</f>
        <v/>
      </c>
      <c r="F75" s="66">
        <f>IF($A$75="",NA(),IFERROR(SUMIFS(Data!$AN$2:$AN$1105,Data!$AK$2:$AK$1105,1,Data!$M$2:$M$1105,$A$75),NA()))</f>
        <v/>
      </c>
      <c r="G75" s="62">
        <f>IF($A$75="",NA(),IF(COUNTIFS(Data!$AK$2:$AK$1105,1,Data!$M$2:$M$1105,$A$75)&lt;Controls!$B$19,NA(),IFERROR(SUMIFS(Data!$AN$2:$AN$1105,Data!$AK$2:$AK$1105,1,Data!$M$2:$M$1105,$A$75)/$B$75,NA())))</f>
        <v/>
      </c>
      <c r="H75" s="62">
        <f>IF($A$75="",NA(),IF(COUNTIFS(Data!$AK$2:$AK$1105,1,Data!$M$2:$M$1105,$A$75)&lt;Controls!$B$19,NA(),IFERROR(SUMIFS(Data!$S$2:$S$1105,Data!$AK$2:$AK$1105,1,Data!$M$2:$M$1105,$A$75,Data!$AH$2:$AH$1105,1)/SUMIFS(Data!$P$2:$P$1105,Data!$AK$2:$AK$1105,1,Data!$M$2:$M$1105,$A$75,Data!$AH$2:$AH$1105,1),NA())))</f>
        <v/>
      </c>
      <c r="I75" s="62">
        <f>IF(ISNA($J$75),NA(),IF($J$75&lt;Controls!$B$19,NA(),IFERROR($D$75/$B$75,NA())))</f>
        <v/>
      </c>
      <c r="J75" s="67">
        <f>IF($A$75="",NA(),IFERROR(COUNTIFS(Data!$AK$2:$AK$1105,1,Data!$M$2:$M$1105,$A$75),NA()))</f>
        <v/>
      </c>
      <c r="K75" s="62">
        <f>IF(ISNA($B$75),NA(),IFERROR($B$75/Calc!$BT$6,NA()))</f>
        <v/>
      </c>
      <c r="L75" s="66">
        <f>IF(ISNA($J$75),NA(),IF($J$75&lt;Controls!$B$19,NA(),IFERROR($B$75/$J$75,NA())))</f>
        <v/>
      </c>
      <c r="M75" s="67">
        <f>IF($A$75="",NA(),IF(COUNTIFS(Data!$AK$2:$AK$1105,1,Data!$M$2:$M$1105,$A$75)&lt;Controls!$B$19,NA(),IFERROR(AVERAGEIFS(Data!$AE$2:$AE$1105,Data!$AK$2:$AK$1105,1,Data!$M$2:$M$1105,$A$75),NA())))</f>
        <v/>
      </c>
      <c r="N75" s="67">
        <f>IF($A$75="",NA(),IF(COUNTIFS(Data!$AK$2:$AK$1105,1,Data!$M$2:$M$1105,$A$75)&lt;Controls!$B$19,NA(),IFERROR(AVERAGEIFS(Data!$AD$2:$AD$1105,Data!$AK$2:$AK$1105,1,Data!$M$2:$M$1105,$A$75),NA())))</f>
        <v/>
      </c>
      <c r="O75" s="67">
        <f>IF($A$75="",NA(),IF(COUNTIFS(Data!$AK$2:$AK$1105,1,Data!$M$2:$M$1105,$A$75)&lt;Controls!$B$19,NA(),IFERROR(AVERAGEIFS(Data!$AS$2:$AS$1105,Data!$AK$2:$AK$1105,1,Data!$M$2:$M$1105,$A$75),NA())))</f>
        <v/>
      </c>
      <c r="P75" s="67">
        <f>IF($A$75="",NA(),IF(COUNTIFS(Data!$AK$2:$AK$1105,1,Data!$M$2:$M$1105,$A$75)&lt;Controls!$B$19,NA(),IFERROR(AVERAGEIFS(Data!$AT$2:$AT$1105,Data!$AK$2:$AK$1105,1,Data!$M$2:$M$1105,$A$75),NA())))</f>
        <v/>
      </c>
      <c r="Q75" s="62">
        <f>IF($A$75="",NA(),IF(COUNTIFS(Data!$AK$2:$AK$1105,1,Data!$M$2:$M$1105,$A$75)&lt;Controls!$B$19,NA(),IFERROR(COUNTIFS(Data!$AK$2:$AK$1105,1,Data!$M$2:$M$1105,$A$75,Data!$N$2:$N$1105,"Renewal")/COUNTIFS(Data!$AK$2:$AK$1105,1,Data!$M$2:$M$1105,$A$75),NA())))</f>
        <v/>
      </c>
      <c r="R75" s="62">
        <f>IF($A$75="",NA(),IF(COUNTIFS(Data!$AK$2:$AK$1105,1,Data!$M$2:$M$1105,$A$75)&lt;Controls!$B$19,NA(),IFERROR(SUMIFS(Data!$P$2:$P$1105,Data!$AK$2:$AK$1105,1,Data!$M$2:$M$1105,$A$75,Data!$N$2:$N$1105,"Renewal")/SUMIFS(Data!$P$2:$P$1105,Data!$AK$2:$AK$1105,1,Data!$M$2:$M$1105,$A$75),NA())))</f>
        <v/>
      </c>
      <c r="S75" s="62">
        <f>IF($A$75="",NA(),Calc!$BT$2)</f>
        <v/>
      </c>
      <c r="T75" s="62">
        <f>IF($A$75="",NA(),Calc!$BT$3)</f>
        <v/>
      </c>
      <c r="U75" s="62">
        <f>IF($A$75="",NA(),Calc!$BT$4)</f>
        <v/>
      </c>
      <c r="V75" s="62">
        <f>IF($A$75="",NA(),IF(COUNTIFS(Data!$AK$2:$AK$1105,1,Data!$M$2:$M$1105,$A$75)&lt;Controls!$B$19,NA(),IFERROR(COUNTIFS(Data!$AK$2:$AK$1105,1,Data!$M$2:$M$1105,$A$75,Data!$AH$2:$AH$1105,1)/COUNTIFS(Data!$AK$2:$AK$1105,1,Data!$M$2:$M$1105,$A$75),NA())))</f>
        <v/>
      </c>
      <c r="W75" s="61">
        <f>IF($A$75="","",$A$75&amp;" ("&amp;$J$75&amp;")")</f>
        <v/>
      </c>
      <c r="X75" s="61" t="n"/>
      <c r="Y75" s="61" t="n"/>
      <c r="Z75" s="61" t="n"/>
      <c r="AA75" s="61" t="n"/>
      <c r="AB75" s="61" t="n"/>
      <c r="AC75" s="61" t="n"/>
      <c r="AD75" s="61" t="n"/>
      <c r="AE75" s="61" t="n"/>
      <c r="AF75" s="61" t="n"/>
      <c r="AG75" s="61" t="n"/>
      <c r="AH75" s="61" t="n"/>
      <c r="AI75" s="61" t="n"/>
      <c r="AJ75" s="61" t="n"/>
      <c r="AK75" s="61" t="n"/>
      <c r="AL75" s="61" t="n"/>
      <c r="AM75" s="61" t="n"/>
      <c r="AN75" s="61" t="n"/>
      <c r="AO75" s="61" t="n"/>
      <c r="AP75" s="57" t="n"/>
      <c r="AQ75" s="56" t="n"/>
      <c r="AR75" s="57" t="n"/>
      <c r="AS75" s="61" t="n"/>
      <c r="AT75" s="61" t="n"/>
      <c r="AU75" s="57" t="n"/>
      <c r="AV75" s="61" t="n"/>
      <c r="AW75" s="61" t="n"/>
      <c r="AX75" s="61" t="n"/>
      <c r="AY75" s="61" t="n"/>
      <c r="AZ75" s="61" t="n"/>
      <c r="BA75" s="61" t="n"/>
      <c r="BB75" s="61">
        <f>Controls!$G$40</f>
        <v/>
      </c>
      <c r="BC75" s="61">
        <f>COUNTIFS(Data!$AK$2:$AK$1105,1,Data!$M$2:$M$1105,$BB$75)</f>
        <v/>
      </c>
      <c r="BD75" s="57">
        <f>SUMIFS(Data!$P$2:$P$1105,Data!$AK$2:$AK$1105,1,Data!$M$2:$M$1105,$BB$75)</f>
        <v/>
      </c>
      <c r="BE75" s="56">
        <f>IF(COUNTIFS(Data!$AK$2:$AK$1105,1,Data!$M$2:$M$1105,$BB$75)&lt;Controls!$B$19,"",IFERROR(SUMIFS(Data!$AN$2:$AN$1105,Data!$AK$2:$AK$1105,1,Data!$M$2:$M$1105,$BB$75)/$BD$75,""))</f>
        <v/>
      </c>
      <c r="BF75" s="56">
        <f>IF(COUNTIFS(Data!$AK$2:$AK$1105,1,Data!$M$2:$M$1105,$BB$75)&lt;Controls!$B$19,"",IFERROR(SUMIFS(Data!$AM$2:$AM$1105,Data!$AK$2:$AK$1105,1,Data!$M$2:$M$1105,$BB$75)/SUMIFS(Data!$P$2:$P$1105,Data!$AK$2:$AK$1105,1,Data!$M$2:$M$1105,$BB$75),""))</f>
        <v/>
      </c>
      <c r="BG75" s="57">
        <f>SUMIFS(Data!$AN$2:$AN$1105,Data!$AK$2:$AK$1105,1,Data!$M$2:$M$1105,$BB$75)</f>
        <v/>
      </c>
      <c r="BH75" s="61" t="n"/>
      <c r="BI75" s="61">
        <f>IF(AND($BC$75&gt;=Controls!$B$22,$BD$75&gt;=LARGE($BD$75:$BD$230,MIN(Controls!$B$18,COUNT($BD$75:$BD$230)))),$BE$75,"")</f>
        <v/>
      </c>
      <c r="BJ75" s="61" t="n"/>
      <c r="BK75" s="61">
        <f>IF($BC$75&lt;Controls!$B$22,"",$BE$75)</f>
        <v/>
      </c>
      <c r="BL75" s="61">
        <f>IF($BC$75&lt;Controls!$B$22,"",$BF$75)</f>
        <v/>
      </c>
      <c r="BM75" s="61">
        <f>IF($BC$75&lt;Controls!$B$22,"",$BG$75)</f>
        <v/>
      </c>
      <c r="BN75" s="61" t="n"/>
      <c r="BO75" s="61" t="n"/>
      <c r="BP75" s="61" t="n"/>
      <c r="BQ75" s="61" t="n"/>
      <c r="BR75" s="61" t="n"/>
      <c r="BS75" s="61" t="n"/>
      <c r="BT75" s="61" t="n"/>
    </row>
    <row r="76" ht="15.75" customHeight="1" s="79">
      <c r="A76" s="61">
        <f t="array" ref="A76">IFERROR(IF(4&gt;Controls!$B$18,"",IF(LARGE(Calc!$AT$143:$AT$298,4)&lt;-100000000000000,"",INDEX(Calc!$AN$143:$AN$298,MATCH(LARGE(Calc!$AT$143:$AT$298,4),Calc!$AT$143:$AT$298,0)))),"")</f>
        <v/>
      </c>
      <c r="B76" s="66">
        <f>IF($A$76="",NA(),IFERROR(SUMIFS(Data!$P$2:$P$1105,Data!$AK$2:$AK$1105,1,Data!$M$2:$M$1105,$A$76),NA()))</f>
        <v/>
      </c>
      <c r="C76" s="66">
        <f>IF($A$76="",NA(),IFERROR(SUMIFS(Data!$S$2:$S$1105,Data!$AK$2:$AK$1105,1,Data!$M$2:$M$1105,$A$76),NA()))</f>
        <v/>
      </c>
      <c r="D76" s="66">
        <f>IF(ISNA($B$76),NA(),$C$76-$B$76)</f>
        <v/>
      </c>
      <c r="E76" s="66">
        <f>IF($A$76="",NA(),IFERROR(SUMIFS(Data!$Q$2:$Q$1105,Data!$AK$2:$AK$1105,1,Data!$M$2:$M$1105,$A$76),NA()))</f>
        <v/>
      </c>
      <c r="F76" s="66">
        <f>IF($A$76="",NA(),IFERROR(SUMIFS(Data!$AN$2:$AN$1105,Data!$AK$2:$AK$1105,1,Data!$M$2:$M$1105,$A$76),NA()))</f>
        <v/>
      </c>
      <c r="G76" s="62">
        <f>IF($A$76="",NA(),IF(COUNTIFS(Data!$AK$2:$AK$1105,1,Data!$M$2:$M$1105,$A$76)&lt;Controls!$B$19,NA(),IFERROR(SUMIFS(Data!$AN$2:$AN$1105,Data!$AK$2:$AK$1105,1,Data!$M$2:$M$1105,$A$76)/$B$76,NA())))</f>
        <v/>
      </c>
      <c r="H76" s="62">
        <f>IF($A$76="",NA(),IF(COUNTIFS(Data!$AK$2:$AK$1105,1,Data!$M$2:$M$1105,$A$76)&lt;Controls!$B$19,NA(),IFERROR(SUMIFS(Data!$S$2:$S$1105,Data!$AK$2:$AK$1105,1,Data!$M$2:$M$1105,$A$76,Data!$AH$2:$AH$1105,1)/SUMIFS(Data!$P$2:$P$1105,Data!$AK$2:$AK$1105,1,Data!$M$2:$M$1105,$A$76,Data!$AH$2:$AH$1105,1),NA())))</f>
        <v/>
      </c>
      <c r="I76" s="62">
        <f>IF(ISNA($J$76),NA(),IF($J$76&lt;Controls!$B$19,NA(),IFERROR($D$76/$B$76,NA())))</f>
        <v/>
      </c>
      <c r="J76" s="67">
        <f>IF($A$76="",NA(),IFERROR(COUNTIFS(Data!$AK$2:$AK$1105,1,Data!$M$2:$M$1105,$A$76),NA()))</f>
        <v/>
      </c>
      <c r="K76" s="62">
        <f>IF(ISNA($B$76),NA(),IFERROR($B$76/Calc!$BT$6,NA()))</f>
        <v/>
      </c>
      <c r="L76" s="66">
        <f>IF(ISNA($J$76),NA(),IF($J$76&lt;Controls!$B$19,NA(),IFERROR($B$76/$J$76,NA())))</f>
        <v/>
      </c>
      <c r="M76" s="67">
        <f>IF($A$76="",NA(),IF(COUNTIFS(Data!$AK$2:$AK$1105,1,Data!$M$2:$M$1105,$A$76)&lt;Controls!$B$19,NA(),IFERROR(AVERAGEIFS(Data!$AE$2:$AE$1105,Data!$AK$2:$AK$1105,1,Data!$M$2:$M$1105,$A$76),NA())))</f>
        <v/>
      </c>
      <c r="N76" s="67">
        <f>IF($A$76="",NA(),IF(COUNTIFS(Data!$AK$2:$AK$1105,1,Data!$M$2:$M$1105,$A$76)&lt;Controls!$B$19,NA(),IFERROR(AVERAGEIFS(Data!$AD$2:$AD$1105,Data!$AK$2:$AK$1105,1,Data!$M$2:$M$1105,$A$76),NA())))</f>
        <v/>
      </c>
      <c r="O76" s="67">
        <f>IF($A$76="",NA(),IF(COUNTIFS(Data!$AK$2:$AK$1105,1,Data!$M$2:$M$1105,$A$76)&lt;Controls!$B$19,NA(),IFERROR(AVERAGEIFS(Data!$AS$2:$AS$1105,Data!$AK$2:$AK$1105,1,Data!$M$2:$M$1105,$A$76),NA())))</f>
        <v/>
      </c>
      <c r="P76" s="67">
        <f>IF($A$76="",NA(),IF(COUNTIFS(Data!$AK$2:$AK$1105,1,Data!$M$2:$M$1105,$A$76)&lt;Controls!$B$19,NA(),IFERROR(AVERAGEIFS(Data!$AT$2:$AT$1105,Data!$AK$2:$AK$1105,1,Data!$M$2:$M$1105,$A$76),NA())))</f>
        <v/>
      </c>
      <c r="Q76" s="62">
        <f>IF($A$76="",NA(),IF(COUNTIFS(Data!$AK$2:$AK$1105,1,Data!$M$2:$M$1105,$A$76)&lt;Controls!$B$19,NA(),IFERROR(COUNTIFS(Data!$AK$2:$AK$1105,1,Data!$M$2:$M$1105,$A$76,Data!$N$2:$N$1105,"Renewal")/COUNTIFS(Data!$AK$2:$AK$1105,1,Data!$M$2:$M$1105,$A$76),NA())))</f>
        <v/>
      </c>
      <c r="R76" s="62">
        <f>IF($A$76="",NA(),IF(COUNTIFS(Data!$AK$2:$AK$1105,1,Data!$M$2:$M$1105,$A$76)&lt;Controls!$B$19,NA(),IFERROR(SUMIFS(Data!$P$2:$P$1105,Data!$AK$2:$AK$1105,1,Data!$M$2:$M$1105,$A$76,Data!$N$2:$N$1105,"Renewal")/SUMIFS(Data!$P$2:$P$1105,Data!$AK$2:$AK$1105,1,Data!$M$2:$M$1105,$A$76),NA())))</f>
        <v/>
      </c>
      <c r="S76" s="62">
        <f>IF($A$76="",NA(),Calc!$BT$2)</f>
        <v/>
      </c>
      <c r="T76" s="62">
        <f>IF($A$76="",NA(),Calc!$BT$3)</f>
        <v/>
      </c>
      <c r="U76" s="62">
        <f>IF($A$76="",NA(),Calc!$BT$4)</f>
        <v/>
      </c>
      <c r="V76" s="62">
        <f>IF($A$76="",NA(),IF(COUNTIFS(Data!$AK$2:$AK$1105,1,Data!$M$2:$M$1105,$A$76)&lt;Controls!$B$19,NA(),IFERROR(COUNTIFS(Data!$AK$2:$AK$1105,1,Data!$M$2:$M$1105,$A$76,Data!$AH$2:$AH$1105,1)/COUNTIFS(Data!$AK$2:$AK$1105,1,Data!$M$2:$M$1105,$A$76),NA())))</f>
        <v/>
      </c>
      <c r="W76" s="61">
        <f>IF($A$76="","",$A$76&amp;" ("&amp;$J$76&amp;")")</f>
        <v/>
      </c>
      <c r="X76" s="61" t="n"/>
      <c r="Y76" s="61" t="n"/>
      <c r="Z76" s="61" t="n"/>
      <c r="AA76" s="61" t="n"/>
      <c r="AB76" s="61" t="n"/>
      <c r="AC76" s="61" t="n"/>
      <c r="AD76" s="61" t="n"/>
      <c r="AE76" s="61" t="n"/>
      <c r="AF76" s="61" t="n"/>
      <c r="AG76" s="61" t="n"/>
      <c r="AH76" s="61" t="n"/>
      <c r="AI76" s="61" t="n"/>
      <c r="AJ76" s="61" t="n"/>
      <c r="AK76" s="61" t="n"/>
      <c r="AL76" s="61" t="n"/>
      <c r="AM76" s="61" t="n"/>
      <c r="AN76" s="61" t="n"/>
      <c r="AO76" s="61" t="n"/>
      <c r="AP76" s="57" t="n"/>
      <c r="AQ76" s="56" t="n"/>
      <c r="AR76" s="57" t="n"/>
      <c r="AS76" s="61" t="n"/>
      <c r="AT76" s="61" t="n"/>
      <c r="AU76" s="57" t="n"/>
      <c r="AV76" s="61" t="n"/>
      <c r="AW76" s="61" t="n"/>
      <c r="AX76" s="61" t="n"/>
      <c r="AY76" s="61" t="n"/>
      <c r="AZ76" s="61" t="n"/>
      <c r="BA76" s="61" t="n"/>
      <c r="BB76" s="61">
        <f>Controls!$G$41</f>
        <v/>
      </c>
      <c r="BC76" s="61">
        <f>COUNTIFS(Data!$AK$2:$AK$1105,1,Data!$M$2:$M$1105,$BB$76)</f>
        <v/>
      </c>
      <c r="BD76" s="57">
        <f>SUMIFS(Data!$P$2:$P$1105,Data!$AK$2:$AK$1105,1,Data!$M$2:$M$1105,$BB$76)</f>
        <v/>
      </c>
      <c r="BE76" s="56">
        <f>IF(COUNTIFS(Data!$AK$2:$AK$1105,1,Data!$M$2:$M$1105,$BB$76)&lt;Controls!$B$19,"",IFERROR(SUMIFS(Data!$AN$2:$AN$1105,Data!$AK$2:$AK$1105,1,Data!$M$2:$M$1105,$BB$76)/$BD$76,""))</f>
        <v/>
      </c>
      <c r="BF76" s="56">
        <f>IF(COUNTIFS(Data!$AK$2:$AK$1105,1,Data!$M$2:$M$1105,$BB$76)&lt;Controls!$B$19,"",IFERROR(SUMIFS(Data!$AM$2:$AM$1105,Data!$AK$2:$AK$1105,1,Data!$M$2:$M$1105,$BB$76)/SUMIFS(Data!$P$2:$P$1105,Data!$AK$2:$AK$1105,1,Data!$M$2:$M$1105,$BB$76),""))</f>
        <v/>
      </c>
      <c r="BG76" s="57">
        <f>SUMIFS(Data!$AN$2:$AN$1105,Data!$AK$2:$AK$1105,1,Data!$M$2:$M$1105,$BB$76)</f>
        <v/>
      </c>
      <c r="BH76" s="61" t="n"/>
      <c r="BI76" s="61">
        <f>IF(AND($BC$76&gt;=Controls!$B$22,$BD$76&gt;=LARGE($BD$75:$BD$230,MIN(Controls!$B$18,COUNT($BD$75:$BD$230)))),$BE$76,"")</f>
        <v/>
      </c>
      <c r="BJ76" s="61" t="n"/>
      <c r="BK76" s="61">
        <f>IF($BC$76&lt;Controls!$B$22,"",$BE$76)</f>
        <v/>
      </c>
      <c r="BL76" s="61">
        <f>IF($BC$76&lt;Controls!$B$22,"",$BF$76)</f>
        <v/>
      </c>
      <c r="BM76" s="61">
        <f>IF($BC$76&lt;Controls!$B$22,"",$BG$76)</f>
        <v/>
      </c>
      <c r="BN76" s="61" t="n"/>
      <c r="BO76" s="61" t="n"/>
      <c r="BP76" s="61" t="n"/>
      <c r="BQ76" s="61" t="n"/>
      <c r="BR76" s="61" t="n"/>
      <c r="BS76" s="61" t="n"/>
      <c r="BT76" s="61" t="n"/>
    </row>
    <row r="77" ht="15.75" customHeight="1" s="79">
      <c r="A77" s="61">
        <f t="array" ref="A77">IFERROR(IF(5&gt;Controls!$B$18,"",IF(LARGE(Calc!$AT$143:$AT$298,5)&lt;-100000000000000,"",INDEX(Calc!$AN$143:$AN$298,MATCH(LARGE(Calc!$AT$143:$AT$298,5),Calc!$AT$143:$AT$298,0)))),"")</f>
        <v/>
      </c>
      <c r="B77" s="66">
        <f>IF($A$77="",NA(),IFERROR(SUMIFS(Data!$P$2:$P$1105,Data!$AK$2:$AK$1105,1,Data!$M$2:$M$1105,$A$77),NA()))</f>
        <v/>
      </c>
      <c r="C77" s="66">
        <f>IF($A$77="",NA(),IFERROR(SUMIFS(Data!$S$2:$S$1105,Data!$AK$2:$AK$1105,1,Data!$M$2:$M$1105,$A$77),NA()))</f>
        <v/>
      </c>
      <c r="D77" s="66">
        <f>IF(ISNA($B$77),NA(),$C$77-$B$77)</f>
        <v/>
      </c>
      <c r="E77" s="66">
        <f>IF($A$77="",NA(),IFERROR(SUMIFS(Data!$Q$2:$Q$1105,Data!$AK$2:$AK$1105,1,Data!$M$2:$M$1105,$A$77),NA()))</f>
        <v/>
      </c>
      <c r="F77" s="66">
        <f>IF($A$77="",NA(),IFERROR(SUMIFS(Data!$AN$2:$AN$1105,Data!$AK$2:$AK$1105,1,Data!$M$2:$M$1105,$A$77),NA()))</f>
        <v/>
      </c>
      <c r="G77" s="62">
        <f>IF($A$77="",NA(),IF(COUNTIFS(Data!$AK$2:$AK$1105,1,Data!$M$2:$M$1105,$A$77)&lt;Controls!$B$19,NA(),IFERROR(SUMIFS(Data!$AN$2:$AN$1105,Data!$AK$2:$AK$1105,1,Data!$M$2:$M$1105,$A$77)/$B$77,NA())))</f>
        <v/>
      </c>
      <c r="H77" s="62">
        <f>IF($A$77="",NA(),IF(COUNTIFS(Data!$AK$2:$AK$1105,1,Data!$M$2:$M$1105,$A$77)&lt;Controls!$B$19,NA(),IFERROR(SUMIFS(Data!$S$2:$S$1105,Data!$AK$2:$AK$1105,1,Data!$M$2:$M$1105,$A$77,Data!$AH$2:$AH$1105,1)/SUMIFS(Data!$P$2:$P$1105,Data!$AK$2:$AK$1105,1,Data!$M$2:$M$1105,$A$77,Data!$AH$2:$AH$1105,1),NA())))</f>
        <v/>
      </c>
      <c r="I77" s="62">
        <f>IF(ISNA($J$77),NA(),IF($J$77&lt;Controls!$B$19,NA(),IFERROR($D$77/$B$77,NA())))</f>
        <v/>
      </c>
      <c r="J77" s="67">
        <f>IF($A$77="",NA(),IFERROR(COUNTIFS(Data!$AK$2:$AK$1105,1,Data!$M$2:$M$1105,$A$77),NA()))</f>
        <v/>
      </c>
      <c r="K77" s="62">
        <f>IF(ISNA($B$77),NA(),IFERROR($B$77/Calc!$BT$6,NA()))</f>
        <v/>
      </c>
      <c r="L77" s="66">
        <f>IF(ISNA($J$77),NA(),IF($J$77&lt;Controls!$B$19,NA(),IFERROR($B$77/$J$77,NA())))</f>
        <v/>
      </c>
      <c r="M77" s="67">
        <f>IF($A$77="",NA(),IF(COUNTIFS(Data!$AK$2:$AK$1105,1,Data!$M$2:$M$1105,$A$77)&lt;Controls!$B$19,NA(),IFERROR(AVERAGEIFS(Data!$AE$2:$AE$1105,Data!$AK$2:$AK$1105,1,Data!$M$2:$M$1105,$A$77),NA())))</f>
        <v/>
      </c>
      <c r="N77" s="67">
        <f>IF($A$77="",NA(),IF(COUNTIFS(Data!$AK$2:$AK$1105,1,Data!$M$2:$M$1105,$A$77)&lt;Controls!$B$19,NA(),IFERROR(AVERAGEIFS(Data!$AD$2:$AD$1105,Data!$AK$2:$AK$1105,1,Data!$M$2:$M$1105,$A$77),NA())))</f>
        <v/>
      </c>
      <c r="O77" s="67">
        <f>IF($A$77="",NA(),IF(COUNTIFS(Data!$AK$2:$AK$1105,1,Data!$M$2:$M$1105,$A$77)&lt;Controls!$B$19,NA(),IFERROR(AVERAGEIFS(Data!$AS$2:$AS$1105,Data!$AK$2:$AK$1105,1,Data!$M$2:$M$1105,$A$77),NA())))</f>
        <v/>
      </c>
      <c r="P77" s="67">
        <f>IF($A$77="",NA(),IF(COUNTIFS(Data!$AK$2:$AK$1105,1,Data!$M$2:$M$1105,$A$77)&lt;Controls!$B$19,NA(),IFERROR(AVERAGEIFS(Data!$AT$2:$AT$1105,Data!$AK$2:$AK$1105,1,Data!$M$2:$M$1105,$A$77),NA())))</f>
        <v/>
      </c>
      <c r="Q77" s="62">
        <f>IF($A$77="",NA(),IF(COUNTIFS(Data!$AK$2:$AK$1105,1,Data!$M$2:$M$1105,$A$77)&lt;Controls!$B$19,NA(),IFERROR(COUNTIFS(Data!$AK$2:$AK$1105,1,Data!$M$2:$M$1105,$A$77,Data!$N$2:$N$1105,"Renewal")/COUNTIFS(Data!$AK$2:$AK$1105,1,Data!$M$2:$M$1105,$A$77),NA())))</f>
        <v/>
      </c>
      <c r="R77" s="62">
        <f>IF($A$77="",NA(),IF(COUNTIFS(Data!$AK$2:$AK$1105,1,Data!$M$2:$M$1105,$A$77)&lt;Controls!$B$19,NA(),IFERROR(SUMIFS(Data!$P$2:$P$1105,Data!$AK$2:$AK$1105,1,Data!$M$2:$M$1105,$A$77,Data!$N$2:$N$1105,"Renewal")/SUMIFS(Data!$P$2:$P$1105,Data!$AK$2:$AK$1105,1,Data!$M$2:$M$1105,$A$77),NA())))</f>
        <v/>
      </c>
      <c r="S77" s="62">
        <f>IF($A$77="",NA(),Calc!$BT$2)</f>
        <v/>
      </c>
      <c r="T77" s="62">
        <f>IF($A$77="",NA(),Calc!$BT$3)</f>
        <v/>
      </c>
      <c r="U77" s="62">
        <f>IF($A$77="",NA(),Calc!$BT$4)</f>
        <v/>
      </c>
      <c r="V77" s="62">
        <f>IF($A$77="",NA(),IF(COUNTIFS(Data!$AK$2:$AK$1105,1,Data!$M$2:$M$1105,$A$77)&lt;Controls!$B$19,NA(),IFERROR(COUNTIFS(Data!$AK$2:$AK$1105,1,Data!$M$2:$M$1105,$A$77,Data!$AH$2:$AH$1105,1)/COUNTIFS(Data!$AK$2:$AK$1105,1,Data!$M$2:$M$1105,$A$77),NA())))</f>
        <v/>
      </c>
      <c r="W77" s="61">
        <f>IF($A$77="","",$A$77&amp;" ("&amp;$J$77&amp;")")</f>
        <v/>
      </c>
      <c r="X77" s="61" t="n"/>
      <c r="Y77" s="61" t="n"/>
      <c r="Z77" s="61" t="n"/>
      <c r="AA77" s="61" t="n"/>
      <c r="AB77" s="61" t="n"/>
      <c r="AC77" s="61" t="n"/>
      <c r="AD77" s="61" t="n"/>
      <c r="AE77" s="61" t="n"/>
      <c r="AF77" s="61" t="n"/>
      <c r="AG77" s="61" t="n"/>
      <c r="AH77" s="61" t="n"/>
      <c r="AI77" s="61" t="n"/>
      <c r="AJ77" s="61" t="n"/>
      <c r="AK77" s="61" t="n"/>
      <c r="AL77" s="61" t="n"/>
      <c r="AM77" s="61" t="n"/>
      <c r="AN77" s="61" t="n"/>
      <c r="AO77" s="61" t="n"/>
      <c r="AP77" s="57" t="n"/>
      <c r="AQ77" s="56" t="n"/>
      <c r="AR77" s="57" t="n"/>
      <c r="AS77" s="61" t="n"/>
      <c r="AT77" s="61" t="n"/>
      <c r="AU77" s="57" t="n"/>
      <c r="AV77" s="61" t="n"/>
      <c r="AW77" s="61" t="n"/>
      <c r="AX77" s="61" t="n"/>
      <c r="AY77" s="61" t="n"/>
      <c r="AZ77" s="61" t="n"/>
      <c r="BA77" s="61" t="n"/>
      <c r="BB77" s="61">
        <f>Controls!$G$42</f>
        <v/>
      </c>
      <c r="BC77" s="61">
        <f>COUNTIFS(Data!$AK$2:$AK$1105,1,Data!$M$2:$M$1105,$BB$77)</f>
        <v/>
      </c>
      <c r="BD77" s="57">
        <f>SUMIFS(Data!$P$2:$P$1105,Data!$AK$2:$AK$1105,1,Data!$M$2:$M$1105,$BB$77)</f>
        <v/>
      </c>
      <c r="BE77" s="56">
        <f>IF(COUNTIFS(Data!$AK$2:$AK$1105,1,Data!$M$2:$M$1105,$BB$77)&lt;Controls!$B$19,"",IFERROR(SUMIFS(Data!$AN$2:$AN$1105,Data!$AK$2:$AK$1105,1,Data!$M$2:$M$1105,$BB$77)/$BD$77,""))</f>
        <v/>
      </c>
      <c r="BF77" s="56">
        <f>IF(COUNTIFS(Data!$AK$2:$AK$1105,1,Data!$M$2:$M$1105,$BB$77)&lt;Controls!$B$19,"",IFERROR(SUMIFS(Data!$AM$2:$AM$1105,Data!$AK$2:$AK$1105,1,Data!$M$2:$M$1105,$BB$77)/SUMIFS(Data!$P$2:$P$1105,Data!$AK$2:$AK$1105,1,Data!$M$2:$M$1105,$BB$77),""))</f>
        <v/>
      </c>
      <c r="BG77" s="57">
        <f>SUMIFS(Data!$AN$2:$AN$1105,Data!$AK$2:$AK$1105,1,Data!$M$2:$M$1105,$BB$77)</f>
        <v/>
      </c>
      <c r="BH77" s="61" t="n"/>
      <c r="BI77" s="61">
        <f>IF(AND($BC$77&gt;=Controls!$B$22,$BD$77&gt;=LARGE($BD$75:$BD$230,MIN(Controls!$B$18,COUNT($BD$75:$BD$230)))),$BE$77,"")</f>
        <v/>
      </c>
      <c r="BJ77" s="61" t="n"/>
      <c r="BK77" s="61">
        <f>IF($BC$77&lt;Controls!$B$22,"",$BE$77)</f>
        <v/>
      </c>
      <c r="BL77" s="61">
        <f>IF($BC$77&lt;Controls!$B$22,"",$BF$77)</f>
        <v/>
      </c>
      <c r="BM77" s="61">
        <f>IF($BC$77&lt;Controls!$B$22,"",$BG$77)</f>
        <v/>
      </c>
      <c r="BN77" s="61" t="n"/>
      <c r="BO77" s="61" t="n"/>
      <c r="BP77" s="61" t="n"/>
      <c r="BQ77" s="61" t="n"/>
      <c r="BR77" s="61" t="n"/>
      <c r="BS77" s="61" t="n"/>
      <c r="BT77" s="61" t="n"/>
    </row>
    <row r="78" ht="15.75" customHeight="1" s="79">
      <c r="A78" s="61">
        <f t="array" ref="A78">IFERROR(IF(6&gt;Controls!$B$18,"",IF(LARGE(Calc!$AT$143:$AT$298,6)&lt;-100000000000000,"",INDEX(Calc!$AN$143:$AN$298,MATCH(LARGE(Calc!$AT$143:$AT$298,6),Calc!$AT$143:$AT$298,0)))),"")</f>
        <v/>
      </c>
      <c r="B78" s="66">
        <f>IF($A$78="",NA(),IFERROR(SUMIFS(Data!$P$2:$P$1105,Data!$AK$2:$AK$1105,1,Data!$M$2:$M$1105,$A$78),NA()))</f>
        <v/>
      </c>
      <c r="C78" s="66">
        <f>IF($A$78="",NA(),IFERROR(SUMIFS(Data!$S$2:$S$1105,Data!$AK$2:$AK$1105,1,Data!$M$2:$M$1105,$A$78),NA()))</f>
        <v/>
      </c>
      <c r="D78" s="66">
        <f>IF(ISNA($B$78),NA(),$C$78-$B$78)</f>
        <v/>
      </c>
      <c r="E78" s="66">
        <f>IF($A$78="",NA(),IFERROR(SUMIFS(Data!$Q$2:$Q$1105,Data!$AK$2:$AK$1105,1,Data!$M$2:$M$1105,$A$78),NA()))</f>
        <v/>
      </c>
      <c r="F78" s="66">
        <f>IF($A$78="",NA(),IFERROR(SUMIFS(Data!$AN$2:$AN$1105,Data!$AK$2:$AK$1105,1,Data!$M$2:$M$1105,$A$78),NA()))</f>
        <v/>
      </c>
      <c r="G78" s="62">
        <f>IF($A$78="",NA(),IF(COUNTIFS(Data!$AK$2:$AK$1105,1,Data!$M$2:$M$1105,$A$78)&lt;Controls!$B$19,NA(),IFERROR(SUMIFS(Data!$AN$2:$AN$1105,Data!$AK$2:$AK$1105,1,Data!$M$2:$M$1105,$A$78)/$B$78,NA())))</f>
        <v/>
      </c>
      <c r="H78" s="62">
        <f>IF($A$78="",NA(),IF(COUNTIFS(Data!$AK$2:$AK$1105,1,Data!$M$2:$M$1105,$A$78)&lt;Controls!$B$19,NA(),IFERROR(SUMIFS(Data!$S$2:$S$1105,Data!$AK$2:$AK$1105,1,Data!$M$2:$M$1105,$A$78,Data!$AH$2:$AH$1105,1)/SUMIFS(Data!$P$2:$P$1105,Data!$AK$2:$AK$1105,1,Data!$M$2:$M$1105,$A$78,Data!$AH$2:$AH$1105,1),NA())))</f>
        <v/>
      </c>
      <c r="I78" s="62">
        <f>IF(ISNA($J$78),NA(),IF($J$78&lt;Controls!$B$19,NA(),IFERROR($D$78/$B$78,NA())))</f>
        <v/>
      </c>
      <c r="J78" s="67">
        <f>IF($A$78="",NA(),IFERROR(COUNTIFS(Data!$AK$2:$AK$1105,1,Data!$M$2:$M$1105,$A$78),NA()))</f>
        <v/>
      </c>
      <c r="K78" s="62">
        <f>IF(ISNA($B$78),NA(),IFERROR($B$78/Calc!$BT$6,NA()))</f>
        <v/>
      </c>
      <c r="L78" s="66">
        <f>IF(ISNA($J$78),NA(),IF($J$78&lt;Controls!$B$19,NA(),IFERROR($B$78/$J$78,NA())))</f>
        <v/>
      </c>
      <c r="M78" s="67">
        <f>IF($A$78="",NA(),IF(COUNTIFS(Data!$AK$2:$AK$1105,1,Data!$M$2:$M$1105,$A$78)&lt;Controls!$B$19,NA(),IFERROR(AVERAGEIFS(Data!$AE$2:$AE$1105,Data!$AK$2:$AK$1105,1,Data!$M$2:$M$1105,$A$78),NA())))</f>
        <v/>
      </c>
      <c r="N78" s="67">
        <f>IF($A$78="",NA(),IF(COUNTIFS(Data!$AK$2:$AK$1105,1,Data!$M$2:$M$1105,$A$78)&lt;Controls!$B$19,NA(),IFERROR(AVERAGEIFS(Data!$AD$2:$AD$1105,Data!$AK$2:$AK$1105,1,Data!$M$2:$M$1105,$A$78),NA())))</f>
        <v/>
      </c>
      <c r="O78" s="67">
        <f>IF($A$78="",NA(),IF(COUNTIFS(Data!$AK$2:$AK$1105,1,Data!$M$2:$M$1105,$A$78)&lt;Controls!$B$19,NA(),IFERROR(AVERAGEIFS(Data!$AS$2:$AS$1105,Data!$AK$2:$AK$1105,1,Data!$M$2:$M$1105,$A$78),NA())))</f>
        <v/>
      </c>
      <c r="P78" s="67">
        <f>IF($A$78="",NA(),IF(COUNTIFS(Data!$AK$2:$AK$1105,1,Data!$M$2:$M$1105,$A$78)&lt;Controls!$B$19,NA(),IFERROR(AVERAGEIFS(Data!$AT$2:$AT$1105,Data!$AK$2:$AK$1105,1,Data!$M$2:$M$1105,$A$78),NA())))</f>
        <v/>
      </c>
      <c r="Q78" s="62">
        <f>IF($A$78="",NA(),IF(COUNTIFS(Data!$AK$2:$AK$1105,1,Data!$M$2:$M$1105,$A$78)&lt;Controls!$B$19,NA(),IFERROR(COUNTIFS(Data!$AK$2:$AK$1105,1,Data!$M$2:$M$1105,$A$78,Data!$N$2:$N$1105,"Renewal")/COUNTIFS(Data!$AK$2:$AK$1105,1,Data!$M$2:$M$1105,$A$78),NA())))</f>
        <v/>
      </c>
      <c r="R78" s="62">
        <f>IF($A$78="",NA(),IF(COUNTIFS(Data!$AK$2:$AK$1105,1,Data!$M$2:$M$1105,$A$78)&lt;Controls!$B$19,NA(),IFERROR(SUMIFS(Data!$P$2:$P$1105,Data!$AK$2:$AK$1105,1,Data!$M$2:$M$1105,$A$78,Data!$N$2:$N$1105,"Renewal")/SUMIFS(Data!$P$2:$P$1105,Data!$AK$2:$AK$1105,1,Data!$M$2:$M$1105,$A$78),NA())))</f>
        <v/>
      </c>
      <c r="S78" s="62">
        <f>IF($A$78="",NA(),Calc!$BT$2)</f>
        <v/>
      </c>
      <c r="T78" s="62">
        <f>IF($A$78="",NA(),Calc!$BT$3)</f>
        <v/>
      </c>
      <c r="U78" s="62">
        <f>IF($A$78="",NA(),Calc!$BT$4)</f>
        <v/>
      </c>
      <c r="V78" s="62">
        <f>IF($A$78="",NA(),IF(COUNTIFS(Data!$AK$2:$AK$1105,1,Data!$M$2:$M$1105,$A$78)&lt;Controls!$B$19,NA(),IFERROR(COUNTIFS(Data!$AK$2:$AK$1105,1,Data!$M$2:$M$1105,$A$78,Data!$AH$2:$AH$1105,1)/COUNTIFS(Data!$AK$2:$AK$1105,1,Data!$M$2:$M$1105,$A$78),NA())))</f>
        <v/>
      </c>
      <c r="W78" s="61">
        <f>IF($A$78="","",$A$78&amp;" ("&amp;$J$78&amp;")")</f>
        <v/>
      </c>
      <c r="X78" s="61" t="n"/>
      <c r="Y78" s="61" t="n"/>
      <c r="Z78" s="61" t="n"/>
      <c r="AA78" s="61" t="n"/>
      <c r="AB78" s="61" t="n"/>
      <c r="AC78" s="61" t="n"/>
      <c r="AD78" s="61" t="n"/>
      <c r="AE78" s="61" t="n"/>
      <c r="AF78" s="61" t="n"/>
      <c r="AG78" s="61" t="n"/>
      <c r="AH78" s="61" t="n"/>
      <c r="AI78" s="61" t="n"/>
      <c r="AJ78" s="61" t="n"/>
      <c r="AK78" s="61" t="n"/>
      <c r="AL78" s="61" t="n"/>
      <c r="AM78" s="61" t="n"/>
      <c r="AN78" s="61" t="n"/>
      <c r="AO78" s="61" t="n"/>
      <c r="AP78" s="57" t="n"/>
      <c r="AQ78" s="56" t="n"/>
      <c r="AR78" s="57" t="n"/>
      <c r="AS78" s="61" t="n"/>
      <c r="AT78" s="61" t="n"/>
      <c r="AU78" s="57" t="n"/>
      <c r="AV78" s="61" t="n"/>
      <c r="AW78" s="61" t="n"/>
      <c r="AX78" s="61" t="n"/>
      <c r="AY78" s="61" t="n"/>
      <c r="AZ78" s="61" t="n"/>
      <c r="BA78" s="61" t="n"/>
      <c r="BB78" s="61">
        <f>Controls!$G$43</f>
        <v/>
      </c>
      <c r="BC78" s="61">
        <f>COUNTIFS(Data!$AK$2:$AK$1105,1,Data!$M$2:$M$1105,$BB$78)</f>
        <v/>
      </c>
      <c r="BD78" s="57">
        <f>SUMIFS(Data!$P$2:$P$1105,Data!$AK$2:$AK$1105,1,Data!$M$2:$M$1105,$BB$78)</f>
        <v/>
      </c>
      <c r="BE78" s="56">
        <f>IF(COUNTIFS(Data!$AK$2:$AK$1105,1,Data!$M$2:$M$1105,$BB$78)&lt;Controls!$B$19,"",IFERROR(SUMIFS(Data!$AN$2:$AN$1105,Data!$AK$2:$AK$1105,1,Data!$M$2:$M$1105,$BB$78)/$BD$78,""))</f>
        <v/>
      </c>
      <c r="BF78" s="56">
        <f>IF(COUNTIFS(Data!$AK$2:$AK$1105,1,Data!$M$2:$M$1105,$BB$78)&lt;Controls!$B$19,"",IFERROR(SUMIFS(Data!$AM$2:$AM$1105,Data!$AK$2:$AK$1105,1,Data!$M$2:$M$1105,$BB$78)/SUMIFS(Data!$P$2:$P$1105,Data!$AK$2:$AK$1105,1,Data!$M$2:$M$1105,$BB$78),""))</f>
        <v/>
      </c>
      <c r="BG78" s="57">
        <f>SUMIFS(Data!$AN$2:$AN$1105,Data!$AK$2:$AK$1105,1,Data!$M$2:$M$1105,$BB$78)</f>
        <v/>
      </c>
      <c r="BH78" s="61" t="n"/>
      <c r="BI78" s="61">
        <f>IF(AND($BC$78&gt;=Controls!$B$22,$BD$78&gt;=LARGE($BD$75:$BD$230,MIN(Controls!$B$18,COUNT($BD$75:$BD$230)))),$BE$78,"")</f>
        <v/>
      </c>
      <c r="BJ78" s="61" t="n"/>
      <c r="BK78" s="61">
        <f>IF($BC$78&lt;Controls!$B$22,"",$BE$78)</f>
        <v/>
      </c>
      <c r="BL78" s="61">
        <f>IF($BC$78&lt;Controls!$B$22,"",$BF$78)</f>
        <v/>
      </c>
      <c r="BM78" s="61">
        <f>IF($BC$78&lt;Controls!$B$22,"",$BG$78)</f>
        <v/>
      </c>
      <c r="BN78" s="61" t="n"/>
      <c r="BO78" s="61" t="n"/>
      <c r="BP78" s="61" t="n"/>
      <c r="BQ78" s="61" t="n"/>
      <c r="BR78" s="61" t="n"/>
      <c r="BS78" s="61" t="n"/>
      <c r="BT78" s="61" t="n"/>
    </row>
    <row r="79" ht="15.75" customHeight="1" s="79">
      <c r="A79" s="61">
        <f t="array" ref="A79">IFERROR(IF(7&gt;Controls!$B$18,"",IF(LARGE(Calc!$AT$143:$AT$298,7)&lt;-100000000000000,"",INDEX(Calc!$AN$143:$AN$298,MATCH(LARGE(Calc!$AT$143:$AT$298,7),Calc!$AT$143:$AT$298,0)))),"")</f>
        <v/>
      </c>
      <c r="B79" s="66">
        <f>IF($A$79="",NA(),IFERROR(SUMIFS(Data!$P$2:$P$1105,Data!$AK$2:$AK$1105,1,Data!$M$2:$M$1105,$A$79),NA()))</f>
        <v/>
      </c>
      <c r="C79" s="66">
        <f>IF($A$79="",NA(),IFERROR(SUMIFS(Data!$S$2:$S$1105,Data!$AK$2:$AK$1105,1,Data!$M$2:$M$1105,$A$79),NA()))</f>
        <v/>
      </c>
      <c r="D79" s="66">
        <f>IF(ISNA($B$79),NA(),$C$79-$B$79)</f>
        <v/>
      </c>
      <c r="E79" s="66">
        <f>IF($A$79="",NA(),IFERROR(SUMIFS(Data!$Q$2:$Q$1105,Data!$AK$2:$AK$1105,1,Data!$M$2:$M$1105,$A$79),NA()))</f>
        <v/>
      </c>
      <c r="F79" s="66">
        <f>IF($A$79="",NA(),IFERROR(SUMIFS(Data!$AN$2:$AN$1105,Data!$AK$2:$AK$1105,1,Data!$M$2:$M$1105,$A$79),NA()))</f>
        <v/>
      </c>
      <c r="G79" s="62">
        <f>IF($A$79="",NA(),IF(COUNTIFS(Data!$AK$2:$AK$1105,1,Data!$M$2:$M$1105,$A$79)&lt;Controls!$B$19,NA(),IFERROR(SUMIFS(Data!$AN$2:$AN$1105,Data!$AK$2:$AK$1105,1,Data!$M$2:$M$1105,$A$79)/$B$79,NA())))</f>
        <v/>
      </c>
      <c r="H79" s="62">
        <f>IF($A$79="",NA(),IF(COUNTIFS(Data!$AK$2:$AK$1105,1,Data!$M$2:$M$1105,$A$79)&lt;Controls!$B$19,NA(),IFERROR(SUMIFS(Data!$S$2:$S$1105,Data!$AK$2:$AK$1105,1,Data!$M$2:$M$1105,$A$79,Data!$AH$2:$AH$1105,1)/SUMIFS(Data!$P$2:$P$1105,Data!$AK$2:$AK$1105,1,Data!$M$2:$M$1105,$A$79,Data!$AH$2:$AH$1105,1),NA())))</f>
        <v/>
      </c>
      <c r="I79" s="62">
        <f>IF(ISNA($J$79),NA(),IF($J$79&lt;Controls!$B$19,NA(),IFERROR($D$79/$B$79,NA())))</f>
        <v/>
      </c>
      <c r="J79" s="67">
        <f>IF($A$79="",NA(),IFERROR(COUNTIFS(Data!$AK$2:$AK$1105,1,Data!$M$2:$M$1105,$A$79),NA()))</f>
        <v/>
      </c>
      <c r="K79" s="62">
        <f>IF(ISNA($B$79),NA(),IFERROR($B$79/Calc!$BT$6,NA()))</f>
        <v/>
      </c>
      <c r="L79" s="66">
        <f>IF(ISNA($J$79),NA(),IF($J$79&lt;Controls!$B$19,NA(),IFERROR($B$79/$J$79,NA())))</f>
        <v/>
      </c>
      <c r="M79" s="67">
        <f>IF($A$79="",NA(),IF(COUNTIFS(Data!$AK$2:$AK$1105,1,Data!$M$2:$M$1105,$A$79)&lt;Controls!$B$19,NA(),IFERROR(AVERAGEIFS(Data!$AE$2:$AE$1105,Data!$AK$2:$AK$1105,1,Data!$M$2:$M$1105,$A$79),NA())))</f>
        <v/>
      </c>
      <c r="N79" s="67">
        <f>IF($A$79="",NA(),IF(COUNTIFS(Data!$AK$2:$AK$1105,1,Data!$M$2:$M$1105,$A$79)&lt;Controls!$B$19,NA(),IFERROR(AVERAGEIFS(Data!$AD$2:$AD$1105,Data!$AK$2:$AK$1105,1,Data!$M$2:$M$1105,$A$79),NA())))</f>
        <v/>
      </c>
      <c r="O79" s="67">
        <f>IF($A$79="",NA(),IF(COUNTIFS(Data!$AK$2:$AK$1105,1,Data!$M$2:$M$1105,$A$79)&lt;Controls!$B$19,NA(),IFERROR(AVERAGEIFS(Data!$AS$2:$AS$1105,Data!$AK$2:$AK$1105,1,Data!$M$2:$M$1105,$A$79),NA())))</f>
        <v/>
      </c>
      <c r="P79" s="67">
        <f>IF($A$79="",NA(),IF(COUNTIFS(Data!$AK$2:$AK$1105,1,Data!$M$2:$M$1105,$A$79)&lt;Controls!$B$19,NA(),IFERROR(AVERAGEIFS(Data!$AT$2:$AT$1105,Data!$AK$2:$AK$1105,1,Data!$M$2:$M$1105,$A$79),NA())))</f>
        <v/>
      </c>
      <c r="Q79" s="62">
        <f>IF($A$79="",NA(),IF(COUNTIFS(Data!$AK$2:$AK$1105,1,Data!$M$2:$M$1105,$A$79)&lt;Controls!$B$19,NA(),IFERROR(COUNTIFS(Data!$AK$2:$AK$1105,1,Data!$M$2:$M$1105,$A$79,Data!$N$2:$N$1105,"Renewal")/COUNTIFS(Data!$AK$2:$AK$1105,1,Data!$M$2:$M$1105,$A$79),NA())))</f>
        <v/>
      </c>
      <c r="R79" s="62">
        <f>IF($A$79="",NA(),IF(COUNTIFS(Data!$AK$2:$AK$1105,1,Data!$M$2:$M$1105,$A$79)&lt;Controls!$B$19,NA(),IFERROR(SUMIFS(Data!$P$2:$P$1105,Data!$AK$2:$AK$1105,1,Data!$M$2:$M$1105,$A$79,Data!$N$2:$N$1105,"Renewal")/SUMIFS(Data!$P$2:$P$1105,Data!$AK$2:$AK$1105,1,Data!$M$2:$M$1105,$A$79),NA())))</f>
        <v/>
      </c>
      <c r="S79" s="62">
        <f>IF($A$79="",NA(),Calc!$BT$2)</f>
        <v/>
      </c>
      <c r="T79" s="62">
        <f>IF($A$79="",NA(),Calc!$BT$3)</f>
        <v/>
      </c>
      <c r="U79" s="62">
        <f>IF($A$79="",NA(),Calc!$BT$4)</f>
        <v/>
      </c>
      <c r="V79" s="62">
        <f>IF($A$79="",NA(),IF(COUNTIFS(Data!$AK$2:$AK$1105,1,Data!$M$2:$M$1105,$A$79)&lt;Controls!$B$19,NA(),IFERROR(COUNTIFS(Data!$AK$2:$AK$1105,1,Data!$M$2:$M$1105,$A$79,Data!$AH$2:$AH$1105,1)/COUNTIFS(Data!$AK$2:$AK$1105,1,Data!$M$2:$M$1105,$A$79),NA())))</f>
        <v/>
      </c>
      <c r="W79" s="61">
        <f>IF($A$79="","",$A$79&amp;" ("&amp;$J$79&amp;")")</f>
        <v/>
      </c>
      <c r="X79" s="61" t="n"/>
      <c r="Y79" s="61" t="n"/>
      <c r="Z79" s="61" t="n"/>
      <c r="AA79" s="61" t="n"/>
      <c r="AB79" s="61" t="n"/>
      <c r="AC79" s="61" t="n"/>
      <c r="AD79" s="61" t="n"/>
      <c r="AE79" s="61" t="n"/>
      <c r="AF79" s="61" t="n"/>
      <c r="AG79" s="61" t="n"/>
      <c r="AH79" s="61" t="n"/>
      <c r="AI79" s="61" t="n"/>
      <c r="AJ79" s="61" t="n"/>
      <c r="AK79" s="61" t="n"/>
      <c r="AL79" s="61" t="n"/>
      <c r="AM79" s="61" t="n"/>
      <c r="AN79" s="61" t="n"/>
      <c r="AO79" s="61" t="n"/>
      <c r="AP79" s="57" t="n"/>
      <c r="AQ79" s="56" t="n"/>
      <c r="AR79" s="57" t="n"/>
      <c r="AS79" s="61" t="n"/>
      <c r="AT79" s="61" t="n"/>
      <c r="AU79" s="57" t="n"/>
      <c r="AV79" s="61" t="n"/>
      <c r="AW79" s="61" t="n"/>
      <c r="AX79" s="61" t="n"/>
      <c r="AY79" s="61" t="n"/>
      <c r="AZ79" s="61" t="n"/>
      <c r="BA79" s="61" t="n"/>
      <c r="BB79" s="61">
        <f>Controls!$G$44</f>
        <v/>
      </c>
      <c r="BC79" s="61">
        <f>COUNTIFS(Data!$AK$2:$AK$1105,1,Data!$M$2:$M$1105,$BB$79)</f>
        <v/>
      </c>
      <c r="BD79" s="57">
        <f>SUMIFS(Data!$P$2:$P$1105,Data!$AK$2:$AK$1105,1,Data!$M$2:$M$1105,$BB$79)</f>
        <v/>
      </c>
      <c r="BE79" s="56">
        <f>IF(COUNTIFS(Data!$AK$2:$AK$1105,1,Data!$M$2:$M$1105,$BB$79)&lt;Controls!$B$19,"",IFERROR(SUMIFS(Data!$AN$2:$AN$1105,Data!$AK$2:$AK$1105,1,Data!$M$2:$M$1105,$BB$79)/$BD$79,""))</f>
        <v/>
      </c>
      <c r="BF79" s="56">
        <f>IF(COUNTIFS(Data!$AK$2:$AK$1105,1,Data!$M$2:$M$1105,$BB$79)&lt;Controls!$B$19,"",IFERROR(SUMIFS(Data!$AM$2:$AM$1105,Data!$AK$2:$AK$1105,1,Data!$M$2:$M$1105,$BB$79)/SUMIFS(Data!$P$2:$P$1105,Data!$AK$2:$AK$1105,1,Data!$M$2:$M$1105,$BB$79),""))</f>
        <v/>
      </c>
      <c r="BG79" s="57">
        <f>SUMIFS(Data!$AN$2:$AN$1105,Data!$AK$2:$AK$1105,1,Data!$M$2:$M$1105,$BB$79)</f>
        <v/>
      </c>
      <c r="BH79" s="61" t="n"/>
      <c r="BI79" s="61">
        <f>IF(AND($BC$79&gt;=Controls!$B$22,$BD$79&gt;=LARGE($BD$75:$BD$230,MIN(Controls!$B$18,COUNT($BD$75:$BD$230)))),$BE$79,"")</f>
        <v/>
      </c>
      <c r="BJ79" s="61" t="n"/>
      <c r="BK79" s="61">
        <f>IF($BC$79&lt;Controls!$B$22,"",$BE$79)</f>
        <v/>
      </c>
      <c r="BL79" s="61">
        <f>IF($BC$79&lt;Controls!$B$22,"",$BF$79)</f>
        <v/>
      </c>
      <c r="BM79" s="61">
        <f>IF($BC$79&lt;Controls!$B$22,"",$BG$79)</f>
        <v/>
      </c>
      <c r="BN79" s="61" t="n"/>
      <c r="BO79" s="61" t="n"/>
      <c r="BP79" s="61" t="n"/>
      <c r="BQ79" s="61" t="n"/>
      <c r="BR79" s="61" t="n"/>
      <c r="BS79" s="61" t="n"/>
      <c r="BT79" s="61" t="n"/>
    </row>
    <row r="80" ht="15.75" customHeight="1" s="79">
      <c r="A80" s="61">
        <f t="array" ref="A80">IFERROR(IF(8&gt;Controls!$B$18,"",IF(LARGE(Calc!$AT$143:$AT$298,8)&lt;-100000000000000,"",INDEX(Calc!$AN$143:$AN$298,MATCH(LARGE(Calc!$AT$143:$AT$298,8),Calc!$AT$143:$AT$298,0)))),"")</f>
        <v/>
      </c>
      <c r="B80" s="66">
        <f>IF($A$80="",NA(),IFERROR(SUMIFS(Data!$P$2:$P$1105,Data!$AK$2:$AK$1105,1,Data!$M$2:$M$1105,$A$80),NA()))</f>
        <v/>
      </c>
      <c r="C80" s="66">
        <f>IF($A$80="",NA(),IFERROR(SUMIFS(Data!$S$2:$S$1105,Data!$AK$2:$AK$1105,1,Data!$M$2:$M$1105,$A$80),NA()))</f>
        <v/>
      </c>
      <c r="D80" s="66">
        <f>IF(ISNA($B$80),NA(),$C$80-$B$80)</f>
        <v/>
      </c>
      <c r="E80" s="66">
        <f>IF($A$80="",NA(),IFERROR(SUMIFS(Data!$Q$2:$Q$1105,Data!$AK$2:$AK$1105,1,Data!$M$2:$M$1105,$A$80),NA()))</f>
        <v/>
      </c>
      <c r="F80" s="66">
        <f>IF($A$80="",NA(),IFERROR(SUMIFS(Data!$AN$2:$AN$1105,Data!$AK$2:$AK$1105,1,Data!$M$2:$M$1105,$A$80),NA()))</f>
        <v/>
      </c>
      <c r="G80" s="62">
        <f>IF($A$80="",NA(),IF(COUNTIFS(Data!$AK$2:$AK$1105,1,Data!$M$2:$M$1105,$A$80)&lt;Controls!$B$19,NA(),IFERROR(SUMIFS(Data!$AN$2:$AN$1105,Data!$AK$2:$AK$1105,1,Data!$M$2:$M$1105,$A$80)/$B$80,NA())))</f>
        <v/>
      </c>
      <c r="H80" s="62">
        <f>IF($A$80="",NA(),IF(COUNTIFS(Data!$AK$2:$AK$1105,1,Data!$M$2:$M$1105,$A$80)&lt;Controls!$B$19,NA(),IFERROR(SUMIFS(Data!$S$2:$S$1105,Data!$AK$2:$AK$1105,1,Data!$M$2:$M$1105,$A$80,Data!$AH$2:$AH$1105,1)/SUMIFS(Data!$P$2:$P$1105,Data!$AK$2:$AK$1105,1,Data!$M$2:$M$1105,$A$80,Data!$AH$2:$AH$1105,1),NA())))</f>
        <v/>
      </c>
      <c r="I80" s="62">
        <f>IF(ISNA($J$80),NA(),IF($J$80&lt;Controls!$B$19,NA(),IFERROR($D$80/$B$80,NA())))</f>
        <v/>
      </c>
      <c r="J80" s="67">
        <f>IF($A$80="",NA(),IFERROR(COUNTIFS(Data!$AK$2:$AK$1105,1,Data!$M$2:$M$1105,$A$80),NA()))</f>
        <v/>
      </c>
      <c r="K80" s="62">
        <f>IF(ISNA($B$80),NA(),IFERROR($B$80/Calc!$BT$6,NA()))</f>
        <v/>
      </c>
      <c r="L80" s="66">
        <f>IF(ISNA($J$80),NA(),IF($J$80&lt;Controls!$B$19,NA(),IFERROR($B$80/$J$80,NA())))</f>
        <v/>
      </c>
      <c r="M80" s="67">
        <f>IF($A$80="",NA(),IF(COUNTIFS(Data!$AK$2:$AK$1105,1,Data!$M$2:$M$1105,$A$80)&lt;Controls!$B$19,NA(),IFERROR(AVERAGEIFS(Data!$AE$2:$AE$1105,Data!$AK$2:$AK$1105,1,Data!$M$2:$M$1105,$A$80),NA())))</f>
        <v/>
      </c>
      <c r="N80" s="67">
        <f>IF($A$80="",NA(),IF(COUNTIFS(Data!$AK$2:$AK$1105,1,Data!$M$2:$M$1105,$A$80)&lt;Controls!$B$19,NA(),IFERROR(AVERAGEIFS(Data!$AD$2:$AD$1105,Data!$AK$2:$AK$1105,1,Data!$M$2:$M$1105,$A$80),NA())))</f>
        <v/>
      </c>
      <c r="O80" s="67">
        <f>IF($A$80="",NA(),IF(COUNTIFS(Data!$AK$2:$AK$1105,1,Data!$M$2:$M$1105,$A$80)&lt;Controls!$B$19,NA(),IFERROR(AVERAGEIFS(Data!$AS$2:$AS$1105,Data!$AK$2:$AK$1105,1,Data!$M$2:$M$1105,$A$80),NA())))</f>
        <v/>
      </c>
      <c r="P80" s="67">
        <f>IF($A$80="",NA(),IF(COUNTIFS(Data!$AK$2:$AK$1105,1,Data!$M$2:$M$1105,$A$80)&lt;Controls!$B$19,NA(),IFERROR(AVERAGEIFS(Data!$AT$2:$AT$1105,Data!$AK$2:$AK$1105,1,Data!$M$2:$M$1105,$A$80),NA())))</f>
        <v/>
      </c>
      <c r="Q80" s="62">
        <f>IF($A$80="",NA(),IF(COUNTIFS(Data!$AK$2:$AK$1105,1,Data!$M$2:$M$1105,$A$80)&lt;Controls!$B$19,NA(),IFERROR(COUNTIFS(Data!$AK$2:$AK$1105,1,Data!$M$2:$M$1105,$A$80,Data!$N$2:$N$1105,"Renewal")/COUNTIFS(Data!$AK$2:$AK$1105,1,Data!$M$2:$M$1105,$A$80),NA())))</f>
        <v/>
      </c>
      <c r="R80" s="62">
        <f>IF($A$80="",NA(),IF(COUNTIFS(Data!$AK$2:$AK$1105,1,Data!$M$2:$M$1105,$A$80)&lt;Controls!$B$19,NA(),IFERROR(SUMIFS(Data!$P$2:$P$1105,Data!$AK$2:$AK$1105,1,Data!$M$2:$M$1105,$A$80,Data!$N$2:$N$1105,"Renewal")/SUMIFS(Data!$P$2:$P$1105,Data!$AK$2:$AK$1105,1,Data!$M$2:$M$1105,$A$80),NA())))</f>
        <v/>
      </c>
      <c r="S80" s="62">
        <f>IF($A$80="",NA(),Calc!$BT$2)</f>
        <v/>
      </c>
      <c r="T80" s="62">
        <f>IF($A$80="",NA(),Calc!$BT$3)</f>
        <v/>
      </c>
      <c r="U80" s="62">
        <f>IF($A$80="",NA(),Calc!$BT$4)</f>
        <v/>
      </c>
      <c r="V80" s="62">
        <f>IF($A$80="",NA(),IF(COUNTIFS(Data!$AK$2:$AK$1105,1,Data!$M$2:$M$1105,$A$80)&lt;Controls!$B$19,NA(),IFERROR(COUNTIFS(Data!$AK$2:$AK$1105,1,Data!$M$2:$M$1105,$A$80,Data!$AH$2:$AH$1105,1)/COUNTIFS(Data!$AK$2:$AK$1105,1,Data!$M$2:$M$1105,$A$80),NA())))</f>
        <v/>
      </c>
      <c r="W80" s="61">
        <f>IF($A$80="","",$A$80&amp;" ("&amp;$J$80&amp;")")</f>
        <v/>
      </c>
      <c r="X80" s="61" t="n"/>
      <c r="Y80" s="61" t="n"/>
      <c r="Z80" s="61" t="n"/>
      <c r="AA80" s="61" t="n"/>
      <c r="AB80" s="61" t="n"/>
      <c r="AC80" s="61" t="n"/>
      <c r="AD80" s="61" t="n"/>
      <c r="AE80" s="61" t="n"/>
      <c r="AF80" s="61" t="n"/>
      <c r="AG80" s="61" t="n"/>
      <c r="AH80" s="61" t="n"/>
      <c r="AI80" s="61" t="n"/>
      <c r="AJ80" s="61" t="n"/>
      <c r="AK80" s="61" t="n"/>
      <c r="AL80" s="61" t="n"/>
      <c r="AM80" s="61" t="n"/>
      <c r="AN80" s="61" t="n"/>
      <c r="AO80" s="61" t="inlineStr">
        <is>
          <t>Deals in scope</t>
        </is>
      </c>
      <c r="AP80" s="57" t="inlineStr">
        <is>
          <t>Funded $</t>
        </is>
      </c>
      <c r="AQ80" s="56" t="inlineStr">
        <is>
          <t>Principal lost rate</t>
        </is>
      </c>
      <c r="AR80" s="57" t="inlineStr">
        <is>
          <t>Principal lost $</t>
        </is>
      </c>
      <c r="AS80" s="61" t="inlineStr">
        <is>
          <t>Include? (from Controls)</t>
        </is>
      </c>
      <c r="AT80" s="61" t="inlineStr">
        <is>
          <t>Sort key: the metric named by the selection mode, +1/1,000,000 tie-breaker. -1e15 is the exclusion sentinel: no deals, fewer deals than Controls B20 (appear-at-all threshold), blank category with exclude=Y, not selected, or under the rate threshold B19 in a rate mode.</t>
        </is>
      </c>
      <c r="AU80" s="57" t="inlineStr">
        <is>
          <t>Net profit / loss $</t>
        </is>
      </c>
      <c r="AV80" s="61" t="n"/>
      <c r="AW80" s="61" t="n"/>
      <c r="AX80" s="61" t="n"/>
      <c r="AY80" s="61" t="n"/>
      <c r="AZ80" s="61" t="n"/>
      <c r="BA80" s="61" t="n"/>
      <c r="BB80" s="61">
        <f>Controls!$G$45</f>
        <v/>
      </c>
      <c r="BC80" s="61">
        <f>COUNTIFS(Data!$AK$2:$AK$1105,1,Data!$M$2:$M$1105,$BB$80)</f>
        <v/>
      </c>
      <c r="BD80" s="57">
        <f>SUMIFS(Data!$P$2:$P$1105,Data!$AK$2:$AK$1105,1,Data!$M$2:$M$1105,$BB$80)</f>
        <v/>
      </c>
      <c r="BE80" s="56">
        <f>IF(COUNTIFS(Data!$AK$2:$AK$1105,1,Data!$M$2:$M$1105,$BB$80)&lt;Controls!$B$19,"",IFERROR(SUMIFS(Data!$AN$2:$AN$1105,Data!$AK$2:$AK$1105,1,Data!$M$2:$M$1105,$BB$80)/$BD$80,""))</f>
        <v/>
      </c>
      <c r="BF80" s="56">
        <f>IF(COUNTIFS(Data!$AK$2:$AK$1105,1,Data!$M$2:$M$1105,$BB$80)&lt;Controls!$B$19,"",IFERROR(SUMIFS(Data!$AM$2:$AM$1105,Data!$AK$2:$AK$1105,1,Data!$M$2:$M$1105,$BB$80)/SUMIFS(Data!$P$2:$P$1105,Data!$AK$2:$AK$1105,1,Data!$M$2:$M$1105,$BB$80),""))</f>
        <v/>
      </c>
      <c r="BG80" s="57">
        <f>SUMIFS(Data!$AN$2:$AN$1105,Data!$AK$2:$AK$1105,1,Data!$M$2:$M$1105,$BB$80)</f>
        <v/>
      </c>
      <c r="BH80" s="61" t="n"/>
      <c r="BI80" s="61">
        <f>IF(AND($BC$80&gt;=Controls!$B$22,$BD$80&gt;=LARGE($BD$75:$BD$230,MIN(Controls!$B$18,COUNT($BD$75:$BD$230)))),$BE$80,"")</f>
        <v/>
      </c>
      <c r="BJ80" s="61" t="n"/>
      <c r="BK80" s="61">
        <f>IF($BC$80&lt;Controls!$B$22,"",$BE$80)</f>
        <v/>
      </c>
      <c r="BL80" s="61">
        <f>IF($BC$80&lt;Controls!$B$22,"",$BF$80)</f>
        <v/>
      </c>
      <c r="BM80" s="61">
        <f>IF($BC$80&lt;Controls!$B$22,"",$BG$80)</f>
        <v/>
      </c>
      <c r="BN80" s="61" t="n"/>
      <c r="BO80" s="61" t="n"/>
      <c r="BP80" s="61" t="n"/>
      <c r="BQ80" s="61" t="n"/>
      <c r="BR80" s="61" t="n"/>
      <c r="BS80" s="61" t="n"/>
      <c r="BT80" s="61" t="n"/>
    </row>
    <row r="81" ht="15.75" customHeight="1" s="79">
      <c r="A81" s="61">
        <f t="array" ref="A81">IFERROR(IF(9&gt;Controls!$B$18,"",IF(LARGE(Calc!$AT$143:$AT$298,9)&lt;-100000000000000,"",INDEX(Calc!$AN$143:$AN$298,MATCH(LARGE(Calc!$AT$143:$AT$298,9),Calc!$AT$143:$AT$298,0)))),"")</f>
        <v/>
      </c>
      <c r="B81" s="66">
        <f>IF($A$81="",NA(),IFERROR(SUMIFS(Data!$P$2:$P$1105,Data!$AK$2:$AK$1105,1,Data!$M$2:$M$1105,$A$81),NA()))</f>
        <v/>
      </c>
      <c r="C81" s="66">
        <f>IF($A$81="",NA(),IFERROR(SUMIFS(Data!$S$2:$S$1105,Data!$AK$2:$AK$1105,1,Data!$M$2:$M$1105,$A$81),NA()))</f>
        <v/>
      </c>
      <c r="D81" s="66">
        <f>IF(ISNA($B$81),NA(),$C$81-$B$81)</f>
        <v/>
      </c>
      <c r="E81" s="66">
        <f>IF($A$81="",NA(),IFERROR(SUMIFS(Data!$Q$2:$Q$1105,Data!$AK$2:$AK$1105,1,Data!$M$2:$M$1105,$A$81),NA()))</f>
        <v/>
      </c>
      <c r="F81" s="66">
        <f>IF($A$81="",NA(),IFERROR(SUMIFS(Data!$AN$2:$AN$1105,Data!$AK$2:$AK$1105,1,Data!$M$2:$M$1105,$A$81),NA()))</f>
        <v/>
      </c>
      <c r="G81" s="62">
        <f>IF($A$81="",NA(),IF(COUNTIFS(Data!$AK$2:$AK$1105,1,Data!$M$2:$M$1105,$A$81)&lt;Controls!$B$19,NA(),IFERROR(SUMIFS(Data!$AN$2:$AN$1105,Data!$AK$2:$AK$1105,1,Data!$M$2:$M$1105,$A$81)/$B$81,NA())))</f>
        <v/>
      </c>
      <c r="H81" s="62">
        <f>IF($A$81="",NA(),IF(COUNTIFS(Data!$AK$2:$AK$1105,1,Data!$M$2:$M$1105,$A$81)&lt;Controls!$B$19,NA(),IFERROR(SUMIFS(Data!$S$2:$S$1105,Data!$AK$2:$AK$1105,1,Data!$M$2:$M$1105,$A$81,Data!$AH$2:$AH$1105,1)/SUMIFS(Data!$P$2:$P$1105,Data!$AK$2:$AK$1105,1,Data!$M$2:$M$1105,$A$81,Data!$AH$2:$AH$1105,1),NA())))</f>
        <v/>
      </c>
      <c r="I81" s="62">
        <f>IF(ISNA($J$81),NA(),IF($J$81&lt;Controls!$B$19,NA(),IFERROR($D$81/$B$81,NA())))</f>
        <v/>
      </c>
      <c r="J81" s="67">
        <f>IF($A$81="",NA(),IFERROR(COUNTIFS(Data!$AK$2:$AK$1105,1,Data!$M$2:$M$1105,$A$81),NA()))</f>
        <v/>
      </c>
      <c r="K81" s="62">
        <f>IF(ISNA($B$81),NA(),IFERROR($B$81/Calc!$BT$6,NA()))</f>
        <v/>
      </c>
      <c r="L81" s="66">
        <f>IF(ISNA($J$81),NA(),IF($J$81&lt;Controls!$B$19,NA(),IFERROR($B$81/$J$81,NA())))</f>
        <v/>
      </c>
      <c r="M81" s="67">
        <f>IF($A$81="",NA(),IF(COUNTIFS(Data!$AK$2:$AK$1105,1,Data!$M$2:$M$1105,$A$81)&lt;Controls!$B$19,NA(),IFERROR(AVERAGEIFS(Data!$AE$2:$AE$1105,Data!$AK$2:$AK$1105,1,Data!$M$2:$M$1105,$A$81),NA())))</f>
        <v/>
      </c>
      <c r="N81" s="67">
        <f>IF($A$81="",NA(),IF(COUNTIFS(Data!$AK$2:$AK$1105,1,Data!$M$2:$M$1105,$A$81)&lt;Controls!$B$19,NA(),IFERROR(AVERAGEIFS(Data!$AD$2:$AD$1105,Data!$AK$2:$AK$1105,1,Data!$M$2:$M$1105,$A$81),NA())))</f>
        <v/>
      </c>
      <c r="O81" s="67">
        <f>IF($A$81="",NA(),IF(COUNTIFS(Data!$AK$2:$AK$1105,1,Data!$M$2:$M$1105,$A$81)&lt;Controls!$B$19,NA(),IFERROR(AVERAGEIFS(Data!$AS$2:$AS$1105,Data!$AK$2:$AK$1105,1,Data!$M$2:$M$1105,$A$81),NA())))</f>
        <v/>
      </c>
      <c r="P81" s="67">
        <f>IF($A$81="",NA(),IF(COUNTIFS(Data!$AK$2:$AK$1105,1,Data!$M$2:$M$1105,$A$81)&lt;Controls!$B$19,NA(),IFERROR(AVERAGEIFS(Data!$AT$2:$AT$1105,Data!$AK$2:$AK$1105,1,Data!$M$2:$M$1105,$A$81),NA())))</f>
        <v/>
      </c>
      <c r="Q81" s="62">
        <f>IF($A$81="",NA(),IF(COUNTIFS(Data!$AK$2:$AK$1105,1,Data!$M$2:$M$1105,$A$81)&lt;Controls!$B$19,NA(),IFERROR(COUNTIFS(Data!$AK$2:$AK$1105,1,Data!$M$2:$M$1105,$A$81,Data!$N$2:$N$1105,"Renewal")/COUNTIFS(Data!$AK$2:$AK$1105,1,Data!$M$2:$M$1105,$A$81),NA())))</f>
        <v/>
      </c>
      <c r="R81" s="62">
        <f>IF($A$81="",NA(),IF(COUNTIFS(Data!$AK$2:$AK$1105,1,Data!$M$2:$M$1105,$A$81)&lt;Controls!$B$19,NA(),IFERROR(SUMIFS(Data!$P$2:$P$1105,Data!$AK$2:$AK$1105,1,Data!$M$2:$M$1105,$A$81,Data!$N$2:$N$1105,"Renewal")/SUMIFS(Data!$P$2:$P$1105,Data!$AK$2:$AK$1105,1,Data!$M$2:$M$1105,$A$81),NA())))</f>
        <v/>
      </c>
      <c r="S81" s="62">
        <f>IF($A$81="",NA(),Calc!$BT$2)</f>
        <v/>
      </c>
      <c r="T81" s="62">
        <f>IF($A$81="",NA(),Calc!$BT$3)</f>
        <v/>
      </c>
      <c r="U81" s="62">
        <f>IF($A$81="",NA(),Calc!$BT$4)</f>
        <v/>
      </c>
      <c r="V81" s="62">
        <f>IF($A$81="",NA(),IF(COUNTIFS(Data!$AK$2:$AK$1105,1,Data!$M$2:$M$1105,$A$81)&lt;Controls!$B$19,NA(),IFERROR(COUNTIFS(Data!$AK$2:$AK$1105,1,Data!$M$2:$M$1105,$A$81,Data!$AH$2:$AH$1105,1)/COUNTIFS(Data!$AK$2:$AK$1105,1,Data!$M$2:$M$1105,$A$81),NA())))</f>
        <v/>
      </c>
      <c r="W81" s="61">
        <f>IF($A$81="","",$A$81&amp;" ("&amp;$J$81&amp;")")</f>
        <v/>
      </c>
      <c r="X81" s="61" t="n"/>
      <c r="Y81" s="61" t="n"/>
      <c r="Z81" s="61" t="n"/>
      <c r="AA81" s="61" t="n"/>
      <c r="AB81" s="61" t="n"/>
      <c r="AC81" s="61" t="n"/>
      <c r="AD81" s="61" t="n"/>
      <c r="AE81" s="61" t="n"/>
      <c r="AF81" s="61" t="n"/>
      <c r="AG81" s="61" t="n"/>
      <c r="AH81" s="61" t="n"/>
      <c r="AI81" s="61" t="n"/>
      <c r="AJ81" s="61" t="n"/>
      <c r="AK81" s="61" t="n"/>
      <c r="AL81" s="61" t="n"/>
      <c r="AM81" s="61" t="n"/>
      <c r="AN81" s="61">
        <f>Controls!$D$40</f>
        <v/>
      </c>
      <c r="AO81" s="61">
        <f>COUNTIFS(Data!$AK$2:$AK$1105,1,Data!$L$2:$L$1105,$AN$81)</f>
        <v/>
      </c>
      <c r="AP81" s="57">
        <f>SUMIFS(Data!$P$2:$P$1105,Data!$AK$2:$AK$1105,1,Data!$L$2:$L$1105,$AN$81)</f>
        <v/>
      </c>
      <c r="AQ81" s="56">
        <f>IFERROR(SUMIFS(Data!$AN$2:$AN$1105,Data!$AK$2:$AK$1105,1,Data!$L$2:$L$1105,$AN$81)/$AP$81,0)</f>
        <v/>
      </c>
      <c r="AR81" s="57">
        <f>SUMIFS(Data!$AN$2:$AN$1105,Data!$AK$2:$AK$1105,1,Data!$L$2:$L$1105,$AN$81)</f>
        <v/>
      </c>
      <c r="AS81" s="61">
        <f>Controls!$E$40</f>
        <v/>
      </c>
      <c r="AT81" s="61">
        <f>IF(OR(AO81=0,AO81&lt;Controls!$B$20),-1000000000000000,IF(AND(Controls!$B$21="Y",$AN$81="No state"),-1000000000000000,IF(Controls!$B$17="Selected only",IF(AS81="Y",AP81,-1000000000000000),IF(Controls!$B$17="Top by funded $",AP81,IF(Controls!$B$17="Top by funded units",AO81,IF(Controls!$B$17="Largest principal lost $",AR81,IF(Controls!$B$17="Highest net profit $",AU81,IF(AO81&lt;Controls!$B$19,-1000000000000000,IF(Controls!$B$17="Highest principal lost rate %",AQ81,IF(Controls!$B$17="Lowest principal lost rate %",1-AQ81,AP81))))))))) +1/1000000)</f>
        <v/>
      </c>
      <c r="AU81" s="57">
        <f>SUMIFS(Data!$AM$2:$AM$1105,Data!$AK$2:$AK$1105,1,Data!$L$2:$L$1105,$AN$81)</f>
        <v/>
      </c>
      <c r="AV81" s="61" t="n"/>
      <c r="AW81" s="61" t="n"/>
      <c r="AX81" s="61" t="n"/>
      <c r="AY81" s="61" t="n"/>
      <c r="AZ81" s="61" t="n"/>
      <c r="BA81" s="61" t="n"/>
      <c r="BB81" s="61">
        <f>Controls!$G$46</f>
        <v/>
      </c>
      <c r="BC81" s="61">
        <f>COUNTIFS(Data!$AK$2:$AK$1105,1,Data!$M$2:$M$1105,$BB$81)</f>
        <v/>
      </c>
      <c r="BD81" s="57">
        <f>SUMIFS(Data!$P$2:$P$1105,Data!$AK$2:$AK$1105,1,Data!$M$2:$M$1105,$BB$81)</f>
        <v/>
      </c>
      <c r="BE81" s="56">
        <f>IF(COUNTIFS(Data!$AK$2:$AK$1105,1,Data!$M$2:$M$1105,$BB$81)&lt;Controls!$B$19,"",IFERROR(SUMIFS(Data!$AN$2:$AN$1105,Data!$AK$2:$AK$1105,1,Data!$M$2:$M$1105,$BB$81)/$BD$81,""))</f>
        <v/>
      </c>
      <c r="BF81" s="56">
        <f>IF(COUNTIFS(Data!$AK$2:$AK$1105,1,Data!$M$2:$M$1105,$BB$81)&lt;Controls!$B$19,"",IFERROR(SUMIFS(Data!$AM$2:$AM$1105,Data!$AK$2:$AK$1105,1,Data!$M$2:$M$1105,$BB$81)/SUMIFS(Data!$P$2:$P$1105,Data!$AK$2:$AK$1105,1,Data!$M$2:$M$1105,$BB$81),""))</f>
        <v/>
      </c>
      <c r="BG81" s="57">
        <f>SUMIFS(Data!$AN$2:$AN$1105,Data!$AK$2:$AK$1105,1,Data!$M$2:$M$1105,$BB$81)</f>
        <v/>
      </c>
      <c r="BH81" s="61" t="n"/>
      <c r="BI81" s="61">
        <f>IF(AND($BC$81&gt;=Controls!$B$22,$BD$81&gt;=LARGE($BD$75:$BD$230,MIN(Controls!$B$18,COUNT($BD$75:$BD$230)))),$BE$81,"")</f>
        <v/>
      </c>
      <c r="BJ81" s="61" t="n"/>
      <c r="BK81" s="61">
        <f>IF($BC$81&lt;Controls!$B$22,"",$BE$81)</f>
        <v/>
      </c>
      <c r="BL81" s="61">
        <f>IF($BC$81&lt;Controls!$B$22,"",$BF$81)</f>
        <v/>
      </c>
      <c r="BM81" s="61">
        <f>IF($BC$81&lt;Controls!$B$22,"",$BG$81)</f>
        <v/>
      </c>
      <c r="BN81" s="61" t="n"/>
      <c r="BO81" s="61" t="n"/>
      <c r="BP81" s="61" t="n"/>
      <c r="BQ81" s="61" t="n"/>
      <c r="BR81" s="61" t="n"/>
      <c r="BS81" s="61" t="n"/>
      <c r="BT81" s="61" t="n"/>
    </row>
    <row r="82" ht="15.75" customHeight="1" s="79">
      <c r="A82" s="61">
        <f t="array" ref="A82">IFERROR(IF(10&gt;Controls!$B$18,"",IF(LARGE(Calc!$AT$143:$AT$298,10)&lt;-100000000000000,"",INDEX(Calc!$AN$143:$AN$298,MATCH(LARGE(Calc!$AT$143:$AT$298,10),Calc!$AT$143:$AT$298,0)))),"")</f>
        <v/>
      </c>
      <c r="B82" s="66">
        <f>IF($A$82="",NA(),IFERROR(SUMIFS(Data!$P$2:$P$1105,Data!$AK$2:$AK$1105,1,Data!$M$2:$M$1105,$A$82),NA()))</f>
        <v/>
      </c>
      <c r="C82" s="66">
        <f>IF($A$82="",NA(),IFERROR(SUMIFS(Data!$S$2:$S$1105,Data!$AK$2:$AK$1105,1,Data!$M$2:$M$1105,$A$82),NA()))</f>
        <v/>
      </c>
      <c r="D82" s="66">
        <f>IF(ISNA($B$82),NA(),$C$82-$B$82)</f>
        <v/>
      </c>
      <c r="E82" s="66">
        <f>IF($A$82="",NA(),IFERROR(SUMIFS(Data!$Q$2:$Q$1105,Data!$AK$2:$AK$1105,1,Data!$M$2:$M$1105,$A$82),NA()))</f>
        <v/>
      </c>
      <c r="F82" s="66">
        <f>IF($A$82="",NA(),IFERROR(SUMIFS(Data!$AN$2:$AN$1105,Data!$AK$2:$AK$1105,1,Data!$M$2:$M$1105,$A$82),NA()))</f>
        <v/>
      </c>
      <c r="G82" s="62">
        <f>IF($A$82="",NA(),IF(COUNTIFS(Data!$AK$2:$AK$1105,1,Data!$M$2:$M$1105,$A$82)&lt;Controls!$B$19,NA(),IFERROR(SUMIFS(Data!$AN$2:$AN$1105,Data!$AK$2:$AK$1105,1,Data!$M$2:$M$1105,$A$82)/$B$82,NA())))</f>
        <v/>
      </c>
      <c r="H82" s="62">
        <f>IF($A$82="",NA(),IF(COUNTIFS(Data!$AK$2:$AK$1105,1,Data!$M$2:$M$1105,$A$82)&lt;Controls!$B$19,NA(),IFERROR(SUMIFS(Data!$S$2:$S$1105,Data!$AK$2:$AK$1105,1,Data!$M$2:$M$1105,$A$82,Data!$AH$2:$AH$1105,1)/SUMIFS(Data!$P$2:$P$1105,Data!$AK$2:$AK$1105,1,Data!$M$2:$M$1105,$A$82,Data!$AH$2:$AH$1105,1),NA())))</f>
        <v/>
      </c>
      <c r="I82" s="62">
        <f>IF(ISNA($J$82),NA(),IF($J$82&lt;Controls!$B$19,NA(),IFERROR($D$82/$B$82,NA())))</f>
        <v/>
      </c>
      <c r="J82" s="67">
        <f>IF($A$82="",NA(),IFERROR(COUNTIFS(Data!$AK$2:$AK$1105,1,Data!$M$2:$M$1105,$A$82),NA()))</f>
        <v/>
      </c>
      <c r="K82" s="62">
        <f>IF(ISNA($B$82),NA(),IFERROR($B$82/Calc!$BT$6,NA()))</f>
        <v/>
      </c>
      <c r="L82" s="66">
        <f>IF(ISNA($J$82),NA(),IF($J$82&lt;Controls!$B$19,NA(),IFERROR($B$82/$J$82,NA())))</f>
        <v/>
      </c>
      <c r="M82" s="67">
        <f>IF($A$82="",NA(),IF(COUNTIFS(Data!$AK$2:$AK$1105,1,Data!$M$2:$M$1105,$A$82)&lt;Controls!$B$19,NA(),IFERROR(AVERAGEIFS(Data!$AE$2:$AE$1105,Data!$AK$2:$AK$1105,1,Data!$M$2:$M$1105,$A$82),NA())))</f>
        <v/>
      </c>
      <c r="N82" s="67">
        <f>IF($A$82="",NA(),IF(COUNTIFS(Data!$AK$2:$AK$1105,1,Data!$M$2:$M$1105,$A$82)&lt;Controls!$B$19,NA(),IFERROR(AVERAGEIFS(Data!$AD$2:$AD$1105,Data!$AK$2:$AK$1105,1,Data!$M$2:$M$1105,$A$82),NA())))</f>
        <v/>
      </c>
      <c r="O82" s="67">
        <f>IF($A$82="",NA(),IF(COUNTIFS(Data!$AK$2:$AK$1105,1,Data!$M$2:$M$1105,$A$82)&lt;Controls!$B$19,NA(),IFERROR(AVERAGEIFS(Data!$AS$2:$AS$1105,Data!$AK$2:$AK$1105,1,Data!$M$2:$M$1105,$A$82),NA())))</f>
        <v/>
      </c>
      <c r="P82" s="67">
        <f>IF($A$82="",NA(),IF(COUNTIFS(Data!$AK$2:$AK$1105,1,Data!$M$2:$M$1105,$A$82)&lt;Controls!$B$19,NA(),IFERROR(AVERAGEIFS(Data!$AT$2:$AT$1105,Data!$AK$2:$AK$1105,1,Data!$M$2:$M$1105,$A$82),NA())))</f>
        <v/>
      </c>
      <c r="Q82" s="62">
        <f>IF($A$82="",NA(),IF(COUNTIFS(Data!$AK$2:$AK$1105,1,Data!$M$2:$M$1105,$A$82)&lt;Controls!$B$19,NA(),IFERROR(COUNTIFS(Data!$AK$2:$AK$1105,1,Data!$M$2:$M$1105,$A$82,Data!$N$2:$N$1105,"Renewal")/COUNTIFS(Data!$AK$2:$AK$1105,1,Data!$M$2:$M$1105,$A$82),NA())))</f>
        <v/>
      </c>
      <c r="R82" s="62">
        <f>IF($A$82="",NA(),IF(COUNTIFS(Data!$AK$2:$AK$1105,1,Data!$M$2:$M$1105,$A$82)&lt;Controls!$B$19,NA(),IFERROR(SUMIFS(Data!$P$2:$P$1105,Data!$AK$2:$AK$1105,1,Data!$M$2:$M$1105,$A$82,Data!$N$2:$N$1105,"Renewal")/SUMIFS(Data!$P$2:$P$1105,Data!$AK$2:$AK$1105,1,Data!$M$2:$M$1105,$A$82),NA())))</f>
        <v/>
      </c>
      <c r="S82" s="62">
        <f>IF($A$82="",NA(),Calc!$BT$2)</f>
        <v/>
      </c>
      <c r="T82" s="62">
        <f>IF($A$82="",NA(),Calc!$BT$3)</f>
        <v/>
      </c>
      <c r="U82" s="62">
        <f>IF($A$82="",NA(),Calc!$BT$4)</f>
        <v/>
      </c>
      <c r="V82" s="62">
        <f>IF($A$82="",NA(),IF(COUNTIFS(Data!$AK$2:$AK$1105,1,Data!$M$2:$M$1105,$A$82)&lt;Controls!$B$19,NA(),IFERROR(COUNTIFS(Data!$AK$2:$AK$1105,1,Data!$M$2:$M$1105,$A$82,Data!$AH$2:$AH$1105,1)/COUNTIFS(Data!$AK$2:$AK$1105,1,Data!$M$2:$M$1105,$A$82),NA())))</f>
        <v/>
      </c>
      <c r="W82" s="61">
        <f>IF($A$82="","",$A$82&amp;" ("&amp;$J$82&amp;")")</f>
        <v/>
      </c>
      <c r="X82" s="61" t="n"/>
      <c r="Y82" s="61" t="n"/>
      <c r="Z82" s="61" t="n"/>
      <c r="AA82" s="61" t="n"/>
      <c r="AB82" s="61" t="n"/>
      <c r="AC82" s="61" t="n"/>
      <c r="AD82" s="61" t="n"/>
      <c r="AE82" s="61" t="n"/>
      <c r="AF82" s="61" t="n"/>
      <c r="AG82" s="61" t="n"/>
      <c r="AH82" s="61" t="n"/>
      <c r="AI82" s="61" t="n"/>
      <c r="AJ82" s="61" t="n"/>
      <c r="AK82" s="61" t="n"/>
      <c r="AL82" s="61" t="n"/>
      <c r="AM82" s="61" t="n"/>
      <c r="AN82" s="61">
        <f>Controls!$D$41</f>
        <v/>
      </c>
      <c r="AO82" s="61">
        <f>COUNTIFS(Data!$AK$2:$AK$1105,1,Data!$L$2:$L$1105,$AN$82)</f>
        <v/>
      </c>
      <c r="AP82" s="57">
        <f>SUMIFS(Data!$P$2:$P$1105,Data!$AK$2:$AK$1105,1,Data!$L$2:$L$1105,$AN$82)</f>
        <v/>
      </c>
      <c r="AQ82" s="56">
        <f>IFERROR(SUMIFS(Data!$AN$2:$AN$1105,Data!$AK$2:$AK$1105,1,Data!$L$2:$L$1105,$AN$82)/$AP$82,0)</f>
        <v/>
      </c>
      <c r="AR82" s="57">
        <f>SUMIFS(Data!$AN$2:$AN$1105,Data!$AK$2:$AK$1105,1,Data!$L$2:$L$1105,$AN$82)</f>
        <v/>
      </c>
      <c r="AS82" s="61">
        <f>Controls!$E$41</f>
        <v/>
      </c>
      <c r="AT82" s="61">
        <f>IF(OR(AO82=0,AO82&lt;Controls!$B$20),-1000000000000000,IF(AND(Controls!$B$21="Y",$AN$82="No state"),-1000000000000000,IF(Controls!$B$17="Selected only",IF(AS82="Y",AP82,-1000000000000000),IF(Controls!$B$17="Top by funded $",AP82,IF(Controls!$B$17="Top by funded units",AO82,IF(Controls!$B$17="Largest principal lost $",AR82,IF(Controls!$B$17="Highest net profit $",AU82,IF(AO82&lt;Controls!$B$19,-1000000000000000,IF(Controls!$B$17="Highest principal lost rate %",AQ82,IF(Controls!$B$17="Lowest principal lost rate %",1-AQ82,AP82))))))))) +2/1000000)</f>
        <v/>
      </c>
      <c r="AU82" s="57">
        <f>SUMIFS(Data!$AM$2:$AM$1105,Data!$AK$2:$AK$1105,1,Data!$L$2:$L$1105,$AN$82)</f>
        <v/>
      </c>
      <c r="AV82" s="61" t="n"/>
      <c r="AW82" s="61" t="n"/>
      <c r="AX82" s="61" t="n"/>
      <c r="AY82" s="61" t="n"/>
      <c r="AZ82" s="61" t="n"/>
      <c r="BA82" s="61" t="n"/>
      <c r="BB82" s="61">
        <f>Controls!$G$47</f>
        <v/>
      </c>
      <c r="BC82" s="61">
        <f>COUNTIFS(Data!$AK$2:$AK$1105,1,Data!$M$2:$M$1105,$BB$82)</f>
        <v/>
      </c>
      <c r="BD82" s="57">
        <f>SUMIFS(Data!$P$2:$P$1105,Data!$AK$2:$AK$1105,1,Data!$M$2:$M$1105,$BB$82)</f>
        <v/>
      </c>
      <c r="BE82" s="56">
        <f>IF(COUNTIFS(Data!$AK$2:$AK$1105,1,Data!$M$2:$M$1105,$BB$82)&lt;Controls!$B$19,"",IFERROR(SUMIFS(Data!$AN$2:$AN$1105,Data!$AK$2:$AK$1105,1,Data!$M$2:$M$1105,$BB$82)/$BD$82,""))</f>
        <v/>
      </c>
      <c r="BF82" s="56">
        <f>IF(COUNTIFS(Data!$AK$2:$AK$1105,1,Data!$M$2:$M$1105,$BB$82)&lt;Controls!$B$19,"",IFERROR(SUMIFS(Data!$AM$2:$AM$1105,Data!$AK$2:$AK$1105,1,Data!$M$2:$M$1105,$BB$82)/SUMIFS(Data!$P$2:$P$1105,Data!$AK$2:$AK$1105,1,Data!$M$2:$M$1105,$BB$82),""))</f>
        <v/>
      </c>
      <c r="BG82" s="57">
        <f>SUMIFS(Data!$AN$2:$AN$1105,Data!$AK$2:$AK$1105,1,Data!$M$2:$M$1105,$BB$82)</f>
        <v/>
      </c>
      <c r="BH82" s="61" t="n"/>
      <c r="BI82" s="61">
        <f>IF(AND($BC$82&gt;=Controls!$B$22,$BD$82&gt;=LARGE($BD$75:$BD$230,MIN(Controls!$B$18,COUNT($BD$75:$BD$230)))),$BE$82,"")</f>
        <v/>
      </c>
      <c r="BJ82" s="61" t="n"/>
      <c r="BK82" s="61">
        <f>IF($BC$82&lt;Controls!$B$22,"",$BE$82)</f>
        <v/>
      </c>
      <c r="BL82" s="61">
        <f>IF($BC$82&lt;Controls!$B$22,"",$BF$82)</f>
        <v/>
      </c>
      <c r="BM82" s="61">
        <f>IF($BC$82&lt;Controls!$B$22,"",$BG$82)</f>
        <v/>
      </c>
      <c r="BN82" s="61" t="n"/>
      <c r="BO82" s="61" t="n"/>
      <c r="BP82" s="61" t="n"/>
      <c r="BQ82" s="61" t="n"/>
      <c r="BR82" s="61" t="n"/>
      <c r="BS82" s="61" t="n"/>
      <c r="BT82" s="61" t="n"/>
    </row>
    <row r="83" ht="15.75" customHeight="1" s="79">
      <c r="A83" s="61">
        <f t="array" ref="A83">IFERROR(IF(11&gt;Controls!$B$18,"",IF(LARGE(Calc!$AT$143:$AT$298,11)&lt;-100000000000000,"",INDEX(Calc!$AN$143:$AN$298,MATCH(LARGE(Calc!$AT$143:$AT$298,11),Calc!$AT$143:$AT$298,0)))),"")</f>
        <v/>
      </c>
      <c r="B83" s="66">
        <f>IF($A$83="",NA(),IFERROR(SUMIFS(Data!$P$2:$P$1105,Data!$AK$2:$AK$1105,1,Data!$M$2:$M$1105,$A$83),NA()))</f>
        <v/>
      </c>
      <c r="C83" s="66">
        <f>IF($A$83="",NA(),IFERROR(SUMIFS(Data!$S$2:$S$1105,Data!$AK$2:$AK$1105,1,Data!$M$2:$M$1105,$A$83),NA()))</f>
        <v/>
      </c>
      <c r="D83" s="66">
        <f>IF(ISNA($B$83),NA(),$C$83-$B$83)</f>
        <v/>
      </c>
      <c r="E83" s="66">
        <f>IF($A$83="",NA(),IFERROR(SUMIFS(Data!$Q$2:$Q$1105,Data!$AK$2:$AK$1105,1,Data!$M$2:$M$1105,$A$83),NA()))</f>
        <v/>
      </c>
      <c r="F83" s="66">
        <f>IF($A$83="",NA(),IFERROR(SUMIFS(Data!$AN$2:$AN$1105,Data!$AK$2:$AK$1105,1,Data!$M$2:$M$1105,$A$83),NA()))</f>
        <v/>
      </c>
      <c r="G83" s="62">
        <f>IF($A$83="",NA(),IF(COUNTIFS(Data!$AK$2:$AK$1105,1,Data!$M$2:$M$1105,$A$83)&lt;Controls!$B$19,NA(),IFERROR(SUMIFS(Data!$AN$2:$AN$1105,Data!$AK$2:$AK$1105,1,Data!$M$2:$M$1105,$A$83)/$B$83,NA())))</f>
        <v/>
      </c>
      <c r="H83" s="62">
        <f>IF($A$83="",NA(),IF(COUNTIFS(Data!$AK$2:$AK$1105,1,Data!$M$2:$M$1105,$A$83)&lt;Controls!$B$19,NA(),IFERROR(SUMIFS(Data!$S$2:$S$1105,Data!$AK$2:$AK$1105,1,Data!$M$2:$M$1105,$A$83,Data!$AH$2:$AH$1105,1)/SUMIFS(Data!$P$2:$P$1105,Data!$AK$2:$AK$1105,1,Data!$M$2:$M$1105,$A$83,Data!$AH$2:$AH$1105,1),NA())))</f>
        <v/>
      </c>
      <c r="I83" s="62">
        <f>IF(ISNA($J$83),NA(),IF($J$83&lt;Controls!$B$19,NA(),IFERROR($D$83/$B$83,NA())))</f>
        <v/>
      </c>
      <c r="J83" s="67">
        <f>IF($A$83="",NA(),IFERROR(COUNTIFS(Data!$AK$2:$AK$1105,1,Data!$M$2:$M$1105,$A$83),NA()))</f>
        <v/>
      </c>
      <c r="K83" s="62">
        <f>IF(ISNA($B$83),NA(),IFERROR($B$83/Calc!$BT$6,NA()))</f>
        <v/>
      </c>
      <c r="L83" s="66">
        <f>IF(ISNA($J$83),NA(),IF($J$83&lt;Controls!$B$19,NA(),IFERROR($B$83/$J$83,NA())))</f>
        <v/>
      </c>
      <c r="M83" s="67">
        <f>IF($A$83="",NA(),IF(COUNTIFS(Data!$AK$2:$AK$1105,1,Data!$M$2:$M$1105,$A$83)&lt;Controls!$B$19,NA(),IFERROR(AVERAGEIFS(Data!$AE$2:$AE$1105,Data!$AK$2:$AK$1105,1,Data!$M$2:$M$1105,$A$83),NA())))</f>
        <v/>
      </c>
      <c r="N83" s="67">
        <f>IF($A$83="",NA(),IF(COUNTIFS(Data!$AK$2:$AK$1105,1,Data!$M$2:$M$1105,$A$83)&lt;Controls!$B$19,NA(),IFERROR(AVERAGEIFS(Data!$AD$2:$AD$1105,Data!$AK$2:$AK$1105,1,Data!$M$2:$M$1105,$A$83),NA())))</f>
        <v/>
      </c>
      <c r="O83" s="67">
        <f>IF($A$83="",NA(),IF(COUNTIFS(Data!$AK$2:$AK$1105,1,Data!$M$2:$M$1105,$A$83)&lt;Controls!$B$19,NA(),IFERROR(AVERAGEIFS(Data!$AS$2:$AS$1105,Data!$AK$2:$AK$1105,1,Data!$M$2:$M$1105,$A$83),NA())))</f>
        <v/>
      </c>
      <c r="P83" s="67">
        <f>IF($A$83="",NA(),IF(COUNTIFS(Data!$AK$2:$AK$1105,1,Data!$M$2:$M$1105,$A$83)&lt;Controls!$B$19,NA(),IFERROR(AVERAGEIFS(Data!$AT$2:$AT$1105,Data!$AK$2:$AK$1105,1,Data!$M$2:$M$1105,$A$83),NA())))</f>
        <v/>
      </c>
      <c r="Q83" s="62">
        <f>IF($A$83="",NA(),IF(COUNTIFS(Data!$AK$2:$AK$1105,1,Data!$M$2:$M$1105,$A$83)&lt;Controls!$B$19,NA(),IFERROR(COUNTIFS(Data!$AK$2:$AK$1105,1,Data!$M$2:$M$1105,$A$83,Data!$N$2:$N$1105,"Renewal")/COUNTIFS(Data!$AK$2:$AK$1105,1,Data!$M$2:$M$1105,$A$83),NA())))</f>
        <v/>
      </c>
      <c r="R83" s="62">
        <f>IF($A$83="",NA(),IF(COUNTIFS(Data!$AK$2:$AK$1105,1,Data!$M$2:$M$1105,$A$83)&lt;Controls!$B$19,NA(),IFERROR(SUMIFS(Data!$P$2:$P$1105,Data!$AK$2:$AK$1105,1,Data!$M$2:$M$1105,$A$83,Data!$N$2:$N$1105,"Renewal")/SUMIFS(Data!$P$2:$P$1105,Data!$AK$2:$AK$1105,1,Data!$M$2:$M$1105,$A$83),NA())))</f>
        <v/>
      </c>
      <c r="S83" s="62">
        <f>IF($A$83="",NA(),Calc!$BT$2)</f>
        <v/>
      </c>
      <c r="T83" s="62">
        <f>IF($A$83="",NA(),Calc!$BT$3)</f>
        <v/>
      </c>
      <c r="U83" s="62">
        <f>IF($A$83="",NA(),Calc!$BT$4)</f>
        <v/>
      </c>
      <c r="V83" s="62">
        <f>IF($A$83="",NA(),IF(COUNTIFS(Data!$AK$2:$AK$1105,1,Data!$M$2:$M$1105,$A$83)&lt;Controls!$B$19,NA(),IFERROR(COUNTIFS(Data!$AK$2:$AK$1105,1,Data!$M$2:$M$1105,$A$83,Data!$AH$2:$AH$1105,1)/COUNTIFS(Data!$AK$2:$AK$1105,1,Data!$M$2:$M$1105,$A$83),NA())))</f>
        <v/>
      </c>
      <c r="W83" s="61">
        <f>IF($A$83="","",$A$83&amp;" ("&amp;$J$83&amp;")")</f>
        <v/>
      </c>
      <c r="X83" s="61" t="n"/>
      <c r="Y83" s="61" t="n"/>
      <c r="Z83" s="61" t="n"/>
      <c r="AA83" s="61" t="n"/>
      <c r="AB83" s="61" t="n"/>
      <c r="AC83" s="61" t="n"/>
      <c r="AD83" s="61" t="n"/>
      <c r="AE83" s="61" t="n"/>
      <c r="AF83" s="61" t="n"/>
      <c r="AG83" s="61" t="n"/>
      <c r="AH83" s="61" t="n"/>
      <c r="AI83" s="61" t="n"/>
      <c r="AJ83" s="61" t="n"/>
      <c r="AK83" s="61" t="n"/>
      <c r="AL83" s="61" t="n"/>
      <c r="AM83" s="61" t="n"/>
      <c r="AN83" s="61">
        <f>Controls!$D$42</f>
        <v/>
      </c>
      <c r="AO83" s="61">
        <f>COUNTIFS(Data!$AK$2:$AK$1105,1,Data!$L$2:$L$1105,$AN$83)</f>
        <v/>
      </c>
      <c r="AP83" s="57">
        <f>SUMIFS(Data!$P$2:$P$1105,Data!$AK$2:$AK$1105,1,Data!$L$2:$L$1105,$AN$83)</f>
        <v/>
      </c>
      <c r="AQ83" s="56">
        <f>IFERROR(SUMIFS(Data!$AN$2:$AN$1105,Data!$AK$2:$AK$1105,1,Data!$L$2:$L$1105,$AN$83)/$AP$83,0)</f>
        <v/>
      </c>
      <c r="AR83" s="57">
        <f>SUMIFS(Data!$AN$2:$AN$1105,Data!$AK$2:$AK$1105,1,Data!$L$2:$L$1105,$AN$83)</f>
        <v/>
      </c>
      <c r="AS83" s="61">
        <f>Controls!$E$42</f>
        <v/>
      </c>
      <c r="AT83" s="61">
        <f>IF(OR(AO83=0,AO83&lt;Controls!$B$20),-1000000000000000,IF(AND(Controls!$B$21="Y",$AN$83="No state"),-1000000000000000,IF(Controls!$B$17="Selected only",IF(AS83="Y",AP83,-1000000000000000),IF(Controls!$B$17="Top by funded $",AP83,IF(Controls!$B$17="Top by funded units",AO83,IF(Controls!$B$17="Largest principal lost $",AR83,IF(Controls!$B$17="Highest net profit $",AU83,IF(AO83&lt;Controls!$B$19,-1000000000000000,IF(Controls!$B$17="Highest principal lost rate %",AQ83,IF(Controls!$B$17="Lowest principal lost rate %",1-AQ83,AP83))))))))) +3/1000000)</f>
        <v/>
      </c>
      <c r="AU83" s="57">
        <f>SUMIFS(Data!$AM$2:$AM$1105,Data!$AK$2:$AK$1105,1,Data!$L$2:$L$1105,$AN$83)</f>
        <v/>
      </c>
      <c r="AV83" s="61" t="n"/>
      <c r="AW83" s="61" t="n"/>
      <c r="AX83" s="61" t="n"/>
      <c r="AY83" s="61" t="n"/>
      <c r="AZ83" s="61" t="n"/>
      <c r="BA83" s="61" t="n"/>
      <c r="BB83" s="61">
        <f>Controls!$G$48</f>
        <v/>
      </c>
      <c r="BC83" s="61">
        <f>COUNTIFS(Data!$AK$2:$AK$1105,1,Data!$M$2:$M$1105,$BB$83)</f>
        <v/>
      </c>
      <c r="BD83" s="57">
        <f>SUMIFS(Data!$P$2:$P$1105,Data!$AK$2:$AK$1105,1,Data!$M$2:$M$1105,$BB$83)</f>
        <v/>
      </c>
      <c r="BE83" s="56">
        <f>IF(COUNTIFS(Data!$AK$2:$AK$1105,1,Data!$M$2:$M$1105,$BB$83)&lt;Controls!$B$19,"",IFERROR(SUMIFS(Data!$AN$2:$AN$1105,Data!$AK$2:$AK$1105,1,Data!$M$2:$M$1105,$BB$83)/$BD$83,""))</f>
        <v/>
      </c>
      <c r="BF83" s="56">
        <f>IF(COUNTIFS(Data!$AK$2:$AK$1105,1,Data!$M$2:$M$1105,$BB$83)&lt;Controls!$B$19,"",IFERROR(SUMIFS(Data!$AM$2:$AM$1105,Data!$AK$2:$AK$1105,1,Data!$M$2:$M$1105,$BB$83)/SUMIFS(Data!$P$2:$P$1105,Data!$AK$2:$AK$1105,1,Data!$M$2:$M$1105,$BB$83),""))</f>
        <v/>
      </c>
      <c r="BG83" s="57">
        <f>SUMIFS(Data!$AN$2:$AN$1105,Data!$AK$2:$AK$1105,1,Data!$M$2:$M$1105,$BB$83)</f>
        <v/>
      </c>
      <c r="BH83" s="61" t="n"/>
      <c r="BI83" s="61">
        <f>IF(AND($BC$83&gt;=Controls!$B$22,$BD$83&gt;=LARGE($BD$75:$BD$230,MIN(Controls!$B$18,COUNT($BD$75:$BD$230)))),$BE$83,"")</f>
        <v/>
      </c>
      <c r="BJ83" s="61" t="n"/>
      <c r="BK83" s="61">
        <f>IF($BC$83&lt;Controls!$B$22,"",$BE$83)</f>
        <v/>
      </c>
      <c r="BL83" s="61">
        <f>IF($BC$83&lt;Controls!$B$22,"",$BF$83)</f>
        <v/>
      </c>
      <c r="BM83" s="61">
        <f>IF($BC$83&lt;Controls!$B$22,"",$BG$83)</f>
        <v/>
      </c>
      <c r="BN83" s="61" t="n"/>
      <c r="BO83" s="61" t="n"/>
      <c r="BP83" s="61" t="n"/>
      <c r="BQ83" s="61" t="n"/>
      <c r="BR83" s="61" t="n"/>
      <c r="BS83" s="61" t="n"/>
      <c r="BT83" s="61" t="n"/>
    </row>
    <row r="84" ht="15.75" customHeight="1" s="79">
      <c r="A84" s="61">
        <f t="array" ref="A84">IFERROR(IF(12&gt;Controls!$B$18,"",IF(LARGE(Calc!$AT$143:$AT$298,12)&lt;-100000000000000,"",INDEX(Calc!$AN$143:$AN$298,MATCH(LARGE(Calc!$AT$143:$AT$298,12),Calc!$AT$143:$AT$298,0)))),"")</f>
        <v/>
      </c>
      <c r="B84" s="66">
        <f>IF($A$84="",NA(),IFERROR(SUMIFS(Data!$P$2:$P$1105,Data!$AK$2:$AK$1105,1,Data!$M$2:$M$1105,$A$84),NA()))</f>
        <v/>
      </c>
      <c r="C84" s="66">
        <f>IF($A$84="",NA(),IFERROR(SUMIFS(Data!$S$2:$S$1105,Data!$AK$2:$AK$1105,1,Data!$M$2:$M$1105,$A$84),NA()))</f>
        <v/>
      </c>
      <c r="D84" s="66">
        <f>IF(ISNA($B$84),NA(),$C$84-$B$84)</f>
        <v/>
      </c>
      <c r="E84" s="66">
        <f>IF($A$84="",NA(),IFERROR(SUMIFS(Data!$Q$2:$Q$1105,Data!$AK$2:$AK$1105,1,Data!$M$2:$M$1105,$A$84),NA()))</f>
        <v/>
      </c>
      <c r="F84" s="66">
        <f>IF($A$84="",NA(),IFERROR(SUMIFS(Data!$AN$2:$AN$1105,Data!$AK$2:$AK$1105,1,Data!$M$2:$M$1105,$A$84),NA()))</f>
        <v/>
      </c>
      <c r="G84" s="62">
        <f>IF($A$84="",NA(),IF(COUNTIFS(Data!$AK$2:$AK$1105,1,Data!$M$2:$M$1105,$A$84)&lt;Controls!$B$19,NA(),IFERROR(SUMIFS(Data!$AN$2:$AN$1105,Data!$AK$2:$AK$1105,1,Data!$M$2:$M$1105,$A$84)/$B$84,NA())))</f>
        <v/>
      </c>
      <c r="H84" s="62">
        <f>IF($A$84="",NA(),IF(COUNTIFS(Data!$AK$2:$AK$1105,1,Data!$M$2:$M$1105,$A$84)&lt;Controls!$B$19,NA(),IFERROR(SUMIFS(Data!$S$2:$S$1105,Data!$AK$2:$AK$1105,1,Data!$M$2:$M$1105,$A$84,Data!$AH$2:$AH$1105,1)/SUMIFS(Data!$P$2:$P$1105,Data!$AK$2:$AK$1105,1,Data!$M$2:$M$1105,$A$84,Data!$AH$2:$AH$1105,1),NA())))</f>
        <v/>
      </c>
      <c r="I84" s="62">
        <f>IF(ISNA($J$84),NA(),IF($J$84&lt;Controls!$B$19,NA(),IFERROR($D$84/$B$84,NA())))</f>
        <v/>
      </c>
      <c r="J84" s="67">
        <f>IF($A$84="",NA(),IFERROR(COUNTIFS(Data!$AK$2:$AK$1105,1,Data!$M$2:$M$1105,$A$84),NA()))</f>
        <v/>
      </c>
      <c r="K84" s="62">
        <f>IF(ISNA($B$84),NA(),IFERROR($B$84/Calc!$BT$6,NA()))</f>
        <v/>
      </c>
      <c r="L84" s="66">
        <f>IF(ISNA($J$84),NA(),IF($J$84&lt;Controls!$B$19,NA(),IFERROR($B$84/$J$84,NA())))</f>
        <v/>
      </c>
      <c r="M84" s="67">
        <f>IF($A$84="",NA(),IF(COUNTIFS(Data!$AK$2:$AK$1105,1,Data!$M$2:$M$1105,$A$84)&lt;Controls!$B$19,NA(),IFERROR(AVERAGEIFS(Data!$AE$2:$AE$1105,Data!$AK$2:$AK$1105,1,Data!$M$2:$M$1105,$A$84),NA())))</f>
        <v/>
      </c>
      <c r="N84" s="67">
        <f>IF($A$84="",NA(),IF(COUNTIFS(Data!$AK$2:$AK$1105,1,Data!$M$2:$M$1105,$A$84)&lt;Controls!$B$19,NA(),IFERROR(AVERAGEIFS(Data!$AD$2:$AD$1105,Data!$AK$2:$AK$1105,1,Data!$M$2:$M$1105,$A$84),NA())))</f>
        <v/>
      </c>
      <c r="O84" s="67">
        <f>IF($A$84="",NA(),IF(COUNTIFS(Data!$AK$2:$AK$1105,1,Data!$M$2:$M$1105,$A$84)&lt;Controls!$B$19,NA(),IFERROR(AVERAGEIFS(Data!$AS$2:$AS$1105,Data!$AK$2:$AK$1105,1,Data!$M$2:$M$1105,$A$84),NA())))</f>
        <v/>
      </c>
      <c r="P84" s="67">
        <f>IF($A$84="",NA(),IF(COUNTIFS(Data!$AK$2:$AK$1105,1,Data!$M$2:$M$1105,$A$84)&lt;Controls!$B$19,NA(),IFERROR(AVERAGEIFS(Data!$AT$2:$AT$1105,Data!$AK$2:$AK$1105,1,Data!$M$2:$M$1105,$A$84),NA())))</f>
        <v/>
      </c>
      <c r="Q84" s="62">
        <f>IF($A$84="",NA(),IF(COUNTIFS(Data!$AK$2:$AK$1105,1,Data!$M$2:$M$1105,$A$84)&lt;Controls!$B$19,NA(),IFERROR(COUNTIFS(Data!$AK$2:$AK$1105,1,Data!$M$2:$M$1105,$A$84,Data!$N$2:$N$1105,"Renewal")/COUNTIFS(Data!$AK$2:$AK$1105,1,Data!$M$2:$M$1105,$A$84),NA())))</f>
        <v/>
      </c>
      <c r="R84" s="62">
        <f>IF($A$84="",NA(),IF(COUNTIFS(Data!$AK$2:$AK$1105,1,Data!$M$2:$M$1105,$A$84)&lt;Controls!$B$19,NA(),IFERROR(SUMIFS(Data!$P$2:$P$1105,Data!$AK$2:$AK$1105,1,Data!$M$2:$M$1105,$A$84,Data!$N$2:$N$1105,"Renewal")/SUMIFS(Data!$P$2:$P$1105,Data!$AK$2:$AK$1105,1,Data!$M$2:$M$1105,$A$84),NA())))</f>
        <v/>
      </c>
      <c r="S84" s="62">
        <f>IF($A$84="",NA(),Calc!$BT$2)</f>
        <v/>
      </c>
      <c r="T84" s="62">
        <f>IF($A$84="",NA(),Calc!$BT$3)</f>
        <v/>
      </c>
      <c r="U84" s="62">
        <f>IF($A$84="",NA(),Calc!$BT$4)</f>
        <v/>
      </c>
      <c r="V84" s="62">
        <f>IF($A$84="",NA(),IF(COUNTIFS(Data!$AK$2:$AK$1105,1,Data!$M$2:$M$1105,$A$84)&lt;Controls!$B$19,NA(),IFERROR(COUNTIFS(Data!$AK$2:$AK$1105,1,Data!$M$2:$M$1105,$A$84,Data!$AH$2:$AH$1105,1)/COUNTIFS(Data!$AK$2:$AK$1105,1,Data!$M$2:$M$1105,$A$84),NA())))</f>
        <v/>
      </c>
      <c r="W84" s="61">
        <f>IF($A$84="","",$A$84&amp;" ("&amp;$J$84&amp;")")</f>
        <v/>
      </c>
      <c r="X84" s="61" t="n"/>
      <c r="Y84" s="61" t="n"/>
      <c r="Z84" s="61" t="n"/>
      <c r="AA84" s="61" t="n"/>
      <c r="AB84" s="61" t="n"/>
      <c r="AC84" s="61" t="n"/>
      <c r="AD84" s="61" t="n"/>
      <c r="AE84" s="61" t="n"/>
      <c r="AF84" s="61" t="n"/>
      <c r="AG84" s="61" t="n"/>
      <c r="AH84" s="61" t="n"/>
      <c r="AI84" s="61" t="n"/>
      <c r="AJ84" s="61" t="n"/>
      <c r="AK84" s="61" t="n"/>
      <c r="AL84" s="61" t="n"/>
      <c r="AM84" s="61" t="n"/>
      <c r="AN84" s="61">
        <f>Controls!$D$43</f>
        <v/>
      </c>
      <c r="AO84" s="61">
        <f>COUNTIFS(Data!$AK$2:$AK$1105,1,Data!$L$2:$L$1105,$AN$84)</f>
        <v/>
      </c>
      <c r="AP84" s="57">
        <f>SUMIFS(Data!$P$2:$P$1105,Data!$AK$2:$AK$1105,1,Data!$L$2:$L$1105,$AN$84)</f>
        <v/>
      </c>
      <c r="AQ84" s="56">
        <f>IFERROR(SUMIFS(Data!$AN$2:$AN$1105,Data!$AK$2:$AK$1105,1,Data!$L$2:$L$1105,$AN$84)/$AP$84,0)</f>
        <v/>
      </c>
      <c r="AR84" s="57">
        <f>SUMIFS(Data!$AN$2:$AN$1105,Data!$AK$2:$AK$1105,1,Data!$L$2:$L$1105,$AN$84)</f>
        <v/>
      </c>
      <c r="AS84" s="61">
        <f>Controls!$E$43</f>
        <v/>
      </c>
      <c r="AT84" s="57">
        <f>IF(OR(AO84=0,AO84&lt;Controls!$B$20),-1000000000000000,IF(AND(Controls!$B$21="Y",$AN$84="No state"),-1000000000000000,IF(Controls!$B$17="Selected only",IF(AS84="Y",AP84,-1000000000000000),IF(Controls!$B$17="Top by funded $",AP84,IF(Controls!$B$17="Top by funded units",AO84,IF(Controls!$B$17="Largest principal lost $",AR84,IF(Controls!$B$17="Highest net profit $",AU84,IF(AO84&lt;Controls!$B$19,-1000000000000000,IF(Controls!$B$17="Highest principal lost rate %",AQ84,IF(Controls!$B$17="Lowest principal lost rate %",1-AQ84,AP84))))))))) +4/1000000)</f>
        <v/>
      </c>
      <c r="AU84" s="57">
        <f>SUMIFS(Data!$AM$2:$AM$1105,Data!$AK$2:$AK$1105,1,Data!$L$2:$L$1105,$AN$84)</f>
        <v/>
      </c>
      <c r="AV84" s="61" t="n"/>
      <c r="AW84" s="61" t="n"/>
      <c r="AX84" s="61" t="n"/>
      <c r="AY84" s="61" t="n"/>
      <c r="AZ84" s="61" t="n"/>
      <c r="BA84" s="61" t="n"/>
      <c r="BB84" s="61">
        <f>Controls!$G$49</f>
        <v/>
      </c>
      <c r="BC84" s="61">
        <f>COUNTIFS(Data!$AK$2:$AK$1105,1,Data!$M$2:$M$1105,$BB$84)</f>
        <v/>
      </c>
      <c r="BD84" s="57">
        <f>SUMIFS(Data!$P$2:$P$1105,Data!$AK$2:$AK$1105,1,Data!$M$2:$M$1105,$BB$84)</f>
        <v/>
      </c>
      <c r="BE84" s="56">
        <f>IF(COUNTIFS(Data!$AK$2:$AK$1105,1,Data!$M$2:$M$1105,$BB$84)&lt;Controls!$B$19,"",IFERROR(SUMIFS(Data!$AN$2:$AN$1105,Data!$AK$2:$AK$1105,1,Data!$M$2:$M$1105,$BB$84)/$BD$84,""))</f>
        <v/>
      </c>
      <c r="BF84" s="56">
        <f>IF(COUNTIFS(Data!$AK$2:$AK$1105,1,Data!$M$2:$M$1105,$BB$84)&lt;Controls!$B$19,"",IFERROR(SUMIFS(Data!$AM$2:$AM$1105,Data!$AK$2:$AK$1105,1,Data!$M$2:$M$1105,$BB$84)/SUMIFS(Data!$P$2:$P$1105,Data!$AK$2:$AK$1105,1,Data!$M$2:$M$1105,$BB$84),""))</f>
        <v/>
      </c>
      <c r="BG84" s="57">
        <f>SUMIFS(Data!$AN$2:$AN$1105,Data!$AK$2:$AK$1105,1,Data!$M$2:$M$1105,$BB$84)</f>
        <v/>
      </c>
      <c r="BH84" s="61" t="n"/>
      <c r="BI84" s="61">
        <f>IF(AND($BC$84&gt;=Controls!$B$22,$BD$84&gt;=LARGE($BD$75:$BD$230,MIN(Controls!$B$18,COUNT($BD$75:$BD$230)))),$BE$84,"")</f>
        <v/>
      </c>
      <c r="BJ84" s="61" t="n"/>
      <c r="BK84" s="61">
        <f>IF($BC$84&lt;Controls!$B$22,"",$BE$84)</f>
        <v/>
      </c>
      <c r="BL84" s="61">
        <f>IF($BC$84&lt;Controls!$B$22,"",$BF$84)</f>
        <v/>
      </c>
      <c r="BM84" s="61">
        <f>IF($BC$84&lt;Controls!$B$22,"",$BG$84)</f>
        <v/>
      </c>
      <c r="BN84" s="61" t="n"/>
      <c r="BO84" s="61" t="n"/>
      <c r="BP84" s="61" t="n"/>
      <c r="BQ84" s="61" t="n"/>
      <c r="BR84" s="61" t="n"/>
      <c r="BS84" s="61" t="n"/>
      <c r="BT84" s="61" t="n"/>
    </row>
    <row r="85" ht="15.75" customHeight="1" s="79">
      <c r="A85" s="61">
        <f t="array" ref="A85">IFERROR(IF(13&gt;Controls!$B$18,"",IF(LARGE(Calc!$AT$143:$AT$298,13)&lt;-100000000000000,"",INDEX(Calc!$AN$143:$AN$298,MATCH(LARGE(Calc!$AT$143:$AT$298,13),Calc!$AT$143:$AT$298,0)))),"")</f>
        <v/>
      </c>
      <c r="B85" s="66">
        <f>IF($A$85="",NA(),IFERROR(SUMIFS(Data!$P$2:$P$1105,Data!$AK$2:$AK$1105,1,Data!$M$2:$M$1105,$A$85),NA()))</f>
        <v/>
      </c>
      <c r="C85" s="66">
        <f>IF($A$85="",NA(),IFERROR(SUMIFS(Data!$S$2:$S$1105,Data!$AK$2:$AK$1105,1,Data!$M$2:$M$1105,$A$85),NA()))</f>
        <v/>
      </c>
      <c r="D85" s="66">
        <f>IF(ISNA($B$85),NA(),$C$85-$B$85)</f>
        <v/>
      </c>
      <c r="E85" s="66">
        <f>IF($A$85="",NA(),IFERROR(SUMIFS(Data!$Q$2:$Q$1105,Data!$AK$2:$AK$1105,1,Data!$M$2:$M$1105,$A$85),NA()))</f>
        <v/>
      </c>
      <c r="F85" s="66">
        <f>IF($A$85="",NA(),IFERROR(SUMIFS(Data!$AN$2:$AN$1105,Data!$AK$2:$AK$1105,1,Data!$M$2:$M$1105,$A$85),NA()))</f>
        <v/>
      </c>
      <c r="G85" s="62">
        <f>IF($A$85="",NA(),IF(COUNTIFS(Data!$AK$2:$AK$1105,1,Data!$M$2:$M$1105,$A$85)&lt;Controls!$B$19,NA(),IFERROR(SUMIFS(Data!$AN$2:$AN$1105,Data!$AK$2:$AK$1105,1,Data!$M$2:$M$1105,$A$85)/$B$85,NA())))</f>
        <v/>
      </c>
      <c r="H85" s="62">
        <f>IF($A$85="",NA(),IF(COUNTIFS(Data!$AK$2:$AK$1105,1,Data!$M$2:$M$1105,$A$85)&lt;Controls!$B$19,NA(),IFERROR(SUMIFS(Data!$S$2:$S$1105,Data!$AK$2:$AK$1105,1,Data!$M$2:$M$1105,$A$85,Data!$AH$2:$AH$1105,1)/SUMIFS(Data!$P$2:$P$1105,Data!$AK$2:$AK$1105,1,Data!$M$2:$M$1105,$A$85,Data!$AH$2:$AH$1105,1),NA())))</f>
        <v/>
      </c>
      <c r="I85" s="62">
        <f>IF(ISNA($J$85),NA(),IF($J$85&lt;Controls!$B$19,NA(),IFERROR($D$85/$B$85,NA())))</f>
        <v/>
      </c>
      <c r="J85" s="67">
        <f>IF($A$85="",NA(),IFERROR(COUNTIFS(Data!$AK$2:$AK$1105,1,Data!$M$2:$M$1105,$A$85),NA()))</f>
        <v/>
      </c>
      <c r="K85" s="62">
        <f>IF(ISNA($B$85),NA(),IFERROR($B$85/Calc!$BT$6,NA()))</f>
        <v/>
      </c>
      <c r="L85" s="66">
        <f>IF(ISNA($J$85),NA(),IF($J$85&lt;Controls!$B$19,NA(),IFERROR($B$85/$J$85,NA())))</f>
        <v/>
      </c>
      <c r="M85" s="67">
        <f>IF($A$85="",NA(),IF(COUNTIFS(Data!$AK$2:$AK$1105,1,Data!$M$2:$M$1105,$A$85)&lt;Controls!$B$19,NA(),IFERROR(AVERAGEIFS(Data!$AE$2:$AE$1105,Data!$AK$2:$AK$1105,1,Data!$M$2:$M$1105,$A$85),NA())))</f>
        <v/>
      </c>
      <c r="N85" s="67">
        <f>IF($A$85="",NA(),IF(COUNTIFS(Data!$AK$2:$AK$1105,1,Data!$M$2:$M$1105,$A$85)&lt;Controls!$B$19,NA(),IFERROR(AVERAGEIFS(Data!$AD$2:$AD$1105,Data!$AK$2:$AK$1105,1,Data!$M$2:$M$1105,$A$85),NA())))</f>
        <v/>
      </c>
      <c r="O85" s="67">
        <f>IF($A$85="",NA(),IF(COUNTIFS(Data!$AK$2:$AK$1105,1,Data!$M$2:$M$1105,$A$85)&lt;Controls!$B$19,NA(),IFERROR(AVERAGEIFS(Data!$AS$2:$AS$1105,Data!$AK$2:$AK$1105,1,Data!$M$2:$M$1105,$A$85),NA())))</f>
        <v/>
      </c>
      <c r="P85" s="67">
        <f>IF($A$85="",NA(),IF(COUNTIFS(Data!$AK$2:$AK$1105,1,Data!$M$2:$M$1105,$A$85)&lt;Controls!$B$19,NA(),IFERROR(AVERAGEIFS(Data!$AT$2:$AT$1105,Data!$AK$2:$AK$1105,1,Data!$M$2:$M$1105,$A$85),NA())))</f>
        <v/>
      </c>
      <c r="Q85" s="62">
        <f>IF($A$85="",NA(),IF(COUNTIFS(Data!$AK$2:$AK$1105,1,Data!$M$2:$M$1105,$A$85)&lt;Controls!$B$19,NA(),IFERROR(COUNTIFS(Data!$AK$2:$AK$1105,1,Data!$M$2:$M$1105,$A$85,Data!$N$2:$N$1105,"Renewal")/COUNTIFS(Data!$AK$2:$AK$1105,1,Data!$M$2:$M$1105,$A$85),NA())))</f>
        <v/>
      </c>
      <c r="R85" s="62">
        <f>IF($A$85="",NA(),IF(COUNTIFS(Data!$AK$2:$AK$1105,1,Data!$M$2:$M$1105,$A$85)&lt;Controls!$B$19,NA(),IFERROR(SUMIFS(Data!$P$2:$P$1105,Data!$AK$2:$AK$1105,1,Data!$M$2:$M$1105,$A$85,Data!$N$2:$N$1105,"Renewal")/SUMIFS(Data!$P$2:$P$1105,Data!$AK$2:$AK$1105,1,Data!$M$2:$M$1105,$A$85),NA())))</f>
        <v/>
      </c>
      <c r="S85" s="62">
        <f>IF($A$85="",NA(),Calc!$BT$2)</f>
        <v/>
      </c>
      <c r="T85" s="62">
        <f>IF($A$85="",NA(),Calc!$BT$3)</f>
        <v/>
      </c>
      <c r="U85" s="62">
        <f>IF($A$85="",NA(),Calc!$BT$4)</f>
        <v/>
      </c>
      <c r="V85" s="62">
        <f>IF($A$85="",NA(),IF(COUNTIFS(Data!$AK$2:$AK$1105,1,Data!$M$2:$M$1105,$A$85)&lt;Controls!$B$19,NA(),IFERROR(COUNTIFS(Data!$AK$2:$AK$1105,1,Data!$M$2:$M$1105,$A$85,Data!$AH$2:$AH$1105,1)/COUNTIFS(Data!$AK$2:$AK$1105,1,Data!$M$2:$M$1105,$A$85),NA())))</f>
        <v/>
      </c>
      <c r="W85" s="61">
        <f>IF($A$85="","",$A$85&amp;" ("&amp;$J$85&amp;")")</f>
        <v/>
      </c>
      <c r="X85" s="61" t="n"/>
      <c r="Y85" s="61" t="n"/>
      <c r="Z85" s="61" t="n"/>
      <c r="AA85" s="61" t="n"/>
      <c r="AB85" s="61" t="n"/>
      <c r="AC85" s="61" t="n"/>
      <c r="AD85" s="61" t="n"/>
      <c r="AE85" s="61" t="n"/>
      <c r="AF85" s="61" t="n"/>
      <c r="AG85" s="61" t="n"/>
      <c r="AH85" s="61" t="n"/>
      <c r="AI85" s="61" t="n"/>
      <c r="AJ85" s="61" t="n"/>
      <c r="AK85" s="61" t="n"/>
      <c r="AL85" s="61" t="n"/>
      <c r="AM85" s="61" t="n"/>
      <c r="AN85" s="61">
        <f>Controls!$D$44</f>
        <v/>
      </c>
      <c r="AO85" s="61">
        <f>COUNTIFS(Data!$AK$2:$AK$1105,1,Data!$L$2:$L$1105,$AN$85)</f>
        <v/>
      </c>
      <c r="AP85" s="57">
        <f>SUMIFS(Data!$P$2:$P$1105,Data!$AK$2:$AK$1105,1,Data!$L$2:$L$1105,$AN$85)</f>
        <v/>
      </c>
      <c r="AQ85" s="56">
        <f>IFERROR(SUMIFS(Data!$AN$2:$AN$1105,Data!$AK$2:$AK$1105,1,Data!$L$2:$L$1105,$AN$85)/$AP$85,0)</f>
        <v/>
      </c>
      <c r="AR85" s="57">
        <f>SUMIFS(Data!$AN$2:$AN$1105,Data!$AK$2:$AK$1105,1,Data!$L$2:$L$1105,$AN$85)</f>
        <v/>
      </c>
      <c r="AS85" s="61">
        <f>Controls!$E$44</f>
        <v/>
      </c>
      <c r="AT85" s="61">
        <f>IF(OR(AO85=0,AO85&lt;Controls!$B$20),-1000000000000000,IF(AND(Controls!$B$21="Y",$AN$85="No state"),-1000000000000000,IF(Controls!$B$17="Selected only",IF(AS85="Y",AP85,-1000000000000000),IF(Controls!$B$17="Top by funded $",AP85,IF(Controls!$B$17="Top by funded units",AO85,IF(Controls!$B$17="Largest principal lost $",AR85,IF(Controls!$B$17="Highest net profit $",AU85,IF(AO85&lt;Controls!$B$19,-1000000000000000,IF(Controls!$B$17="Highest principal lost rate %",AQ85,IF(Controls!$B$17="Lowest principal lost rate %",1-AQ85,AP85))))))))) +5/1000000)</f>
        <v/>
      </c>
      <c r="AU85" s="57">
        <f>SUMIFS(Data!$AM$2:$AM$1105,Data!$AK$2:$AK$1105,1,Data!$L$2:$L$1105,$AN$85)</f>
        <v/>
      </c>
      <c r="AV85" s="61" t="n"/>
      <c r="AW85" s="61" t="n"/>
      <c r="AX85" s="61" t="n"/>
      <c r="AY85" s="61" t="n"/>
      <c r="AZ85" s="61" t="n"/>
      <c r="BA85" s="61" t="n"/>
      <c r="BB85" s="61">
        <f>Controls!$G$50</f>
        <v/>
      </c>
      <c r="BC85" s="61">
        <f>COUNTIFS(Data!$AK$2:$AK$1105,1,Data!$M$2:$M$1105,$BB$85)</f>
        <v/>
      </c>
      <c r="BD85" s="57">
        <f>SUMIFS(Data!$P$2:$P$1105,Data!$AK$2:$AK$1105,1,Data!$M$2:$M$1105,$BB$85)</f>
        <v/>
      </c>
      <c r="BE85" s="56">
        <f>IF(COUNTIFS(Data!$AK$2:$AK$1105,1,Data!$M$2:$M$1105,$BB$85)&lt;Controls!$B$19,"",IFERROR(SUMIFS(Data!$AN$2:$AN$1105,Data!$AK$2:$AK$1105,1,Data!$M$2:$M$1105,$BB$85)/$BD$85,""))</f>
        <v/>
      </c>
      <c r="BF85" s="56">
        <f>IF(COUNTIFS(Data!$AK$2:$AK$1105,1,Data!$M$2:$M$1105,$BB$85)&lt;Controls!$B$19,"",IFERROR(SUMIFS(Data!$AM$2:$AM$1105,Data!$AK$2:$AK$1105,1,Data!$M$2:$M$1105,$BB$85)/SUMIFS(Data!$P$2:$P$1105,Data!$AK$2:$AK$1105,1,Data!$M$2:$M$1105,$BB$85),""))</f>
        <v/>
      </c>
      <c r="BG85" s="57">
        <f>SUMIFS(Data!$AN$2:$AN$1105,Data!$AK$2:$AK$1105,1,Data!$M$2:$M$1105,$BB$85)</f>
        <v/>
      </c>
      <c r="BH85" s="61" t="n"/>
      <c r="BI85" s="56">
        <f>IF(AND($BC$85&gt;=Controls!$B$22,$BD$85&gt;=LARGE($BD$75:$BD$230,MIN(Controls!$B$18,COUNT($BD$75:$BD$230)))),$BE$85,"")</f>
        <v/>
      </c>
      <c r="BJ85" s="61" t="n"/>
      <c r="BK85" s="56">
        <f>IF($BC$85&lt;Controls!$B$22,"",$BE$85)</f>
        <v/>
      </c>
      <c r="BL85" s="56">
        <f>IF($BC$85&lt;Controls!$B$22,"",$BF$85)</f>
        <v/>
      </c>
      <c r="BM85" s="57">
        <f>IF($BC$85&lt;Controls!$B$22,"",$BG$85)</f>
        <v/>
      </c>
      <c r="BN85" s="61" t="n"/>
      <c r="BO85" s="61" t="n"/>
      <c r="BP85" s="61" t="n"/>
      <c r="BQ85" s="61" t="n"/>
      <c r="BR85" s="61" t="n"/>
      <c r="BS85" s="61" t="n"/>
      <c r="BT85" s="61" t="n"/>
    </row>
    <row r="86" ht="15.75" customHeight="1" s="79">
      <c r="A86" s="61">
        <f t="array" ref="A86">IFERROR(IF(14&gt;Controls!$B$18,"",IF(LARGE(Calc!$AT$143:$AT$298,14)&lt;-100000000000000,"",INDEX(Calc!$AN$143:$AN$298,MATCH(LARGE(Calc!$AT$143:$AT$298,14),Calc!$AT$143:$AT$298,0)))),"")</f>
        <v/>
      </c>
      <c r="B86" s="66">
        <f>IF($A$86="",NA(),IFERROR(SUMIFS(Data!$P$2:$P$1105,Data!$AK$2:$AK$1105,1,Data!$M$2:$M$1105,$A$86),NA()))</f>
        <v/>
      </c>
      <c r="C86" s="66">
        <f>IF($A$86="",NA(),IFERROR(SUMIFS(Data!$S$2:$S$1105,Data!$AK$2:$AK$1105,1,Data!$M$2:$M$1105,$A$86),NA()))</f>
        <v/>
      </c>
      <c r="D86" s="66">
        <f>IF(ISNA($B$86),NA(),$C$86-$B$86)</f>
        <v/>
      </c>
      <c r="E86" s="66">
        <f>IF($A$86="",NA(),IFERROR(SUMIFS(Data!$Q$2:$Q$1105,Data!$AK$2:$AK$1105,1,Data!$M$2:$M$1105,$A$86),NA()))</f>
        <v/>
      </c>
      <c r="F86" s="66">
        <f>IF($A$86="",NA(),IFERROR(SUMIFS(Data!$AN$2:$AN$1105,Data!$AK$2:$AK$1105,1,Data!$M$2:$M$1105,$A$86),NA()))</f>
        <v/>
      </c>
      <c r="G86" s="62">
        <f>IF($A$86="",NA(),IF(COUNTIFS(Data!$AK$2:$AK$1105,1,Data!$M$2:$M$1105,$A$86)&lt;Controls!$B$19,NA(),IFERROR(SUMIFS(Data!$AN$2:$AN$1105,Data!$AK$2:$AK$1105,1,Data!$M$2:$M$1105,$A$86)/$B$86,NA())))</f>
        <v/>
      </c>
      <c r="H86" s="62">
        <f>IF($A$86="",NA(),IF(COUNTIFS(Data!$AK$2:$AK$1105,1,Data!$M$2:$M$1105,$A$86)&lt;Controls!$B$19,NA(),IFERROR(SUMIFS(Data!$S$2:$S$1105,Data!$AK$2:$AK$1105,1,Data!$M$2:$M$1105,$A$86,Data!$AH$2:$AH$1105,1)/SUMIFS(Data!$P$2:$P$1105,Data!$AK$2:$AK$1105,1,Data!$M$2:$M$1105,$A$86,Data!$AH$2:$AH$1105,1),NA())))</f>
        <v/>
      </c>
      <c r="I86" s="62">
        <f>IF(ISNA($J$86),NA(),IF($J$86&lt;Controls!$B$19,NA(),IFERROR($D$86/$B$86,NA())))</f>
        <v/>
      </c>
      <c r="J86" s="67">
        <f>IF($A$86="",NA(),IFERROR(COUNTIFS(Data!$AK$2:$AK$1105,1,Data!$M$2:$M$1105,$A$86),NA()))</f>
        <v/>
      </c>
      <c r="K86" s="62">
        <f>IF(ISNA($B$86),NA(),IFERROR($B$86/Calc!$BT$6,NA()))</f>
        <v/>
      </c>
      <c r="L86" s="66">
        <f>IF(ISNA($J$86),NA(),IF($J$86&lt;Controls!$B$19,NA(),IFERROR($B$86/$J$86,NA())))</f>
        <v/>
      </c>
      <c r="M86" s="67">
        <f>IF($A$86="",NA(),IF(COUNTIFS(Data!$AK$2:$AK$1105,1,Data!$M$2:$M$1105,$A$86)&lt;Controls!$B$19,NA(),IFERROR(AVERAGEIFS(Data!$AE$2:$AE$1105,Data!$AK$2:$AK$1105,1,Data!$M$2:$M$1105,$A$86),NA())))</f>
        <v/>
      </c>
      <c r="N86" s="67">
        <f>IF($A$86="",NA(),IF(COUNTIFS(Data!$AK$2:$AK$1105,1,Data!$M$2:$M$1105,$A$86)&lt;Controls!$B$19,NA(),IFERROR(AVERAGEIFS(Data!$AD$2:$AD$1105,Data!$AK$2:$AK$1105,1,Data!$M$2:$M$1105,$A$86),NA())))</f>
        <v/>
      </c>
      <c r="O86" s="67">
        <f>IF($A$86="",NA(),IF(COUNTIFS(Data!$AK$2:$AK$1105,1,Data!$M$2:$M$1105,$A$86)&lt;Controls!$B$19,NA(),IFERROR(AVERAGEIFS(Data!$AS$2:$AS$1105,Data!$AK$2:$AK$1105,1,Data!$M$2:$M$1105,$A$86),NA())))</f>
        <v/>
      </c>
      <c r="P86" s="67">
        <f>IF($A$86="",NA(),IF(COUNTIFS(Data!$AK$2:$AK$1105,1,Data!$M$2:$M$1105,$A$86)&lt;Controls!$B$19,NA(),IFERROR(AVERAGEIFS(Data!$AT$2:$AT$1105,Data!$AK$2:$AK$1105,1,Data!$M$2:$M$1105,$A$86),NA())))</f>
        <v/>
      </c>
      <c r="Q86" s="62">
        <f>IF($A$86="",NA(),IF(COUNTIFS(Data!$AK$2:$AK$1105,1,Data!$M$2:$M$1105,$A$86)&lt;Controls!$B$19,NA(),IFERROR(COUNTIFS(Data!$AK$2:$AK$1105,1,Data!$M$2:$M$1105,$A$86,Data!$N$2:$N$1105,"Renewal")/COUNTIFS(Data!$AK$2:$AK$1105,1,Data!$M$2:$M$1105,$A$86),NA())))</f>
        <v/>
      </c>
      <c r="R86" s="62">
        <f>IF($A$86="",NA(),IF(COUNTIFS(Data!$AK$2:$AK$1105,1,Data!$M$2:$M$1105,$A$86)&lt;Controls!$B$19,NA(),IFERROR(SUMIFS(Data!$P$2:$P$1105,Data!$AK$2:$AK$1105,1,Data!$M$2:$M$1105,$A$86,Data!$N$2:$N$1105,"Renewal")/SUMIFS(Data!$P$2:$P$1105,Data!$AK$2:$AK$1105,1,Data!$M$2:$M$1105,$A$86),NA())))</f>
        <v/>
      </c>
      <c r="S86" s="62">
        <f>IF($A$86="",NA(),Calc!$BT$2)</f>
        <v/>
      </c>
      <c r="T86" s="62">
        <f>IF($A$86="",NA(),Calc!$BT$3)</f>
        <v/>
      </c>
      <c r="U86" s="62">
        <f>IF($A$86="",NA(),Calc!$BT$4)</f>
        <v/>
      </c>
      <c r="V86" s="62">
        <f>IF($A$86="",NA(),IF(COUNTIFS(Data!$AK$2:$AK$1105,1,Data!$M$2:$M$1105,$A$86)&lt;Controls!$B$19,NA(),IFERROR(COUNTIFS(Data!$AK$2:$AK$1105,1,Data!$M$2:$M$1105,$A$86,Data!$AH$2:$AH$1105,1)/COUNTIFS(Data!$AK$2:$AK$1105,1,Data!$M$2:$M$1105,$A$86),NA())))</f>
        <v/>
      </c>
      <c r="W86" s="61">
        <f>IF($A$86="","",$A$86&amp;" ("&amp;$J$86&amp;")")</f>
        <v/>
      </c>
      <c r="X86" s="61" t="n"/>
      <c r="Y86" s="61" t="n"/>
      <c r="Z86" s="61" t="n"/>
      <c r="AA86" s="61" t="n"/>
      <c r="AB86" s="61" t="n"/>
      <c r="AC86" s="61" t="n"/>
      <c r="AD86" s="61" t="n"/>
      <c r="AE86" s="61" t="n"/>
      <c r="AF86" s="61" t="n"/>
      <c r="AG86" s="61" t="n"/>
      <c r="AH86" s="61" t="n"/>
      <c r="AI86" s="61" t="n"/>
      <c r="AJ86" s="61" t="n"/>
      <c r="AK86" s="61" t="n"/>
      <c r="AL86" s="61" t="n"/>
      <c r="AM86" s="61" t="n"/>
      <c r="AN86" s="61">
        <f>Controls!$D$45</f>
        <v/>
      </c>
      <c r="AO86" s="61">
        <f>COUNTIFS(Data!$AK$2:$AK$1105,1,Data!$L$2:$L$1105,$AN$86)</f>
        <v/>
      </c>
      <c r="AP86" s="57">
        <f>SUMIFS(Data!$P$2:$P$1105,Data!$AK$2:$AK$1105,1,Data!$L$2:$L$1105,$AN$86)</f>
        <v/>
      </c>
      <c r="AQ86" s="56">
        <f>IFERROR(SUMIFS(Data!$AN$2:$AN$1105,Data!$AK$2:$AK$1105,1,Data!$L$2:$L$1105,$AN$86)/$AP$86,0)</f>
        <v/>
      </c>
      <c r="AR86" s="57">
        <f>SUMIFS(Data!$AN$2:$AN$1105,Data!$AK$2:$AK$1105,1,Data!$L$2:$L$1105,$AN$86)</f>
        <v/>
      </c>
      <c r="AS86" s="61">
        <f>Controls!$E$45</f>
        <v/>
      </c>
      <c r="AT86" s="61">
        <f>IF(OR(AO86=0,AO86&lt;Controls!$B$20),-1000000000000000,IF(AND(Controls!$B$21="Y",$AN$86="No state"),-1000000000000000,IF(Controls!$B$17="Selected only",IF(AS86="Y",AP86,-1000000000000000),IF(Controls!$B$17="Top by funded $",AP86,IF(Controls!$B$17="Top by funded units",AO86,IF(Controls!$B$17="Largest principal lost $",AR86,IF(Controls!$B$17="Highest net profit $",AU86,IF(AO86&lt;Controls!$B$19,-1000000000000000,IF(Controls!$B$17="Highest principal lost rate %",AQ86,IF(Controls!$B$17="Lowest principal lost rate %",1-AQ86,AP86))))))))) +6/1000000)</f>
        <v/>
      </c>
      <c r="AU86" s="57">
        <f>SUMIFS(Data!$AM$2:$AM$1105,Data!$AK$2:$AK$1105,1,Data!$L$2:$L$1105,$AN$86)</f>
        <v/>
      </c>
      <c r="AV86" s="61" t="n"/>
      <c r="AW86" s="61" t="n"/>
      <c r="AX86" s="61" t="n"/>
      <c r="AY86" s="61" t="n"/>
      <c r="AZ86" s="61" t="n"/>
      <c r="BA86" s="61" t="n"/>
      <c r="BB86" s="61">
        <f>Controls!$G$51</f>
        <v/>
      </c>
      <c r="BC86" s="61">
        <f>COUNTIFS(Data!$AK$2:$AK$1105,1,Data!$M$2:$M$1105,$BB$86)</f>
        <v/>
      </c>
      <c r="BD86" s="57">
        <f>SUMIFS(Data!$P$2:$P$1105,Data!$AK$2:$AK$1105,1,Data!$M$2:$M$1105,$BB$86)</f>
        <v/>
      </c>
      <c r="BE86" s="56">
        <f>IF(COUNTIFS(Data!$AK$2:$AK$1105,1,Data!$M$2:$M$1105,$BB$86)&lt;Controls!$B$19,"",IFERROR(SUMIFS(Data!$AN$2:$AN$1105,Data!$AK$2:$AK$1105,1,Data!$M$2:$M$1105,$BB$86)/$BD$86,""))</f>
        <v/>
      </c>
      <c r="BF86" s="56">
        <f>IF(COUNTIFS(Data!$AK$2:$AK$1105,1,Data!$M$2:$M$1105,$BB$86)&lt;Controls!$B$19,"",IFERROR(SUMIFS(Data!$AM$2:$AM$1105,Data!$AK$2:$AK$1105,1,Data!$M$2:$M$1105,$BB$86)/SUMIFS(Data!$P$2:$P$1105,Data!$AK$2:$AK$1105,1,Data!$M$2:$M$1105,$BB$86),""))</f>
        <v/>
      </c>
      <c r="BG86" s="57">
        <f>SUMIFS(Data!$AN$2:$AN$1105,Data!$AK$2:$AK$1105,1,Data!$M$2:$M$1105,$BB$86)</f>
        <v/>
      </c>
      <c r="BH86" s="61" t="n"/>
      <c r="BI86" s="61">
        <f>IF(AND($BC$86&gt;=Controls!$B$22,$BD$86&gt;=LARGE($BD$75:$BD$230,MIN(Controls!$B$18,COUNT($BD$75:$BD$230)))),$BE$86,"")</f>
        <v/>
      </c>
      <c r="BJ86" s="61" t="n"/>
      <c r="BK86" s="61">
        <f>IF($BC$86&lt;Controls!$B$22,"",$BE$86)</f>
        <v/>
      </c>
      <c r="BL86" s="61">
        <f>IF($BC$86&lt;Controls!$B$22,"",$BF$86)</f>
        <v/>
      </c>
      <c r="BM86" s="61">
        <f>IF($BC$86&lt;Controls!$B$22,"",$BG$86)</f>
        <v/>
      </c>
      <c r="BN86" s="61" t="n"/>
      <c r="BO86" s="61" t="n"/>
      <c r="BP86" s="61" t="n"/>
      <c r="BQ86" s="61" t="n"/>
      <c r="BR86" s="61" t="n"/>
      <c r="BS86" s="61" t="n"/>
      <c r="BT86" s="61" t="n"/>
    </row>
    <row r="87" ht="15.75" customHeight="1" s="79">
      <c r="A87" s="61">
        <f t="array" ref="A87">IFERROR(IF(15&gt;Controls!$B$18,"",IF(LARGE(Calc!$AT$143:$AT$298,15)&lt;-100000000000000,"",INDEX(Calc!$AN$143:$AN$298,MATCH(LARGE(Calc!$AT$143:$AT$298,15),Calc!$AT$143:$AT$298,0)))),"")</f>
        <v/>
      </c>
      <c r="B87" s="66">
        <f>IF($A$87="",NA(),IFERROR(SUMIFS(Data!$P$2:$P$1105,Data!$AK$2:$AK$1105,1,Data!$M$2:$M$1105,$A$87),NA()))</f>
        <v/>
      </c>
      <c r="C87" s="66">
        <f>IF($A$87="",NA(),IFERROR(SUMIFS(Data!$S$2:$S$1105,Data!$AK$2:$AK$1105,1,Data!$M$2:$M$1105,$A$87),NA()))</f>
        <v/>
      </c>
      <c r="D87" s="66">
        <f>IF(ISNA($B$87),NA(),$C$87-$B$87)</f>
        <v/>
      </c>
      <c r="E87" s="66">
        <f>IF($A$87="",NA(),IFERROR(SUMIFS(Data!$Q$2:$Q$1105,Data!$AK$2:$AK$1105,1,Data!$M$2:$M$1105,$A$87),NA()))</f>
        <v/>
      </c>
      <c r="F87" s="66">
        <f>IF($A$87="",NA(),IFERROR(SUMIFS(Data!$AN$2:$AN$1105,Data!$AK$2:$AK$1105,1,Data!$M$2:$M$1105,$A$87),NA()))</f>
        <v/>
      </c>
      <c r="G87" s="62">
        <f>IF($A$87="",NA(),IF(COUNTIFS(Data!$AK$2:$AK$1105,1,Data!$M$2:$M$1105,$A$87)&lt;Controls!$B$19,NA(),IFERROR(SUMIFS(Data!$AN$2:$AN$1105,Data!$AK$2:$AK$1105,1,Data!$M$2:$M$1105,$A$87)/$B$87,NA())))</f>
        <v/>
      </c>
      <c r="H87" s="62">
        <f>IF($A$87="",NA(),IF(COUNTIFS(Data!$AK$2:$AK$1105,1,Data!$M$2:$M$1105,$A$87)&lt;Controls!$B$19,NA(),IFERROR(SUMIFS(Data!$S$2:$S$1105,Data!$AK$2:$AK$1105,1,Data!$M$2:$M$1105,$A$87,Data!$AH$2:$AH$1105,1)/SUMIFS(Data!$P$2:$P$1105,Data!$AK$2:$AK$1105,1,Data!$M$2:$M$1105,$A$87,Data!$AH$2:$AH$1105,1),NA())))</f>
        <v/>
      </c>
      <c r="I87" s="62">
        <f>IF(ISNA($J$87),NA(),IF($J$87&lt;Controls!$B$19,NA(),IFERROR($D$87/$B$87,NA())))</f>
        <v/>
      </c>
      <c r="J87" s="67">
        <f>IF($A$87="",NA(),IFERROR(COUNTIFS(Data!$AK$2:$AK$1105,1,Data!$M$2:$M$1105,$A$87),NA()))</f>
        <v/>
      </c>
      <c r="K87" s="62">
        <f>IF(ISNA($B$87),NA(),IFERROR($B$87/Calc!$BT$6,NA()))</f>
        <v/>
      </c>
      <c r="L87" s="66">
        <f>IF(ISNA($J$87),NA(),IF($J$87&lt;Controls!$B$19,NA(),IFERROR($B$87/$J$87,NA())))</f>
        <v/>
      </c>
      <c r="M87" s="67">
        <f>IF($A$87="",NA(),IF(COUNTIFS(Data!$AK$2:$AK$1105,1,Data!$M$2:$M$1105,$A$87)&lt;Controls!$B$19,NA(),IFERROR(AVERAGEIFS(Data!$AE$2:$AE$1105,Data!$AK$2:$AK$1105,1,Data!$M$2:$M$1105,$A$87),NA())))</f>
        <v/>
      </c>
      <c r="N87" s="67">
        <f>IF($A$87="",NA(),IF(COUNTIFS(Data!$AK$2:$AK$1105,1,Data!$M$2:$M$1105,$A$87)&lt;Controls!$B$19,NA(),IFERROR(AVERAGEIFS(Data!$AD$2:$AD$1105,Data!$AK$2:$AK$1105,1,Data!$M$2:$M$1105,$A$87),NA())))</f>
        <v/>
      </c>
      <c r="O87" s="67">
        <f>IF($A$87="",NA(),IF(COUNTIFS(Data!$AK$2:$AK$1105,1,Data!$M$2:$M$1105,$A$87)&lt;Controls!$B$19,NA(),IFERROR(AVERAGEIFS(Data!$AS$2:$AS$1105,Data!$AK$2:$AK$1105,1,Data!$M$2:$M$1105,$A$87),NA())))</f>
        <v/>
      </c>
      <c r="P87" s="67">
        <f>IF($A$87="",NA(),IF(COUNTIFS(Data!$AK$2:$AK$1105,1,Data!$M$2:$M$1105,$A$87)&lt;Controls!$B$19,NA(),IFERROR(AVERAGEIFS(Data!$AT$2:$AT$1105,Data!$AK$2:$AK$1105,1,Data!$M$2:$M$1105,$A$87),NA())))</f>
        <v/>
      </c>
      <c r="Q87" s="62">
        <f>IF($A$87="",NA(),IF(COUNTIFS(Data!$AK$2:$AK$1105,1,Data!$M$2:$M$1105,$A$87)&lt;Controls!$B$19,NA(),IFERROR(COUNTIFS(Data!$AK$2:$AK$1105,1,Data!$M$2:$M$1105,$A$87,Data!$N$2:$N$1105,"Renewal")/COUNTIFS(Data!$AK$2:$AK$1105,1,Data!$M$2:$M$1105,$A$87),NA())))</f>
        <v/>
      </c>
      <c r="R87" s="62">
        <f>IF($A$87="",NA(),IF(COUNTIFS(Data!$AK$2:$AK$1105,1,Data!$M$2:$M$1105,$A$87)&lt;Controls!$B$19,NA(),IFERROR(SUMIFS(Data!$P$2:$P$1105,Data!$AK$2:$AK$1105,1,Data!$M$2:$M$1105,$A$87,Data!$N$2:$N$1105,"Renewal")/SUMIFS(Data!$P$2:$P$1105,Data!$AK$2:$AK$1105,1,Data!$M$2:$M$1105,$A$87),NA())))</f>
        <v/>
      </c>
      <c r="S87" s="62">
        <f>IF($A$87="",NA(),Calc!$BT$2)</f>
        <v/>
      </c>
      <c r="T87" s="62">
        <f>IF($A$87="",NA(),Calc!$BT$3)</f>
        <v/>
      </c>
      <c r="U87" s="62">
        <f>IF($A$87="",NA(),Calc!$BT$4)</f>
        <v/>
      </c>
      <c r="V87" s="62">
        <f>IF($A$87="",NA(),IF(COUNTIFS(Data!$AK$2:$AK$1105,1,Data!$M$2:$M$1105,$A$87)&lt;Controls!$B$19,NA(),IFERROR(COUNTIFS(Data!$AK$2:$AK$1105,1,Data!$M$2:$M$1105,$A$87,Data!$AH$2:$AH$1105,1)/COUNTIFS(Data!$AK$2:$AK$1105,1,Data!$M$2:$M$1105,$A$87),NA())))</f>
        <v/>
      </c>
      <c r="W87" s="61">
        <f>IF($A$87="","",$A$87&amp;" ("&amp;$J$87&amp;")")</f>
        <v/>
      </c>
      <c r="X87" s="61" t="n"/>
      <c r="Y87" s="61" t="n"/>
      <c r="Z87" s="61" t="n"/>
      <c r="AA87" s="61" t="n"/>
      <c r="AB87" s="61" t="n"/>
      <c r="AC87" s="61" t="n"/>
      <c r="AD87" s="61" t="n"/>
      <c r="AE87" s="61" t="n"/>
      <c r="AF87" s="61" t="n"/>
      <c r="AG87" s="61" t="n"/>
      <c r="AH87" s="61" t="n"/>
      <c r="AI87" s="61" t="n"/>
      <c r="AJ87" s="61" t="n"/>
      <c r="AK87" s="61" t="n"/>
      <c r="AL87" s="61" t="n"/>
      <c r="AM87" s="61" t="n"/>
      <c r="AN87" s="61">
        <f>Controls!$D$46</f>
        <v/>
      </c>
      <c r="AO87" s="61">
        <f>COUNTIFS(Data!$AK$2:$AK$1105,1,Data!$L$2:$L$1105,$AN$87)</f>
        <v/>
      </c>
      <c r="AP87" s="57">
        <f>SUMIFS(Data!$P$2:$P$1105,Data!$AK$2:$AK$1105,1,Data!$L$2:$L$1105,$AN$87)</f>
        <v/>
      </c>
      <c r="AQ87" s="56">
        <f>IFERROR(SUMIFS(Data!$AN$2:$AN$1105,Data!$AK$2:$AK$1105,1,Data!$L$2:$L$1105,$AN$87)/$AP$87,0)</f>
        <v/>
      </c>
      <c r="AR87" s="57">
        <f>SUMIFS(Data!$AN$2:$AN$1105,Data!$AK$2:$AK$1105,1,Data!$L$2:$L$1105,$AN$87)</f>
        <v/>
      </c>
      <c r="AS87" s="61">
        <f>Controls!$E$46</f>
        <v/>
      </c>
      <c r="AT87" s="61">
        <f>IF(OR(AO87=0,AO87&lt;Controls!$B$20),-1000000000000000,IF(AND(Controls!$B$21="Y",$AN$87="No state"),-1000000000000000,IF(Controls!$B$17="Selected only",IF(AS87="Y",AP87,-1000000000000000),IF(Controls!$B$17="Top by funded $",AP87,IF(Controls!$B$17="Top by funded units",AO87,IF(Controls!$B$17="Largest principal lost $",AR87,IF(Controls!$B$17="Highest net profit $",AU87,IF(AO87&lt;Controls!$B$19,-1000000000000000,IF(Controls!$B$17="Highest principal lost rate %",AQ87,IF(Controls!$B$17="Lowest principal lost rate %",1-AQ87,AP87))))))))) +7/1000000)</f>
        <v/>
      </c>
      <c r="AU87" s="57">
        <f>SUMIFS(Data!$AM$2:$AM$1105,Data!$AK$2:$AK$1105,1,Data!$L$2:$L$1105,$AN$87)</f>
        <v/>
      </c>
      <c r="AV87" s="61" t="n"/>
      <c r="AW87" s="61" t="n"/>
      <c r="AX87" s="61" t="n"/>
      <c r="AY87" s="61" t="n"/>
      <c r="AZ87" s="61" t="n"/>
      <c r="BA87" s="61" t="n"/>
      <c r="BB87" s="61">
        <f>Controls!$G$52</f>
        <v/>
      </c>
      <c r="BC87" s="61">
        <f>COUNTIFS(Data!$AK$2:$AK$1105,1,Data!$M$2:$M$1105,$BB$87)</f>
        <v/>
      </c>
      <c r="BD87" s="57">
        <f>SUMIFS(Data!$P$2:$P$1105,Data!$AK$2:$AK$1105,1,Data!$M$2:$M$1105,$BB$87)</f>
        <v/>
      </c>
      <c r="BE87" s="56">
        <f>IF(COUNTIFS(Data!$AK$2:$AK$1105,1,Data!$M$2:$M$1105,$BB$87)&lt;Controls!$B$19,"",IFERROR(SUMIFS(Data!$AN$2:$AN$1105,Data!$AK$2:$AK$1105,1,Data!$M$2:$M$1105,$BB$87)/$BD$87,""))</f>
        <v/>
      </c>
      <c r="BF87" s="56">
        <f>IF(COUNTIFS(Data!$AK$2:$AK$1105,1,Data!$M$2:$M$1105,$BB$87)&lt;Controls!$B$19,"",IFERROR(SUMIFS(Data!$AM$2:$AM$1105,Data!$AK$2:$AK$1105,1,Data!$M$2:$M$1105,$BB$87)/SUMIFS(Data!$P$2:$P$1105,Data!$AK$2:$AK$1105,1,Data!$M$2:$M$1105,$BB$87),""))</f>
        <v/>
      </c>
      <c r="BG87" s="57">
        <f>SUMIFS(Data!$AN$2:$AN$1105,Data!$AK$2:$AK$1105,1,Data!$M$2:$M$1105,$BB$87)</f>
        <v/>
      </c>
      <c r="BH87" s="61" t="n"/>
      <c r="BI87" s="61">
        <f>IF(AND($BC$87&gt;=Controls!$B$22,$BD$87&gt;=LARGE($BD$75:$BD$230,MIN(Controls!$B$18,COUNT($BD$75:$BD$230)))),$BE$87,"")</f>
        <v/>
      </c>
      <c r="BJ87" s="61" t="n"/>
      <c r="BK87" s="61">
        <f>IF($BC$87&lt;Controls!$B$22,"",$BE$87)</f>
        <v/>
      </c>
      <c r="BL87" s="61">
        <f>IF($BC$87&lt;Controls!$B$22,"",$BF$87)</f>
        <v/>
      </c>
      <c r="BM87" s="61">
        <f>IF($BC$87&lt;Controls!$B$22,"",$BG$87)</f>
        <v/>
      </c>
      <c r="BN87" s="61" t="n"/>
      <c r="BO87" s="61" t="n"/>
      <c r="BP87" s="61" t="n"/>
      <c r="BQ87" s="61" t="n"/>
      <c r="BR87" s="61" t="n"/>
      <c r="BS87" s="61" t="n"/>
      <c r="BT87" s="61" t="n"/>
    </row>
    <row r="88" ht="15.75" customHeight="1" s="79">
      <c r="A88" s="61">
        <f t="array" ref="A88">IFERROR(IF(16&gt;Controls!$B$18,"",IF(LARGE(Calc!$AT$143:$AT$298,16)&lt;-100000000000000,"",INDEX(Calc!$AN$143:$AN$298,MATCH(LARGE(Calc!$AT$143:$AT$298,16),Calc!$AT$143:$AT$298,0)))),"")</f>
        <v/>
      </c>
      <c r="B88" s="66">
        <f>IF($A$88="",NA(),IFERROR(SUMIFS(Data!$P$2:$P$1105,Data!$AK$2:$AK$1105,1,Data!$M$2:$M$1105,$A$88),NA()))</f>
        <v/>
      </c>
      <c r="C88" s="66">
        <f>IF($A$88="",NA(),IFERROR(SUMIFS(Data!$S$2:$S$1105,Data!$AK$2:$AK$1105,1,Data!$M$2:$M$1105,$A$88),NA()))</f>
        <v/>
      </c>
      <c r="D88" s="66">
        <f>IF(ISNA($B$88),NA(),$C$88-$B$88)</f>
        <v/>
      </c>
      <c r="E88" s="66">
        <f>IF($A$88="",NA(),IFERROR(SUMIFS(Data!$Q$2:$Q$1105,Data!$AK$2:$AK$1105,1,Data!$M$2:$M$1105,$A$88),NA()))</f>
        <v/>
      </c>
      <c r="F88" s="66">
        <f>IF($A$88="",NA(),IFERROR(SUMIFS(Data!$AN$2:$AN$1105,Data!$AK$2:$AK$1105,1,Data!$M$2:$M$1105,$A$88),NA()))</f>
        <v/>
      </c>
      <c r="G88" s="62">
        <f>IF($A$88="",NA(),IF(COUNTIFS(Data!$AK$2:$AK$1105,1,Data!$M$2:$M$1105,$A$88)&lt;Controls!$B$19,NA(),IFERROR(SUMIFS(Data!$AN$2:$AN$1105,Data!$AK$2:$AK$1105,1,Data!$M$2:$M$1105,$A$88)/$B$88,NA())))</f>
        <v/>
      </c>
      <c r="H88" s="62">
        <f>IF($A$88="",NA(),IF(COUNTIFS(Data!$AK$2:$AK$1105,1,Data!$M$2:$M$1105,$A$88)&lt;Controls!$B$19,NA(),IFERROR(SUMIFS(Data!$S$2:$S$1105,Data!$AK$2:$AK$1105,1,Data!$M$2:$M$1105,$A$88,Data!$AH$2:$AH$1105,1)/SUMIFS(Data!$P$2:$P$1105,Data!$AK$2:$AK$1105,1,Data!$M$2:$M$1105,$A$88,Data!$AH$2:$AH$1105,1),NA())))</f>
        <v/>
      </c>
      <c r="I88" s="62">
        <f>IF(ISNA($J$88),NA(),IF($J$88&lt;Controls!$B$19,NA(),IFERROR($D$88/$B$88,NA())))</f>
        <v/>
      </c>
      <c r="J88" s="67">
        <f>IF($A$88="",NA(),IFERROR(COUNTIFS(Data!$AK$2:$AK$1105,1,Data!$M$2:$M$1105,$A$88),NA()))</f>
        <v/>
      </c>
      <c r="K88" s="62">
        <f>IF(ISNA($B$88),NA(),IFERROR($B$88/Calc!$BT$6,NA()))</f>
        <v/>
      </c>
      <c r="L88" s="66">
        <f>IF(ISNA($J$88),NA(),IF($J$88&lt;Controls!$B$19,NA(),IFERROR($B$88/$J$88,NA())))</f>
        <v/>
      </c>
      <c r="M88" s="67">
        <f>IF($A$88="",NA(),IF(COUNTIFS(Data!$AK$2:$AK$1105,1,Data!$M$2:$M$1105,$A$88)&lt;Controls!$B$19,NA(),IFERROR(AVERAGEIFS(Data!$AE$2:$AE$1105,Data!$AK$2:$AK$1105,1,Data!$M$2:$M$1105,$A$88),NA())))</f>
        <v/>
      </c>
      <c r="N88" s="67">
        <f>IF($A$88="",NA(),IF(COUNTIFS(Data!$AK$2:$AK$1105,1,Data!$M$2:$M$1105,$A$88)&lt;Controls!$B$19,NA(),IFERROR(AVERAGEIFS(Data!$AD$2:$AD$1105,Data!$AK$2:$AK$1105,1,Data!$M$2:$M$1105,$A$88),NA())))</f>
        <v/>
      </c>
      <c r="O88" s="67">
        <f>IF($A$88="",NA(),IF(COUNTIFS(Data!$AK$2:$AK$1105,1,Data!$M$2:$M$1105,$A$88)&lt;Controls!$B$19,NA(),IFERROR(AVERAGEIFS(Data!$AS$2:$AS$1105,Data!$AK$2:$AK$1105,1,Data!$M$2:$M$1105,$A$88),NA())))</f>
        <v/>
      </c>
      <c r="P88" s="67">
        <f>IF($A$88="",NA(),IF(COUNTIFS(Data!$AK$2:$AK$1105,1,Data!$M$2:$M$1105,$A$88)&lt;Controls!$B$19,NA(),IFERROR(AVERAGEIFS(Data!$AT$2:$AT$1105,Data!$AK$2:$AK$1105,1,Data!$M$2:$M$1105,$A$88),NA())))</f>
        <v/>
      </c>
      <c r="Q88" s="62">
        <f>IF($A$88="",NA(),IF(COUNTIFS(Data!$AK$2:$AK$1105,1,Data!$M$2:$M$1105,$A$88)&lt;Controls!$B$19,NA(),IFERROR(COUNTIFS(Data!$AK$2:$AK$1105,1,Data!$M$2:$M$1105,$A$88,Data!$N$2:$N$1105,"Renewal")/COUNTIFS(Data!$AK$2:$AK$1105,1,Data!$M$2:$M$1105,$A$88),NA())))</f>
        <v/>
      </c>
      <c r="R88" s="62">
        <f>IF($A$88="",NA(),IF(COUNTIFS(Data!$AK$2:$AK$1105,1,Data!$M$2:$M$1105,$A$88)&lt;Controls!$B$19,NA(),IFERROR(SUMIFS(Data!$P$2:$P$1105,Data!$AK$2:$AK$1105,1,Data!$M$2:$M$1105,$A$88,Data!$N$2:$N$1105,"Renewal")/SUMIFS(Data!$P$2:$P$1105,Data!$AK$2:$AK$1105,1,Data!$M$2:$M$1105,$A$88),NA())))</f>
        <v/>
      </c>
      <c r="S88" s="62">
        <f>IF($A$88="",NA(),Calc!$BT$2)</f>
        <v/>
      </c>
      <c r="T88" s="62">
        <f>IF($A$88="",NA(),Calc!$BT$3)</f>
        <v/>
      </c>
      <c r="U88" s="62">
        <f>IF($A$88="",NA(),Calc!$BT$4)</f>
        <v/>
      </c>
      <c r="V88" s="62">
        <f>IF($A$88="",NA(),IF(COUNTIFS(Data!$AK$2:$AK$1105,1,Data!$M$2:$M$1105,$A$88)&lt;Controls!$B$19,NA(),IFERROR(COUNTIFS(Data!$AK$2:$AK$1105,1,Data!$M$2:$M$1105,$A$88,Data!$AH$2:$AH$1105,1)/COUNTIFS(Data!$AK$2:$AK$1105,1,Data!$M$2:$M$1105,$A$88),NA())))</f>
        <v/>
      </c>
      <c r="W88" s="61">
        <f>IF($A$88="","",$A$88&amp;" ("&amp;$J$88&amp;")")</f>
        <v/>
      </c>
      <c r="X88" s="61" t="n"/>
      <c r="Y88" s="61" t="n"/>
      <c r="Z88" s="61" t="n"/>
      <c r="AA88" s="61" t="n"/>
      <c r="AB88" s="61" t="n"/>
      <c r="AC88" s="61" t="n"/>
      <c r="AD88" s="61" t="n"/>
      <c r="AE88" s="61" t="n"/>
      <c r="AF88" s="61" t="n"/>
      <c r="AG88" s="61" t="n"/>
      <c r="AH88" s="61" t="n"/>
      <c r="AI88" s="61" t="n"/>
      <c r="AJ88" s="61" t="n"/>
      <c r="AK88" s="61" t="n"/>
      <c r="AL88" s="61" t="n"/>
      <c r="AM88" s="61" t="n"/>
      <c r="AN88" s="61">
        <f>Controls!$D$47</f>
        <v/>
      </c>
      <c r="AO88" s="61">
        <f>COUNTIFS(Data!$AK$2:$AK$1105,1,Data!$L$2:$L$1105,$AN$88)</f>
        <v/>
      </c>
      <c r="AP88" s="57">
        <f>SUMIFS(Data!$P$2:$P$1105,Data!$AK$2:$AK$1105,1,Data!$L$2:$L$1105,$AN$88)</f>
        <v/>
      </c>
      <c r="AQ88" s="56">
        <f>IFERROR(SUMIFS(Data!$AN$2:$AN$1105,Data!$AK$2:$AK$1105,1,Data!$L$2:$L$1105,$AN$88)/$AP$88,0)</f>
        <v/>
      </c>
      <c r="AR88" s="57">
        <f>SUMIFS(Data!$AN$2:$AN$1105,Data!$AK$2:$AK$1105,1,Data!$L$2:$L$1105,$AN$88)</f>
        <v/>
      </c>
      <c r="AS88" s="61">
        <f>Controls!$E$47</f>
        <v/>
      </c>
      <c r="AT88" s="61">
        <f>IF(OR(AO88=0,AO88&lt;Controls!$B$20),-1000000000000000,IF(AND(Controls!$B$21="Y",$AN$88="No state"),-1000000000000000,IF(Controls!$B$17="Selected only",IF(AS88="Y",AP88,-1000000000000000),IF(Controls!$B$17="Top by funded $",AP88,IF(Controls!$B$17="Top by funded units",AO88,IF(Controls!$B$17="Largest principal lost $",AR88,IF(Controls!$B$17="Highest net profit $",AU88,IF(AO88&lt;Controls!$B$19,-1000000000000000,IF(Controls!$B$17="Highest principal lost rate %",AQ88,IF(Controls!$B$17="Lowest principal lost rate %",1-AQ88,AP88))))))))) +8/1000000)</f>
        <v/>
      </c>
      <c r="AU88" s="57">
        <f>SUMIFS(Data!$AM$2:$AM$1105,Data!$AK$2:$AK$1105,1,Data!$L$2:$L$1105,$AN$88)</f>
        <v/>
      </c>
      <c r="AV88" s="61" t="n"/>
      <c r="AW88" s="61" t="n"/>
      <c r="AX88" s="61" t="n"/>
      <c r="AY88" s="61" t="n"/>
      <c r="AZ88" s="61" t="n"/>
      <c r="BA88" s="61" t="n"/>
      <c r="BB88" s="61">
        <f>Controls!$G$53</f>
        <v/>
      </c>
      <c r="BC88" s="61">
        <f>COUNTIFS(Data!$AK$2:$AK$1105,1,Data!$M$2:$M$1105,$BB$88)</f>
        <v/>
      </c>
      <c r="BD88" s="57">
        <f>SUMIFS(Data!$P$2:$P$1105,Data!$AK$2:$AK$1105,1,Data!$M$2:$M$1105,$BB$88)</f>
        <v/>
      </c>
      <c r="BE88" s="56">
        <f>IF(COUNTIFS(Data!$AK$2:$AK$1105,1,Data!$M$2:$M$1105,$BB$88)&lt;Controls!$B$19,"",IFERROR(SUMIFS(Data!$AN$2:$AN$1105,Data!$AK$2:$AK$1105,1,Data!$M$2:$M$1105,$BB$88)/$BD$88,""))</f>
        <v/>
      </c>
      <c r="BF88" s="56">
        <f>IF(COUNTIFS(Data!$AK$2:$AK$1105,1,Data!$M$2:$M$1105,$BB$88)&lt;Controls!$B$19,"",IFERROR(SUMIFS(Data!$AM$2:$AM$1105,Data!$AK$2:$AK$1105,1,Data!$M$2:$M$1105,$BB$88)/SUMIFS(Data!$P$2:$P$1105,Data!$AK$2:$AK$1105,1,Data!$M$2:$M$1105,$BB$88),""))</f>
        <v/>
      </c>
      <c r="BG88" s="57">
        <f>SUMIFS(Data!$AN$2:$AN$1105,Data!$AK$2:$AK$1105,1,Data!$M$2:$M$1105,$BB$88)</f>
        <v/>
      </c>
      <c r="BH88" s="61" t="n"/>
      <c r="BI88" s="61">
        <f>IF(AND($BC$88&gt;=Controls!$B$22,$BD$88&gt;=LARGE($BD$75:$BD$230,MIN(Controls!$B$18,COUNT($BD$75:$BD$230)))),$BE$88,"")</f>
        <v/>
      </c>
      <c r="BJ88" s="61" t="n"/>
      <c r="BK88" s="61">
        <f>IF($BC$88&lt;Controls!$B$22,"",$BE$88)</f>
        <v/>
      </c>
      <c r="BL88" s="61">
        <f>IF($BC$88&lt;Controls!$B$22,"",$BF$88)</f>
        <v/>
      </c>
      <c r="BM88" s="61">
        <f>IF($BC$88&lt;Controls!$B$22,"",$BG$88)</f>
        <v/>
      </c>
      <c r="BN88" s="61" t="n"/>
      <c r="BO88" s="61" t="n"/>
      <c r="BP88" s="61" t="n"/>
      <c r="BQ88" s="61" t="n"/>
      <c r="BR88" s="61" t="n"/>
      <c r="BS88" s="61" t="n"/>
      <c r="BT88" s="61" t="n"/>
    </row>
    <row r="89" ht="15.75" customHeight="1" s="79">
      <c r="A89" s="61">
        <f t="array" ref="A89">IFERROR(IF(17&gt;Controls!$B$18,"",IF(LARGE(Calc!$AT$143:$AT$298,17)&lt;-100000000000000,"",INDEX(Calc!$AN$143:$AN$298,MATCH(LARGE(Calc!$AT$143:$AT$298,17),Calc!$AT$143:$AT$298,0)))),"")</f>
        <v/>
      </c>
      <c r="B89" s="66">
        <f>IF($A$89="",NA(),IFERROR(SUMIFS(Data!$P$2:$P$1105,Data!$AK$2:$AK$1105,1,Data!$M$2:$M$1105,$A$89),NA()))</f>
        <v/>
      </c>
      <c r="C89" s="66">
        <f>IF($A$89="",NA(),IFERROR(SUMIFS(Data!$S$2:$S$1105,Data!$AK$2:$AK$1105,1,Data!$M$2:$M$1105,$A$89),NA()))</f>
        <v/>
      </c>
      <c r="D89" s="66">
        <f>IF(ISNA($B$89),NA(),$C$89-$B$89)</f>
        <v/>
      </c>
      <c r="E89" s="66">
        <f>IF($A$89="",NA(),IFERROR(SUMIFS(Data!$Q$2:$Q$1105,Data!$AK$2:$AK$1105,1,Data!$M$2:$M$1105,$A$89),NA()))</f>
        <v/>
      </c>
      <c r="F89" s="66">
        <f>IF($A$89="",NA(),IFERROR(SUMIFS(Data!$AN$2:$AN$1105,Data!$AK$2:$AK$1105,1,Data!$M$2:$M$1105,$A$89),NA()))</f>
        <v/>
      </c>
      <c r="G89" s="62">
        <f>IF($A$89="",NA(),IF(COUNTIFS(Data!$AK$2:$AK$1105,1,Data!$M$2:$M$1105,$A$89)&lt;Controls!$B$19,NA(),IFERROR(SUMIFS(Data!$AN$2:$AN$1105,Data!$AK$2:$AK$1105,1,Data!$M$2:$M$1105,$A$89)/$B$89,NA())))</f>
        <v/>
      </c>
      <c r="H89" s="62">
        <f>IF($A$89="",NA(),IF(COUNTIFS(Data!$AK$2:$AK$1105,1,Data!$M$2:$M$1105,$A$89)&lt;Controls!$B$19,NA(),IFERROR(SUMIFS(Data!$S$2:$S$1105,Data!$AK$2:$AK$1105,1,Data!$M$2:$M$1105,$A$89,Data!$AH$2:$AH$1105,1)/SUMIFS(Data!$P$2:$P$1105,Data!$AK$2:$AK$1105,1,Data!$M$2:$M$1105,$A$89,Data!$AH$2:$AH$1105,1),NA())))</f>
        <v/>
      </c>
      <c r="I89" s="62">
        <f>IF(ISNA($J$89),NA(),IF($J$89&lt;Controls!$B$19,NA(),IFERROR($D$89/$B$89,NA())))</f>
        <v/>
      </c>
      <c r="J89" s="67">
        <f>IF($A$89="",NA(),IFERROR(COUNTIFS(Data!$AK$2:$AK$1105,1,Data!$M$2:$M$1105,$A$89),NA()))</f>
        <v/>
      </c>
      <c r="K89" s="62">
        <f>IF(ISNA($B$89),NA(),IFERROR($B$89/Calc!$BT$6,NA()))</f>
        <v/>
      </c>
      <c r="L89" s="66">
        <f>IF(ISNA($J$89),NA(),IF($J$89&lt;Controls!$B$19,NA(),IFERROR($B$89/$J$89,NA())))</f>
        <v/>
      </c>
      <c r="M89" s="67">
        <f>IF($A$89="",NA(),IF(COUNTIFS(Data!$AK$2:$AK$1105,1,Data!$M$2:$M$1105,$A$89)&lt;Controls!$B$19,NA(),IFERROR(AVERAGEIFS(Data!$AE$2:$AE$1105,Data!$AK$2:$AK$1105,1,Data!$M$2:$M$1105,$A$89),NA())))</f>
        <v/>
      </c>
      <c r="N89" s="67">
        <f>IF($A$89="",NA(),IF(COUNTIFS(Data!$AK$2:$AK$1105,1,Data!$M$2:$M$1105,$A$89)&lt;Controls!$B$19,NA(),IFERROR(AVERAGEIFS(Data!$AD$2:$AD$1105,Data!$AK$2:$AK$1105,1,Data!$M$2:$M$1105,$A$89),NA())))</f>
        <v/>
      </c>
      <c r="O89" s="67">
        <f>IF($A$89="",NA(),IF(COUNTIFS(Data!$AK$2:$AK$1105,1,Data!$M$2:$M$1105,$A$89)&lt;Controls!$B$19,NA(),IFERROR(AVERAGEIFS(Data!$AS$2:$AS$1105,Data!$AK$2:$AK$1105,1,Data!$M$2:$M$1105,$A$89),NA())))</f>
        <v/>
      </c>
      <c r="P89" s="67">
        <f>IF($A$89="",NA(),IF(COUNTIFS(Data!$AK$2:$AK$1105,1,Data!$M$2:$M$1105,$A$89)&lt;Controls!$B$19,NA(),IFERROR(AVERAGEIFS(Data!$AT$2:$AT$1105,Data!$AK$2:$AK$1105,1,Data!$M$2:$M$1105,$A$89),NA())))</f>
        <v/>
      </c>
      <c r="Q89" s="62">
        <f>IF($A$89="",NA(),IF(COUNTIFS(Data!$AK$2:$AK$1105,1,Data!$M$2:$M$1105,$A$89)&lt;Controls!$B$19,NA(),IFERROR(COUNTIFS(Data!$AK$2:$AK$1105,1,Data!$M$2:$M$1105,$A$89,Data!$N$2:$N$1105,"Renewal")/COUNTIFS(Data!$AK$2:$AK$1105,1,Data!$M$2:$M$1105,$A$89),NA())))</f>
        <v/>
      </c>
      <c r="R89" s="62">
        <f>IF($A$89="",NA(),IF(COUNTIFS(Data!$AK$2:$AK$1105,1,Data!$M$2:$M$1105,$A$89)&lt;Controls!$B$19,NA(),IFERROR(SUMIFS(Data!$P$2:$P$1105,Data!$AK$2:$AK$1105,1,Data!$M$2:$M$1105,$A$89,Data!$N$2:$N$1105,"Renewal")/SUMIFS(Data!$P$2:$P$1105,Data!$AK$2:$AK$1105,1,Data!$M$2:$M$1105,$A$89),NA())))</f>
        <v/>
      </c>
      <c r="S89" s="62">
        <f>IF($A$89="",NA(),Calc!$BT$2)</f>
        <v/>
      </c>
      <c r="T89" s="62">
        <f>IF($A$89="",NA(),Calc!$BT$3)</f>
        <v/>
      </c>
      <c r="U89" s="62">
        <f>IF($A$89="",NA(),Calc!$BT$4)</f>
        <v/>
      </c>
      <c r="V89" s="62">
        <f>IF($A$89="",NA(),IF(COUNTIFS(Data!$AK$2:$AK$1105,1,Data!$M$2:$M$1105,$A$89)&lt;Controls!$B$19,NA(),IFERROR(COUNTIFS(Data!$AK$2:$AK$1105,1,Data!$M$2:$M$1105,$A$89,Data!$AH$2:$AH$1105,1)/COUNTIFS(Data!$AK$2:$AK$1105,1,Data!$M$2:$M$1105,$A$89),NA())))</f>
        <v/>
      </c>
      <c r="W89" s="61">
        <f>IF($A$89="","",$A$89&amp;" ("&amp;$J$89&amp;")")</f>
        <v/>
      </c>
      <c r="X89" s="61" t="n"/>
      <c r="Y89" s="61" t="n"/>
      <c r="Z89" s="61" t="n"/>
      <c r="AA89" s="61" t="n"/>
      <c r="AB89" s="61" t="n"/>
      <c r="AC89" s="61" t="n"/>
      <c r="AD89" s="61" t="n"/>
      <c r="AE89" s="61" t="n"/>
      <c r="AF89" s="61" t="n"/>
      <c r="AG89" s="61" t="n"/>
      <c r="AH89" s="61" t="n"/>
      <c r="AI89" s="61" t="n"/>
      <c r="AJ89" s="61" t="n"/>
      <c r="AK89" s="61" t="n"/>
      <c r="AL89" s="61" t="n"/>
      <c r="AM89" s="61" t="n"/>
      <c r="AN89" s="61">
        <f>Controls!$D$48</f>
        <v/>
      </c>
      <c r="AO89" s="61">
        <f>COUNTIFS(Data!$AK$2:$AK$1105,1,Data!$L$2:$L$1105,$AN$89)</f>
        <v/>
      </c>
      <c r="AP89" s="57">
        <f>SUMIFS(Data!$P$2:$P$1105,Data!$AK$2:$AK$1105,1,Data!$L$2:$L$1105,$AN$89)</f>
        <v/>
      </c>
      <c r="AQ89" s="56">
        <f>IFERROR(SUMIFS(Data!$AN$2:$AN$1105,Data!$AK$2:$AK$1105,1,Data!$L$2:$L$1105,$AN$89)/$AP$89,0)</f>
        <v/>
      </c>
      <c r="AR89" s="57">
        <f>SUMIFS(Data!$AN$2:$AN$1105,Data!$AK$2:$AK$1105,1,Data!$L$2:$L$1105,$AN$89)</f>
        <v/>
      </c>
      <c r="AS89" s="61">
        <f>Controls!$E$48</f>
        <v/>
      </c>
      <c r="AT89" s="61">
        <f>IF(OR(AO89=0,AO89&lt;Controls!$B$20),-1000000000000000,IF(AND(Controls!$B$21="Y",$AN$89="No state"),-1000000000000000,IF(Controls!$B$17="Selected only",IF(AS89="Y",AP89,-1000000000000000),IF(Controls!$B$17="Top by funded $",AP89,IF(Controls!$B$17="Top by funded units",AO89,IF(Controls!$B$17="Largest principal lost $",AR89,IF(Controls!$B$17="Highest net profit $",AU89,IF(AO89&lt;Controls!$B$19,-1000000000000000,IF(Controls!$B$17="Highest principal lost rate %",AQ89,IF(Controls!$B$17="Lowest principal lost rate %",1-AQ89,AP89))))))))) +9/1000000)</f>
        <v/>
      </c>
      <c r="AU89" s="57">
        <f>SUMIFS(Data!$AM$2:$AM$1105,Data!$AK$2:$AK$1105,1,Data!$L$2:$L$1105,$AN$89)</f>
        <v/>
      </c>
      <c r="AV89" s="61" t="n"/>
      <c r="AW89" s="61" t="n"/>
      <c r="AX89" s="61" t="n"/>
      <c r="AY89" s="61" t="n"/>
      <c r="AZ89" s="61" t="n"/>
      <c r="BA89" s="61" t="n"/>
      <c r="BB89" s="61">
        <f>Controls!$G$54</f>
        <v/>
      </c>
      <c r="BC89" s="61">
        <f>COUNTIFS(Data!$AK$2:$AK$1105,1,Data!$M$2:$M$1105,$BB$89)</f>
        <v/>
      </c>
      <c r="BD89" s="57">
        <f>SUMIFS(Data!$P$2:$P$1105,Data!$AK$2:$AK$1105,1,Data!$M$2:$M$1105,$BB$89)</f>
        <v/>
      </c>
      <c r="BE89" s="56">
        <f>IF(COUNTIFS(Data!$AK$2:$AK$1105,1,Data!$M$2:$M$1105,$BB$89)&lt;Controls!$B$19,"",IFERROR(SUMIFS(Data!$AN$2:$AN$1105,Data!$AK$2:$AK$1105,1,Data!$M$2:$M$1105,$BB$89)/$BD$89,""))</f>
        <v/>
      </c>
      <c r="BF89" s="56">
        <f>IF(COUNTIFS(Data!$AK$2:$AK$1105,1,Data!$M$2:$M$1105,$BB$89)&lt;Controls!$B$19,"",IFERROR(SUMIFS(Data!$AM$2:$AM$1105,Data!$AK$2:$AK$1105,1,Data!$M$2:$M$1105,$BB$89)/SUMIFS(Data!$P$2:$P$1105,Data!$AK$2:$AK$1105,1,Data!$M$2:$M$1105,$BB$89),""))</f>
        <v/>
      </c>
      <c r="BG89" s="57">
        <f>SUMIFS(Data!$AN$2:$AN$1105,Data!$AK$2:$AK$1105,1,Data!$M$2:$M$1105,$BB$89)</f>
        <v/>
      </c>
      <c r="BH89" s="61" t="n"/>
      <c r="BI89" s="61">
        <f>IF(AND($BC$89&gt;=Controls!$B$22,$BD$89&gt;=LARGE($BD$75:$BD$230,MIN(Controls!$B$18,COUNT($BD$75:$BD$230)))),$BE$89,"")</f>
        <v/>
      </c>
      <c r="BJ89" s="61" t="n"/>
      <c r="BK89" s="61">
        <f>IF($BC$89&lt;Controls!$B$22,"",$BE$89)</f>
        <v/>
      </c>
      <c r="BL89" s="61">
        <f>IF($BC$89&lt;Controls!$B$22,"",$BF$89)</f>
        <v/>
      </c>
      <c r="BM89" s="61">
        <f>IF($BC$89&lt;Controls!$B$22,"",$BG$89)</f>
        <v/>
      </c>
      <c r="BN89" s="61" t="n"/>
      <c r="BO89" s="61" t="n"/>
      <c r="BP89" s="61" t="n"/>
      <c r="BQ89" s="61" t="n"/>
      <c r="BR89" s="61" t="n"/>
      <c r="BS89" s="61" t="n"/>
      <c r="BT89" s="61" t="n"/>
    </row>
    <row r="90" ht="15.75" customHeight="1" s="79">
      <c r="A90" s="61">
        <f t="array" ref="A90">IFERROR(IF(18&gt;Controls!$B$18,"",IF(LARGE(Calc!$AT$143:$AT$298,18)&lt;-100000000000000,"",INDEX(Calc!$AN$143:$AN$298,MATCH(LARGE(Calc!$AT$143:$AT$298,18),Calc!$AT$143:$AT$298,0)))),"")</f>
        <v/>
      </c>
      <c r="B90" s="66">
        <f>IF($A$90="",NA(),IFERROR(SUMIFS(Data!$P$2:$P$1105,Data!$AK$2:$AK$1105,1,Data!$M$2:$M$1105,$A$90),NA()))</f>
        <v/>
      </c>
      <c r="C90" s="66">
        <f>IF($A$90="",NA(),IFERROR(SUMIFS(Data!$S$2:$S$1105,Data!$AK$2:$AK$1105,1,Data!$M$2:$M$1105,$A$90),NA()))</f>
        <v/>
      </c>
      <c r="D90" s="66">
        <f>IF(ISNA($B$90),NA(),$C$90-$B$90)</f>
        <v/>
      </c>
      <c r="E90" s="66">
        <f>IF($A$90="",NA(),IFERROR(SUMIFS(Data!$Q$2:$Q$1105,Data!$AK$2:$AK$1105,1,Data!$M$2:$M$1105,$A$90),NA()))</f>
        <v/>
      </c>
      <c r="F90" s="66">
        <f>IF($A$90="",NA(),IFERROR(SUMIFS(Data!$AN$2:$AN$1105,Data!$AK$2:$AK$1105,1,Data!$M$2:$M$1105,$A$90),NA()))</f>
        <v/>
      </c>
      <c r="G90" s="62">
        <f>IF($A$90="",NA(),IF(COUNTIFS(Data!$AK$2:$AK$1105,1,Data!$M$2:$M$1105,$A$90)&lt;Controls!$B$19,NA(),IFERROR(SUMIFS(Data!$AN$2:$AN$1105,Data!$AK$2:$AK$1105,1,Data!$M$2:$M$1105,$A$90)/$B$90,NA())))</f>
        <v/>
      </c>
      <c r="H90" s="62">
        <f>IF($A$90="",NA(),IF(COUNTIFS(Data!$AK$2:$AK$1105,1,Data!$M$2:$M$1105,$A$90)&lt;Controls!$B$19,NA(),IFERROR(SUMIFS(Data!$S$2:$S$1105,Data!$AK$2:$AK$1105,1,Data!$M$2:$M$1105,$A$90,Data!$AH$2:$AH$1105,1)/SUMIFS(Data!$P$2:$P$1105,Data!$AK$2:$AK$1105,1,Data!$M$2:$M$1105,$A$90,Data!$AH$2:$AH$1105,1),NA())))</f>
        <v/>
      </c>
      <c r="I90" s="62">
        <f>IF(ISNA($J$90),NA(),IF($J$90&lt;Controls!$B$19,NA(),IFERROR($D$90/$B$90,NA())))</f>
        <v/>
      </c>
      <c r="J90" s="67">
        <f>IF($A$90="",NA(),IFERROR(COUNTIFS(Data!$AK$2:$AK$1105,1,Data!$M$2:$M$1105,$A$90),NA()))</f>
        <v/>
      </c>
      <c r="K90" s="62">
        <f>IF(ISNA($B$90),NA(),IFERROR($B$90/Calc!$BT$6,NA()))</f>
        <v/>
      </c>
      <c r="L90" s="66">
        <f>IF(ISNA($J$90),NA(),IF($J$90&lt;Controls!$B$19,NA(),IFERROR($B$90/$J$90,NA())))</f>
        <v/>
      </c>
      <c r="M90" s="67">
        <f>IF($A$90="",NA(),IF(COUNTIFS(Data!$AK$2:$AK$1105,1,Data!$M$2:$M$1105,$A$90)&lt;Controls!$B$19,NA(),IFERROR(AVERAGEIFS(Data!$AE$2:$AE$1105,Data!$AK$2:$AK$1105,1,Data!$M$2:$M$1105,$A$90),NA())))</f>
        <v/>
      </c>
      <c r="N90" s="67">
        <f>IF($A$90="",NA(),IF(COUNTIFS(Data!$AK$2:$AK$1105,1,Data!$M$2:$M$1105,$A$90)&lt;Controls!$B$19,NA(),IFERROR(AVERAGEIFS(Data!$AD$2:$AD$1105,Data!$AK$2:$AK$1105,1,Data!$M$2:$M$1105,$A$90),NA())))</f>
        <v/>
      </c>
      <c r="O90" s="67">
        <f>IF($A$90="",NA(),IF(COUNTIFS(Data!$AK$2:$AK$1105,1,Data!$M$2:$M$1105,$A$90)&lt;Controls!$B$19,NA(),IFERROR(AVERAGEIFS(Data!$AS$2:$AS$1105,Data!$AK$2:$AK$1105,1,Data!$M$2:$M$1105,$A$90),NA())))</f>
        <v/>
      </c>
      <c r="P90" s="67">
        <f>IF($A$90="",NA(),IF(COUNTIFS(Data!$AK$2:$AK$1105,1,Data!$M$2:$M$1105,$A$90)&lt;Controls!$B$19,NA(),IFERROR(AVERAGEIFS(Data!$AT$2:$AT$1105,Data!$AK$2:$AK$1105,1,Data!$M$2:$M$1105,$A$90),NA())))</f>
        <v/>
      </c>
      <c r="Q90" s="62">
        <f>IF($A$90="",NA(),IF(COUNTIFS(Data!$AK$2:$AK$1105,1,Data!$M$2:$M$1105,$A$90)&lt;Controls!$B$19,NA(),IFERROR(COUNTIFS(Data!$AK$2:$AK$1105,1,Data!$M$2:$M$1105,$A$90,Data!$N$2:$N$1105,"Renewal")/COUNTIFS(Data!$AK$2:$AK$1105,1,Data!$M$2:$M$1105,$A$90),NA())))</f>
        <v/>
      </c>
      <c r="R90" s="62">
        <f>IF($A$90="",NA(),IF(COUNTIFS(Data!$AK$2:$AK$1105,1,Data!$M$2:$M$1105,$A$90)&lt;Controls!$B$19,NA(),IFERROR(SUMIFS(Data!$P$2:$P$1105,Data!$AK$2:$AK$1105,1,Data!$M$2:$M$1105,$A$90,Data!$N$2:$N$1105,"Renewal")/SUMIFS(Data!$P$2:$P$1105,Data!$AK$2:$AK$1105,1,Data!$M$2:$M$1105,$A$90),NA())))</f>
        <v/>
      </c>
      <c r="S90" s="62">
        <f>IF($A$90="",NA(),Calc!$BT$2)</f>
        <v/>
      </c>
      <c r="T90" s="62">
        <f>IF($A$90="",NA(),Calc!$BT$3)</f>
        <v/>
      </c>
      <c r="U90" s="62">
        <f>IF($A$90="",NA(),Calc!$BT$4)</f>
        <v/>
      </c>
      <c r="V90" s="62">
        <f>IF($A$90="",NA(),IF(COUNTIFS(Data!$AK$2:$AK$1105,1,Data!$M$2:$M$1105,$A$90)&lt;Controls!$B$19,NA(),IFERROR(COUNTIFS(Data!$AK$2:$AK$1105,1,Data!$M$2:$M$1105,$A$90,Data!$AH$2:$AH$1105,1)/COUNTIFS(Data!$AK$2:$AK$1105,1,Data!$M$2:$M$1105,$A$90),NA())))</f>
        <v/>
      </c>
      <c r="W90" s="61">
        <f>IF($A$90="","",$A$90&amp;" ("&amp;$J$90&amp;")")</f>
        <v/>
      </c>
      <c r="X90" s="61" t="n"/>
      <c r="Y90" s="61" t="n"/>
      <c r="Z90" s="61" t="n"/>
      <c r="AA90" s="61" t="n"/>
      <c r="AB90" s="61" t="n"/>
      <c r="AC90" s="61" t="n"/>
      <c r="AD90" s="61" t="n"/>
      <c r="AE90" s="61" t="n"/>
      <c r="AF90" s="61" t="n"/>
      <c r="AG90" s="61" t="n"/>
      <c r="AH90" s="61" t="n"/>
      <c r="AI90" s="61" t="n"/>
      <c r="AJ90" s="61" t="n"/>
      <c r="AK90" s="61" t="n"/>
      <c r="AL90" s="61" t="n"/>
      <c r="AM90" s="61" t="n"/>
      <c r="AN90" s="61">
        <f>Controls!$D$49</f>
        <v/>
      </c>
      <c r="AO90" s="61">
        <f>COUNTIFS(Data!$AK$2:$AK$1105,1,Data!$L$2:$L$1105,$AN$90)</f>
        <v/>
      </c>
      <c r="AP90" s="57">
        <f>SUMIFS(Data!$P$2:$P$1105,Data!$AK$2:$AK$1105,1,Data!$L$2:$L$1105,$AN$90)</f>
        <v/>
      </c>
      <c r="AQ90" s="56">
        <f>IFERROR(SUMIFS(Data!$AN$2:$AN$1105,Data!$AK$2:$AK$1105,1,Data!$L$2:$L$1105,$AN$90)/$AP$90,0)</f>
        <v/>
      </c>
      <c r="AR90" s="57">
        <f>SUMIFS(Data!$AN$2:$AN$1105,Data!$AK$2:$AK$1105,1,Data!$L$2:$L$1105,$AN$90)</f>
        <v/>
      </c>
      <c r="AS90" s="61">
        <f>Controls!$E$49</f>
        <v/>
      </c>
      <c r="AT90" s="61">
        <f>IF(OR(AO90=0,AO90&lt;Controls!$B$20),-1000000000000000,IF(AND(Controls!$B$21="Y",$AN$90="No state"),-1000000000000000,IF(Controls!$B$17="Selected only",IF(AS90="Y",AP90,-1000000000000000),IF(Controls!$B$17="Top by funded $",AP90,IF(Controls!$B$17="Top by funded units",AO90,IF(Controls!$B$17="Largest principal lost $",AR90,IF(Controls!$B$17="Highest net profit $",AU90,IF(AO90&lt;Controls!$B$19,-1000000000000000,IF(Controls!$B$17="Highest principal lost rate %",AQ90,IF(Controls!$B$17="Lowest principal lost rate %",1-AQ90,AP90))))))))) +10/1000000)</f>
        <v/>
      </c>
      <c r="AU90" s="57">
        <f>SUMIFS(Data!$AM$2:$AM$1105,Data!$AK$2:$AK$1105,1,Data!$L$2:$L$1105,$AN$90)</f>
        <v/>
      </c>
      <c r="AV90" s="61" t="n"/>
      <c r="AW90" s="61" t="n"/>
      <c r="AX90" s="61" t="n"/>
      <c r="AY90" s="61" t="n"/>
      <c r="AZ90" s="61" t="n"/>
      <c r="BA90" s="61" t="n"/>
      <c r="BB90" s="61">
        <f>Controls!$G$55</f>
        <v/>
      </c>
      <c r="BC90" s="61">
        <f>COUNTIFS(Data!$AK$2:$AK$1105,1,Data!$M$2:$M$1105,$BB$90)</f>
        <v/>
      </c>
      <c r="BD90" s="57">
        <f>SUMIFS(Data!$P$2:$P$1105,Data!$AK$2:$AK$1105,1,Data!$M$2:$M$1105,$BB$90)</f>
        <v/>
      </c>
      <c r="BE90" s="56">
        <f>IF(COUNTIFS(Data!$AK$2:$AK$1105,1,Data!$M$2:$M$1105,$BB$90)&lt;Controls!$B$19,"",IFERROR(SUMIFS(Data!$AN$2:$AN$1105,Data!$AK$2:$AK$1105,1,Data!$M$2:$M$1105,$BB$90)/$BD$90,""))</f>
        <v/>
      </c>
      <c r="BF90" s="56">
        <f>IF(COUNTIFS(Data!$AK$2:$AK$1105,1,Data!$M$2:$M$1105,$BB$90)&lt;Controls!$B$19,"",IFERROR(SUMIFS(Data!$AM$2:$AM$1105,Data!$AK$2:$AK$1105,1,Data!$M$2:$M$1105,$BB$90)/SUMIFS(Data!$P$2:$P$1105,Data!$AK$2:$AK$1105,1,Data!$M$2:$M$1105,$BB$90),""))</f>
        <v/>
      </c>
      <c r="BG90" s="57">
        <f>SUMIFS(Data!$AN$2:$AN$1105,Data!$AK$2:$AK$1105,1,Data!$M$2:$M$1105,$BB$90)</f>
        <v/>
      </c>
      <c r="BH90" s="61" t="n"/>
      <c r="BI90" s="61">
        <f>IF(AND($BC$90&gt;=Controls!$B$22,$BD$90&gt;=LARGE($BD$75:$BD$230,MIN(Controls!$B$18,COUNT($BD$75:$BD$230)))),$BE$90,"")</f>
        <v/>
      </c>
      <c r="BJ90" s="61" t="n"/>
      <c r="BK90" s="61">
        <f>IF($BC$90&lt;Controls!$B$22,"",$BE$90)</f>
        <v/>
      </c>
      <c r="BL90" s="61">
        <f>IF($BC$90&lt;Controls!$B$22,"",$BF$90)</f>
        <v/>
      </c>
      <c r="BM90" s="61">
        <f>IF($BC$90&lt;Controls!$B$22,"",$BG$90)</f>
        <v/>
      </c>
      <c r="BN90" s="61" t="n"/>
      <c r="BO90" s="61" t="n"/>
      <c r="BP90" s="61" t="n"/>
      <c r="BQ90" s="61" t="n"/>
      <c r="BR90" s="61" t="n"/>
      <c r="BS90" s="61" t="n"/>
      <c r="BT90" s="61" t="n"/>
    </row>
    <row r="91" ht="15.75" customHeight="1" s="79">
      <c r="A91" s="61">
        <f t="array" ref="A91">IFERROR(IF(19&gt;Controls!$B$18,"",IF(LARGE(Calc!$AT$143:$AT$298,19)&lt;-100000000000000,"",INDEX(Calc!$AN$143:$AN$298,MATCH(LARGE(Calc!$AT$143:$AT$298,19),Calc!$AT$143:$AT$298,0)))),"")</f>
        <v/>
      </c>
      <c r="B91" s="66">
        <f>IF($A$91="",NA(),IFERROR(SUMIFS(Data!$P$2:$P$1105,Data!$AK$2:$AK$1105,1,Data!$M$2:$M$1105,$A$91),NA()))</f>
        <v/>
      </c>
      <c r="C91" s="66">
        <f>IF($A$91="",NA(),IFERROR(SUMIFS(Data!$S$2:$S$1105,Data!$AK$2:$AK$1105,1,Data!$M$2:$M$1105,$A$91),NA()))</f>
        <v/>
      </c>
      <c r="D91" s="66">
        <f>IF(ISNA($B$91),NA(),$C$91-$B$91)</f>
        <v/>
      </c>
      <c r="E91" s="66">
        <f>IF($A$91="",NA(),IFERROR(SUMIFS(Data!$Q$2:$Q$1105,Data!$AK$2:$AK$1105,1,Data!$M$2:$M$1105,$A$91),NA()))</f>
        <v/>
      </c>
      <c r="F91" s="66">
        <f>IF($A$91="",NA(),IFERROR(SUMIFS(Data!$AN$2:$AN$1105,Data!$AK$2:$AK$1105,1,Data!$M$2:$M$1105,$A$91),NA()))</f>
        <v/>
      </c>
      <c r="G91" s="62">
        <f>IF($A$91="",NA(),IF(COUNTIFS(Data!$AK$2:$AK$1105,1,Data!$M$2:$M$1105,$A$91)&lt;Controls!$B$19,NA(),IFERROR(SUMIFS(Data!$AN$2:$AN$1105,Data!$AK$2:$AK$1105,1,Data!$M$2:$M$1105,$A$91)/$B$91,NA())))</f>
        <v/>
      </c>
      <c r="H91" s="62">
        <f>IF($A$91="",NA(),IF(COUNTIFS(Data!$AK$2:$AK$1105,1,Data!$M$2:$M$1105,$A$91)&lt;Controls!$B$19,NA(),IFERROR(SUMIFS(Data!$S$2:$S$1105,Data!$AK$2:$AK$1105,1,Data!$M$2:$M$1105,$A$91,Data!$AH$2:$AH$1105,1)/SUMIFS(Data!$P$2:$P$1105,Data!$AK$2:$AK$1105,1,Data!$M$2:$M$1105,$A$91,Data!$AH$2:$AH$1105,1),NA())))</f>
        <v/>
      </c>
      <c r="I91" s="62">
        <f>IF(ISNA($J$91),NA(),IF($J$91&lt;Controls!$B$19,NA(),IFERROR($D$91/$B$91,NA())))</f>
        <v/>
      </c>
      <c r="J91" s="67">
        <f>IF($A$91="",NA(),IFERROR(COUNTIFS(Data!$AK$2:$AK$1105,1,Data!$M$2:$M$1105,$A$91),NA()))</f>
        <v/>
      </c>
      <c r="K91" s="62">
        <f>IF(ISNA($B$91),NA(),IFERROR($B$91/Calc!$BT$6,NA()))</f>
        <v/>
      </c>
      <c r="L91" s="66">
        <f>IF(ISNA($J$91),NA(),IF($J$91&lt;Controls!$B$19,NA(),IFERROR($B$91/$J$91,NA())))</f>
        <v/>
      </c>
      <c r="M91" s="67">
        <f>IF($A$91="",NA(),IF(COUNTIFS(Data!$AK$2:$AK$1105,1,Data!$M$2:$M$1105,$A$91)&lt;Controls!$B$19,NA(),IFERROR(AVERAGEIFS(Data!$AE$2:$AE$1105,Data!$AK$2:$AK$1105,1,Data!$M$2:$M$1105,$A$91),NA())))</f>
        <v/>
      </c>
      <c r="N91" s="67">
        <f>IF($A$91="",NA(),IF(COUNTIFS(Data!$AK$2:$AK$1105,1,Data!$M$2:$M$1105,$A$91)&lt;Controls!$B$19,NA(),IFERROR(AVERAGEIFS(Data!$AD$2:$AD$1105,Data!$AK$2:$AK$1105,1,Data!$M$2:$M$1105,$A$91),NA())))</f>
        <v/>
      </c>
      <c r="O91" s="67">
        <f>IF($A$91="",NA(),IF(COUNTIFS(Data!$AK$2:$AK$1105,1,Data!$M$2:$M$1105,$A$91)&lt;Controls!$B$19,NA(),IFERROR(AVERAGEIFS(Data!$AS$2:$AS$1105,Data!$AK$2:$AK$1105,1,Data!$M$2:$M$1105,$A$91),NA())))</f>
        <v/>
      </c>
      <c r="P91" s="67">
        <f>IF($A$91="",NA(),IF(COUNTIFS(Data!$AK$2:$AK$1105,1,Data!$M$2:$M$1105,$A$91)&lt;Controls!$B$19,NA(),IFERROR(AVERAGEIFS(Data!$AT$2:$AT$1105,Data!$AK$2:$AK$1105,1,Data!$M$2:$M$1105,$A$91),NA())))</f>
        <v/>
      </c>
      <c r="Q91" s="62">
        <f>IF($A$91="",NA(),IF(COUNTIFS(Data!$AK$2:$AK$1105,1,Data!$M$2:$M$1105,$A$91)&lt;Controls!$B$19,NA(),IFERROR(COUNTIFS(Data!$AK$2:$AK$1105,1,Data!$M$2:$M$1105,$A$91,Data!$N$2:$N$1105,"Renewal")/COUNTIFS(Data!$AK$2:$AK$1105,1,Data!$M$2:$M$1105,$A$91),NA())))</f>
        <v/>
      </c>
      <c r="R91" s="62">
        <f>IF($A$91="",NA(),IF(COUNTIFS(Data!$AK$2:$AK$1105,1,Data!$M$2:$M$1105,$A$91)&lt;Controls!$B$19,NA(),IFERROR(SUMIFS(Data!$P$2:$P$1105,Data!$AK$2:$AK$1105,1,Data!$M$2:$M$1105,$A$91,Data!$N$2:$N$1105,"Renewal")/SUMIFS(Data!$P$2:$P$1105,Data!$AK$2:$AK$1105,1,Data!$M$2:$M$1105,$A$91),NA())))</f>
        <v/>
      </c>
      <c r="S91" s="62">
        <f>IF($A$91="",NA(),Calc!$BT$2)</f>
        <v/>
      </c>
      <c r="T91" s="62">
        <f>IF($A$91="",NA(),Calc!$BT$3)</f>
        <v/>
      </c>
      <c r="U91" s="62">
        <f>IF($A$91="",NA(),Calc!$BT$4)</f>
        <v/>
      </c>
      <c r="V91" s="62">
        <f>IF($A$91="",NA(),IF(COUNTIFS(Data!$AK$2:$AK$1105,1,Data!$M$2:$M$1105,$A$91)&lt;Controls!$B$19,NA(),IFERROR(COUNTIFS(Data!$AK$2:$AK$1105,1,Data!$M$2:$M$1105,$A$91,Data!$AH$2:$AH$1105,1)/COUNTIFS(Data!$AK$2:$AK$1105,1,Data!$M$2:$M$1105,$A$91),NA())))</f>
        <v/>
      </c>
      <c r="W91" s="61">
        <f>IF($A$91="","",$A$91&amp;" ("&amp;$J$91&amp;")")</f>
        <v/>
      </c>
      <c r="X91" s="61" t="n"/>
      <c r="Y91" s="61" t="n"/>
      <c r="Z91" s="61" t="n"/>
      <c r="AA91" s="61" t="n"/>
      <c r="AB91" s="61" t="n"/>
      <c r="AC91" s="61" t="n"/>
      <c r="AD91" s="61" t="n"/>
      <c r="AE91" s="61" t="n"/>
      <c r="AF91" s="61" t="n"/>
      <c r="AG91" s="61" t="n"/>
      <c r="AH91" s="61" t="n"/>
      <c r="AI91" s="61" t="n"/>
      <c r="AJ91" s="61" t="n"/>
      <c r="AK91" s="61" t="n"/>
      <c r="AL91" s="61" t="n"/>
      <c r="AM91" s="61" t="n"/>
      <c r="AN91" s="61">
        <f>Controls!$D$50</f>
        <v/>
      </c>
      <c r="AO91" s="61">
        <f>COUNTIFS(Data!$AK$2:$AK$1105,1,Data!$L$2:$L$1105,$AN$91)</f>
        <v/>
      </c>
      <c r="AP91" s="57">
        <f>SUMIFS(Data!$P$2:$P$1105,Data!$AK$2:$AK$1105,1,Data!$L$2:$L$1105,$AN$91)</f>
        <v/>
      </c>
      <c r="AQ91" s="56">
        <f>IFERROR(SUMIFS(Data!$AN$2:$AN$1105,Data!$AK$2:$AK$1105,1,Data!$L$2:$L$1105,$AN$91)/$AP$91,0)</f>
        <v/>
      </c>
      <c r="AR91" s="57">
        <f>SUMIFS(Data!$AN$2:$AN$1105,Data!$AK$2:$AK$1105,1,Data!$L$2:$L$1105,$AN$91)</f>
        <v/>
      </c>
      <c r="AS91" s="61">
        <f>Controls!$E$50</f>
        <v/>
      </c>
      <c r="AT91" s="61">
        <f>IF(OR(AO91=0,AO91&lt;Controls!$B$20),-1000000000000000,IF(AND(Controls!$B$21="Y",$AN$91="No state"),-1000000000000000,IF(Controls!$B$17="Selected only",IF(AS91="Y",AP91,-1000000000000000),IF(Controls!$B$17="Top by funded $",AP91,IF(Controls!$B$17="Top by funded units",AO91,IF(Controls!$B$17="Largest principal lost $",AR91,IF(Controls!$B$17="Highest net profit $",AU91,IF(AO91&lt;Controls!$B$19,-1000000000000000,IF(Controls!$B$17="Highest principal lost rate %",AQ91,IF(Controls!$B$17="Lowest principal lost rate %",1-AQ91,AP91))))))))) +11/1000000)</f>
        <v/>
      </c>
      <c r="AU91" s="57">
        <f>SUMIFS(Data!$AM$2:$AM$1105,Data!$AK$2:$AK$1105,1,Data!$L$2:$L$1105,$AN$91)</f>
        <v/>
      </c>
      <c r="AV91" s="61" t="n"/>
      <c r="AW91" s="61" t="n"/>
      <c r="AX91" s="61" t="n"/>
      <c r="AY91" s="61" t="n"/>
      <c r="AZ91" s="61" t="n"/>
      <c r="BA91" s="61" t="n"/>
      <c r="BB91" s="61">
        <f>Controls!$G$56</f>
        <v/>
      </c>
      <c r="BC91" s="61">
        <f>COUNTIFS(Data!$AK$2:$AK$1105,1,Data!$M$2:$M$1105,$BB$91)</f>
        <v/>
      </c>
      <c r="BD91" s="57">
        <f>SUMIFS(Data!$P$2:$P$1105,Data!$AK$2:$AK$1105,1,Data!$M$2:$M$1105,$BB$91)</f>
        <v/>
      </c>
      <c r="BE91" s="56">
        <f>IF(COUNTIFS(Data!$AK$2:$AK$1105,1,Data!$M$2:$M$1105,$BB$91)&lt;Controls!$B$19,"",IFERROR(SUMIFS(Data!$AN$2:$AN$1105,Data!$AK$2:$AK$1105,1,Data!$M$2:$M$1105,$BB$91)/$BD$91,""))</f>
        <v/>
      </c>
      <c r="BF91" s="56">
        <f>IF(COUNTIFS(Data!$AK$2:$AK$1105,1,Data!$M$2:$M$1105,$BB$91)&lt;Controls!$B$19,"",IFERROR(SUMIFS(Data!$AM$2:$AM$1105,Data!$AK$2:$AK$1105,1,Data!$M$2:$M$1105,$BB$91)/SUMIFS(Data!$P$2:$P$1105,Data!$AK$2:$AK$1105,1,Data!$M$2:$M$1105,$BB$91),""))</f>
        <v/>
      </c>
      <c r="BG91" s="57">
        <f>SUMIFS(Data!$AN$2:$AN$1105,Data!$AK$2:$AK$1105,1,Data!$M$2:$M$1105,$BB$91)</f>
        <v/>
      </c>
      <c r="BH91" s="61" t="n"/>
      <c r="BI91" s="61">
        <f>IF(AND($BC$91&gt;=Controls!$B$22,$BD$91&gt;=LARGE($BD$75:$BD$230,MIN(Controls!$B$18,COUNT($BD$75:$BD$230)))),$BE$91,"")</f>
        <v/>
      </c>
      <c r="BJ91" s="61" t="n"/>
      <c r="BK91" s="61">
        <f>IF($BC$91&lt;Controls!$B$22,"",$BE$91)</f>
        <v/>
      </c>
      <c r="BL91" s="61">
        <f>IF($BC$91&lt;Controls!$B$22,"",$BF$91)</f>
        <v/>
      </c>
      <c r="BM91" s="61">
        <f>IF($BC$91&lt;Controls!$B$22,"",$BG$91)</f>
        <v/>
      </c>
      <c r="BN91" s="61" t="n"/>
      <c r="BO91" s="61" t="n"/>
      <c r="BP91" s="61" t="n"/>
      <c r="BQ91" s="61" t="n"/>
      <c r="BR91" s="61" t="n"/>
      <c r="BS91" s="61" t="n"/>
      <c r="BT91" s="61" t="n"/>
    </row>
    <row r="92" ht="15.75" customHeight="1" s="79">
      <c r="A92" s="61">
        <f t="array" ref="A92">IFERROR(IF(20&gt;Controls!$B$18,"",IF(LARGE(Calc!$AT$143:$AT$298,20)&lt;-100000000000000,"",INDEX(Calc!$AN$143:$AN$298,MATCH(LARGE(Calc!$AT$143:$AT$298,20),Calc!$AT$143:$AT$298,0)))),"")</f>
        <v/>
      </c>
      <c r="B92" s="66">
        <f>IF($A$92="",NA(),IFERROR(SUMIFS(Data!$P$2:$P$1105,Data!$AK$2:$AK$1105,1,Data!$M$2:$M$1105,$A$92),NA()))</f>
        <v/>
      </c>
      <c r="C92" s="66">
        <f>IF($A$92="",NA(),IFERROR(SUMIFS(Data!$S$2:$S$1105,Data!$AK$2:$AK$1105,1,Data!$M$2:$M$1105,$A$92),NA()))</f>
        <v/>
      </c>
      <c r="D92" s="66">
        <f>IF(ISNA($B$92),NA(),$C$92-$B$92)</f>
        <v/>
      </c>
      <c r="E92" s="66">
        <f>IF($A$92="",NA(),IFERROR(SUMIFS(Data!$Q$2:$Q$1105,Data!$AK$2:$AK$1105,1,Data!$M$2:$M$1105,$A$92),NA()))</f>
        <v/>
      </c>
      <c r="F92" s="66">
        <f>IF($A$92="",NA(),IFERROR(SUMIFS(Data!$AN$2:$AN$1105,Data!$AK$2:$AK$1105,1,Data!$M$2:$M$1105,$A$92),NA()))</f>
        <v/>
      </c>
      <c r="G92" s="62">
        <f>IF($A$92="",NA(),IF(COUNTIFS(Data!$AK$2:$AK$1105,1,Data!$M$2:$M$1105,$A$92)&lt;Controls!$B$19,NA(),IFERROR(SUMIFS(Data!$AN$2:$AN$1105,Data!$AK$2:$AK$1105,1,Data!$M$2:$M$1105,$A$92)/$B$92,NA())))</f>
        <v/>
      </c>
      <c r="H92" s="62">
        <f>IF($A$92="",NA(),IF(COUNTIFS(Data!$AK$2:$AK$1105,1,Data!$M$2:$M$1105,$A$92)&lt;Controls!$B$19,NA(),IFERROR(SUMIFS(Data!$S$2:$S$1105,Data!$AK$2:$AK$1105,1,Data!$M$2:$M$1105,$A$92,Data!$AH$2:$AH$1105,1)/SUMIFS(Data!$P$2:$P$1105,Data!$AK$2:$AK$1105,1,Data!$M$2:$M$1105,$A$92,Data!$AH$2:$AH$1105,1),NA())))</f>
        <v/>
      </c>
      <c r="I92" s="62">
        <f>IF(ISNA($J$92),NA(),IF($J$92&lt;Controls!$B$19,NA(),IFERROR($D$92/$B$92,NA())))</f>
        <v/>
      </c>
      <c r="J92" s="67">
        <f>IF($A$92="",NA(),IFERROR(COUNTIFS(Data!$AK$2:$AK$1105,1,Data!$M$2:$M$1105,$A$92),NA()))</f>
        <v/>
      </c>
      <c r="K92" s="62">
        <f>IF(ISNA($B$92),NA(),IFERROR($B$92/Calc!$BT$6,NA()))</f>
        <v/>
      </c>
      <c r="L92" s="66">
        <f>IF(ISNA($J$92),NA(),IF($J$92&lt;Controls!$B$19,NA(),IFERROR($B$92/$J$92,NA())))</f>
        <v/>
      </c>
      <c r="M92" s="67">
        <f>IF($A$92="",NA(),IF(COUNTIFS(Data!$AK$2:$AK$1105,1,Data!$M$2:$M$1105,$A$92)&lt;Controls!$B$19,NA(),IFERROR(AVERAGEIFS(Data!$AE$2:$AE$1105,Data!$AK$2:$AK$1105,1,Data!$M$2:$M$1105,$A$92),NA())))</f>
        <v/>
      </c>
      <c r="N92" s="67">
        <f>IF($A$92="",NA(),IF(COUNTIFS(Data!$AK$2:$AK$1105,1,Data!$M$2:$M$1105,$A$92)&lt;Controls!$B$19,NA(),IFERROR(AVERAGEIFS(Data!$AD$2:$AD$1105,Data!$AK$2:$AK$1105,1,Data!$M$2:$M$1105,$A$92),NA())))</f>
        <v/>
      </c>
      <c r="O92" s="67">
        <f>IF($A$92="",NA(),IF(COUNTIFS(Data!$AK$2:$AK$1105,1,Data!$M$2:$M$1105,$A$92)&lt;Controls!$B$19,NA(),IFERROR(AVERAGEIFS(Data!$AS$2:$AS$1105,Data!$AK$2:$AK$1105,1,Data!$M$2:$M$1105,$A$92),NA())))</f>
        <v/>
      </c>
      <c r="P92" s="67">
        <f>IF($A$92="",NA(),IF(COUNTIFS(Data!$AK$2:$AK$1105,1,Data!$M$2:$M$1105,$A$92)&lt;Controls!$B$19,NA(),IFERROR(AVERAGEIFS(Data!$AT$2:$AT$1105,Data!$AK$2:$AK$1105,1,Data!$M$2:$M$1105,$A$92),NA())))</f>
        <v/>
      </c>
      <c r="Q92" s="62">
        <f>IF($A$92="",NA(),IF(COUNTIFS(Data!$AK$2:$AK$1105,1,Data!$M$2:$M$1105,$A$92)&lt;Controls!$B$19,NA(),IFERROR(COUNTIFS(Data!$AK$2:$AK$1105,1,Data!$M$2:$M$1105,$A$92,Data!$N$2:$N$1105,"Renewal")/COUNTIFS(Data!$AK$2:$AK$1105,1,Data!$M$2:$M$1105,$A$92),NA())))</f>
        <v/>
      </c>
      <c r="R92" s="62">
        <f>IF($A$92="",NA(),IF(COUNTIFS(Data!$AK$2:$AK$1105,1,Data!$M$2:$M$1105,$A$92)&lt;Controls!$B$19,NA(),IFERROR(SUMIFS(Data!$P$2:$P$1105,Data!$AK$2:$AK$1105,1,Data!$M$2:$M$1105,$A$92,Data!$N$2:$N$1105,"Renewal")/SUMIFS(Data!$P$2:$P$1105,Data!$AK$2:$AK$1105,1,Data!$M$2:$M$1105,$A$92),NA())))</f>
        <v/>
      </c>
      <c r="S92" s="62">
        <f>IF($A$92="",NA(),Calc!$BT$2)</f>
        <v/>
      </c>
      <c r="T92" s="62">
        <f>IF($A$92="",NA(),Calc!$BT$3)</f>
        <v/>
      </c>
      <c r="U92" s="62">
        <f>IF($A$92="",NA(),Calc!$BT$4)</f>
        <v/>
      </c>
      <c r="V92" s="62">
        <f>IF($A$92="",NA(),IF(COUNTIFS(Data!$AK$2:$AK$1105,1,Data!$M$2:$M$1105,$A$92)&lt;Controls!$B$19,NA(),IFERROR(COUNTIFS(Data!$AK$2:$AK$1105,1,Data!$M$2:$M$1105,$A$92,Data!$AH$2:$AH$1105,1)/COUNTIFS(Data!$AK$2:$AK$1105,1,Data!$M$2:$M$1105,$A$92),NA())))</f>
        <v/>
      </c>
      <c r="W92" s="61">
        <f>IF($A$92="","",$A$92&amp;" ("&amp;$J$92&amp;")")</f>
        <v/>
      </c>
      <c r="X92" s="61" t="n"/>
      <c r="Y92" s="61" t="n"/>
      <c r="Z92" s="61" t="n"/>
      <c r="AA92" s="61" t="n"/>
      <c r="AB92" s="61" t="n"/>
      <c r="AC92" s="61" t="n"/>
      <c r="AD92" s="61" t="n"/>
      <c r="AE92" s="61" t="n"/>
      <c r="AF92" s="61" t="n"/>
      <c r="AG92" s="61" t="n"/>
      <c r="AH92" s="61" t="n"/>
      <c r="AI92" s="61" t="n"/>
      <c r="AJ92" s="61" t="n"/>
      <c r="AK92" s="61" t="n"/>
      <c r="AL92" s="61" t="n"/>
      <c r="AM92" s="61" t="n"/>
      <c r="AN92" s="61">
        <f>Controls!$D$51</f>
        <v/>
      </c>
      <c r="AO92" s="61">
        <f>COUNTIFS(Data!$AK$2:$AK$1105,1,Data!$L$2:$L$1105,$AN$92)</f>
        <v/>
      </c>
      <c r="AP92" s="57">
        <f>SUMIFS(Data!$P$2:$P$1105,Data!$AK$2:$AK$1105,1,Data!$L$2:$L$1105,$AN$92)</f>
        <v/>
      </c>
      <c r="AQ92" s="56">
        <f>IFERROR(SUMIFS(Data!$AN$2:$AN$1105,Data!$AK$2:$AK$1105,1,Data!$L$2:$L$1105,$AN$92)/$AP$92,0)</f>
        <v/>
      </c>
      <c r="AR92" s="57">
        <f>SUMIFS(Data!$AN$2:$AN$1105,Data!$AK$2:$AK$1105,1,Data!$L$2:$L$1105,$AN$92)</f>
        <v/>
      </c>
      <c r="AS92" s="61">
        <f>Controls!$E$51</f>
        <v/>
      </c>
      <c r="AT92" s="61">
        <f>IF(OR(AO92=0,AO92&lt;Controls!$B$20),-1000000000000000,IF(AND(Controls!$B$21="Y",$AN$92="No state"),-1000000000000000,IF(Controls!$B$17="Selected only",IF(AS92="Y",AP92,-1000000000000000),IF(Controls!$B$17="Top by funded $",AP92,IF(Controls!$B$17="Top by funded units",AO92,IF(Controls!$B$17="Largest principal lost $",AR92,IF(Controls!$B$17="Highest net profit $",AU92,IF(AO92&lt;Controls!$B$19,-1000000000000000,IF(Controls!$B$17="Highest principal lost rate %",AQ92,IF(Controls!$B$17="Lowest principal lost rate %",1-AQ92,AP92))))))))) +12/1000000)</f>
        <v/>
      </c>
      <c r="AU92" s="57">
        <f>SUMIFS(Data!$AM$2:$AM$1105,Data!$AK$2:$AK$1105,1,Data!$L$2:$L$1105,$AN$92)</f>
        <v/>
      </c>
      <c r="AV92" s="61" t="n"/>
      <c r="AW92" s="61" t="n"/>
      <c r="AX92" s="61" t="n"/>
      <c r="AY92" s="61" t="n"/>
      <c r="AZ92" s="61" t="n"/>
      <c r="BA92" s="61" t="n"/>
      <c r="BB92" s="61">
        <f>Controls!$G$57</f>
        <v/>
      </c>
      <c r="BC92" s="61">
        <f>COUNTIFS(Data!$AK$2:$AK$1105,1,Data!$M$2:$M$1105,$BB$92)</f>
        <v/>
      </c>
      <c r="BD92" s="57">
        <f>SUMIFS(Data!$P$2:$P$1105,Data!$AK$2:$AK$1105,1,Data!$M$2:$M$1105,$BB$92)</f>
        <v/>
      </c>
      <c r="BE92" s="56">
        <f>IF(COUNTIFS(Data!$AK$2:$AK$1105,1,Data!$M$2:$M$1105,$BB$92)&lt;Controls!$B$19,"",IFERROR(SUMIFS(Data!$AN$2:$AN$1105,Data!$AK$2:$AK$1105,1,Data!$M$2:$M$1105,$BB$92)/$BD$92,""))</f>
        <v/>
      </c>
      <c r="BF92" s="56">
        <f>IF(COUNTIFS(Data!$AK$2:$AK$1105,1,Data!$M$2:$M$1105,$BB$92)&lt;Controls!$B$19,"",IFERROR(SUMIFS(Data!$AM$2:$AM$1105,Data!$AK$2:$AK$1105,1,Data!$M$2:$M$1105,$BB$92)/SUMIFS(Data!$P$2:$P$1105,Data!$AK$2:$AK$1105,1,Data!$M$2:$M$1105,$BB$92),""))</f>
        <v/>
      </c>
      <c r="BG92" s="57">
        <f>SUMIFS(Data!$AN$2:$AN$1105,Data!$AK$2:$AK$1105,1,Data!$M$2:$M$1105,$BB$92)</f>
        <v/>
      </c>
      <c r="BH92" s="61" t="n"/>
      <c r="BI92" s="61">
        <f>IF(AND($BC$92&gt;=Controls!$B$22,$BD$92&gt;=LARGE($BD$75:$BD$230,MIN(Controls!$B$18,COUNT($BD$75:$BD$230)))),$BE$92,"")</f>
        <v/>
      </c>
      <c r="BJ92" s="61" t="n"/>
      <c r="BK92" s="61">
        <f>IF($BC$92&lt;Controls!$B$22,"",$BE$92)</f>
        <v/>
      </c>
      <c r="BL92" s="61">
        <f>IF($BC$92&lt;Controls!$B$22,"",$BF$92)</f>
        <v/>
      </c>
      <c r="BM92" s="61">
        <f>IF($BC$92&lt;Controls!$B$22,"",$BG$92)</f>
        <v/>
      </c>
      <c r="BN92" s="61" t="n"/>
      <c r="BO92" s="61" t="n"/>
      <c r="BP92" s="61" t="n"/>
      <c r="BQ92" s="61" t="n"/>
      <c r="BR92" s="61" t="n"/>
      <c r="BS92" s="61" t="n"/>
      <c r="BT92" s="61" t="n"/>
    </row>
    <row r="93" ht="15.75" customHeight="1" s="79">
      <c r="A93" s="61">
        <f t="array" ref="A93">IFERROR(IF(21&gt;Controls!$B$18,"",IF(LARGE(Calc!$AT$143:$AT$298,21)&lt;-100000000000000,"",INDEX(Calc!$AN$143:$AN$298,MATCH(LARGE(Calc!$AT$143:$AT$298,21),Calc!$AT$143:$AT$298,0)))),"")</f>
        <v/>
      </c>
      <c r="B93" s="66">
        <f>IF($A$93="",NA(),IFERROR(SUMIFS(Data!$P$2:$P$1105,Data!$AK$2:$AK$1105,1,Data!$M$2:$M$1105,$A$93),NA()))</f>
        <v/>
      </c>
      <c r="C93" s="66">
        <f>IF($A$93="",NA(),IFERROR(SUMIFS(Data!$S$2:$S$1105,Data!$AK$2:$AK$1105,1,Data!$M$2:$M$1105,$A$93),NA()))</f>
        <v/>
      </c>
      <c r="D93" s="66">
        <f>IF(ISNA($B$93),NA(),$C$93-$B$93)</f>
        <v/>
      </c>
      <c r="E93" s="66">
        <f>IF($A$93="",NA(),IFERROR(SUMIFS(Data!$Q$2:$Q$1105,Data!$AK$2:$AK$1105,1,Data!$M$2:$M$1105,$A$93),NA()))</f>
        <v/>
      </c>
      <c r="F93" s="66">
        <f>IF($A$93="",NA(),IFERROR(SUMIFS(Data!$AN$2:$AN$1105,Data!$AK$2:$AK$1105,1,Data!$M$2:$M$1105,$A$93),NA()))</f>
        <v/>
      </c>
      <c r="G93" s="62">
        <f>IF($A$93="",NA(),IF(COUNTIFS(Data!$AK$2:$AK$1105,1,Data!$M$2:$M$1105,$A$93)&lt;Controls!$B$19,NA(),IFERROR(SUMIFS(Data!$AN$2:$AN$1105,Data!$AK$2:$AK$1105,1,Data!$M$2:$M$1105,$A$93)/$B$93,NA())))</f>
        <v/>
      </c>
      <c r="H93" s="62">
        <f>IF($A$93="",NA(),IF(COUNTIFS(Data!$AK$2:$AK$1105,1,Data!$M$2:$M$1105,$A$93)&lt;Controls!$B$19,NA(),IFERROR(SUMIFS(Data!$S$2:$S$1105,Data!$AK$2:$AK$1105,1,Data!$M$2:$M$1105,$A$93,Data!$AH$2:$AH$1105,1)/SUMIFS(Data!$P$2:$P$1105,Data!$AK$2:$AK$1105,1,Data!$M$2:$M$1105,$A$93,Data!$AH$2:$AH$1105,1),NA())))</f>
        <v/>
      </c>
      <c r="I93" s="62">
        <f>IF(ISNA($J$93),NA(),IF($J$93&lt;Controls!$B$19,NA(),IFERROR($D$93/$B$93,NA())))</f>
        <v/>
      </c>
      <c r="J93" s="67">
        <f>IF($A$93="",NA(),IFERROR(COUNTIFS(Data!$AK$2:$AK$1105,1,Data!$M$2:$M$1105,$A$93),NA()))</f>
        <v/>
      </c>
      <c r="K93" s="62">
        <f>IF(ISNA($B$93),NA(),IFERROR($B$93/Calc!$BT$6,NA()))</f>
        <v/>
      </c>
      <c r="L93" s="66">
        <f>IF(ISNA($J$93),NA(),IF($J$93&lt;Controls!$B$19,NA(),IFERROR($B$93/$J$93,NA())))</f>
        <v/>
      </c>
      <c r="M93" s="67">
        <f>IF($A$93="",NA(),IF(COUNTIFS(Data!$AK$2:$AK$1105,1,Data!$M$2:$M$1105,$A$93)&lt;Controls!$B$19,NA(),IFERROR(AVERAGEIFS(Data!$AE$2:$AE$1105,Data!$AK$2:$AK$1105,1,Data!$M$2:$M$1105,$A$93),NA())))</f>
        <v/>
      </c>
      <c r="N93" s="67">
        <f>IF($A$93="",NA(),IF(COUNTIFS(Data!$AK$2:$AK$1105,1,Data!$M$2:$M$1105,$A$93)&lt;Controls!$B$19,NA(),IFERROR(AVERAGEIFS(Data!$AD$2:$AD$1105,Data!$AK$2:$AK$1105,1,Data!$M$2:$M$1105,$A$93),NA())))</f>
        <v/>
      </c>
      <c r="O93" s="67">
        <f>IF($A$93="",NA(),IF(COUNTIFS(Data!$AK$2:$AK$1105,1,Data!$M$2:$M$1105,$A$93)&lt;Controls!$B$19,NA(),IFERROR(AVERAGEIFS(Data!$AS$2:$AS$1105,Data!$AK$2:$AK$1105,1,Data!$M$2:$M$1105,$A$93),NA())))</f>
        <v/>
      </c>
      <c r="P93" s="67">
        <f>IF($A$93="",NA(),IF(COUNTIFS(Data!$AK$2:$AK$1105,1,Data!$M$2:$M$1105,$A$93)&lt;Controls!$B$19,NA(),IFERROR(AVERAGEIFS(Data!$AT$2:$AT$1105,Data!$AK$2:$AK$1105,1,Data!$M$2:$M$1105,$A$93),NA())))</f>
        <v/>
      </c>
      <c r="Q93" s="62">
        <f>IF($A$93="",NA(),IF(COUNTIFS(Data!$AK$2:$AK$1105,1,Data!$M$2:$M$1105,$A$93)&lt;Controls!$B$19,NA(),IFERROR(COUNTIFS(Data!$AK$2:$AK$1105,1,Data!$M$2:$M$1105,$A$93,Data!$N$2:$N$1105,"Renewal")/COUNTIFS(Data!$AK$2:$AK$1105,1,Data!$M$2:$M$1105,$A$93),NA())))</f>
        <v/>
      </c>
      <c r="R93" s="62">
        <f>IF($A$93="",NA(),IF(COUNTIFS(Data!$AK$2:$AK$1105,1,Data!$M$2:$M$1105,$A$93)&lt;Controls!$B$19,NA(),IFERROR(SUMIFS(Data!$P$2:$P$1105,Data!$AK$2:$AK$1105,1,Data!$M$2:$M$1105,$A$93,Data!$N$2:$N$1105,"Renewal")/SUMIFS(Data!$P$2:$P$1105,Data!$AK$2:$AK$1105,1,Data!$M$2:$M$1105,$A$93),NA())))</f>
        <v/>
      </c>
      <c r="S93" s="62">
        <f>IF($A$93="",NA(),Calc!$BT$2)</f>
        <v/>
      </c>
      <c r="T93" s="62">
        <f>IF($A$93="",NA(),Calc!$BT$3)</f>
        <v/>
      </c>
      <c r="U93" s="62">
        <f>IF($A$93="",NA(),Calc!$BT$4)</f>
        <v/>
      </c>
      <c r="V93" s="62">
        <f>IF($A$93="",NA(),IF(COUNTIFS(Data!$AK$2:$AK$1105,1,Data!$M$2:$M$1105,$A$93)&lt;Controls!$B$19,NA(),IFERROR(COUNTIFS(Data!$AK$2:$AK$1105,1,Data!$M$2:$M$1105,$A$93,Data!$AH$2:$AH$1105,1)/COUNTIFS(Data!$AK$2:$AK$1105,1,Data!$M$2:$M$1105,$A$93),NA())))</f>
        <v/>
      </c>
      <c r="W93" s="61">
        <f>IF($A$93="","",$A$93&amp;" ("&amp;$J$93&amp;")")</f>
        <v/>
      </c>
      <c r="X93" s="61" t="n"/>
      <c r="Y93" s="61" t="n"/>
      <c r="Z93" s="61" t="n"/>
      <c r="AA93" s="61" t="n"/>
      <c r="AB93" s="61" t="n"/>
      <c r="AC93" s="61" t="n"/>
      <c r="AD93" s="61" t="n"/>
      <c r="AE93" s="61" t="n"/>
      <c r="AF93" s="61" t="n"/>
      <c r="AG93" s="61" t="n"/>
      <c r="AH93" s="61" t="n"/>
      <c r="AI93" s="61" t="n"/>
      <c r="AJ93" s="61" t="n"/>
      <c r="AK93" s="61" t="n"/>
      <c r="AL93" s="61" t="n"/>
      <c r="AM93" s="61" t="n"/>
      <c r="AN93" s="61">
        <f>Controls!$D$52</f>
        <v/>
      </c>
      <c r="AO93" s="61">
        <f>COUNTIFS(Data!$AK$2:$AK$1105,1,Data!$L$2:$L$1105,$AN$93)</f>
        <v/>
      </c>
      <c r="AP93" s="57">
        <f>SUMIFS(Data!$P$2:$P$1105,Data!$AK$2:$AK$1105,1,Data!$L$2:$L$1105,$AN$93)</f>
        <v/>
      </c>
      <c r="AQ93" s="56">
        <f>IFERROR(SUMIFS(Data!$AN$2:$AN$1105,Data!$AK$2:$AK$1105,1,Data!$L$2:$L$1105,$AN$93)/$AP$93,0)</f>
        <v/>
      </c>
      <c r="AR93" s="57">
        <f>SUMIFS(Data!$AN$2:$AN$1105,Data!$AK$2:$AK$1105,1,Data!$L$2:$L$1105,$AN$93)</f>
        <v/>
      </c>
      <c r="AS93" s="61">
        <f>Controls!$E$52</f>
        <v/>
      </c>
      <c r="AT93" s="61">
        <f>IF(OR(AO93=0,AO93&lt;Controls!$B$20),-1000000000000000,IF(AND(Controls!$B$21="Y",$AN$93="No state"),-1000000000000000,IF(Controls!$B$17="Selected only",IF(AS93="Y",AP93,-1000000000000000),IF(Controls!$B$17="Top by funded $",AP93,IF(Controls!$B$17="Top by funded units",AO93,IF(Controls!$B$17="Largest principal lost $",AR93,IF(Controls!$B$17="Highest net profit $",AU93,IF(AO93&lt;Controls!$B$19,-1000000000000000,IF(Controls!$B$17="Highest principal lost rate %",AQ93,IF(Controls!$B$17="Lowest principal lost rate %",1-AQ93,AP93))))))))) +13/1000000)</f>
        <v/>
      </c>
      <c r="AU93" s="57">
        <f>SUMIFS(Data!$AM$2:$AM$1105,Data!$AK$2:$AK$1105,1,Data!$L$2:$L$1105,$AN$93)</f>
        <v/>
      </c>
      <c r="AV93" s="61" t="n"/>
      <c r="AW93" s="61" t="n"/>
      <c r="AX93" s="61" t="n"/>
      <c r="AY93" s="61" t="n"/>
      <c r="AZ93" s="61" t="n"/>
      <c r="BA93" s="61" t="n"/>
      <c r="BB93" s="61">
        <f>Controls!$G$58</f>
        <v/>
      </c>
      <c r="BC93" s="61">
        <f>COUNTIFS(Data!$AK$2:$AK$1105,1,Data!$M$2:$M$1105,$BB$93)</f>
        <v/>
      </c>
      <c r="BD93" s="57">
        <f>SUMIFS(Data!$P$2:$P$1105,Data!$AK$2:$AK$1105,1,Data!$M$2:$M$1105,$BB$93)</f>
        <v/>
      </c>
      <c r="BE93" s="56">
        <f>IF(COUNTIFS(Data!$AK$2:$AK$1105,1,Data!$M$2:$M$1105,$BB$93)&lt;Controls!$B$19,"",IFERROR(SUMIFS(Data!$AN$2:$AN$1105,Data!$AK$2:$AK$1105,1,Data!$M$2:$M$1105,$BB$93)/$BD$93,""))</f>
        <v/>
      </c>
      <c r="BF93" s="56">
        <f>IF(COUNTIFS(Data!$AK$2:$AK$1105,1,Data!$M$2:$M$1105,$BB$93)&lt;Controls!$B$19,"",IFERROR(SUMIFS(Data!$AM$2:$AM$1105,Data!$AK$2:$AK$1105,1,Data!$M$2:$M$1105,$BB$93)/SUMIFS(Data!$P$2:$P$1105,Data!$AK$2:$AK$1105,1,Data!$M$2:$M$1105,$BB$93),""))</f>
        <v/>
      </c>
      <c r="BG93" s="57">
        <f>SUMIFS(Data!$AN$2:$AN$1105,Data!$AK$2:$AK$1105,1,Data!$M$2:$M$1105,$BB$93)</f>
        <v/>
      </c>
      <c r="BH93" s="61" t="n"/>
      <c r="BI93" s="61">
        <f>IF(AND($BC$93&gt;=Controls!$B$22,$BD$93&gt;=LARGE($BD$75:$BD$230,MIN(Controls!$B$18,COUNT($BD$75:$BD$230)))),$BE$93,"")</f>
        <v/>
      </c>
      <c r="BJ93" s="61" t="n"/>
      <c r="BK93" s="61">
        <f>IF($BC$93&lt;Controls!$B$22,"",$BE$93)</f>
        <v/>
      </c>
      <c r="BL93" s="61">
        <f>IF($BC$93&lt;Controls!$B$22,"",$BF$93)</f>
        <v/>
      </c>
      <c r="BM93" s="61">
        <f>IF($BC$93&lt;Controls!$B$22,"",$BG$93)</f>
        <v/>
      </c>
      <c r="BN93" s="61" t="n"/>
      <c r="BO93" s="61" t="n"/>
      <c r="BP93" s="61" t="n"/>
      <c r="BQ93" s="61" t="n"/>
      <c r="BR93" s="61" t="n"/>
      <c r="BS93" s="61" t="n"/>
      <c r="BT93" s="61" t="n"/>
    </row>
    <row r="94" ht="15.75" customHeight="1" s="79">
      <c r="A94" s="61">
        <f t="array" ref="A94">IFERROR(IF(22&gt;Controls!$B$18,"",IF(LARGE(Calc!$AT$143:$AT$298,22)&lt;-100000000000000,"",INDEX(Calc!$AN$143:$AN$298,MATCH(LARGE(Calc!$AT$143:$AT$298,22),Calc!$AT$143:$AT$298,0)))),"")</f>
        <v/>
      </c>
      <c r="B94" s="66">
        <f>IF($A$94="",NA(),IFERROR(SUMIFS(Data!$P$2:$P$1105,Data!$AK$2:$AK$1105,1,Data!$M$2:$M$1105,$A$94),NA()))</f>
        <v/>
      </c>
      <c r="C94" s="66">
        <f>IF($A$94="",NA(),IFERROR(SUMIFS(Data!$S$2:$S$1105,Data!$AK$2:$AK$1105,1,Data!$M$2:$M$1105,$A$94),NA()))</f>
        <v/>
      </c>
      <c r="D94" s="66">
        <f>IF(ISNA($B$94),NA(),$C$94-$B$94)</f>
        <v/>
      </c>
      <c r="E94" s="66">
        <f>IF($A$94="",NA(),IFERROR(SUMIFS(Data!$Q$2:$Q$1105,Data!$AK$2:$AK$1105,1,Data!$M$2:$M$1105,$A$94),NA()))</f>
        <v/>
      </c>
      <c r="F94" s="66">
        <f>IF($A$94="",NA(),IFERROR(SUMIFS(Data!$AN$2:$AN$1105,Data!$AK$2:$AK$1105,1,Data!$M$2:$M$1105,$A$94),NA()))</f>
        <v/>
      </c>
      <c r="G94" s="62">
        <f>IF($A$94="",NA(),IF(COUNTIFS(Data!$AK$2:$AK$1105,1,Data!$M$2:$M$1105,$A$94)&lt;Controls!$B$19,NA(),IFERROR(SUMIFS(Data!$AN$2:$AN$1105,Data!$AK$2:$AK$1105,1,Data!$M$2:$M$1105,$A$94)/$B$94,NA())))</f>
        <v/>
      </c>
      <c r="H94" s="62">
        <f>IF($A$94="",NA(),IF(COUNTIFS(Data!$AK$2:$AK$1105,1,Data!$M$2:$M$1105,$A$94)&lt;Controls!$B$19,NA(),IFERROR(SUMIFS(Data!$S$2:$S$1105,Data!$AK$2:$AK$1105,1,Data!$M$2:$M$1105,$A$94,Data!$AH$2:$AH$1105,1)/SUMIFS(Data!$P$2:$P$1105,Data!$AK$2:$AK$1105,1,Data!$M$2:$M$1105,$A$94,Data!$AH$2:$AH$1105,1),NA())))</f>
        <v/>
      </c>
      <c r="I94" s="62">
        <f>IF(ISNA($J$94),NA(),IF($J$94&lt;Controls!$B$19,NA(),IFERROR($D$94/$B$94,NA())))</f>
        <v/>
      </c>
      <c r="J94" s="67">
        <f>IF($A$94="",NA(),IFERROR(COUNTIFS(Data!$AK$2:$AK$1105,1,Data!$M$2:$M$1105,$A$94),NA()))</f>
        <v/>
      </c>
      <c r="K94" s="62">
        <f>IF(ISNA($B$94),NA(),IFERROR($B$94/Calc!$BT$6,NA()))</f>
        <v/>
      </c>
      <c r="L94" s="66">
        <f>IF(ISNA($J$94),NA(),IF($J$94&lt;Controls!$B$19,NA(),IFERROR($B$94/$J$94,NA())))</f>
        <v/>
      </c>
      <c r="M94" s="67">
        <f>IF($A$94="",NA(),IF(COUNTIFS(Data!$AK$2:$AK$1105,1,Data!$M$2:$M$1105,$A$94)&lt;Controls!$B$19,NA(),IFERROR(AVERAGEIFS(Data!$AE$2:$AE$1105,Data!$AK$2:$AK$1105,1,Data!$M$2:$M$1105,$A$94),NA())))</f>
        <v/>
      </c>
      <c r="N94" s="67">
        <f>IF($A$94="",NA(),IF(COUNTIFS(Data!$AK$2:$AK$1105,1,Data!$M$2:$M$1105,$A$94)&lt;Controls!$B$19,NA(),IFERROR(AVERAGEIFS(Data!$AD$2:$AD$1105,Data!$AK$2:$AK$1105,1,Data!$M$2:$M$1105,$A$94),NA())))</f>
        <v/>
      </c>
      <c r="O94" s="67">
        <f>IF($A$94="",NA(),IF(COUNTIFS(Data!$AK$2:$AK$1105,1,Data!$M$2:$M$1105,$A$94)&lt;Controls!$B$19,NA(),IFERROR(AVERAGEIFS(Data!$AS$2:$AS$1105,Data!$AK$2:$AK$1105,1,Data!$M$2:$M$1105,$A$94),NA())))</f>
        <v/>
      </c>
      <c r="P94" s="67">
        <f>IF($A$94="",NA(),IF(COUNTIFS(Data!$AK$2:$AK$1105,1,Data!$M$2:$M$1105,$A$94)&lt;Controls!$B$19,NA(),IFERROR(AVERAGEIFS(Data!$AT$2:$AT$1105,Data!$AK$2:$AK$1105,1,Data!$M$2:$M$1105,$A$94),NA())))</f>
        <v/>
      </c>
      <c r="Q94" s="62">
        <f>IF($A$94="",NA(),IF(COUNTIFS(Data!$AK$2:$AK$1105,1,Data!$M$2:$M$1105,$A$94)&lt;Controls!$B$19,NA(),IFERROR(COUNTIFS(Data!$AK$2:$AK$1105,1,Data!$M$2:$M$1105,$A$94,Data!$N$2:$N$1105,"Renewal")/COUNTIFS(Data!$AK$2:$AK$1105,1,Data!$M$2:$M$1105,$A$94),NA())))</f>
        <v/>
      </c>
      <c r="R94" s="62">
        <f>IF($A$94="",NA(),IF(COUNTIFS(Data!$AK$2:$AK$1105,1,Data!$M$2:$M$1105,$A$94)&lt;Controls!$B$19,NA(),IFERROR(SUMIFS(Data!$P$2:$P$1105,Data!$AK$2:$AK$1105,1,Data!$M$2:$M$1105,$A$94,Data!$N$2:$N$1105,"Renewal")/SUMIFS(Data!$P$2:$P$1105,Data!$AK$2:$AK$1105,1,Data!$M$2:$M$1105,$A$94),NA())))</f>
        <v/>
      </c>
      <c r="S94" s="62">
        <f>IF($A$94="",NA(),Calc!$BT$2)</f>
        <v/>
      </c>
      <c r="T94" s="62">
        <f>IF($A$94="",NA(),Calc!$BT$3)</f>
        <v/>
      </c>
      <c r="U94" s="62">
        <f>IF($A$94="",NA(),Calc!$BT$4)</f>
        <v/>
      </c>
      <c r="V94" s="62">
        <f>IF($A$94="",NA(),IF(COUNTIFS(Data!$AK$2:$AK$1105,1,Data!$M$2:$M$1105,$A$94)&lt;Controls!$B$19,NA(),IFERROR(COUNTIFS(Data!$AK$2:$AK$1105,1,Data!$M$2:$M$1105,$A$94,Data!$AH$2:$AH$1105,1)/COUNTIFS(Data!$AK$2:$AK$1105,1,Data!$M$2:$M$1105,$A$94),NA())))</f>
        <v/>
      </c>
      <c r="W94" s="61">
        <f>IF($A$94="","",$A$94&amp;" ("&amp;$J$94&amp;")")</f>
        <v/>
      </c>
      <c r="X94" s="61" t="n"/>
      <c r="Y94" s="61" t="n"/>
      <c r="Z94" s="61" t="n"/>
      <c r="AA94" s="61" t="n"/>
      <c r="AB94" s="61" t="n"/>
      <c r="AC94" s="61" t="n"/>
      <c r="AD94" s="61" t="n"/>
      <c r="AE94" s="61" t="n"/>
      <c r="AF94" s="61" t="n"/>
      <c r="AG94" s="61" t="n"/>
      <c r="AH94" s="61" t="n"/>
      <c r="AI94" s="61" t="n"/>
      <c r="AJ94" s="61" t="n"/>
      <c r="AK94" s="61" t="n"/>
      <c r="AL94" s="61" t="n"/>
      <c r="AM94" s="61" t="n"/>
      <c r="AN94" s="61">
        <f>Controls!$D$53</f>
        <v/>
      </c>
      <c r="AO94" s="61">
        <f>COUNTIFS(Data!$AK$2:$AK$1105,1,Data!$L$2:$L$1105,$AN$94)</f>
        <v/>
      </c>
      <c r="AP94" s="57">
        <f>SUMIFS(Data!$P$2:$P$1105,Data!$AK$2:$AK$1105,1,Data!$L$2:$L$1105,$AN$94)</f>
        <v/>
      </c>
      <c r="AQ94" s="56">
        <f>IFERROR(SUMIFS(Data!$AN$2:$AN$1105,Data!$AK$2:$AK$1105,1,Data!$L$2:$L$1105,$AN$94)/$AP$94,0)</f>
        <v/>
      </c>
      <c r="AR94" s="57">
        <f>SUMIFS(Data!$AN$2:$AN$1105,Data!$AK$2:$AK$1105,1,Data!$L$2:$L$1105,$AN$94)</f>
        <v/>
      </c>
      <c r="AS94" s="61">
        <f>Controls!$E$53</f>
        <v/>
      </c>
      <c r="AT94" s="61">
        <f>IF(OR(AO94=0,AO94&lt;Controls!$B$20),-1000000000000000,IF(AND(Controls!$B$21="Y",$AN$94="No state"),-1000000000000000,IF(Controls!$B$17="Selected only",IF(AS94="Y",AP94,-1000000000000000),IF(Controls!$B$17="Top by funded $",AP94,IF(Controls!$B$17="Top by funded units",AO94,IF(Controls!$B$17="Largest principal lost $",AR94,IF(Controls!$B$17="Highest net profit $",AU94,IF(AO94&lt;Controls!$B$19,-1000000000000000,IF(Controls!$B$17="Highest principal lost rate %",AQ94,IF(Controls!$B$17="Lowest principal lost rate %",1-AQ94,AP94))))))))) +14/1000000)</f>
        <v/>
      </c>
      <c r="AU94" s="57">
        <f>SUMIFS(Data!$AM$2:$AM$1105,Data!$AK$2:$AK$1105,1,Data!$L$2:$L$1105,$AN$94)</f>
        <v/>
      </c>
      <c r="AV94" s="61" t="n"/>
      <c r="AW94" s="61" t="n"/>
      <c r="AX94" s="61" t="n"/>
      <c r="AY94" s="61" t="n"/>
      <c r="AZ94" s="61" t="n"/>
      <c r="BA94" s="61" t="n"/>
      <c r="BB94" s="61">
        <f>Controls!$G$59</f>
        <v/>
      </c>
      <c r="BC94" s="61">
        <f>COUNTIFS(Data!$AK$2:$AK$1105,1,Data!$M$2:$M$1105,$BB$94)</f>
        <v/>
      </c>
      <c r="BD94" s="57">
        <f>SUMIFS(Data!$P$2:$P$1105,Data!$AK$2:$AK$1105,1,Data!$M$2:$M$1105,$BB$94)</f>
        <v/>
      </c>
      <c r="BE94" s="56">
        <f>IF(COUNTIFS(Data!$AK$2:$AK$1105,1,Data!$M$2:$M$1105,$BB$94)&lt;Controls!$B$19,"",IFERROR(SUMIFS(Data!$AN$2:$AN$1105,Data!$AK$2:$AK$1105,1,Data!$M$2:$M$1105,$BB$94)/$BD$94,""))</f>
        <v/>
      </c>
      <c r="BF94" s="56">
        <f>IF(COUNTIFS(Data!$AK$2:$AK$1105,1,Data!$M$2:$M$1105,$BB$94)&lt;Controls!$B$19,"",IFERROR(SUMIFS(Data!$AM$2:$AM$1105,Data!$AK$2:$AK$1105,1,Data!$M$2:$M$1105,$BB$94)/SUMIFS(Data!$P$2:$P$1105,Data!$AK$2:$AK$1105,1,Data!$M$2:$M$1105,$BB$94),""))</f>
        <v/>
      </c>
      <c r="BG94" s="57">
        <f>SUMIFS(Data!$AN$2:$AN$1105,Data!$AK$2:$AK$1105,1,Data!$M$2:$M$1105,$BB$94)</f>
        <v/>
      </c>
      <c r="BH94" s="61" t="n"/>
      <c r="BI94" s="61">
        <f>IF(AND($BC$94&gt;=Controls!$B$22,$BD$94&gt;=LARGE($BD$75:$BD$230,MIN(Controls!$B$18,COUNT($BD$75:$BD$230)))),$BE$94,"")</f>
        <v/>
      </c>
      <c r="BJ94" s="61" t="n"/>
      <c r="BK94" s="61">
        <f>IF($BC$94&lt;Controls!$B$22,"",$BE$94)</f>
        <v/>
      </c>
      <c r="BL94" s="61">
        <f>IF($BC$94&lt;Controls!$B$22,"",$BF$94)</f>
        <v/>
      </c>
      <c r="BM94" s="61">
        <f>IF($BC$94&lt;Controls!$B$22,"",$BG$94)</f>
        <v/>
      </c>
      <c r="BN94" s="61" t="n"/>
      <c r="BO94" s="61" t="n"/>
      <c r="BP94" s="61" t="n"/>
      <c r="BQ94" s="61" t="n"/>
      <c r="BR94" s="61" t="n"/>
      <c r="BS94" s="61" t="n"/>
      <c r="BT94" s="61" t="n"/>
    </row>
    <row r="95" ht="15.75" customHeight="1" s="79">
      <c r="A95" s="61">
        <f t="array" ref="A95">IFERROR(IF(23&gt;Controls!$B$18,"",IF(LARGE(Calc!$AT$143:$AT$298,23)&lt;-100000000000000,"",INDEX(Calc!$AN$143:$AN$298,MATCH(LARGE(Calc!$AT$143:$AT$298,23),Calc!$AT$143:$AT$298,0)))),"")</f>
        <v/>
      </c>
      <c r="B95" s="66">
        <f>IF($A$95="",NA(),IFERROR(SUMIFS(Data!$P$2:$P$1105,Data!$AK$2:$AK$1105,1,Data!$M$2:$M$1105,$A$95),NA()))</f>
        <v/>
      </c>
      <c r="C95" s="66">
        <f>IF($A$95="",NA(),IFERROR(SUMIFS(Data!$S$2:$S$1105,Data!$AK$2:$AK$1105,1,Data!$M$2:$M$1105,$A$95),NA()))</f>
        <v/>
      </c>
      <c r="D95" s="66">
        <f>IF(ISNA($B$95),NA(),$C$95-$B$95)</f>
        <v/>
      </c>
      <c r="E95" s="66">
        <f>IF($A$95="",NA(),IFERROR(SUMIFS(Data!$Q$2:$Q$1105,Data!$AK$2:$AK$1105,1,Data!$M$2:$M$1105,$A$95),NA()))</f>
        <v/>
      </c>
      <c r="F95" s="66">
        <f>IF($A$95="",NA(),IFERROR(SUMIFS(Data!$AN$2:$AN$1105,Data!$AK$2:$AK$1105,1,Data!$M$2:$M$1105,$A$95),NA()))</f>
        <v/>
      </c>
      <c r="G95" s="62">
        <f>IF($A$95="",NA(),IF(COUNTIFS(Data!$AK$2:$AK$1105,1,Data!$M$2:$M$1105,$A$95)&lt;Controls!$B$19,NA(),IFERROR(SUMIFS(Data!$AN$2:$AN$1105,Data!$AK$2:$AK$1105,1,Data!$M$2:$M$1105,$A$95)/$B$95,NA())))</f>
        <v/>
      </c>
      <c r="H95" s="62">
        <f>IF($A$95="",NA(),IF(COUNTIFS(Data!$AK$2:$AK$1105,1,Data!$M$2:$M$1105,$A$95)&lt;Controls!$B$19,NA(),IFERROR(SUMIFS(Data!$S$2:$S$1105,Data!$AK$2:$AK$1105,1,Data!$M$2:$M$1105,$A$95,Data!$AH$2:$AH$1105,1)/SUMIFS(Data!$P$2:$P$1105,Data!$AK$2:$AK$1105,1,Data!$M$2:$M$1105,$A$95,Data!$AH$2:$AH$1105,1),NA())))</f>
        <v/>
      </c>
      <c r="I95" s="62">
        <f>IF(ISNA($J$95),NA(),IF($J$95&lt;Controls!$B$19,NA(),IFERROR($D$95/$B$95,NA())))</f>
        <v/>
      </c>
      <c r="J95" s="67">
        <f>IF($A$95="",NA(),IFERROR(COUNTIFS(Data!$AK$2:$AK$1105,1,Data!$M$2:$M$1105,$A$95),NA()))</f>
        <v/>
      </c>
      <c r="K95" s="62">
        <f>IF(ISNA($B$95),NA(),IFERROR($B$95/Calc!$BT$6,NA()))</f>
        <v/>
      </c>
      <c r="L95" s="66">
        <f>IF(ISNA($J$95),NA(),IF($J$95&lt;Controls!$B$19,NA(),IFERROR($B$95/$J$95,NA())))</f>
        <v/>
      </c>
      <c r="M95" s="67">
        <f>IF($A$95="",NA(),IF(COUNTIFS(Data!$AK$2:$AK$1105,1,Data!$M$2:$M$1105,$A$95)&lt;Controls!$B$19,NA(),IFERROR(AVERAGEIFS(Data!$AE$2:$AE$1105,Data!$AK$2:$AK$1105,1,Data!$M$2:$M$1105,$A$95),NA())))</f>
        <v/>
      </c>
      <c r="N95" s="67">
        <f>IF($A$95="",NA(),IF(COUNTIFS(Data!$AK$2:$AK$1105,1,Data!$M$2:$M$1105,$A$95)&lt;Controls!$B$19,NA(),IFERROR(AVERAGEIFS(Data!$AD$2:$AD$1105,Data!$AK$2:$AK$1105,1,Data!$M$2:$M$1105,$A$95),NA())))</f>
        <v/>
      </c>
      <c r="O95" s="67">
        <f>IF($A$95="",NA(),IF(COUNTIFS(Data!$AK$2:$AK$1105,1,Data!$M$2:$M$1105,$A$95)&lt;Controls!$B$19,NA(),IFERROR(AVERAGEIFS(Data!$AS$2:$AS$1105,Data!$AK$2:$AK$1105,1,Data!$M$2:$M$1105,$A$95),NA())))</f>
        <v/>
      </c>
      <c r="P95" s="67">
        <f>IF($A$95="",NA(),IF(COUNTIFS(Data!$AK$2:$AK$1105,1,Data!$M$2:$M$1105,$A$95)&lt;Controls!$B$19,NA(),IFERROR(AVERAGEIFS(Data!$AT$2:$AT$1105,Data!$AK$2:$AK$1105,1,Data!$M$2:$M$1105,$A$95),NA())))</f>
        <v/>
      </c>
      <c r="Q95" s="62">
        <f>IF($A$95="",NA(),IF(COUNTIFS(Data!$AK$2:$AK$1105,1,Data!$M$2:$M$1105,$A$95)&lt;Controls!$B$19,NA(),IFERROR(COUNTIFS(Data!$AK$2:$AK$1105,1,Data!$M$2:$M$1105,$A$95,Data!$N$2:$N$1105,"Renewal")/COUNTIFS(Data!$AK$2:$AK$1105,1,Data!$M$2:$M$1105,$A$95),NA())))</f>
        <v/>
      </c>
      <c r="R95" s="62">
        <f>IF($A$95="",NA(),IF(COUNTIFS(Data!$AK$2:$AK$1105,1,Data!$M$2:$M$1105,$A$95)&lt;Controls!$B$19,NA(),IFERROR(SUMIFS(Data!$P$2:$P$1105,Data!$AK$2:$AK$1105,1,Data!$M$2:$M$1105,$A$95,Data!$N$2:$N$1105,"Renewal")/SUMIFS(Data!$P$2:$P$1105,Data!$AK$2:$AK$1105,1,Data!$M$2:$M$1105,$A$95),NA())))</f>
        <v/>
      </c>
      <c r="S95" s="62">
        <f>IF($A$95="",NA(),Calc!$BT$2)</f>
        <v/>
      </c>
      <c r="T95" s="62">
        <f>IF($A$95="",NA(),Calc!$BT$3)</f>
        <v/>
      </c>
      <c r="U95" s="62">
        <f>IF($A$95="",NA(),Calc!$BT$4)</f>
        <v/>
      </c>
      <c r="V95" s="62">
        <f>IF($A$95="",NA(),IF(COUNTIFS(Data!$AK$2:$AK$1105,1,Data!$M$2:$M$1105,$A$95)&lt;Controls!$B$19,NA(),IFERROR(COUNTIFS(Data!$AK$2:$AK$1105,1,Data!$M$2:$M$1105,$A$95,Data!$AH$2:$AH$1105,1)/COUNTIFS(Data!$AK$2:$AK$1105,1,Data!$M$2:$M$1105,$A$95),NA())))</f>
        <v/>
      </c>
      <c r="W95" s="61">
        <f>IF($A$95="","",$A$95&amp;" ("&amp;$J$95&amp;")")</f>
        <v/>
      </c>
      <c r="X95" s="61" t="n"/>
      <c r="Y95" s="61" t="n"/>
      <c r="Z95" s="61" t="n"/>
      <c r="AA95" s="61" t="n"/>
      <c r="AB95" s="61" t="n"/>
      <c r="AC95" s="61" t="n"/>
      <c r="AD95" s="61" t="n"/>
      <c r="AE95" s="61" t="n"/>
      <c r="AF95" s="61" t="n"/>
      <c r="AG95" s="61" t="n"/>
      <c r="AH95" s="61" t="n"/>
      <c r="AI95" s="61" t="n"/>
      <c r="AJ95" s="61" t="n"/>
      <c r="AK95" s="61" t="n"/>
      <c r="AL95" s="61" t="n"/>
      <c r="AM95" s="61" t="n"/>
      <c r="AN95" s="61">
        <f>Controls!$D$54</f>
        <v/>
      </c>
      <c r="AO95" s="61">
        <f>COUNTIFS(Data!$AK$2:$AK$1105,1,Data!$L$2:$L$1105,$AN$95)</f>
        <v/>
      </c>
      <c r="AP95" s="57">
        <f>SUMIFS(Data!$P$2:$P$1105,Data!$AK$2:$AK$1105,1,Data!$L$2:$L$1105,$AN$95)</f>
        <v/>
      </c>
      <c r="AQ95" s="56">
        <f>IFERROR(SUMIFS(Data!$AN$2:$AN$1105,Data!$AK$2:$AK$1105,1,Data!$L$2:$L$1105,$AN$95)/$AP$95,0)</f>
        <v/>
      </c>
      <c r="AR95" s="57">
        <f>SUMIFS(Data!$AN$2:$AN$1105,Data!$AK$2:$AK$1105,1,Data!$L$2:$L$1105,$AN$95)</f>
        <v/>
      </c>
      <c r="AS95" s="61">
        <f>Controls!$E$54</f>
        <v/>
      </c>
      <c r="AT95" s="61">
        <f>IF(OR(AO95=0,AO95&lt;Controls!$B$20),-1000000000000000,IF(AND(Controls!$B$21="Y",$AN$95="No state"),-1000000000000000,IF(Controls!$B$17="Selected only",IF(AS95="Y",AP95,-1000000000000000),IF(Controls!$B$17="Top by funded $",AP95,IF(Controls!$B$17="Top by funded units",AO95,IF(Controls!$B$17="Largest principal lost $",AR95,IF(Controls!$B$17="Highest net profit $",AU95,IF(AO95&lt;Controls!$B$19,-1000000000000000,IF(Controls!$B$17="Highest principal lost rate %",AQ95,IF(Controls!$B$17="Lowest principal lost rate %",1-AQ95,AP95))))))))) +15/1000000)</f>
        <v/>
      </c>
      <c r="AU95" s="57">
        <f>SUMIFS(Data!$AM$2:$AM$1105,Data!$AK$2:$AK$1105,1,Data!$L$2:$L$1105,$AN$95)</f>
        <v/>
      </c>
      <c r="AV95" s="61" t="n"/>
      <c r="AW95" s="61" t="n"/>
      <c r="AX95" s="61" t="n"/>
      <c r="AY95" s="61" t="n"/>
      <c r="AZ95" s="61" t="n"/>
      <c r="BA95" s="61" t="n"/>
      <c r="BB95" s="61">
        <f>Controls!$G$60</f>
        <v/>
      </c>
      <c r="BC95" s="61">
        <f>COUNTIFS(Data!$AK$2:$AK$1105,1,Data!$M$2:$M$1105,$BB$95)</f>
        <v/>
      </c>
      <c r="BD95" s="57">
        <f>SUMIFS(Data!$P$2:$P$1105,Data!$AK$2:$AK$1105,1,Data!$M$2:$M$1105,$BB$95)</f>
        <v/>
      </c>
      <c r="BE95" s="56">
        <f>IF(COUNTIFS(Data!$AK$2:$AK$1105,1,Data!$M$2:$M$1105,$BB$95)&lt;Controls!$B$19,"",IFERROR(SUMIFS(Data!$AN$2:$AN$1105,Data!$AK$2:$AK$1105,1,Data!$M$2:$M$1105,$BB$95)/$BD$95,""))</f>
        <v/>
      </c>
      <c r="BF95" s="56">
        <f>IF(COUNTIFS(Data!$AK$2:$AK$1105,1,Data!$M$2:$M$1105,$BB$95)&lt;Controls!$B$19,"",IFERROR(SUMIFS(Data!$AM$2:$AM$1105,Data!$AK$2:$AK$1105,1,Data!$M$2:$M$1105,$BB$95)/SUMIFS(Data!$P$2:$P$1105,Data!$AK$2:$AK$1105,1,Data!$M$2:$M$1105,$BB$95),""))</f>
        <v/>
      </c>
      <c r="BG95" s="57">
        <f>SUMIFS(Data!$AN$2:$AN$1105,Data!$AK$2:$AK$1105,1,Data!$M$2:$M$1105,$BB$95)</f>
        <v/>
      </c>
      <c r="BH95" s="61" t="n"/>
      <c r="BI95" s="61">
        <f>IF(AND($BC$95&gt;=Controls!$B$22,$BD$95&gt;=LARGE($BD$75:$BD$230,MIN(Controls!$B$18,COUNT($BD$75:$BD$230)))),$BE$95,"")</f>
        <v/>
      </c>
      <c r="BJ95" s="61" t="n"/>
      <c r="BK95" s="61">
        <f>IF($BC$95&lt;Controls!$B$22,"",$BE$95)</f>
        <v/>
      </c>
      <c r="BL95" s="61">
        <f>IF($BC$95&lt;Controls!$B$22,"",$BF$95)</f>
        <v/>
      </c>
      <c r="BM95" s="61">
        <f>IF($BC$95&lt;Controls!$B$22,"",$BG$95)</f>
        <v/>
      </c>
      <c r="BN95" s="61" t="n"/>
      <c r="BO95" s="61" t="n"/>
      <c r="BP95" s="61" t="n"/>
      <c r="BQ95" s="61" t="n"/>
      <c r="BR95" s="61" t="n"/>
      <c r="BS95" s="61" t="n"/>
      <c r="BT95" s="61" t="n"/>
    </row>
    <row r="96" ht="15.75" customHeight="1" s="79">
      <c r="A96" s="61">
        <f t="array" ref="A96">IFERROR(IF(24&gt;Controls!$B$18,"",IF(LARGE(Calc!$AT$143:$AT$298,24)&lt;-100000000000000,"",INDEX(Calc!$AN$143:$AN$298,MATCH(LARGE(Calc!$AT$143:$AT$298,24),Calc!$AT$143:$AT$298,0)))),"")</f>
        <v/>
      </c>
      <c r="B96" s="66">
        <f>IF($A$96="",NA(),IFERROR(SUMIFS(Data!$P$2:$P$1105,Data!$AK$2:$AK$1105,1,Data!$M$2:$M$1105,$A$96),NA()))</f>
        <v/>
      </c>
      <c r="C96" s="66">
        <f>IF($A$96="",NA(),IFERROR(SUMIFS(Data!$S$2:$S$1105,Data!$AK$2:$AK$1105,1,Data!$M$2:$M$1105,$A$96),NA()))</f>
        <v/>
      </c>
      <c r="D96" s="66">
        <f>IF(ISNA($B$96),NA(),$C$96-$B$96)</f>
        <v/>
      </c>
      <c r="E96" s="66">
        <f>IF($A$96="",NA(),IFERROR(SUMIFS(Data!$Q$2:$Q$1105,Data!$AK$2:$AK$1105,1,Data!$M$2:$M$1105,$A$96),NA()))</f>
        <v/>
      </c>
      <c r="F96" s="66">
        <f>IF($A$96="",NA(),IFERROR(SUMIFS(Data!$AN$2:$AN$1105,Data!$AK$2:$AK$1105,1,Data!$M$2:$M$1105,$A$96),NA()))</f>
        <v/>
      </c>
      <c r="G96" s="62">
        <f>IF($A$96="",NA(),IF(COUNTIFS(Data!$AK$2:$AK$1105,1,Data!$M$2:$M$1105,$A$96)&lt;Controls!$B$19,NA(),IFERROR(SUMIFS(Data!$AN$2:$AN$1105,Data!$AK$2:$AK$1105,1,Data!$M$2:$M$1105,$A$96)/$B$96,NA())))</f>
        <v/>
      </c>
      <c r="H96" s="62">
        <f>IF($A$96="",NA(),IF(COUNTIFS(Data!$AK$2:$AK$1105,1,Data!$M$2:$M$1105,$A$96)&lt;Controls!$B$19,NA(),IFERROR(SUMIFS(Data!$S$2:$S$1105,Data!$AK$2:$AK$1105,1,Data!$M$2:$M$1105,$A$96,Data!$AH$2:$AH$1105,1)/SUMIFS(Data!$P$2:$P$1105,Data!$AK$2:$AK$1105,1,Data!$M$2:$M$1105,$A$96,Data!$AH$2:$AH$1105,1),NA())))</f>
        <v/>
      </c>
      <c r="I96" s="62">
        <f>IF(ISNA($J$96),NA(),IF($J$96&lt;Controls!$B$19,NA(),IFERROR($D$96/$B$96,NA())))</f>
        <v/>
      </c>
      <c r="J96" s="67">
        <f>IF($A$96="",NA(),IFERROR(COUNTIFS(Data!$AK$2:$AK$1105,1,Data!$M$2:$M$1105,$A$96),NA()))</f>
        <v/>
      </c>
      <c r="K96" s="62">
        <f>IF(ISNA($B$96),NA(),IFERROR($B$96/Calc!$BT$6,NA()))</f>
        <v/>
      </c>
      <c r="L96" s="66">
        <f>IF(ISNA($J$96),NA(),IF($J$96&lt;Controls!$B$19,NA(),IFERROR($B$96/$J$96,NA())))</f>
        <v/>
      </c>
      <c r="M96" s="67">
        <f>IF($A$96="",NA(),IF(COUNTIFS(Data!$AK$2:$AK$1105,1,Data!$M$2:$M$1105,$A$96)&lt;Controls!$B$19,NA(),IFERROR(AVERAGEIFS(Data!$AE$2:$AE$1105,Data!$AK$2:$AK$1105,1,Data!$M$2:$M$1105,$A$96),NA())))</f>
        <v/>
      </c>
      <c r="N96" s="67">
        <f>IF($A$96="",NA(),IF(COUNTIFS(Data!$AK$2:$AK$1105,1,Data!$M$2:$M$1105,$A$96)&lt;Controls!$B$19,NA(),IFERROR(AVERAGEIFS(Data!$AD$2:$AD$1105,Data!$AK$2:$AK$1105,1,Data!$M$2:$M$1105,$A$96),NA())))</f>
        <v/>
      </c>
      <c r="O96" s="67">
        <f>IF($A$96="",NA(),IF(COUNTIFS(Data!$AK$2:$AK$1105,1,Data!$M$2:$M$1105,$A$96)&lt;Controls!$B$19,NA(),IFERROR(AVERAGEIFS(Data!$AS$2:$AS$1105,Data!$AK$2:$AK$1105,1,Data!$M$2:$M$1105,$A$96),NA())))</f>
        <v/>
      </c>
      <c r="P96" s="67">
        <f>IF($A$96="",NA(),IF(COUNTIFS(Data!$AK$2:$AK$1105,1,Data!$M$2:$M$1105,$A$96)&lt;Controls!$B$19,NA(),IFERROR(AVERAGEIFS(Data!$AT$2:$AT$1105,Data!$AK$2:$AK$1105,1,Data!$M$2:$M$1105,$A$96),NA())))</f>
        <v/>
      </c>
      <c r="Q96" s="62">
        <f>IF($A$96="",NA(),IF(COUNTIFS(Data!$AK$2:$AK$1105,1,Data!$M$2:$M$1105,$A$96)&lt;Controls!$B$19,NA(),IFERROR(COUNTIFS(Data!$AK$2:$AK$1105,1,Data!$M$2:$M$1105,$A$96,Data!$N$2:$N$1105,"Renewal")/COUNTIFS(Data!$AK$2:$AK$1105,1,Data!$M$2:$M$1105,$A$96),NA())))</f>
        <v/>
      </c>
      <c r="R96" s="62">
        <f>IF($A$96="",NA(),IF(COUNTIFS(Data!$AK$2:$AK$1105,1,Data!$M$2:$M$1105,$A$96)&lt;Controls!$B$19,NA(),IFERROR(SUMIFS(Data!$P$2:$P$1105,Data!$AK$2:$AK$1105,1,Data!$M$2:$M$1105,$A$96,Data!$N$2:$N$1105,"Renewal")/SUMIFS(Data!$P$2:$P$1105,Data!$AK$2:$AK$1105,1,Data!$M$2:$M$1105,$A$96),NA())))</f>
        <v/>
      </c>
      <c r="S96" s="62">
        <f>IF($A$96="",NA(),Calc!$BT$2)</f>
        <v/>
      </c>
      <c r="T96" s="62">
        <f>IF($A$96="",NA(),Calc!$BT$3)</f>
        <v/>
      </c>
      <c r="U96" s="62">
        <f>IF($A$96="",NA(),Calc!$BT$4)</f>
        <v/>
      </c>
      <c r="V96" s="62">
        <f>IF($A$96="",NA(),IF(COUNTIFS(Data!$AK$2:$AK$1105,1,Data!$M$2:$M$1105,$A$96)&lt;Controls!$B$19,NA(),IFERROR(COUNTIFS(Data!$AK$2:$AK$1105,1,Data!$M$2:$M$1105,$A$96,Data!$AH$2:$AH$1105,1)/COUNTIFS(Data!$AK$2:$AK$1105,1,Data!$M$2:$M$1105,$A$96),NA())))</f>
        <v/>
      </c>
      <c r="W96" s="61">
        <f>IF($A$96="","",$A$96&amp;" ("&amp;$J$96&amp;")")</f>
        <v/>
      </c>
      <c r="X96" s="61" t="n"/>
      <c r="Y96" s="61" t="n"/>
      <c r="Z96" s="61" t="n"/>
      <c r="AA96" s="61" t="n"/>
      <c r="AB96" s="61" t="n"/>
      <c r="AC96" s="61" t="n"/>
      <c r="AD96" s="61" t="n"/>
      <c r="AE96" s="61" t="n"/>
      <c r="AF96" s="61" t="n"/>
      <c r="AG96" s="61" t="n"/>
      <c r="AH96" s="61" t="n"/>
      <c r="AI96" s="61" t="n"/>
      <c r="AJ96" s="61" t="n"/>
      <c r="AK96" s="61" t="n"/>
      <c r="AL96" s="61" t="n"/>
      <c r="AM96" s="61" t="n"/>
      <c r="AN96" s="61">
        <f>Controls!$D$55</f>
        <v/>
      </c>
      <c r="AO96" s="61">
        <f>COUNTIFS(Data!$AK$2:$AK$1105,1,Data!$L$2:$L$1105,$AN$96)</f>
        <v/>
      </c>
      <c r="AP96" s="57">
        <f>SUMIFS(Data!$P$2:$P$1105,Data!$AK$2:$AK$1105,1,Data!$L$2:$L$1105,$AN$96)</f>
        <v/>
      </c>
      <c r="AQ96" s="56">
        <f>IFERROR(SUMIFS(Data!$AN$2:$AN$1105,Data!$AK$2:$AK$1105,1,Data!$L$2:$L$1105,$AN$96)/$AP$96,0)</f>
        <v/>
      </c>
      <c r="AR96" s="57">
        <f>SUMIFS(Data!$AN$2:$AN$1105,Data!$AK$2:$AK$1105,1,Data!$L$2:$L$1105,$AN$96)</f>
        <v/>
      </c>
      <c r="AS96" s="61">
        <f>Controls!$E$55</f>
        <v/>
      </c>
      <c r="AT96" s="61">
        <f>IF(OR(AO96=0,AO96&lt;Controls!$B$20),-1000000000000000,IF(AND(Controls!$B$21="Y",$AN$96="No state"),-1000000000000000,IF(Controls!$B$17="Selected only",IF(AS96="Y",AP96,-1000000000000000),IF(Controls!$B$17="Top by funded $",AP96,IF(Controls!$B$17="Top by funded units",AO96,IF(Controls!$B$17="Largest principal lost $",AR96,IF(Controls!$B$17="Highest net profit $",AU96,IF(AO96&lt;Controls!$B$19,-1000000000000000,IF(Controls!$B$17="Highest principal lost rate %",AQ96,IF(Controls!$B$17="Lowest principal lost rate %",1-AQ96,AP96))))))))) +16/1000000)</f>
        <v/>
      </c>
      <c r="AU96" s="57">
        <f>SUMIFS(Data!$AM$2:$AM$1105,Data!$AK$2:$AK$1105,1,Data!$L$2:$L$1105,$AN$96)</f>
        <v/>
      </c>
      <c r="AV96" s="61" t="n"/>
      <c r="AW96" s="61" t="n"/>
      <c r="AX96" s="61" t="n"/>
      <c r="AY96" s="61" t="n"/>
      <c r="AZ96" s="61" t="n"/>
      <c r="BA96" s="61" t="n"/>
      <c r="BB96" s="61">
        <f>Controls!$G$61</f>
        <v/>
      </c>
      <c r="BC96" s="61">
        <f>COUNTIFS(Data!$AK$2:$AK$1105,1,Data!$M$2:$M$1105,$BB$96)</f>
        <v/>
      </c>
      <c r="BD96" s="57">
        <f>SUMIFS(Data!$P$2:$P$1105,Data!$AK$2:$AK$1105,1,Data!$M$2:$M$1105,$BB$96)</f>
        <v/>
      </c>
      <c r="BE96" s="56">
        <f>IF(COUNTIFS(Data!$AK$2:$AK$1105,1,Data!$M$2:$M$1105,$BB$96)&lt;Controls!$B$19,"",IFERROR(SUMIFS(Data!$AN$2:$AN$1105,Data!$AK$2:$AK$1105,1,Data!$M$2:$M$1105,$BB$96)/$BD$96,""))</f>
        <v/>
      </c>
      <c r="BF96" s="56">
        <f>IF(COUNTIFS(Data!$AK$2:$AK$1105,1,Data!$M$2:$M$1105,$BB$96)&lt;Controls!$B$19,"",IFERROR(SUMIFS(Data!$AM$2:$AM$1105,Data!$AK$2:$AK$1105,1,Data!$M$2:$M$1105,$BB$96)/SUMIFS(Data!$P$2:$P$1105,Data!$AK$2:$AK$1105,1,Data!$M$2:$M$1105,$BB$96),""))</f>
        <v/>
      </c>
      <c r="BG96" s="57">
        <f>SUMIFS(Data!$AN$2:$AN$1105,Data!$AK$2:$AK$1105,1,Data!$M$2:$M$1105,$BB$96)</f>
        <v/>
      </c>
      <c r="BH96" s="61" t="n"/>
      <c r="BI96" s="61">
        <f>IF(AND($BC$96&gt;=Controls!$B$22,$BD$96&gt;=LARGE($BD$75:$BD$230,MIN(Controls!$B$18,COUNT($BD$75:$BD$230)))),$BE$96,"")</f>
        <v/>
      </c>
      <c r="BJ96" s="61" t="n"/>
      <c r="BK96" s="61">
        <f>IF($BC$96&lt;Controls!$B$22,"",$BE$96)</f>
        <v/>
      </c>
      <c r="BL96" s="61">
        <f>IF($BC$96&lt;Controls!$B$22,"",$BF$96)</f>
        <v/>
      </c>
      <c r="BM96" s="61">
        <f>IF($BC$96&lt;Controls!$B$22,"",$BG$96)</f>
        <v/>
      </c>
      <c r="BN96" s="61" t="n"/>
      <c r="BO96" s="61" t="n"/>
      <c r="BP96" s="61" t="n"/>
      <c r="BQ96" s="61" t="n"/>
      <c r="BR96" s="61" t="n"/>
      <c r="BS96" s="61" t="n"/>
      <c r="BT96" s="61" t="n"/>
    </row>
    <row r="97" ht="15.75" customHeight="1" s="79">
      <c r="A97" s="61">
        <f t="array" ref="A97">IFERROR(IF(25&gt;Controls!$B$18,"",IF(LARGE(Calc!$AT$143:$AT$298,25)&lt;-100000000000000,"",INDEX(Calc!$AN$143:$AN$298,MATCH(LARGE(Calc!$AT$143:$AT$298,25),Calc!$AT$143:$AT$298,0)))),"")</f>
        <v/>
      </c>
      <c r="B97" s="66">
        <f>IF($A$97="",NA(),IFERROR(SUMIFS(Data!$P$2:$P$1105,Data!$AK$2:$AK$1105,1,Data!$M$2:$M$1105,$A$97),NA()))</f>
        <v/>
      </c>
      <c r="C97" s="66">
        <f>IF($A$97="",NA(),IFERROR(SUMIFS(Data!$S$2:$S$1105,Data!$AK$2:$AK$1105,1,Data!$M$2:$M$1105,$A$97),NA()))</f>
        <v/>
      </c>
      <c r="D97" s="66">
        <f>IF(ISNA($B$97),NA(),$C$97-$B$97)</f>
        <v/>
      </c>
      <c r="E97" s="66">
        <f>IF($A$97="",NA(),IFERROR(SUMIFS(Data!$Q$2:$Q$1105,Data!$AK$2:$AK$1105,1,Data!$M$2:$M$1105,$A$97),NA()))</f>
        <v/>
      </c>
      <c r="F97" s="66">
        <f>IF($A$97="",NA(),IFERROR(SUMIFS(Data!$AN$2:$AN$1105,Data!$AK$2:$AK$1105,1,Data!$M$2:$M$1105,$A$97),NA()))</f>
        <v/>
      </c>
      <c r="G97" s="62">
        <f>IF($A$97="",NA(),IF(COUNTIFS(Data!$AK$2:$AK$1105,1,Data!$M$2:$M$1105,$A$97)&lt;Controls!$B$19,NA(),IFERROR(SUMIFS(Data!$AN$2:$AN$1105,Data!$AK$2:$AK$1105,1,Data!$M$2:$M$1105,$A$97)/$B$97,NA())))</f>
        <v/>
      </c>
      <c r="H97" s="62">
        <f>IF($A$97="",NA(),IF(COUNTIFS(Data!$AK$2:$AK$1105,1,Data!$M$2:$M$1105,$A$97)&lt;Controls!$B$19,NA(),IFERROR(SUMIFS(Data!$S$2:$S$1105,Data!$AK$2:$AK$1105,1,Data!$M$2:$M$1105,$A$97,Data!$AH$2:$AH$1105,1)/SUMIFS(Data!$P$2:$P$1105,Data!$AK$2:$AK$1105,1,Data!$M$2:$M$1105,$A$97,Data!$AH$2:$AH$1105,1),NA())))</f>
        <v/>
      </c>
      <c r="I97" s="62">
        <f>IF(ISNA($J$97),NA(),IF($J$97&lt;Controls!$B$19,NA(),IFERROR($D$97/$B$97,NA())))</f>
        <v/>
      </c>
      <c r="J97" s="67">
        <f>IF($A$97="",NA(),IFERROR(COUNTIFS(Data!$AK$2:$AK$1105,1,Data!$M$2:$M$1105,$A$97),NA()))</f>
        <v/>
      </c>
      <c r="K97" s="62">
        <f>IF(ISNA($B$97),NA(),IFERROR($B$97/Calc!$BT$6,NA()))</f>
        <v/>
      </c>
      <c r="L97" s="66">
        <f>IF(ISNA($J$97),NA(),IF($J$97&lt;Controls!$B$19,NA(),IFERROR($B$97/$J$97,NA())))</f>
        <v/>
      </c>
      <c r="M97" s="67">
        <f>IF($A$97="",NA(),IF(COUNTIFS(Data!$AK$2:$AK$1105,1,Data!$M$2:$M$1105,$A$97)&lt;Controls!$B$19,NA(),IFERROR(AVERAGEIFS(Data!$AE$2:$AE$1105,Data!$AK$2:$AK$1105,1,Data!$M$2:$M$1105,$A$97),NA())))</f>
        <v/>
      </c>
      <c r="N97" s="67">
        <f>IF($A$97="",NA(),IF(COUNTIFS(Data!$AK$2:$AK$1105,1,Data!$M$2:$M$1105,$A$97)&lt;Controls!$B$19,NA(),IFERROR(AVERAGEIFS(Data!$AD$2:$AD$1105,Data!$AK$2:$AK$1105,1,Data!$M$2:$M$1105,$A$97),NA())))</f>
        <v/>
      </c>
      <c r="O97" s="67">
        <f>IF($A$97="",NA(),IF(COUNTIFS(Data!$AK$2:$AK$1105,1,Data!$M$2:$M$1105,$A$97)&lt;Controls!$B$19,NA(),IFERROR(AVERAGEIFS(Data!$AS$2:$AS$1105,Data!$AK$2:$AK$1105,1,Data!$M$2:$M$1105,$A$97),NA())))</f>
        <v/>
      </c>
      <c r="P97" s="67">
        <f>IF($A$97="",NA(),IF(COUNTIFS(Data!$AK$2:$AK$1105,1,Data!$M$2:$M$1105,$A$97)&lt;Controls!$B$19,NA(),IFERROR(AVERAGEIFS(Data!$AT$2:$AT$1105,Data!$AK$2:$AK$1105,1,Data!$M$2:$M$1105,$A$97),NA())))</f>
        <v/>
      </c>
      <c r="Q97" s="62">
        <f>IF($A$97="",NA(),IF(COUNTIFS(Data!$AK$2:$AK$1105,1,Data!$M$2:$M$1105,$A$97)&lt;Controls!$B$19,NA(),IFERROR(COUNTIFS(Data!$AK$2:$AK$1105,1,Data!$M$2:$M$1105,$A$97,Data!$N$2:$N$1105,"Renewal")/COUNTIFS(Data!$AK$2:$AK$1105,1,Data!$M$2:$M$1105,$A$97),NA())))</f>
        <v/>
      </c>
      <c r="R97" s="62">
        <f>IF($A$97="",NA(),IF(COUNTIFS(Data!$AK$2:$AK$1105,1,Data!$M$2:$M$1105,$A$97)&lt;Controls!$B$19,NA(),IFERROR(SUMIFS(Data!$P$2:$P$1105,Data!$AK$2:$AK$1105,1,Data!$M$2:$M$1105,$A$97,Data!$N$2:$N$1105,"Renewal")/SUMIFS(Data!$P$2:$P$1105,Data!$AK$2:$AK$1105,1,Data!$M$2:$M$1105,$A$97),NA())))</f>
        <v/>
      </c>
      <c r="S97" s="62">
        <f>IF($A$97="",NA(),Calc!$BT$2)</f>
        <v/>
      </c>
      <c r="T97" s="62">
        <f>IF($A$97="",NA(),Calc!$BT$3)</f>
        <v/>
      </c>
      <c r="U97" s="62">
        <f>IF($A$97="",NA(),Calc!$BT$4)</f>
        <v/>
      </c>
      <c r="V97" s="62">
        <f>IF($A$97="",NA(),IF(COUNTIFS(Data!$AK$2:$AK$1105,1,Data!$M$2:$M$1105,$A$97)&lt;Controls!$B$19,NA(),IFERROR(COUNTIFS(Data!$AK$2:$AK$1105,1,Data!$M$2:$M$1105,$A$97,Data!$AH$2:$AH$1105,1)/COUNTIFS(Data!$AK$2:$AK$1105,1,Data!$M$2:$M$1105,$A$97),NA())))</f>
        <v/>
      </c>
      <c r="W97" s="61">
        <f>IF($A$97="","",$A$97&amp;" ("&amp;$J$97&amp;")")</f>
        <v/>
      </c>
      <c r="X97" s="61" t="n"/>
      <c r="Y97" s="61" t="n"/>
      <c r="Z97" s="61" t="n"/>
      <c r="AA97" s="61" t="n"/>
      <c r="AB97" s="61" t="n"/>
      <c r="AC97" s="61" t="n"/>
      <c r="AD97" s="61" t="n"/>
      <c r="AE97" s="61" t="n"/>
      <c r="AF97" s="61" t="n"/>
      <c r="AG97" s="61" t="n"/>
      <c r="AH97" s="61" t="n"/>
      <c r="AI97" s="61" t="n"/>
      <c r="AJ97" s="61" t="n"/>
      <c r="AK97" s="61" t="n"/>
      <c r="AL97" s="61" t="n"/>
      <c r="AM97" s="61" t="n"/>
      <c r="AN97" s="61">
        <f>Controls!$D$56</f>
        <v/>
      </c>
      <c r="AO97" s="61">
        <f>COUNTIFS(Data!$AK$2:$AK$1105,1,Data!$L$2:$L$1105,$AN$97)</f>
        <v/>
      </c>
      <c r="AP97" s="57">
        <f>SUMIFS(Data!$P$2:$P$1105,Data!$AK$2:$AK$1105,1,Data!$L$2:$L$1105,$AN$97)</f>
        <v/>
      </c>
      <c r="AQ97" s="56">
        <f>IFERROR(SUMIFS(Data!$AN$2:$AN$1105,Data!$AK$2:$AK$1105,1,Data!$L$2:$L$1105,$AN$97)/$AP$97,0)</f>
        <v/>
      </c>
      <c r="AR97" s="57">
        <f>SUMIFS(Data!$AN$2:$AN$1105,Data!$AK$2:$AK$1105,1,Data!$L$2:$L$1105,$AN$97)</f>
        <v/>
      </c>
      <c r="AS97" s="61">
        <f>Controls!$E$56</f>
        <v/>
      </c>
      <c r="AT97" s="61">
        <f>IF(OR(AO97=0,AO97&lt;Controls!$B$20),-1000000000000000,IF(AND(Controls!$B$21="Y",$AN$97="No state"),-1000000000000000,IF(Controls!$B$17="Selected only",IF(AS97="Y",AP97,-1000000000000000),IF(Controls!$B$17="Top by funded $",AP97,IF(Controls!$B$17="Top by funded units",AO97,IF(Controls!$B$17="Largest principal lost $",AR97,IF(Controls!$B$17="Highest net profit $",AU97,IF(AO97&lt;Controls!$B$19,-1000000000000000,IF(Controls!$B$17="Highest principal lost rate %",AQ97,IF(Controls!$B$17="Lowest principal lost rate %",1-AQ97,AP97))))))))) +17/1000000)</f>
        <v/>
      </c>
      <c r="AU97" s="57">
        <f>SUMIFS(Data!$AM$2:$AM$1105,Data!$AK$2:$AK$1105,1,Data!$L$2:$L$1105,$AN$97)</f>
        <v/>
      </c>
      <c r="AV97" s="61" t="n"/>
      <c r="AW97" s="61" t="n"/>
      <c r="AX97" s="61" t="n"/>
      <c r="AY97" s="61" t="n"/>
      <c r="AZ97" s="61" t="n"/>
      <c r="BA97" s="61" t="n"/>
      <c r="BB97" s="61">
        <f>Controls!$G$62</f>
        <v/>
      </c>
      <c r="BC97" s="61">
        <f>COUNTIFS(Data!$AK$2:$AK$1105,1,Data!$M$2:$M$1105,$BB$97)</f>
        <v/>
      </c>
      <c r="BD97" s="57">
        <f>SUMIFS(Data!$P$2:$P$1105,Data!$AK$2:$AK$1105,1,Data!$M$2:$M$1105,$BB$97)</f>
        <v/>
      </c>
      <c r="BE97" s="56">
        <f>IF(COUNTIFS(Data!$AK$2:$AK$1105,1,Data!$M$2:$M$1105,$BB$97)&lt;Controls!$B$19,"",IFERROR(SUMIFS(Data!$AN$2:$AN$1105,Data!$AK$2:$AK$1105,1,Data!$M$2:$M$1105,$BB$97)/$BD$97,""))</f>
        <v/>
      </c>
      <c r="BF97" s="56">
        <f>IF(COUNTIFS(Data!$AK$2:$AK$1105,1,Data!$M$2:$M$1105,$BB$97)&lt;Controls!$B$19,"",IFERROR(SUMIFS(Data!$AM$2:$AM$1105,Data!$AK$2:$AK$1105,1,Data!$M$2:$M$1105,$BB$97)/SUMIFS(Data!$P$2:$P$1105,Data!$AK$2:$AK$1105,1,Data!$M$2:$M$1105,$BB$97),""))</f>
        <v/>
      </c>
      <c r="BG97" s="57">
        <f>SUMIFS(Data!$AN$2:$AN$1105,Data!$AK$2:$AK$1105,1,Data!$M$2:$M$1105,$BB$97)</f>
        <v/>
      </c>
      <c r="BH97" s="61" t="n"/>
      <c r="BI97" s="61">
        <f>IF(AND($BC$97&gt;=Controls!$B$22,$BD$97&gt;=LARGE($BD$75:$BD$230,MIN(Controls!$B$18,COUNT($BD$75:$BD$230)))),$BE$97,"")</f>
        <v/>
      </c>
      <c r="BJ97" s="61" t="n"/>
      <c r="BK97" s="61">
        <f>IF($BC$97&lt;Controls!$B$22,"",$BE$97)</f>
        <v/>
      </c>
      <c r="BL97" s="61">
        <f>IF($BC$97&lt;Controls!$B$22,"",$BF$97)</f>
        <v/>
      </c>
      <c r="BM97" s="61">
        <f>IF($BC$97&lt;Controls!$B$22,"",$BG$97)</f>
        <v/>
      </c>
      <c r="BN97" s="61" t="n"/>
      <c r="BO97" s="61" t="n"/>
      <c r="BP97" s="61" t="n"/>
      <c r="BQ97" s="61" t="n"/>
      <c r="BR97" s="61" t="n"/>
      <c r="BS97" s="61" t="n"/>
      <c r="BT97" s="61" t="n"/>
    </row>
    <row r="98" ht="15.75" customHeight="1" s="79">
      <c r="A98" s="61">
        <f t="array" ref="A98">IFERROR(IF(26&gt;Controls!$B$18,"",IF(LARGE(Calc!$AT$143:$AT$298,26)&lt;-100000000000000,"",INDEX(Calc!$AN$143:$AN$298,MATCH(LARGE(Calc!$AT$143:$AT$298,26),Calc!$AT$143:$AT$298,0)))),"")</f>
        <v/>
      </c>
      <c r="B98" s="66">
        <f>IF($A$98="",NA(),IFERROR(SUMIFS(Data!$P$2:$P$1105,Data!$AK$2:$AK$1105,1,Data!$M$2:$M$1105,$A$98),NA()))</f>
        <v/>
      </c>
      <c r="C98" s="66">
        <f>IF($A$98="",NA(),IFERROR(SUMIFS(Data!$S$2:$S$1105,Data!$AK$2:$AK$1105,1,Data!$M$2:$M$1105,$A$98),NA()))</f>
        <v/>
      </c>
      <c r="D98" s="66">
        <f>IF(ISNA($B$98),NA(),$C$98-$B$98)</f>
        <v/>
      </c>
      <c r="E98" s="66">
        <f>IF($A$98="",NA(),IFERROR(SUMIFS(Data!$Q$2:$Q$1105,Data!$AK$2:$AK$1105,1,Data!$M$2:$M$1105,$A$98),NA()))</f>
        <v/>
      </c>
      <c r="F98" s="66">
        <f>IF($A$98="",NA(),IFERROR(SUMIFS(Data!$AN$2:$AN$1105,Data!$AK$2:$AK$1105,1,Data!$M$2:$M$1105,$A$98),NA()))</f>
        <v/>
      </c>
      <c r="G98" s="62">
        <f>IF($A$98="",NA(),IF(COUNTIFS(Data!$AK$2:$AK$1105,1,Data!$M$2:$M$1105,$A$98)&lt;Controls!$B$19,NA(),IFERROR(SUMIFS(Data!$AN$2:$AN$1105,Data!$AK$2:$AK$1105,1,Data!$M$2:$M$1105,$A$98)/$B$98,NA())))</f>
        <v/>
      </c>
      <c r="H98" s="62">
        <f>IF($A$98="",NA(),IF(COUNTIFS(Data!$AK$2:$AK$1105,1,Data!$M$2:$M$1105,$A$98)&lt;Controls!$B$19,NA(),IFERROR(SUMIFS(Data!$S$2:$S$1105,Data!$AK$2:$AK$1105,1,Data!$M$2:$M$1105,$A$98,Data!$AH$2:$AH$1105,1)/SUMIFS(Data!$P$2:$P$1105,Data!$AK$2:$AK$1105,1,Data!$M$2:$M$1105,$A$98,Data!$AH$2:$AH$1105,1),NA())))</f>
        <v/>
      </c>
      <c r="I98" s="62">
        <f>IF(ISNA($J$98),NA(),IF($J$98&lt;Controls!$B$19,NA(),IFERROR($D$98/$B$98,NA())))</f>
        <v/>
      </c>
      <c r="J98" s="67">
        <f>IF($A$98="",NA(),IFERROR(COUNTIFS(Data!$AK$2:$AK$1105,1,Data!$M$2:$M$1105,$A$98),NA()))</f>
        <v/>
      </c>
      <c r="K98" s="62">
        <f>IF(ISNA($B$98),NA(),IFERROR($B$98/Calc!$BT$6,NA()))</f>
        <v/>
      </c>
      <c r="L98" s="66">
        <f>IF(ISNA($J$98),NA(),IF($J$98&lt;Controls!$B$19,NA(),IFERROR($B$98/$J$98,NA())))</f>
        <v/>
      </c>
      <c r="M98" s="67">
        <f>IF($A$98="",NA(),IF(COUNTIFS(Data!$AK$2:$AK$1105,1,Data!$M$2:$M$1105,$A$98)&lt;Controls!$B$19,NA(),IFERROR(AVERAGEIFS(Data!$AE$2:$AE$1105,Data!$AK$2:$AK$1105,1,Data!$M$2:$M$1105,$A$98),NA())))</f>
        <v/>
      </c>
      <c r="N98" s="67">
        <f>IF($A$98="",NA(),IF(COUNTIFS(Data!$AK$2:$AK$1105,1,Data!$M$2:$M$1105,$A$98)&lt;Controls!$B$19,NA(),IFERROR(AVERAGEIFS(Data!$AD$2:$AD$1105,Data!$AK$2:$AK$1105,1,Data!$M$2:$M$1105,$A$98),NA())))</f>
        <v/>
      </c>
      <c r="O98" s="67">
        <f>IF($A$98="",NA(),IF(COUNTIFS(Data!$AK$2:$AK$1105,1,Data!$M$2:$M$1105,$A$98)&lt;Controls!$B$19,NA(),IFERROR(AVERAGEIFS(Data!$AS$2:$AS$1105,Data!$AK$2:$AK$1105,1,Data!$M$2:$M$1105,$A$98),NA())))</f>
        <v/>
      </c>
      <c r="P98" s="67">
        <f>IF($A$98="",NA(),IF(COUNTIFS(Data!$AK$2:$AK$1105,1,Data!$M$2:$M$1105,$A$98)&lt;Controls!$B$19,NA(),IFERROR(AVERAGEIFS(Data!$AT$2:$AT$1105,Data!$AK$2:$AK$1105,1,Data!$M$2:$M$1105,$A$98),NA())))</f>
        <v/>
      </c>
      <c r="Q98" s="62">
        <f>IF($A$98="",NA(),IF(COUNTIFS(Data!$AK$2:$AK$1105,1,Data!$M$2:$M$1105,$A$98)&lt;Controls!$B$19,NA(),IFERROR(COUNTIFS(Data!$AK$2:$AK$1105,1,Data!$M$2:$M$1105,$A$98,Data!$N$2:$N$1105,"Renewal")/COUNTIFS(Data!$AK$2:$AK$1105,1,Data!$M$2:$M$1105,$A$98),NA())))</f>
        <v/>
      </c>
      <c r="R98" s="62">
        <f>IF($A$98="",NA(),IF(COUNTIFS(Data!$AK$2:$AK$1105,1,Data!$M$2:$M$1105,$A$98)&lt;Controls!$B$19,NA(),IFERROR(SUMIFS(Data!$P$2:$P$1105,Data!$AK$2:$AK$1105,1,Data!$M$2:$M$1105,$A$98,Data!$N$2:$N$1105,"Renewal")/SUMIFS(Data!$P$2:$P$1105,Data!$AK$2:$AK$1105,1,Data!$M$2:$M$1105,$A$98),NA())))</f>
        <v/>
      </c>
      <c r="S98" s="62">
        <f>IF($A$98="",NA(),Calc!$BT$2)</f>
        <v/>
      </c>
      <c r="T98" s="62">
        <f>IF($A$98="",NA(),Calc!$BT$3)</f>
        <v/>
      </c>
      <c r="U98" s="62">
        <f>IF($A$98="",NA(),Calc!$BT$4)</f>
        <v/>
      </c>
      <c r="V98" s="62">
        <f>IF($A$98="",NA(),IF(COUNTIFS(Data!$AK$2:$AK$1105,1,Data!$M$2:$M$1105,$A$98)&lt;Controls!$B$19,NA(),IFERROR(COUNTIFS(Data!$AK$2:$AK$1105,1,Data!$M$2:$M$1105,$A$98,Data!$AH$2:$AH$1105,1)/COUNTIFS(Data!$AK$2:$AK$1105,1,Data!$M$2:$M$1105,$A$98),NA())))</f>
        <v/>
      </c>
      <c r="W98" s="61">
        <f>IF($A$98="","",$A$98&amp;" ("&amp;$J$98&amp;")")</f>
        <v/>
      </c>
      <c r="X98" s="61" t="n"/>
      <c r="Y98" s="61" t="n"/>
      <c r="Z98" s="61" t="n"/>
      <c r="AA98" s="61" t="n"/>
      <c r="AB98" s="61" t="n"/>
      <c r="AC98" s="61" t="n"/>
      <c r="AD98" s="61" t="n"/>
      <c r="AE98" s="61" t="n"/>
      <c r="AF98" s="61" t="n"/>
      <c r="AG98" s="61" t="n"/>
      <c r="AH98" s="61" t="n"/>
      <c r="AI98" s="61" t="n"/>
      <c r="AJ98" s="61" t="n"/>
      <c r="AK98" s="61" t="n"/>
      <c r="AL98" s="61" t="n"/>
      <c r="AM98" s="61" t="n"/>
      <c r="AN98" s="61">
        <f>Controls!$D$57</f>
        <v/>
      </c>
      <c r="AO98" s="61">
        <f>COUNTIFS(Data!$AK$2:$AK$1105,1,Data!$L$2:$L$1105,$AN$98)</f>
        <v/>
      </c>
      <c r="AP98" s="57">
        <f>SUMIFS(Data!$P$2:$P$1105,Data!$AK$2:$AK$1105,1,Data!$L$2:$L$1105,$AN$98)</f>
        <v/>
      </c>
      <c r="AQ98" s="56">
        <f>IFERROR(SUMIFS(Data!$AN$2:$AN$1105,Data!$AK$2:$AK$1105,1,Data!$L$2:$L$1105,$AN$98)/$AP$98,0)</f>
        <v/>
      </c>
      <c r="AR98" s="57">
        <f>SUMIFS(Data!$AN$2:$AN$1105,Data!$AK$2:$AK$1105,1,Data!$L$2:$L$1105,$AN$98)</f>
        <v/>
      </c>
      <c r="AS98" s="61">
        <f>Controls!$E$57</f>
        <v/>
      </c>
      <c r="AT98" s="57">
        <f>IF(OR(AO98=0,AO98&lt;Controls!$B$20),-1000000000000000,IF(AND(Controls!$B$21="Y",$AN$98="No state"),-1000000000000000,IF(Controls!$B$17="Selected only",IF(AS98="Y",AP98,-1000000000000000),IF(Controls!$B$17="Top by funded $",AP98,IF(Controls!$B$17="Top by funded units",AO98,IF(Controls!$B$17="Largest principal lost $",AR98,IF(Controls!$B$17="Highest net profit $",AU98,IF(AO98&lt;Controls!$B$19,-1000000000000000,IF(Controls!$B$17="Highest principal lost rate %",AQ98,IF(Controls!$B$17="Lowest principal lost rate %",1-AQ98,AP98))))))))) +18/1000000)</f>
        <v/>
      </c>
      <c r="AU98" s="57">
        <f>SUMIFS(Data!$AM$2:$AM$1105,Data!$AK$2:$AK$1105,1,Data!$L$2:$L$1105,$AN$98)</f>
        <v/>
      </c>
      <c r="AV98" s="61" t="n"/>
      <c r="AW98" s="61" t="n"/>
      <c r="AX98" s="61" t="n"/>
      <c r="AY98" s="61" t="n"/>
      <c r="AZ98" s="61" t="n"/>
      <c r="BA98" s="61" t="n"/>
      <c r="BB98" s="61">
        <f>Controls!$G$63</f>
        <v/>
      </c>
      <c r="BC98" s="61">
        <f>COUNTIFS(Data!$AK$2:$AK$1105,1,Data!$M$2:$M$1105,$BB$98)</f>
        <v/>
      </c>
      <c r="BD98" s="57">
        <f>SUMIFS(Data!$P$2:$P$1105,Data!$AK$2:$AK$1105,1,Data!$M$2:$M$1105,$BB$98)</f>
        <v/>
      </c>
      <c r="BE98" s="56">
        <f>IF(COUNTIFS(Data!$AK$2:$AK$1105,1,Data!$M$2:$M$1105,$BB$98)&lt;Controls!$B$19,"",IFERROR(SUMIFS(Data!$AN$2:$AN$1105,Data!$AK$2:$AK$1105,1,Data!$M$2:$M$1105,$BB$98)/$BD$98,""))</f>
        <v/>
      </c>
      <c r="BF98" s="56">
        <f>IF(COUNTIFS(Data!$AK$2:$AK$1105,1,Data!$M$2:$M$1105,$BB$98)&lt;Controls!$B$19,"",IFERROR(SUMIFS(Data!$AM$2:$AM$1105,Data!$AK$2:$AK$1105,1,Data!$M$2:$M$1105,$BB$98)/SUMIFS(Data!$P$2:$P$1105,Data!$AK$2:$AK$1105,1,Data!$M$2:$M$1105,$BB$98),""))</f>
        <v/>
      </c>
      <c r="BG98" s="57">
        <f>SUMIFS(Data!$AN$2:$AN$1105,Data!$AK$2:$AK$1105,1,Data!$M$2:$M$1105,$BB$98)</f>
        <v/>
      </c>
      <c r="BH98" s="61" t="n"/>
      <c r="BI98" s="61">
        <f>IF(AND($BC$98&gt;=Controls!$B$22,$BD$98&gt;=LARGE($BD$75:$BD$230,MIN(Controls!$B$18,COUNT($BD$75:$BD$230)))),$BE$98,"")</f>
        <v/>
      </c>
      <c r="BJ98" s="61" t="n"/>
      <c r="BK98" s="61">
        <f>IF($BC$98&lt;Controls!$B$22,"",$BE$98)</f>
        <v/>
      </c>
      <c r="BL98" s="61">
        <f>IF($BC$98&lt;Controls!$B$22,"",$BF$98)</f>
        <v/>
      </c>
      <c r="BM98" s="61">
        <f>IF($BC$98&lt;Controls!$B$22,"",$BG$98)</f>
        <v/>
      </c>
      <c r="BN98" s="61" t="n"/>
      <c r="BO98" s="61" t="n"/>
      <c r="BP98" s="61" t="n"/>
      <c r="BQ98" s="61" t="n"/>
      <c r="BR98" s="61" t="n"/>
      <c r="BS98" s="61" t="n"/>
      <c r="BT98" s="61" t="n"/>
    </row>
    <row r="99" ht="15.75" customHeight="1" s="79">
      <c r="A99" s="61">
        <f t="array" ref="A99">IFERROR(IF(27&gt;Controls!$B$18,"",IF(LARGE(Calc!$AT$143:$AT$298,27)&lt;-100000000000000,"",INDEX(Calc!$AN$143:$AN$298,MATCH(LARGE(Calc!$AT$143:$AT$298,27),Calc!$AT$143:$AT$298,0)))),"")</f>
        <v/>
      </c>
      <c r="B99" s="66">
        <f>IF($A$99="",NA(),IFERROR(SUMIFS(Data!$P$2:$P$1105,Data!$AK$2:$AK$1105,1,Data!$M$2:$M$1105,$A$99),NA()))</f>
        <v/>
      </c>
      <c r="C99" s="66">
        <f>IF($A$99="",NA(),IFERROR(SUMIFS(Data!$S$2:$S$1105,Data!$AK$2:$AK$1105,1,Data!$M$2:$M$1105,$A$99),NA()))</f>
        <v/>
      </c>
      <c r="D99" s="66">
        <f>IF(ISNA($B$99),NA(),$C$99-$B$99)</f>
        <v/>
      </c>
      <c r="E99" s="66">
        <f>IF($A$99="",NA(),IFERROR(SUMIFS(Data!$Q$2:$Q$1105,Data!$AK$2:$AK$1105,1,Data!$M$2:$M$1105,$A$99),NA()))</f>
        <v/>
      </c>
      <c r="F99" s="66">
        <f>IF($A$99="",NA(),IFERROR(SUMIFS(Data!$AN$2:$AN$1105,Data!$AK$2:$AK$1105,1,Data!$M$2:$M$1105,$A$99),NA()))</f>
        <v/>
      </c>
      <c r="G99" s="62">
        <f>IF($A$99="",NA(),IF(COUNTIFS(Data!$AK$2:$AK$1105,1,Data!$M$2:$M$1105,$A$99)&lt;Controls!$B$19,NA(),IFERROR(SUMIFS(Data!$AN$2:$AN$1105,Data!$AK$2:$AK$1105,1,Data!$M$2:$M$1105,$A$99)/$B$99,NA())))</f>
        <v/>
      </c>
      <c r="H99" s="62">
        <f>IF($A$99="",NA(),IF(COUNTIFS(Data!$AK$2:$AK$1105,1,Data!$M$2:$M$1105,$A$99)&lt;Controls!$B$19,NA(),IFERROR(SUMIFS(Data!$S$2:$S$1105,Data!$AK$2:$AK$1105,1,Data!$M$2:$M$1105,$A$99,Data!$AH$2:$AH$1105,1)/SUMIFS(Data!$P$2:$P$1105,Data!$AK$2:$AK$1105,1,Data!$M$2:$M$1105,$A$99,Data!$AH$2:$AH$1105,1),NA())))</f>
        <v/>
      </c>
      <c r="I99" s="62">
        <f>IF(ISNA($J$99),NA(),IF($J$99&lt;Controls!$B$19,NA(),IFERROR($D$99/$B$99,NA())))</f>
        <v/>
      </c>
      <c r="J99" s="67">
        <f>IF($A$99="",NA(),IFERROR(COUNTIFS(Data!$AK$2:$AK$1105,1,Data!$M$2:$M$1105,$A$99),NA()))</f>
        <v/>
      </c>
      <c r="K99" s="62">
        <f>IF(ISNA($B$99),NA(),IFERROR($B$99/Calc!$BT$6,NA()))</f>
        <v/>
      </c>
      <c r="L99" s="66">
        <f>IF(ISNA($J$99),NA(),IF($J$99&lt;Controls!$B$19,NA(),IFERROR($B$99/$J$99,NA())))</f>
        <v/>
      </c>
      <c r="M99" s="67">
        <f>IF($A$99="",NA(),IF(COUNTIFS(Data!$AK$2:$AK$1105,1,Data!$M$2:$M$1105,$A$99)&lt;Controls!$B$19,NA(),IFERROR(AVERAGEIFS(Data!$AE$2:$AE$1105,Data!$AK$2:$AK$1105,1,Data!$M$2:$M$1105,$A$99),NA())))</f>
        <v/>
      </c>
      <c r="N99" s="67">
        <f>IF($A$99="",NA(),IF(COUNTIFS(Data!$AK$2:$AK$1105,1,Data!$M$2:$M$1105,$A$99)&lt;Controls!$B$19,NA(),IFERROR(AVERAGEIFS(Data!$AD$2:$AD$1105,Data!$AK$2:$AK$1105,1,Data!$M$2:$M$1105,$A$99),NA())))</f>
        <v/>
      </c>
      <c r="O99" s="67">
        <f>IF($A$99="",NA(),IF(COUNTIFS(Data!$AK$2:$AK$1105,1,Data!$M$2:$M$1105,$A$99)&lt;Controls!$B$19,NA(),IFERROR(AVERAGEIFS(Data!$AS$2:$AS$1105,Data!$AK$2:$AK$1105,1,Data!$M$2:$M$1105,$A$99),NA())))</f>
        <v/>
      </c>
      <c r="P99" s="67">
        <f>IF($A$99="",NA(),IF(COUNTIFS(Data!$AK$2:$AK$1105,1,Data!$M$2:$M$1105,$A$99)&lt;Controls!$B$19,NA(),IFERROR(AVERAGEIFS(Data!$AT$2:$AT$1105,Data!$AK$2:$AK$1105,1,Data!$M$2:$M$1105,$A$99),NA())))</f>
        <v/>
      </c>
      <c r="Q99" s="62">
        <f>IF($A$99="",NA(),IF(COUNTIFS(Data!$AK$2:$AK$1105,1,Data!$M$2:$M$1105,$A$99)&lt;Controls!$B$19,NA(),IFERROR(COUNTIFS(Data!$AK$2:$AK$1105,1,Data!$M$2:$M$1105,$A$99,Data!$N$2:$N$1105,"Renewal")/COUNTIFS(Data!$AK$2:$AK$1105,1,Data!$M$2:$M$1105,$A$99),NA())))</f>
        <v/>
      </c>
      <c r="R99" s="62">
        <f>IF($A$99="",NA(),IF(COUNTIFS(Data!$AK$2:$AK$1105,1,Data!$M$2:$M$1105,$A$99)&lt;Controls!$B$19,NA(),IFERROR(SUMIFS(Data!$P$2:$P$1105,Data!$AK$2:$AK$1105,1,Data!$M$2:$M$1105,$A$99,Data!$N$2:$N$1105,"Renewal")/SUMIFS(Data!$P$2:$P$1105,Data!$AK$2:$AK$1105,1,Data!$M$2:$M$1105,$A$99),NA())))</f>
        <v/>
      </c>
      <c r="S99" s="62">
        <f>IF($A$99="",NA(),Calc!$BT$2)</f>
        <v/>
      </c>
      <c r="T99" s="62">
        <f>IF($A$99="",NA(),Calc!$BT$3)</f>
        <v/>
      </c>
      <c r="U99" s="62">
        <f>IF($A$99="",NA(),Calc!$BT$4)</f>
        <v/>
      </c>
      <c r="V99" s="62">
        <f>IF($A$99="",NA(),IF(COUNTIFS(Data!$AK$2:$AK$1105,1,Data!$M$2:$M$1105,$A$99)&lt;Controls!$B$19,NA(),IFERROR(COUNTIFS(Data!$AK$2:$AK$1105,1,Data!$M$2:$M$1105,$A$99,Data!$AH$2:$AH$1105,1)/COUNTIFS(Data!$AK$2:$AK$1105,1,Data!$M$2:$M$1105,$A$99),NA())))</f>
        <v/>
      </c>
      <c r="W99" s="61">
        <f>IF($A$99="","",$A$99&amp;" ("&amp;$J$99&amp;")")</f>
        <v/>
      </c>
      <c r="X99" s="61" t="n"/>
      <c r="Y99" s="61" t="n"/>
      <c r="Z99" s="61" t="n"/>
      <c r="AA99" s="61" t="n"/>
      <c r="AB99" s="61" t="n"/>
      <c r="AC99" s="61" t="n"/>
      <c r="AD99" s="61" t="n"/>
      <c r="AE99" s="61" t="n"/>
      <c r="AF99" s="61" t="n"/>
      <c r="AG99" s="61" t="n"/>
      <c r="AH99" s="61" t="n"/>
      <c r="AI99" s="61" t="n"/>
      <c r="AJ99" s="61" t="n"/>
      <c r="AK99" s="61" t="n"/>
      <c r="AL99" s="61" t="n"/>
      <c r="AM99" s="61" t="n"/>
      <c r="AN99" s="61">
        <f>Controls!$D$58</f>
        <v/>
      </c>
      <c r="AO99" s="61">
        <f>COUNTIFS(Data!$AK$2:$AK$1105,1,Data!$L$2:$L$1105,$AN$99)</f>
        <v/>
      </c>
      <c r="AP99" s="57">
        <f>SUMIFS(Data!$P$2:$P$1105,Data!$AK$2:$AK$1105,1,Data!$L$2:$L$1105,$AN$99)</f>
        <v/>
      </c>
      <c r="AQ99" s="56">
        <f>IFERROR(SUMIFS(Data!$AN$2:$AN$1105,Data!$AK$2:$AK$1105,1,Data!$L$2:$L$1105,$AN$99)/$AP$99,0)</f>
        <v/>
      </c>
      <c r="AR99" s="57">
        <f>SUMIFS(Data!$AN$2:$AN$1105,Data!$AK$2:$AK$1105,1,Data!$L$2:$L$1105,$AN$99)</f>
        <v/>
      </c>
      <c r="AS99" s="61">
        <f>Controls!$E$58</f>
        <v/>
      </c>
      <c r="AT99" s="61">
        <f>IF(OR(AO99=0,AO99&lt;Controls!$B$20),-1000000000000000,IF(AND(Controls!$B$21="Y",$AN$99="No state"),-1000000000000000,IF(Controls!$B$17="Selected only",IF(AS99="Y",AP99,-1000000000000000),IF(Controls!$B$17="Top by funded $",AP99,IF(Controls!$B$17="Top by funded units",AO99,IF(Controls!$B$17="Largest principal lost $",AR99,IF(Controls!$B$17="Highest net profit $",AU99,IF(AO99&lt;Controls!$B$19,-1000000000000000,IF(Controls!$B$17="Highest principal lost rate %",AQ99,IF(Controls!$B$17="Lowest principal lost rate %",1-AQ99,AP99))))))))) +19/1000000)</f>
        <v/>
      </c>
      <c r="AU99" s="57">
        <f>SUMIFS(Data!$AM$2:$AM$1105,Data!$AK$2:$AK$1105,1,Data!$L$2:$L$1105,$AN$99)</f>
        <v/>
      </c>
      <c r="AV99" s="61" t="n"/>
      <c r="AW99" s="61" t="n"/>
      <c r="AX99" s="61" t="n"/>
      <c r="AY99" s="61" t="n"/>
      <c r="AZ99" s="61" t="n"/>
      <c r="BA99" s="61" t="n"/>
      <c r="BB99" s="61">
        <f>Controls!$G$64</f>
        <v/>
      </c>
      <c r="BC99" s="61">
        <f>COUNTIFS(Data!$AK$2:$AK$1105,1,Data!$M$2:$M$1105,$BB$99)</f>
        <v/>
      </c>
      <c r="BD99" s="57">
        <f>SUMIFS(Data!$P$2:$P$1105,Data!$AK$2:$AK$1105,1,Data!$M$2:$M$1105,$BB$99)</f>
        <v/>
      </c>
      <c r="BE99" s="56">
        <f>IF(COUNTIFS(Data!$AK$2:$AK$1105,1,Data!$M$2:$M$1105,$BB$99)&lt;Controls!$B$19,"",IFERROR(SUMIFS(Data!$AN$2:$AN$1105,Data!$AK$2:$AK$1105,1,Data!$M$2:$M$1105,$BB$99)/$BD$99,""))</f>
        <v/>
      </c>
      <c r="BF99" s="56">
        <f>IF(COUNTIFS(Data!$AK$2:$AK$1105,1,Data!$M$2:$M$1105,$BB$99)&lt;Controls!$B$19,"",IFERROR(SUMIFS(Data!$AM$2:$AM$1105,Data!$AK$2:$AK$1105,1,Data!$M$2:$M$1105,$BB$99)/SUMIFS(Data!$P$2:$P$1105,Data!$AK$2:$AK$1105,1,Data!$M$2:$M$1105,$BB$99),""))</f>
        <v/>
      </c>
      <c r="BG99" s="57">
        <f>SUMIFS(Data!$AN$2:$AN$1105,Data!$AK$2:$AK$1105,1,Data!$M$2:$M$1105,$BB$99)</f>
        <v/>
      </c>
      <c r="BH99" s="61" t="n"/>
      <c r="BI99" s="61">
        <f>IF(AND($BC$99&gt;=Controls!$B$22,$BD$99&gt;=LARGE($BD$75:$BD$230,MIN(Controls!$B$18,COUNT($BD$75:$BD$230)))),$BE$99,"")</f>
        <v/>
      </c>
      <c r="BJ99" s="61" t="n"/>
      <c r="BK99" s="61">
        <f>IF($BC$99&lt;Controls!$B$22,"",$BE$99)</f>
        <v/>
      </c>
      <c r="BL99" s="61">
        <f>IF($BC$99&lt;Controls!$B$22,"",$BF$99)</f>
        <v/>
      </c>
      <c r="BM99" s="61">
        <f>IF($BC$99&lt;Controls!$B$22,"",$BG$99)</f>
        <v/>
      </c>
      <c r="BN99" s="61" t="n"/>
      <c r="BO99" s="61" t="n"/>
      <c r="BP99" s="61" t="n"/>
      <c r="BQ99" s="61" t="n"/>
      <c r="BR99" s="61" t="n"/>
      <c r="BS99" s="61" t="n"/>
      <c r="BT99" s="61" t="n"/>
    </row>
    <row r="100" ht="15.75" customHeight="1" s="79">
      <c r="A100" s="61">
        <f t="array" ref="A100">IFERROR(IF(28&gt;Controls!$B$18,"",IF(LARGE(Calc!$AT$143:$AT$298,28)&lt;-100000000000000,"",INDEX(Calc!$AN$143:$AN$298,MATCH(LARGE(Calc!$AT$143:$AT$298,28),Calc!$AT$143:$AT$298,0)))),"")</f>
        <v/>
      </c>
      <c r="B100" s="66">
        <f>IF($A$100="",NA(),IFERROR(SUMIFS(Data!$P$2:$P$1105,Data!$AK$2:$AK$1105,1,Data!$M$2:$M$1105,$A$100),NA()))</f>
        <v/>
      </c>
      <c r="C100" s="66">
        <f>IF($A$100="",NA(),IFERROR(SUMIFS(Data!$S$2:$S$1105,Data!$AK$2:$AK$1105,1,Data!$M$2:$M$1105,$A$100),NA()))</f>
        <v/>
      </c>
      <c r="D100" s="66">
        <f>IF(ISNA($B$100),NA(),$C$100-$B$100)</f>
        <v/>
      </c>
      <c r="E100" s="66">
        <f>IF($A$100="",NA(),IFERROR(SUMIFS(Data!$Q$2:$Q$1105,Data!$AK$2:$AK$1105,1,Data!$M$2:$M$1105,$A$100),NA()))</f>
        <v/>
      </c>
      <c r="F100" s="66">
        <f>IF($A$100="",NA(),IFERROR(SUMIFS(Data!$AN$2:$AN$1105,Data!$AK$2:$AK$1105,1,Data!$M$2:$M$1105,$A$100),NA()))</f>
        <v/>
      </c>
      <c r="G100" s="62">
        <f>IF($A$100="",NA(),IF(COUNTIFS(Data!$AK$2:$AK$1105,1,Data!$M$2:$M$1105,$A$100)&lt;Controls!$B$19,NA(),IFERROR(SUMIFS(Data!$AN$2:$AN$1105,Data!$AK$2:$AK$1105,1,Data!$M$2:$M$1105,$A$100)/$B$100,NA())))</f>
        <v/>
      </c>
      <c r="H100" s="62">
        <f>IF($A$100="",NA(),IF(COUNTIFS(Data!$AK$2:$AK$1105,1,Data!$M$2:$M$1105,$A$100)&lt;Controls!$B$19,NA(),IFERROR(SUMIFS(Data!$S$2:$S$1105,Data!$AK$2:$AK$1105,1,Data!$M$2:$M$1105,$A$100,Data!$AH$2:$AH$1105,1)/SUMIFS(Data!$P$2:$P$1105,Data!$AK$2:$AK$1105,1,Data!$M$2:$M$1105,$A$100,Data!$AH$2:$AH$1105,1),NA())))</f>
        <v/>
      </c>
      <c r="I100" s="62">
        <f>IF(ISNA($J$100),NA(),IF($J$100&lt;Controls!$B$19,NA(),IFERROR($D$100/$B$100,NA())))</f>
        <v/>
      </c>
      <c r="J100" s="67">
        <f>IF($A$100="",NA(),IFERROR(COUNTIFS(Data!$AK$2:$AK$1105,1,Data!$M$2:$M$1105,$A$100),NA()))</f>
        <v/>
      </c>
      <c r="K100" s="62">
        <f>IF(ISNA($B$100),NA(),IFERROR($B$100/Calc!$BT$6,NA()))</f>
        <v/>
      </c>
      <c r="L100" s="66">
        <f>IF(ISNA($J$100),NA(),IF($J$100&lt;Controls!$B$19,NA(),IFERROR($B$100/$J$100,NA())))</f>
        <v/>
      </c>
      <c r="M100" s="67">
        <f>IF($A$100="",NA(),IF(COUNTIFS(Data!$AK$2:$AK$1105,1,Data!$M$2:$M$1105,$A$100)&lt;Controls!$B$19,NA(),IFERROR(AVERAGEIFS(Data!$AE$2:$AE$1105,Data!$AK$2:$AK$1105,1,Data!$M$2:$M$1105,$A$100),NA())))</f>
        <v/>
      </c>
      <c r="N100" s="67">
        <f>IF($A$100="",NA(),IF(COUNTIFS(Data!$AK$2:$AK$1105,1,Data!$M$2:$M$1105,$A$100)&lt;Controls!$B$19,NA(),IFERROR(AVERAGEIFS(Data!$AD$2:$AD$1105,Data!$AK$2:$AK$1105,1,Data!$M$2:$M$1105,$A$100),NA())))</f>
        <v/>
      </c>
      <c r="O100" s="67">
        <f>IF($A$100="",NA(),IF(COUNTIFS(Data!$AK$2:$AK$1105,1,Data!$M$2:$M$1105,$A$100)&lt;Controls!$B$19,NA(),IFERROR(AVERAGEIFS(Data!$AS$2:$AS$1105,Data!$AK$2:$AK$1105,1,Data!$M$2:$M$1105,$A$100),NA())))</f>
        <v/>
      </c>
      <c r="P100" s="67">
        <f>IF($A$100="",NA(),IF(COUNTIFS(Data!$AK$2:$AK$1105,1,Data!$M$2:$M$1105,$A$100)&lt;Controls!$B$19,NA(),IFERROR(AVERAGEIFS(Data!$AT$2:$AT$1105,Data!$AK$2:$AK$1105,1,Data!$M$2:$M$1105,$A$100),NA())))</f>
        <v/>
      </c>
      <c r="Q100" s="62">
        <f>IF($A$100="",NA(),IF(COUNTIFS(Data!$AK$2:$AK$1105,1,Data!$M$2:$M$1105,$A$100)&lt;Controls!$B$19,NA(),IFERROR(COUNTIFS(Data!$AK$2:$AK$1105,1,Data!$M$2:$M$1105,$A$100,Data!$N$2:$N$1105,"Renewal")/COUNTIFS(Data!$AK$2:$AK$1105,1,Data!$M$2:$M$1105,$A$100),NA())))</f>
        <v/>
      </c>
      <c r="R100" s="62">
        <f>IF($A$100="",NA(),IF(COUNTIFS(Data!$AK$2:$AK$1105,1,Data!$M$2:$M$1105,$A$100)&lt;Controls!$B$19,NA(),IFERROR(SUMIFS(Data!$P$2:$P$1105,Data!$AK$2:$AK$1105,1,Data!$M$2:$M$1105,$A$100,Data!$N$2:$N$1105,"Renewal")/SUMIFS(Data!$P$2:$P$1105,Data!$AK$2:$AK$1105,1,Data!$M$2:$M$1105,$A$100),NA())))</f>
        <v/>
      </c>
      <c r="S100" s="62">
        <f>IF($A$100="",NA(),Calc!$BT$2)</f>
        <v/>
      </c>
      <c r="T100" s="62">
        <f>IF($A$100="",NA(),Calc!$BT$3)</f>
        <v/>
      </c>
      <c r="U100" s="62">
        <f>IF($A$100="",NA(),Calc!$BT$4)</f>
        <v/>
      </c>
      <c r="V100" s="62">
        <f>IF($A$100="",NA(),IF(COUNTIFS(Data!$AK$2:$AK$1105,1,Data!$M$2:$M$1105,$A$100)&lt;Controls!$B$19,NA(),IFERROR(COUNTIFS(Data!$AK$2:$AK$1105,1,Data!$M$2:$M$1105,$A$100,Data!$AH$2:$AH$1105,1)/COUNTIFS(Data!$AK$2:$AK$1105,1,Data!$M$2:$M$1105,$A$100),NA())))</f>
        <v/>
      </c>
      <c r="W100" s="61">
        <f>IF($A$100="","",$A$100&amp;" ("&amp;$J$100&amp;")")</f>
        <v/>
      </c>
      <c r="X100" s="61" t="n"/>
      <c r="Y100" s="61" t="n"/>
      <c r="Z100" s="61" t="n"/>
      <c r="AA100" s="61" t="n"/>
      <c r="AB100" s="61" t="n"/>
      <c r="AC100" s="61" t="n"/>
      <c r="AD100" s="61" t="n"/>
      <c r="AE100" s="61" t="n"/>
      <c r="AF100" s="61" t="n"/>
      <c r="AG100" s="61" t="n"/>
      <c r="AH100" s="61" t="n"/>
      <c r="AI100" s="61" t="n"/>
      <c r="AJ100" s="61" t="n"/>
      <c r="AK100" s="61" t="n"/>
      <c r="AL100" s="61" t="n"/>
      <c r="AM100" s="61" t="n"/>
      <c r="AN100" s="61">
        <f>Controls!$D$59</f>
        <v/>
      </c>
      <c r="AO100" s="61">
        <f>COUNTIFS(Data!$AK$2:$AK$1105,1,Data!$L$2:$L$1105,$AN$100)</f>
        <v/>
      </c>
      <c r="AP100" s="57">
        <f>SUMIFS(Data!$P$2:$P$1105,Data!$AK$2:$AK$1105,1,Data!$L$2:$L$1105,$AN$100)</f>
        <v/>
      </c>
      <c r="AQ100" s="56">
        <f>IFERROR(SUMIFS(Data!$AN$2:$AN$1105,Data!$AK$2:$AK$1105,1,Data!$L$2:$L$1105,$AN$100)/$AP$100,0)</f>
        <v/>
      </c>
      <c r="AR100" s="57">
        <f>SUMIFS(Data!$AN$2:$AN$1105,Data!$AK$2:$AK$1105,1,Data!$L$2:$L$1105,$AN$100)</f>
        <v/>
      </c>
      <c r="AS100" s="61">
        <f>Controls!$E$59</f>
        <v/>
      </c>
      <c r="AT100" s="61">
        <f>IF(OR(AO100=0,AO100&lt;Controls!$B$20),-1000000000000000,IF(AND(Controls!$B$21="Y",$AN$100="No state"),-1000000000000000,IF(Controls!$B$17="Selected only",IF(AS100="Y",AP100,-1000000000000000),IF(Controls!$B$17="Top by funded $",AP100,IF(Controls!$B$17="Top by funded units",AO100,IF(Controls!$B$17="Largest principal lost $",AR100,IF(Controls!$B$17="Highest net profit $",AU100,IF(AO100&lt;Controls!$B$19,-1000000000000000,IF(Controls!$B$17="Highest principal lost rate %",AQ100,IF(Controls!$B$17="Lowest principal lost rate %",1-AQ100,AP100))))))))) +20/1000000)</f>
        <v/>
      </c>
      <c r="AU100" s="57">
        <f>SUMIFS(Data!$AM$2:$AM$1105,Data!$AK$2:$AK$1105,1,Data!$L$2:$L$1105,$AN$100)</f>
        <v/>
      </c>
      <c r="AV100" s="61" t="n"/>
      <c r="AW100" s="61" t="n"/>
      <c r="AX100" s="61" t="n"/>
      <c r="AY100" s="61" t="n"/>
      <c r="AZ100" s="61" t="n"/>
      <c r="BA100" s="61" t="n"/>
      <c r="BB100" s="61">
        <f>Controls!$G$65</f>
        <v/>
      </c>
      <c r="BC100" s="61">
        <f>COUNTIFS(Data!$AK$2:$AK$1105,1,Data!$M$2:$M$1105,$BB$100)</f>
        <v/>
      </c>
      <c r="BD100" s="57">
        <f>SUMIFS(Data!$P$2:$P$1105,Data!$AK$2:$AK$1105,1,Data!$M$2:$M$1105,$BB$100)</f>
        <v/>
      </c>
      <c r="BE100" s="56">
        <f>IF(COUNTIFS(Data!$AK$2:$AK$1105,1,Data!$M$2:$M$1105,$BB$100)&lt;Controls!$B$19,"",IFERROR(SUMIFS(Data!$AN$2:$AN$1105,Data!$AK$2:$AK$1105,1,Data!$M$2:$M$1105,$BB$100)/$BD$100,""))</f>
        <v/>
      </c>
      <c r="BF100" s="56">
        <f>IF(COUNTIFS(Data!$AK$2:$AK$1105,1,Data!$M$2:$M$1105,$BB$100)&lt;Controls!$B$19,"",IFERROR(SUMIFS(Data!$AM$2:$AM$1105,Data!$AK$2:$AK$1105,1,Data!$M$2:$M$1105,$BB$100)/SUMIFS(Data!$P$2:$P$1105,Data!$AK$2:$AK$1105,1,Data!$M$2:$M$1105,$BB$100),""))</f>
        <v/>
      </c>
      <c r="BG100" s="57">
        <f>SUMIFS(Data!$AN$2:$AN$1105,Data!$AK$2:$AK$1105,1,Data!$M$2:$M$1105,$BB$100)</f>
        <v/>
      </c>
      <c r="BH100" s="61" t="n"/>
      <c r="BI100" s="61">
        <f>IF(AND($BC$100&gt;=Controls!$B$22,$BD$100&gt;=LARGE($BD$75:$BD$230,MIN(Controls!$B$18,COUNT($BD$75:$BD$230)))),$BE$100,"")</f>
        <v/>
      </c>
      <c r="BJ100" s="61" t="n"/>
      <c r="BK100" s="61">
        <f>IF($BC$100&lt;Controls!$B$22,"",$BE$100)</f>
        <v/>
      </c>
      <c r="BL100" s="61">
        <f>IF($BC$100&lt;Controls!$B$22,"",$BF$100)</f>
        <v/>
      </c>
      <c r="BM100" s="61">
        <f>IF($BC$100&lt;Controls!$B$22,"",$BG$100)</f>
        <v/>
      </c>
      <c r="BN100" s="61" t="n"/>
      <c r="BO100" s="61" t="n"/>
      <c r="BP100" s="61" t="n"/>
      <c r="BQ100" s="61" t="n"/>
      <c r="BR100" s="61" t="n"/>
      <c r="BS100" s="61" t="n"/>
      <c r="BT100" s="61" t="n"/>
    </row>
    <row r="101" ht="15.75" customHeight="1" s="79">
      <c r="A101" s="61">
        <f t="array" ref="A101">IFERROR(IF(29&gt;Controls!$B$18,"",IF(LARGE(Calc!$AT$143:$AT$298,29)&lt;-100000000000000,"",INDEX(Calc!$AN$143:$AN$298,MATCH(LARGE(Calc!$AT$143:$AT$298,29),Calc!$AT$143:$AT$298,0)))),"")</f>
        <v/>
      </c>
      <c r="B101" s="66">
        <f>IF($A$101="",NA(),IFERROR(SUMIFS(Data!$P$2:$P$1105,Data!$AK$2:$AK$1105,1,Data!$M$2:$M$1105,$A$101),NA()))</f>
        <v/>
      </c>
      <c r="C101" s="66">
        <f>IF($A$101="",NA(),IFERROR(SUMIFS(Data!$S$2:$S$1105,Data!$AK$2:$AK$1105,1,Data!$M$2:$M$1105,$A$101),NA()))</f>
        <v/>
      </c>
      <c r="D101" s="66">
        <f>IF(ISNA($B$101),NA(),$C$101-$B$101)</f>
        <v/>
      </c>
      <c r="E101" s="66">
        <f>IF($A$101="",NA(),IFERROR(SUMIFS(Data!$Q$2:$Q$1105,Data!$AK$2:$AK$1105,1,Data!$M$2:$M$1105,$A$101),NA()))</f>
        <v/>
      </c>
      <c r="F101" s="66">
        <f>IF($A$101="",NA(),IFERROR(SUMIFS(Data!$AN$2:$AN$1105,Data!$AK$2:$AK$1105,1,Data!$M$2:$M$1105,$A$101),NA()))</f>
        <v/>
      </c>
      <c r="G101" s="62">
        <f>IF($A$101="",NA(),IF(COUNTIFS(Data!$AK$2:$AK$1105,1,Data!$M$2:$M$1105,$A$101)&lt;Controls!$B$19,NA(),IFERROR(SUMIFS(Data!$AN$2:$AN$1105,Data!$AK$2:$AK$1105,1,Data!$M$2:$M$1105,$A$101)/$B$101,NA())))</f>
        <v/>
      </c>
      <c r="H101" s="62">
        <f>IF($A$101="",NA(),IF(COUNTIFS(Data!$AK$2:$AK$1105,1,Data!$M$2:$M$1105,$A$101)&lt;Controls!$B$19,NA(),IFERROR(SUMIFS(Data!$S$2:$S$1105,Data!$AK$2:$AK$1105,1,Data!$M$2:$M$1105,$A$101,Data!$AH$2:$AH$1105,1)/SUMIFS(Data!$P$2:$P$1105,Data!$AK$2:$AK$1105,1,Data!$M$2:$M$1105,$A$101,Data!$AH$2:$AH$1105,1),NA())))</f>
        <v/>
      </c>
      <c r="I101" s="62">
        <f>IF(ISNA($J$101),NA(),IF($J$101&lt;Controls!$B$19,NA(),IFERROR($D$101/$B$101,NA())))</f>
        <v/>
      </c>
      <c r="J101" s="67">
        <f>IF($A$101="",NA(),IFERROR(COUNTIFS(Data!$AK$2:$AK$1105,1,Data!$M$2:$M$1105,$A$101),NA()))</f>
        <v/>
      </c>
      <c r="K101" s="62">
        <f>IF(ISNA($B$101),NA(),IFERROR($B$101/Calc!$BT$6,NA()))</f>
        <v/>
      </c>
      <c r="L101" s="66">
        <f>IF(ISNA($J$101),NA(),IF($J$101&lt;Controls!$B$19,NA(),IFERROR($B$101/$J$101,NA())))</f>
        <v/>
      </c>
      <c r="M101" s="67">
        <f>IF($A$101="",NA(),IF(COUNTIFS(Data!$AK$2:$AK$1105,1,Data!$M$2:$M$1105,$A$101)&lt;Controls!$B$19,NA(),IFERROR(AVERAGEIFS(Data!$AE$2:$AE$1105,Data!$AK$2:$AK$1105,1,Data!$M$2:$M$1105,$A$101),NA())))</f>
        <v/>
      </c>
      <c r="N101" s="67">
        <f>IF($A$101="",NA(),IF(COUNTIFS(Data!$AK$2:$AK$1105,1,Data!$M$2:$M$1105,$A$101)&lt;Controls!$B$19,NA(),IFERROR(AVERAGEIFS(Data!$AD$2:$AD$1105,Data!$AK$2:$AK$1105,1,Data!$M$2:$M$1105,$A$101),NA())))</f>
        <v/>
      </c>
      <c r="O101" s="67">
        <f>IF($A$101="",NA(),IF(COUNTIFS(Data!$AK$2:$AK$1105,1,Data!$M$2:$M$1105,$A$101)&lt;Controls!$B$19,NA(),IFERROR(AVERAGEIFS(Data!$AS$2:$AS$1105,Data!$AK$2:$AK$1105,1,Data!$M$2:$M$1105,$A$101),NA())))</f>
        <v/>
      </c>
      <c r="P101" s="67">
        <f>IF($A$101="",NA(),IF(COUNTIFS(Data!$AK$2:$AK$1105,1,Data!$M$2:$M$1105,$A$101)&lt;Controls!$B$19,NA(),IFERROR(AVERAGEIFS(Data!$AT$2:$AT$1105,Data!$AK$2:$AK$1105,1,Data!$M$2:$M$1105,$A$101),NA())))</f>
        <v/>
      </c>
      <c r="Q101" s="62">
        <f>IF($A$101="",NA(),IF(COUNTIFS(Data!$AK$2:$AK$1105,1,Data!$M$2:$M$1105,$A$101)&lt;Controls!$B$19,NA(),IFERROR(COUNTIFS(Data!$AK$2:$AK$1105,1,Data!$M$2:$M$1105,$A$101,Data!$N$2:$N$1105,"Renewal")/COUNTIFS(Data!$AK$2:$AK$1105,1,Data!$M$2:$M$1105,$A$101),NA())))</f>
        <v/>
      </c>
      <c r="R101" s="62">
        <f>IF($A$101="",NA(),IF(COUNTIFS(Data!$AK$2:$AK$1105,1,Data!$M$2:$M$1105,$A$101)&lt;Controls!$B$19,NA(),IFERROR(SUMIFS(Data!$P$2:$P$1105,Data!$AK$2:$AK$1105,1,Data!$M$2:$M$1105,$A$101,Data!$N$2:$N$1105,"Renewal")/SUMIFS(Data!$P$2:$P$1105,Data!$AK$2:$AK$1105,1,Data!$M$2:$M$1105,$A$101),NA())))</f>
        <v/>
      </c>
      <c r="S101" s="62">
        <f>IF($A$101="",NA(),Calc!$BT$2)</f>
        <v/>
      </c>
      <c r="T101" s="62">
        <f>IF($A$101="",NA(),Calc!$BT$3)</f>
        <v/>
      </c>
      <c r="U101" s="62">
        <f>IF($A$101="",NA(),Calc!$BT$4)</f>
        <v/>
      </c>
      <c r="V101" s="62">
        <f>IF($A$101="",NA(),IF(COUNTIFS(Data!$AK$2:$AK$1105,1,Data!$M$2:$M$1105,$A$101)&lt;Controls!$B$19,NA(),IFERROR(COUNTIFS(Data!$AK$2:$AK$1105,1,Data!$M$2:$M$1105,$A$101,Data!$AH$2:$AH$1105,1)/COUNTIFS(Data!$AK$2:$AK$1105,1,Data!$M$2:$M$1105,$A$101),NA())))</f>
        <v/>
      </c>
      <c r="W101" s="61">
        <f>IF($A$101="","",$A$101&amp;" ("&amp;$J$101&amp;")")</f>
        <v/>
      </c>
      <c r="X101" s="61" t="n"/>
      <c r="Y101" s="61" t="n"/>
      <c r="Z101" s="61" t="n"/>
      <c r="AA101" s="61" t="n"/>
      <c r="AB101" s="61" t="n"/>
      <c r="AC101" s="61" t="n"/>
      <c r="AD101" s="61" t="n"/>
      <c r="AE101" s="61" t="n"/>
      <c r="AF101" s="61" t="n"/>
      <c r="AG101" s="61" t="n"/>
      <c r="AH101" s="61" t="n"/>
      <c r="AI101" s="61" t="n"/>
      <c r="AJ101" s="61" t="n"/>
      <c r="AK101" s="61" t="n"/>
      <c r="AL101" s="61" t="n"/>
      <c r="AM101" s="61" t="n"/>
      <c r="AN101" s="61">
        <f>Controls!$D$60</f>
        <v/>
      </c>
      <c r="AO101" s="61">
        <f>COUNTIFS(Data!$AK$2:$AK$1105,1,Data!$L$2:$L$1105,$AN$101)</f>
        <v/>
      </c>
      <c r="AP101" s="57">
        <f>SUMIFS(Data!$P$2:$P$1105,Data!$AK$2:$AK$1105,1,Data!$L$2:$L$1105,$AN$101)</f>
        <v/>
      </c>
      <c r="AQ101" s="56">
        <f>IFERROR(SUMIFS(Data!$AN$2:$AN$1105,Data!$AK$2:$AK$1105,1,Data!$L$2:$L$1105,$AN$101)/$AP$101,0)</f>
        <v/>
      </c>
      <c r="AR101" s="57">
        <f>SUMIFS(Data!$AN$2:$AN$1105,Data!$AK$2:$AK$1105,1,Data!$L$2:$L$1105,$AN$101)</f>
        <v/>
      </c>
      <c r="AS101" s="61">
        <f>Controls!$E$60</f>
        <v/>
      </c>
      <c r="AT101" s="61">
        <f>IF(OR(AO101=0,AO101&lt;Controls!$B$20),-1000000000000000,IF(AND(Controls!$B$21="Y",$AN$101="No state"),-1000000000000000,IF(Controls!$B$17="Selected only",IF(AS101="Y",AP101,-1000000000000000),IF(Controls!$B$17="Top by funded $",AP101,IF(Controls!$B$17="Top by funded units",AO101,IF(Controls!$B$17="Largest principal lost $",AR101,IF(Controls!$B$17="Highest net profit $",AU101,IF(AO101&lt;Controls!$B$19,-1000000000000000,IF(Controls!$B$17="Highest principal lost rate %",AQ101,IF(Controls!$B$17="Lowest principal lost rate %",1-AQ101,AP101))))))))) +21/1000000)</f>
        <v/>
      </c>
      <c r="AU101" s="57">
        <f>SUMIFS(Data!$AM$2:$AM$1105,Data!$AK$2:$AK$1105,1,Data!$L$2:$L$1105,$AN$101)</f>
        <v/>
      </c>
      <c r="AV101" s="61" t="n"/>
      <c r="AW101" s="61" t="n"/>
      <c r="AX101" s="61" t="n"/>
      <c r="AY101" s="61" t="n"/>
      <c r="AZ101" s="61" t="n"/>
      <c r="BA101" s="61" t="n"/>
      <c r="BB101" s="61">
        <f>Controls!$G$66</f>
        <v/>
      </c>
      <c r="BC101" s="61">
        <f>COUNTIFS(Data!$AK$2:$AK$1105,1,Data!$M$2:$M$1105,$BB$101)</f>
        <v/>
      </c>
      <c r="BD101" s="57">
        <f>SUMIFS(Data!$P$2:$P$1105,Data!$AK$2:$AK$1105,1,Data!$M$2:$M$1105,$BB$101)</f>
        <v/>
      </c>
      <c r="BE101" s="56">
        <f>IF(COUNTIFS(Data!$AK$2:$AK$1105,1,Data!$M$2:$M$1105,$BB$101)&lt;Controls!$B$19,"",IFERROR(SUMIFS(Data!$AN$2:$AN$1105,Data!$AK$2:$AK$1105,1,Data!$M$2:$M$1105,$BB$101)/$BD$101,""))</f>
        <v/>
      </c>
      <c r="BF101" s="56">
        <f>IF(COUNTIFS(Data!$AK$2:$AK$1105,1,Data!$M$2:$M$1105,$BB$101)&lt;Controls!$B$19,"",IFERROR(SUMIFS(Data!$AM$2:$AM$1105,Data!$AK$2:$AK$1105,1,Data!$M$2:$M$1105,$BB$101)/SUMIFS(Data!$P$2:$P$1105,Data!$AK$2:$AK$1105,1,Data!$M$2:$M$1105,$BB$101),""))</f>
        <v/>
      </c>
      <c r="BG101" s="57">
        <f>SUMIFS(Data!$AN$2:$AN$1105,Data!$AK$2:$AK$1105,1,Data!$M$2:$M$1105,$BB$101)</f>
        <v/>
      </c>
      <c r="BH101" s="61" t="n"/>
      <c r="BI101" s="61">
        <f>IF(AND($BC$101&gt;=Controls!$B$22,$BD$101&gt;=LARGE($BD$75:$BD$230,MIN(Controls!$B$18,COUNT($BD$75:$BD$230)))),$BE$101,"")</f>
        <v/>
      </c>
      <c r="BJ101" s="61" t="n"/>
      <c r="BK101" s="61">
        <f>IF($BC$101&lt;Controls!$B$22,"",$BE$101)</f>
        <v/>
      </c>
      <c r="BL101" s="61">
        <f>IF($BC$101&lt;Controls!$B$22,"",$BF$101)</f>
        <v/>
      </c>
      <c r="BM101" s="61">
        <f>IF($BC$101&lt;Controls!$B$22,"",$BG$101)</f>
        <v/>
      </c>
      <c r="BN101" s="61" t="n"/>
      <c r="BO101" s="61" t="n"/>
      <c r="BP101" s="61" t="n"/>
      <c r="BQ101" s="61" t="n"/>
      <c r="BR101" s="61" t="n"/>
      <c r="BS101" s="61" t="n"/>
      <c r="BT101" s="61" t="n"/>
    </row>
    <row r="102" ht="15.75" customHeight="1" s="79">
      <c r="A102" s="61">
        <f t="array" ref="A102">IFERROR(IF(30&gt;Controls!$B$18,"",IF(LARGE(Calc!$AT$143:$AT$298,30)&lt;-100000000000000,"",INDEX(Calc!$AN$143:$AN$298,MATCH(LARGE(Calc!$AT$143:$AT$298,30),Calc!$AT$143:$AT$298,0)))),"")</f>
        <v/>
      </c>
      <c r="B102" s="66">
        <f>IF($A$102="",NA(),IFERROR(SUMIFS(Data!$P$2:$P$1105,Data!$AK$2:$AK$1105,1,Data!$M$2:$M$1105,$A$102),NA()))</f>
        <v/>
      </c>
      <c r="C102" s="66">
        <f>IF($A$102="",NA(),IFERROR(SUMIFS(Data!$S$2:$S$1105,Data!$AK$2:$AK$1105,1,Data!$M$2:$M$1105,$A$102),NA()))</f>
        <v/>
      </c>
      <c r="D102" s="66">
        <f>IF(ISNA($B$102),NA(),$C$102-$B$102)</f>
        <v/>
      </c>
      <c r="E102" s="66">
        <f>IF($A$102="",NA(),IFERROR(SUMIFS(Data!$Q$2:$Q$1105,Data!$AK$2:$AK$1105,1,Data!$M$2:$M$1105,$A$102),NA()))</f>
        <v/>
      </c>
      <c r="F102" s="66">
        <f>IF($A$102="",NA(),IFERROR(SUMIFS(Data!$AN$2:$AN$1105,Data!$AK$2:$AK$1105,1,Data!$M$2:$M$1105,$A$102),NA()))</f>
        <v/>
      </c>
      <c r="G102" s="62">
        <f>IF($A$102="",NA(),IF(COUNTIFS(Data!$AK$2:$AK$1105,1,Data!$M$2:$M$1105,$A$102)&lt;Controls!$B$19,NA(),IFERROR(SUMIFS(Data!$AN$2:$AN$1105,Data!$AK$2:$AK$1105,1,Data!$M$2:$M$1105,$A$102)/$B$102,NA())))</f>
        <v/>
      </c>
      <c r="H102" s="62">
        <f>IF($A$102="",NA(),IF(COUNTIFS(Data!$AK$2:$AK$1105,1,Data!$M$2:$M$1105,$A$102)&lt;Controls!$B$19,NA(),IFERROR(SUMIFS(Data!$S$2:$S$1105,Data!$AK$2:$AK$1105,1,Data!$M$2:$M$1105,$A$102,Data!$AH$2:$AH$1105,1)/SUMIFS(Data!$P$2:$P$1105,Data!$AK$2:$AK$1105,1,Data!$M$2:$M$1105,$A$102,Data!$AH$2:$AH$1105,1),NA())))</f>
        <v/>
      </c>
      <c r="I102" s="62">
        <f>IF(ISNA($J$102),NA(),IF($J$102&lt;Controls!$B$19,NA(),IFERROR($D$102/$B$102,NA())))</f>
        <v/>
      </c>
      <c r="J102" s="67">
        <f>IF($A$102="",NA(),IFERROR(COUNTIFS(Data!$AK$2:$AK$1105,1,Data!$M$2:$M$1105,$A$102),NA()))</f>
        <v/>
      </c>
      <c r="K102" s="62">
        <f>IF(ISNA($B$102),NA(),IFERROR($B$102/Calc!$BT$6,NA()))</f>
        <v/>
      </c>
      <c r="L102" s="66">
        <f>IF(ISNA($J$102),NA(),IF($J$102&lt;Controls!$B$19,NA(),IFERROR($B$102/$J$102,NA())))</f>
        <v/>
      </c>
      <c r="M102" s="67">
        <f>IF($A$102="",NA(),IF(COUNTIFS(Data!$AK$2:$AK$1105,1,Data!$M$2:$M$1105,$A$102)&lt;Controls!$B$19,NA(),IFERROR(AVERAGEIFS(Data!$AE$2:$AE$1105,Data!$AK$2:$AK$1105,1,Data!$M$2:$M$1105,$A$102),NA())))</f>
        <v/>
      </c>
      <c r="N102" s="67">
        <f>IF($A$102="",NA(),IF(COUNTIFS(Data!$AK$2:$AK$1105,1,Data!$M$2:$M$1105,$A$102)&lt;Controls!$B$19,NA(),IFERROR(AVERAGEIFS(Data!$AD$2:$AD$1105,Data!$AK$2:$AK$1105,1,Data!$M$2:$M$1105,$A$102),NA())))</f>
        <v/>
      </c>
      <c r="O102" s="67">
        <f>IF($A$102="",NA(),IF(COUNTIFS(Data!$AK$2:$AK$1105,1,Data!$M$2:$M$1105,$A$102)&lt;Controls!$B$19,NA(),IFERROR(AVERAGEIFS(Data!$AS$2:$AS$1105,Data!$AK$2:$AK$1105,1,Data!$M$2:$M$1105,$A$102),NA())))</f>
        <v/>
      </c>
      <c r="P102" s="67">
        <f>IF($A$102="",NA(),IF(COUNTIFS(Data!$AK$2:$AK$1105,1,Data!$M$2:$M$1105,$A$102)&lt;Controls!$B$19,NA(),IFERROR(AVERAGEIFS(Data!$AT$2:$AT$1105,Data!$AK$2:$AK$1105,1,Data!$M$2:$M$1105,$A$102),NA())))</f>
        <v/>
      </c>
      <c r="Q102" s="62">
        <f>IF($A$102="",NA(),IF(COUNTIFS(Data!$AK$2:$AK$1105,1,Data!$M$2:$M$1105,$A$102)&lt;Controls!$B$19,NA(),IFERROR(COUNTIFS(Data!$AK$2:$AK$1105,1,Data!$M$2:$M$1105,$A$102,Data!$N$2:$N$1105,"Renewal")/COUNTIFS(Data!$AK$2:$AK$1105,1,Data!$M$2:$M$1105,$A$102),NA())))</f>
        <v/>
      </c>
      <c r="R102" s="62">
        <f>IF($A$102="",NA(),IF(COUNTIFS(Data!$AK$2:$AK$1105,1,Data!$M$2:$M$1105,$A$102)&lt;Controls!$B$19,NA(),IFERROR(SUMIFS(Data!$P$2:$P$1105,Data!$AK$2:$AK$1105,1,Data!$M$2:$M$1105,$A$102,Data!$N$2:$N$1105,"Renewal")/SUMIFS(Data!$P$2:$P$1105,Data!$AK$2:$AK$1105,1,Data!$M$2:$M$1105,$A$102),NA())))</f>
        <v/>
      </c>
      <c r="S102" s="62">
        <f>IF($A$102="",NA(),Calc!$BT$2)</f>
        <v/>
      </c>
      <c r="T102" s="62">
        <f>IF($A$102="",NA(),Calc!$BT$3)</f>
        <v/>
      </c>
      <c r="U102" s="62">
        <f>IF($A$102="",NA(),Calc!$BT$4)</f>
        <v/>
      </c>
      <c r="V102" s="62">
        <f>IF($A$102="",NA(),IF(COUNTIFS(Data!$AK$2:$AK$1105,1,Data!$M$2:$M$1105,$A$102)&lt;Controls!$B$19,NA(),IFERROR(COUNTIFS(Data!$AK$2:$AK$1105,1,Data!$M$2:$M$1105,$A$102,Data!$AH$2:$AH$1105,1)/COUNTIFS(Data!$AK$2:$AK$1105,1,Data!$M$2:$M$1105,$A$102),NA())))</f>
        <v/>
      </c>
      <c r="W102" s="61">
        <f>IF($A$102="","",$A$102&amp;" ("&amp;$J$102&amp;")")</f>
        <v/>
      </c>
      <c r="X102" s="61" t="n"/>
      <c r="Y102" s="61" t="n"/>
      <c r="Z102" s="61" t="n"/>
      <c r="AA102" s="61" t="n"/>
      <c r="AB102" s="61" t="n"/>
      <c r="AC102" s="61" t="n"/>
      <c r="AD102" s="61" t="n"/>
      <c r="AE102" s="61" t="n"/>
      <c r="AF102" s="61" t="n"/>
      <c r="AG102" s="61" t="n"/>
      <c r="AH102" s="61" t="n"/>
      <c r="AI102" s="61" t="n"/>
      <c r="AJ102" s="61" t="n"/>
      <c r="AK102" s="61" t="n"/>
      <c r="AL102" s="61" t="n"/>
      <c r="AM102" s="61" t="n"/>
      <c r="AN102" s="61">
        <f>Controls!$D$61</f>
        <v/>
      </c>
      <c r="AO102" s="61">
        <f>COUNTIFS(Data!$AK$2:$AK$1105,1,Data!$L$2:$L$1105,$AN$102)</f>
        <v/>
      </c>
      <c r="AP102" s="57">
        <f>SUMIFS(Data!$P$2:$P$1105,Data!$AK$2:$AK$1105,1,Data!$L$2:$L$1105,$AN$102)</f>
        <v/>
      </c>
      <c r="AQ102" s="56">
        <f>IFERROR(SUMIFS(Data!$AN$2:$AN$1105,Data!$AK$2:$AK$1105,1,Data!$L$2:$L$1105,$AN$102)/$AP$102,0)</f>
        <v/>
      </c>
      <c r="AR102" s="57">
        <f>SUMIFS(Data!$AN$2:$AN$1105,Data!$AK$2:$AK$1105,1,Data!$L$2:$L$1105,$AN$102)</f>
        <v/>
      </c>
      <c r="AS102" s="61">
        <f>Controls!$E$61</f>
        <v/>
      </c>
      <c r="AT102" s="61">
        <f>IF(OR(AO102=0,AO102&lt;Controls!$B$20),-1000000000000000,IF(AND(Controls!$B$21="Y",$AN$102="No state"),-1000000000000000,IF(Controls!$B$17="Selected only",IF(AS102="Y",AP102,-1000000000000000),IF(Controls!$B$17="Top by funded $",AP102,IF(Controls!$B$17="Top by funded units",AO102,IF(Controls!$B$17="Largest principal lost $",AR102,IF(Controls!$B$17="Highest net profit $",AU102,IF(AO102&lt;Controls!$B$19,-1000000000000000,IF(Controls!$B$17="Highest principal lost rate %",AQ102,IF(Controls!$B$17="Lowest principal lost rate %",1-AQ102,AP102))))))))) +22/1000000)</f>
        <v/>
      </c>
      <c r="AU102" s="57">
        <f>SUMIFS(Data!$AM$2:$AM$1105,Data!$AK$2:$AK$1105,1,Data!$L$2:$L$1105,$AN$102)</f>
        <v/>
      </c>
      <c r="AV102" s="61" t="n"/>
      <c r="AW102" s="61" t="n"/>
      <c r="AX102" s="61" t="n"/>
      <c r="AY102" s="61" t="n"/>
      <c r="AZ102" s="61" t="n"/>
      <c r="BA102" s="61" t="n"/>
      <c r="BB102" s="61">
        <f>Controls!$G$67</f>
        <v/>
      </c>
      <c r="BC102" s="61">
        <f>COUNTIFS(Data!$AK$2:$AK$1105,1,Data!$M$2:$M$1105,$BB$102)</f>
        <v/>
      </c>
      <c r="BD102" s="57">
        <f>SUMIFS(Data!$P$2:$P$1105,Data!$AK$2:$AK$1105,1,Data!$M$2:$M$1105,$BB$102)</f>
        <v/>
      </c>
      <c r="BE102" s="56">
        <f>IF(COUNTIFS(Data!$AK$2:$AK$1105,1,Data!$M$2:$M$1105,$BB$102)&lt;Controls!$B$19,"",IFERROR(SUMIFS(Data!$AN$2:$AN$1105,Data!$AK$2:$AK$1105,1,Data!$M$2:$M$1105,$BB$102)/$BD$102,""))</f>
        <v/>
      </c>
      <c r="BF102" s="56">
        <f>IF(COUNTIFS(Data!$AK$2:$AK$1105,1,Data!$M$2:$M$1105,$BB$102)&lt;Controls!$B$19,"",IFERROR(SUMIFS(Data!$AM$2:$AM$1105,Data!$AK$2:$AK$1105,1,Data!$M$2:$M$1105,$BB$102)/SUMIFS(Data!$P$2:$P$1105,Data!$AK$2:$AK$1105,1,Data!$M$2:$M$1105,$BB$102),""))</f>
        <v/>
      </c>
      <c r="BG102" s="57">
        <f>SUMIFS(Data!$AN$2:$AN$1105,Data!$AK$2:$AK$1105,1,Data!$M$2:$M$1105,$BB$102)</f>
        <v/>
      </c>
      <c r="BH102" s="61" t="n"/>
      <c r="BI102" s="61">
        <f>IF(AND($BC$102&gt;=Controls!$B$22,$BD$102&gt;=LARGE($BD$75:$BD$230,MIN(Controls!$B$18,COUNT($BD$75:$BD$230)))),$BE$102,"")</f>
        <v/>
      </c>
      <c r="BJ102" s="61" t="n"/>
      <c r="BK102" s="56">
        <f>IF($BC$102&lt;Controls!$B$22,"",$BE$102)</f>
        <v/>
      </c>
      <c r="BL102" s="56">
        <f>IF($BC$102&lt;Controls!$B$22,"",$BF$102)</f>
        <v/>
      </c>
      <c r="BM102" s="57">
        <f>IF($BC$102&lt;Controls!$B$22,"",$BG$102)</f>
        <v/>
      </c>
      <c r="BN102" s="61" t="n"/>
      <c r="BO102" s="61" t="n"/>
      <c r="BP102" s="61" t="n"/>
      <c r="BQ102" s="61" t="n"/>
      <c r="BR102" s="61" t="n"/>
      <c r="BS102" s="61" t="n"/>
      <c r="BT102" s="61" t="n"/>
    </row>
    <row r="103" ht="15.75" customHeight="1" s="79">
      <c r="A103" s="61" t="n"/>
      <c r="B103" s="61" t="n"/>
      <c r="C103" s="61" t="n"/>
      <c r="D103" s="61" t="n"/>
      <c r="E103" s="61" t="n"/>
      <c r="F103" s="61" t="n"/>
      <c r="G103" s="61" t="n"/>
      <c r="H103" s="61" t="n"/>
      <c r="I103" s="61" t="n"/>
      <c r="J103" s="61" t="n"/>
      <c r="K103" s="61" t="n"/>
      <c r="L103" s="61" t="n"/>
      <c r="M103" s="61" t="n"/>
      <c r="N103" s="61" t="n"/>
      <c r="O103" s="61" t="n"/>
      <c r="P103" s="61" t="n"/>
      <c r="Q103" s="61" t="n"/>
      <c r="R103" s="61" t="n"/>
      <c r="S103" s="61" t="n"/>
      <c r="T103" s="61" t="n"/>
      <c r="U103" s="61" t="n"/>
      <c r="V103" s="61" t="n"/>
      <c r="W103" s="61" t="n"/>
      <c r="X103" s="61" t="n"/>
      <c r="Y103" s="61" t="n"/>
      <c r="Z103" s="61" t="n"/>
      <c r="AA103" s="61" t="n"/>
      <c r="AB103" s="61" t="n"/>
      <c r="AC103" s="61" t="n"/>
      <c r="AD103" s="61" t="n"/>
      <c r="AE103" s="61" t="n"/>
      <c r="AF103" s="61" t="n"/>
      <c r="AG103" s="61" t="n"/>
      <c r="AH103" s="61" t="n"/>
      <c r="AI103" s="61" t="n"/>
      <c r="AJ103" s="61" t="n"/>
      <c r="AK103" s="61" t="n"/>
      <c r="AL103" s="61" t="n"/>
      <c r="AM103" s="61" t="n"/>
      <c r="AN103" s="61">
        <f>Controls!$D$62</f>
        <v/>
      </c>
      <c r="AO103" s="61">
        <f>COUNTIFS(Data!$AK$2:$AK$1105,1,Data!$L$2:$L$1105,$AN$103)</f>
        <v/>
      </c>
      <c r="AP103" s="57">
        <f>SUMIFS(Data!$P$2:$P$1105,Data!$AK$2:$AK$1105,1,Data!$L$2:$L$1105,$AN$103)</f>
        <v/>
      </c>
      <c r="AQ103" s="56">
        <f>IFERROR(SUMIFS(Data!$AN$2:$AN$1105,Data!$AK$2:$AK$1105,1,Data!$L$2:$L$1105,$AN$103)/$AP$103,0)</f>
        <v/>
      </c>
      <c r="AR103" s="57">
        <f>SUMIFS(Data!$AN$2:$AN$1105,Data!$AK$2:$AK$1105,1,Data!$L$2:$L$1105,$AN$103)</f>
        <v/>
      </c>
      <c r="AS103" s="61">
        <f>Controls!$E$62</f>
        <v/>
      </c>
      <c r="AT103" s="61">
        <f>IF(OR(AO103=0,AO103&lt;Controls!$B$20),-1000000000000000,IF(AND(Controls!$B$21="Y",$AN$103="No state"),-1000000000000000,IF(Controls!$B$17="Selected only",IF(AS103="Y",AP103,-1000000000000000),IF(Controls!$B$17="Top by funded $",AP103,IF(Controls!$B$17="Top by funded units",AO103,IF(Controls!$B$17="Largest principal lost $",AR103,IF(Controls!$B$17="Highest net profit $",AU103,IF(AO103&lt;Controls!$B$19,-1000000000000000,IF(Controls!$B$17="Highest principal lost rate %",AQ103,IF(Controls!$B$17="Lowest principal lost rate %",1-AQ103,AP103))))))))) +23/1000000)</f>
        <v/>
      </c>
      <c r="AU103" s="57">
        <f>SUMIFS(Data!$AM$2:$AM$1105,Data!$AK$2:$AK$1105,1,Data!$L$2:$L$1105,$AN$103)</f>
        <v/>
      </c>
      <c r="AV103" s="61" t="n"/>
      <c r="AW103" s="61" t="n"/>
      <c r="AX103" s="61" t="n"/>
      <c r="AY103" s="61" t="n"/>
      <c r="AZ103" s="61" t="n"/>
      <c r="BA103" s="61" t="n"/>
      <c r="BB103" s="61">
        <f>Controls!$G$68</f>
        <v/>
      </c>
      <c r="BC103" s="61">
        <f>COUNTIFS(Data!$AK$2:$AK$1105,1,Data!$M$2:$M$1105,$BB$103)</f>
        <v/>
      </c>
      <c r="BD103" s="57">
        <f>SUMIFS(Data!$P$2:$P$1105,Data!$AK$2:$AK$1105,1,Data!$M$2:$M$1105,$BB$103)</f>
        <v/>
      </c>
      <c r="BE103" s="56">
        <f>IF(COUNTIFS(Data!$AK$2:$AK$1105,1,Data!$M$2:$M$1105,$BB$103)&lt;Controls!$B$19,"",IFERROR(SUMIFS(Data!$AN$2:$AN$1105,Data!$AK$2:$AK$1105,1,Data!$M$2:$M$1105,$BB$103)/$BD$103,""))</f>
        <v/>
      </c>
      <c r="BF103" s="56">
        <f>IF(COUNTIFS(Data!$AK$2:$AK$1105,1,Data!$M$2:$M$1105,$BB$103)&lt;Controls!$B$19,"",IFERROR(SUMIFS(Data!$AM$2:$AM$1105,Data!$AK$2:$AK$1105,1,Data!$M$2:$M$1105,$BB$103)/SUMIFS(Data!$P$2:$P$1105,Data!$AK$2:$AK$1105,1,Data!$M$2:$M$1105,$BB$103),""))</f>
        <v/>
      </c>
      <c r="BG103" s="57">
        <f>SUMIFS(Data!$AN$2:$AN$1105,Data!$AK$2:$AK$1105,1,Data!$M$2:$M$1105,$BB$103)</f>
        <v/>
      </c>
      <c r="BH103" s="61" t="n"/>
      <c r="BI103" s="61">
        <f>IF(AND($BC$103&gt;=Controls!$B$22,$BD$103&gt;=LARGE($BD$75:$BD$230,MIN(Controls!$B$18,COUNT($BD$75:$BD$230)))),$BE$103,"")</f>
        <v/>
      </c>
      <c r="BJ103" s="61" t="n"/>
      <c r="BK103" s="61">
        <f>IF($BC$103&lt;Controls!$B$22,"",$BE$103)</f>
        <v/>
      </c>
      <c r="BL103" s="61">
        <f>IF($BC$103&lt;Controls!$B$22,"",$BF$103)</f>
        <v/>
      </c>
      <c r="BM103" s="61">
        <f>IF($BC$103&lt;Controls!$B$22,"",$BG$103)</f>
        <v/>
      </c>
      <c r="BN103" s="61" t="n"/>
      <c r="BO103" s="61" t="n"/>
      <c r="BP103" s="61" t="n"/>
      <c r="BQ103" s="61" t="n"/>
      <c r="BR103" s="61" t="n"/>
      <c r="BS103" s="61" t="n"/>
      <c r="BT103" s="61" t="n"/>
    </row>
    <row r="104" ht="15.75" customHeight="1" s="79">
      <c r="A104" s="61" t="n"/>
      <c r="B104" s="61" t="n"/>
      <c r="C104" s="61" t="n"/>
      <c r="D104" s="61" t="n"/>
      <c r="E104" s="61" t="n"/>
      <c r="F104" s="61" t="n"/>
      <c r="G104" s="61" t="n"/>
      <c r="H104" s="61" t="n"/>
      <c r="I104" s="61" t="n"/>
      <c r="J104" s="61" t="n"/>
      <c r="K104" s="61" t="n"/>
      <c r="L104" s="61" t="n"/>
      <c r="M104" s="61" t="n"/>
      <c r="N104" s="61" t="n"/>
      <c r="O104" s="61" t="n"/>
      <c r="P104" s="61" t="n"/>
      <c r="Q104" s="61" t="n"/>
      <c r="R104" s="61" t="n"/>
      <c r="S104" s="61" t="n"/>
      <c r="T104" s="61" t="n"/>
      <c r="U104" s="61" t="n"/>
      <c r="V104" s="61" t="n"/>
      <c r="W104" s="61" t="n"/>
      <c r="X104" s="61" t="n"/>
      <c r="Y104" s="61" t="n"/>
      <c r="Z104" s="61" t="n"/>
      <c r="AA104" s="61" t="n"/>
      <c r="AB104" s="61" t="n"/>
      <c r="AC104" s="61" t="n"/>
      <c r="AD104" s="61" t="n"/>
      <c r="AE104" s="61" t="n"/>
      <c r="AF104" s="61" t="n"/>
      <c r="AG104" s="61" t="n"/>
      <c r="AH104" s="61" t="n"/>
      <c r="AI104" s="61" t="n"/>
      <c r="AJ104" s="61" t="n"/>
      <c r="AK104" s="61" t="n"/>
      <c r="AL104" s="61" t="n"/>
      <c r="AM104" s="61" t="n"/>
      <c r="AN104" s="61">
        <f>Controls!$D$63</f>
        <v/>
      </c>
      <c r="AO104" s="61">
        <f>COUNTIFS(Data!$AK$2:$AK$1105,1,Data!$L$2:$L$1105,$AN$104)</f>
        <v/>
      </c>
      <c r="AP104" s="57">
        <f>SUMIFS(Data!$P$2:$P$1105,Data!$AK$2:$AK$1105,1,Data!$L$2:$L$1105,$AN$104)</f>
        <v/>
      </c>
      <c r="AQ104" s="56">
        <f>IFERROR(SUMIFS(Data!$AN$2:$AN$1105,Data!$AK$2:$AK$1105,1,Data!$L$2:$L$1105,$AN$104)/$AP$104,0)</f>
        <v/>
      </c>
      <c r="AR104" s="57">
        <f>SUMIFS(Data!$AN$2:$AN$1105,Data!$AK$2:$AK$1105,1,Data!$L$2:$L$1105,$AN$104)</f>
        <v/>
      </c>
      <c r="AS104" s="61">
        <f>Controls!$E$63</f>
        <v/>
      </c>
      <c r="AT104" s="61">
        <f>IF(OR(AO104=0,AO104&lt;Controls!$B$20),-1000000000000000,IF(AND(Controls!$B$21="Y",$AN$104="No state"),-1000000000000000,IF(Controls!$B$17="Selected only",IF(AS104="Y",AP104,-1000000000000000),IF(Controls!$B$17="Top by funded $",AP104,IF(Controls!$B$17="Top by funded units",AO104,IF(Controls!$B$17="Largest principal lost $",AR104,IF(Controls!$B$17="Highest net profit $",AU104,IF(AO104&lt;Controls!$B$19,-1000000000000000,IF(Controls!$B$17="Highest principal lost rate %",AQ104,IF(Controls!$B$17="Lowest principal lost rate %",1-AQ104,AP104))))))))) +24/1000000)</f>
        <v/>
      </c>
      <c r="AU104" s="57">
        <f>SUMIFS(Data!$AM$2:$AM$1105,Data!$AK$2:$AK$1105,1,Data!$L$2:$L$1105,$AN$104)</f>
        <v/>
      </c>
      <c r="AV104" s="61" t="n"/>
      <c r="AW104" s="61" t="n"/>
      <c r="AX104" s="61" t="n"/>
      <c r="AY104" s="61" t="n"/>
      <c r="AZ104" s="61" t="n"/>
      <c r="BA104" s="61" t="n"/>
      <c r="BB104" s="61">
        <f>Controls!$G$69</f>
        <v/>
      </c>
      <c r="BC104" s="61">
        <f>COUNTIFS(Data!$AK$2:$AK$1105,1,Data!$M$2:$M$1105,$BB$104)</f>
        <v/>
      </c>
      <c r="BD104" s="57">
        <f>SUMIFS(Data!$P$2:$P$1105,Data!$AK$2:$AK$1105,1,Data!$M$2:$M$1105,$BB$104)</f>
        <v/>
      </c>
      <c r="BE104" s="56">
        <f>IF(COUNTIFS(Data!$AK$2:$AK$1105,1,Data!$M$2:$M$1105,$BB$104)&lt;Controls!$B$19,"",IFERROR(SUMIFS(Data!$AN$2:$AN$1105,Data!$AK$2:$AK$1105,1,Data!$M$2:$M$1105,$BB$104)/$BD$104,""))</f>
        <v/>
      </c>
      <c r="BF104" s="56">
        <f>IF(COUNTIFS(Data!$AK$2:$AK$1105,1,Data!$M$2:$M$1105,$BB$104)&lt;Controls!$B$19,"",IFERROR(SUMIFS(Data!$AM$2:$AM$1105,Data!$AK$2:$AK$1105,1,Data!$M$2:$M$1105,$BB$104)/SUMIFS(Data!$P$2:$P$1105,Data!$AK$2:$AK$1105,1,Data!$M$2:$M$1105,$BB$104),""))</f>
        <v/>
      </c>
      <c r="BG104" s="57">
        <f>SUMIFS(Data!$AN$2:$AN$1105,Data!$AK$2:$AK$1105,1,Data!$M$2:$M$1105,$BB$104)</f>
        <v/>
      </c>
      <c r="BH104" s="61" t="n"/>
      <c r="BI104" s="61">
        <f>IF(AND($BC$104&gt;=Controls!$B$22,$BD$104&gt;=LARGE($BD$75:$BD$230,MIN(Controls!$B$18,COUNT($BD$75:$BD$230)))),$BE$104,"")</f>
        <v/>
      </c>
      <c r="BJ104" s="61" t="n"/>
      <c r="BK104" s="61">
        <f>IF($BC$104&lt;Controls!$B$22,"",$BE$104)</f>
        <v/>
      </c>
      <c r="BL104" s="61">
        <f>IF($BC$104&lt;Controls!$B$22,"",$BF$104)</f>
        <v/>
      </c>
      <c r="BM104" s="61">
        <f>IF($BC$104&lt;Controls!$B$22,"",$BG$104)</f>
        <v/>
      </c>
      <c r="BN104" s="61" t="n"/>
      <c r="BO104" s="61" t="n"/>
      <c r="BP104" s="61" t="n"/>
      <c r="BQ104" s="61" t="n"/>
      <c r="BR104" s="61" t="n"/>
      <c r="BS104" s="61" t="n"/>
      <c r="BT104" s="61" t="n"/>
    </row>
    <row r="105" ht="15.75" customHeight="1" s="79">
      <c r="A105" s="61" t="inlineStr">
        <is>
          <t>Position -</t>
        </is>
      </c>
      <c r="B105" s="61" t="n"/>
      <c r="C105" s="61" t="n"/>
      <c r="D105" s="61" t="n"/>
      <c r="E105" s="61" t="n"/>
      <c r="F105" s="61" t="n"/>
      <c r="G105" s="61" t="n"/>
      <c r="H105" s="61" t="n"/>
      <c r="I105" s="61" t="n"/>
      <c r="J105" s="61" t="n"/>
      <c r="K105" s="61" t="n"/>
      <c r="L105" s="61" t="n"/>
      <c r="M105" s="61" t="n"/>
      <c r="N105" s="61" t="n"/>
      <c r="O105" s="61" t="n"/>
      <c r="P105" s="61" t="n"/>
      <c r="Q105" s="61" t="n"/>
      <c r="R105" s="61" t="n"/>
      <c r="S105" s="61" t="n"/>
      <c r="T105" s="61" t="n"/>
      <c r="U105" s="61" t="n"/>
      <c r="V105" s="61" t="n"/>
      <c r="W105" s="61" t="n"/>
      <c r="X105" s="61" t="n"/>
      <c r="Y105" s="61" t="n"/>
      <c r="Z105" s="61" t="n"/>
      <c r="AA105" s="61" t="n"/>
      <c r="AB105" s="61" t="n"/>
      <c r="AC105" s="61" t="n"/>
      <c r="AD105" s="61" t="n"/>
      <c r="AE105" s="61" t="n"/>
      <c r="AF105" s="61" t="n"/>
      <c r="AG105" s="61" t="n"/>
      <c r="AH105" s="61" t="n"/>
      <c r="AI105" s="61" t="n"/>
      <c r="AJ105" s="61" t="n"/>
      <c r="AK105" s="61" t="n"/>
      <c r="AL105" s="61" t="n"/>
      <c r="AM105" s="61" t="n"/>
      <c r="AN105" s="61">
        <f>Controls!$D$64</f>
        <v/>
      </c>
      <c r="AO105" s="61">
        <f>COUNTIFS(Data!$AK$2:$AK$1105,1,Data!$L$2:$L$1105,$AN$105)</f>
        <v/>
      </c>
      <c r="AP105" s="57">
        <f>SUMIFS(Data!$P$2:$P$1105,Data!$AK$2:$AK$1105,1,Data!$L$2:$L$1105,$AN$105)</f>
        <v/>
      </c>
      <c r="AQ105" s="56">
        <f>IFERROR(SUMIFS(Data!$AN$2:$AN$1105,Data!$AK$2:$AK$1105,1,Data!$L$2:$L$1105,$AN$105)/$AP$105,0)</f>
        <v/>
      </c>
      <c r="AR105" s="57">
        <f>SUMIFS(Data!$AN$2:$AN$1105,Data!$AK$2:$AK$1105,1,Data!$L$2:$L$1105,$AN$105)</f>
        <v/>
      </c>
      <c r="AS105" s="61">
        <f>Controls!$E$64</f>
        <v/>
      </c>
      <c r="AT105" s="61">
        <f>IF(OR(AO105=0,AO105&lt;Controls!$B$20),-1000000000000000,IF(AND(Controls!$B$21="Y",$AN$105="No state"),-1000000000000000,IF(Controls!$B$17="Selected only",IF(AS105="Y",AP105,-1000000000000000),IF(Controls!$B$17="Top by funded $",AP105,IF(Controls!$B$17="Top by funded units",AO105,IF(Controls!$B$17="Largest principal lost $",AR105,IF(Controls!$B$17="Highest net profit $",AU105,IF(AO105&lt;Controls!$B$19,-1000000000000000,IF(Controls!$B$17="Highest principal lost rate %",AQ105,IF(Controls!$B$17="Lowest principal lost rate %",1-AQ105,AP105))))))))) +25/1000000)</f>
        <v/>
      </c>
      <c r="AU105" s="57">
        <f>SUMIFS(Data!$AM$2:$AM$1105,Data!$AK$2:$AK$1105,1,Data!$L$2:$L$1105,$AN$105)</f>
        <v/>
      </c>
      <c r="AV105" s="61" t="n"/>
      <c r="AW105" s="61" t="n"/>
      <c r="AX105" s="61" t="n"/>
      <c r="AY105" s="61" t="n"/>
      <c r="AZ105" s="61" t="n"/>
      <c r="BA105" s="61" t="n"/>
      <c r="BB105" s="61">
        <f>Controls!$G$70</f>
        <v/>
      </c>
      <c r="BC105" s="61">
        <f>COUNTIFS(Data!$AK$2:$AK$1105,1,Data!$M$2:$M$1105,$BB$105)</f>
        <v/>
      </c>
      <c r="BD105" s="57">
        <f>SUMIFS(Data!$P$2:$P$1105,Data!$AK$2:$AK$1105,1,Data!$M$2:$M$1105,$BB$105)</f>
        <v/>
      </c>
      <c r="BE105" s="56">
        <f>IF(COUNTIFS(Data!$AK$2:$AK$1105,1,Data!$M$2:$M$1105,$BB$105)&lt;Controls!$B$19,"",IFERROR(SUMIFS(Data!$AN$2:$AN$1105,Data!$AK$2:$AK$1105,1,Data!$M$2:$M$1105,$BB$105)/$BD$105,""))</f>
        <v/>
      </c>
      <c r="BF105" s="56">
        <f>IF(COUNTIFS(Data!$AK$2:$AK$1105,1,Data!$M$2:$M$1105,$BB$105)&lt;Controls!$B$19,"",IFERROR(SUMIFS(Data!$AM$2:$AM$1105,Data!$AK$2:$AK$1105,1,Data!$M$2:$M$1105,$BB$105)/SUMIFS(Data!$P$2:$P$1105,Data!$AK$2:$AK$1105,1,Data!$M$2:$M$1105,$BB$105),""))</f>
        <v/>
      </c>
      <c r="BG105" s="57">
        <f>SUMIFS(Data!$AN$2:$AN$1105,Data!$AK$2:$AK$1105,1,Data!$M$2:$M$1105,$BB$105)</f>
        <v/>
      </c>
      <c r="BH105" s="61" t="n"/>
      <c r="BI105" s="61">
        <f>IF(AND($BC$105&gt;=Controls!$B$22,$BD$105&gt;=LARGE($BD$75:$BD$230,MIN(Controls!$B$18,COUNT($BD$75:$BD$230)))),$BE$105,"")</f>
        <v/>
      </c>
      <c r="BJ105" s="61" t="n"/>
      <c r="BK105" s="61">
        <f>IF($BC$105&lt;Controls!$B$22,"",$BE$105)</f>
        <v/>
      </c>
      <c r="BL105" s="61">
        <f>IF($BC$105&lt;Controls!$B$22,"",$BF$105)</f>
        <v/>
      </c>
      <c r="BM105" s="61">
        <f>IF($BC$105&lt;Controls!$B$22,"",$BG$105)</f>
        <v/>
      </c>
      <c r="BN105" s="61" t="n"/>
      <c r="BO105" s="61" t="n"/>
      <c r="BP105" s="61" t="n"/>
      <c r="BQ105" s="61" t="n"/>
      <c r="BR105" s="61" t="n"/>
      <c r="BS105" s="61" t="n"/>
      <c r="BT105" s="61" t="n"/>
    </row>
    <row r="106" ht="15.75" customHeight="1" s="79">
      <c r="A106" s="61" t="inlineStr">
        <is>
          <t>Label</t>
        </is>
      </c>
      <c r="B106" s="61" t="inlineStr">
        <is>
          <t>Funded $</t>
        </is>
      </c>
      <c r="C106" s="61" t="inlineStr">
        <is>
          <t>Collected $</t>
        </is>
      </c>
      <c r="D106" s="61" t="inlineStr">
        <is>
          <t>Net profit / loss $</t>
        </is>
      </c>
      <c r="E106" s="61" t="inlineStr">
        <is>
          <t>Commission $</t>
        </is>
      </c>
      <c r="F106" s="61" t="inlineStr">
        <is>
          <t>Principal lost $</t>
        </is>
      </c>
      <c r="G106" s="61" t="inlineStr">
        <is>
          <t>Principal lost rate</t>
        </is>
      </c>
      <c r="H106" s="61" t="inlineStr">
        <is>
          <t>Recovery rate</t>
        </is>
      </c>
      <c r="I106" s="61" t="inlineStr">
        <is>
          <t>Return on funded capital (%)</t>
        </is>
      </c>
      <c r="J106" s="61" t="inlineStr">
        <is>
          <t>Deals</t>
        </is>
      </c>
      <c r="K106" s="61" t="inlineStr">
        <is>
          <t>Share of funded dollars</t>
        </is>
      </c>
      <c r="L106" s="61" t="inlineStr">
        <is>
          <t>Avg deal size</t>
        </is>
      </c>
      <c r="M106" s="61" t="inlineStr">
        <is>
          <t>Avg expected term (business days)</t>
        </is>
      </c>
      <c r="N106" s="61" t="inlineStr">
        <is>
          <t>Avg expected term (payments)</t>
        </is>
      </c>
      <c r="O106" s="61" t="inlineStr">
        <is>
          <t>Avg days on book, defaulted</t>
        </is>
      </c>
      <c r="P106" s="61" t="inlineStr">
        <is>
          <t>Avg days to close</t>
        </is>
      </c>
      <c r="Q106" s="61" t="inlineStr">
        <is>
          <t>% of deals that were renewals</t>
        </is>
      </c>
      <c r="R106" s="61" t="inlineStr">
        <is>
          <t>% of funded dollars from renewals</t>
        </is>
      </c>
      <c r="S106" s="61" t="inlineStr">
        <is>
          <t>Book lost rate</t>
        </is>
      </c>
      <c r="T106" s="61" t="inlineStr">
        <is>
          <t>Book recovery</t>
        </is>
      </c>
      <c r="U106" s="61" t="inlineStr">
        <is>
          <t>Book return on funded capital</t>
        </is>
      </c>
      <c r="V106" s="61" t="inlineStr">
        <is>
          <t>Default rate (#)</t>
        </is>
      </c>
      <c r="W106" s="61" t="inlineStr">
        <is>
          <t>Chart label (name + deals)</t>
        </is>
      </c>
      <c r="X106" s="61" t="n"/>
      <c r="Y106" s="61" t="n"/>
      <c r="Z106" s="61" t="n"/>
      <c r="AA106" s="61" t="n"/>
      <c r="AB106" s="61" t="n"/>
      <c r="AC106" s="61" t="n"/>
      <c r="AD106" s="61" t="n"/>
      <c r="AE106" s="61" t="n"/>
      <c r="AF106" s="61" t="n"/>
      <c r="AG106" s="61" t="n"/>
      <c r="AH106" s="61" t="n"/>
      <c r="AI106" s="61" t="n"/>
      <c r="AJ106" s="61" t="n"/>
      <c r="AK106" s="61" t="n"/>
      <c r="AL106" s="61" t="n"/>
      <c r="AM106" s="61" t="n"/>
      <c r="AN106" s="61">
        <f>Controls!$D$65</f>
        <v/>
      </c>
      <c r="AO106" s="61">
        <f>COUNTIFS(Data!$AK$2:$AK$1105,1,Data!$L$2:$L$1105,$AN$106)</f>
        <v/>
      </c>
      <c r="AP106" s="57">
        <f>SUMIFS(Data!$P$2:$P$1105,Data!$AK$2:$AK$1105,1,Data!$L$2:$L$1105,$AN$106)</f>
        <v/>
      </c>
      <c r="AQ106" s="56">
        <f>IFERROR(SUMIFS(Data!$AN$2:$AN$1105,Data!$AK$2:$AK$1105,1,Data!$L$2:$L$1105,$AN$106)/$AP$106,0)</f>
        <v/>
      </c>
      <c r="AR106" s="57">
        <f>SUMIFS(Data!$AN$2:$AN$1105,Data!$AK$2:$AK$1105,1,Data!$L$2:$L$1105,$AN$106)</f>
        <v/>
      </c>
      <c r="AS106" s="61">
        <f>Controls!$E$65</f>
        <v/>
      </c>
      <c r="AT106" s="61">
        <f>IF(OR(AO106=0,AO106&lt;Controls!$B$20),-1000000000000000,IF(AND(Controls!$B$21="Y",$AN$106="No state"),-1000000000000000,IF(Controls!$B$17="Selected only",IF(AS106="Y",AP106,-1000000000000000),IF(Controls!$B$17="Top by funded $",AP106,IF(Controls!$B$17="Top by funded units",AO106,IF(Controls!$B$17="Largest principal lost $",AR106,IF(Controls!$B$17="Highest net profit $",AU106,IF(AO106&lt;Controls!$B$19,-1000000000000000,IF(Controls!$B$17="Highest principal lost rate %",AQ106,IF(Controls!$B$17="Lowest principal lost rate %",1-AQ106,AP106))))))))) +26/1000000)</f>
        <v/>
      </c>
      <c r="AU106" s="57">
        <f>SUMIFS(Data!$AM$2:$AM$1105,Data!$AK$2:$AK$1105,1,Data!$L$2:$L$1105,$AN$106)</f>
        <v/>
      </c>
      <c r="AV106" s="61" t="n"/>
      <c r="AW106" s="61" t="n"/>
      <c r="AX106" s="61" t="n"/>
      <c r="AY106" s="61" t="n"/>
      <c r="AZ106" s="61" t="n"/>
      <c r="BA106" s="61" t="n"/>
      <c r="BB106" s="61">
        <f>Controls!$G$71</f>
        <v/>
      </c>
      <c r="BC106" s="61">
        <f>COUNTIFS(Data!$AK$2:$AK$1105,1,Data!$M$2:$M$1105,$BB$106)</f>
        <v/>
      </c>
      <c r="BD106" s="57">
        <f>SUMIFS(Data!$P$2:$P$1105,Data!$AK$2:$AK$1105,1,Data!$M$2:$M$1105,$BB$106)</f>
        <v/>
      </c>
      <c r="BE106" s="56">
        <f>IF(COUNTIFS(Data!$AK$2:$AK$1105,1,Data!$M$2:$M$1105,$BB$106)&lt;Controls!$B$19,"",IFERROR(SUMIFS(Data!$AN$2:$AN$1105,Data!$AK$2:$AK$1105,1,Data!$M$2:$M$1105,$BB$106)/$BD$106,""))</f>
        <v/>
      </c>
      <c r="BF106" s="56">
        <f>IF(COUNTIFS(Data!$AK$2:$AK$1105,1,Data!$M$2:$M$1105,$BB$106)&lt;Controls!$B$19,"",IFERROR(SUMIFS(Data!$AM$2:$AM$1105,Data!$AK$2:$AK$1105,1,Data!$M$2:$M$1105,$BB$106)/SUMIFS(Data!$P$2:$P$1105,Data!$AK$2:$AK$1105,1,Data!$M$2:$M$1105,$BB$106),""))</f>
        <v/>
      </c>
      <c r="BG106" s="57">
        <f>SUMIFS(Data!$AN$2:$AN$1105,Data!$AK$2:$AK$1105,1,Data!$M$2:$M$1105,$BB$106)</f>
        <v/>
      </c>
      <c r="BH106" s="61" t="n"/>
      <c r="BI106" s="61">
        <f>IF(AND($BC$106&gt;=Controls!$B$22,$BD$106&gt;=LARGE($BD$75:$BD$230,MIN(Controls!$B$18,COUNT($BD$75:$BD$230)))),$BE$106,"")</f>
        <v/>
      </c>
      <c r="BJ106" s="61" t="n"/>
      <c r="BK106" s="61">
        <f>IF($BC$106&lt;Controls!$B$22,"",$BE$106)</f>
        <v/>
      </c>
      <c r="BL106" s="61">
        <f>IF($BC$106&lt;Controls!$B$22,"",$BF$106)</f>
        <v/>
      </c>
      <c r="BM106" s="61">
        <f>IF($BC$106&lt;Controls!$B$22,"",$BG$106)</f>
        <v/>
      </c>
      <c r="BN106" s="61" t="n"/>
      <c r="BO106" s="61" t="n"/>
      <c r="BP106" s="61" t="n"/>
      <c r="BQ106" s="61" t="n"/>
      <c r="BR106" s="61" t="n"/>
      <c r="BS106" s="61" t="n"/>
      <c r="BT106" s="61" t="n"/>
    </row>
    <row r="107" ht="15.75" customHeight="1" s="79">
      <c r="A107" s="61">
        <f>IF(COUNTIFS(Data!$AK$2:$AK$1105,1,Data!$G$2:$G$1105,"1")=0,"","1")</f>
        <v/>
      </c>
      <c r="B107" s="66">
        <f>IF($A$107="",NA(),IFERROR(SUMIFS(Data!$P$2:$P$1105,Data!$AK$2:$AK$1105,1,Data!$G$2:$G$1105,$A$107),NA()))</f>
        <v/>
      </c>
      <c r="C107" s="66">
        <f>IF($A$107="",NA(),IFERROR(SUMIFS(Data!$S$2:$S$1105,Data!$AK$2:$AK$1105,1,Data!$G$2:$G$1105,$A$107),NA()))</f>
        <v/>
      </c>
      <c r="D107" s="66">
        <f>IF(ISNA($B$107),NA(),$C$107-$B$107)</f>
        <v/>
      </c>
      <c r="E107" s="66">
        <f>IF($A$107="",NA(),IFERROR(SUMIFS(Data!$Q$2:$Q$1105,Data!$AK$2:$AK$1105,1,Data!$G$2:$G$1105,$A$107),NA()))</f>
        <v/>
      </c>
      <c r="F107" s="66">
        <f>IF($A$107="",NA(),IFERROR(SUMIFS(Data!$AN$2:$AN$1105,Data!$AK$2:$AK$1105,1,Data!$G$2:$G$1105,$A$107),NA()))</f>
        <v/>
      </c>
      <c r="G107" s="62">
        <f>IF($A$107="",NA(),IF(COUNTIFS(Data!$AK$2:$AK$1105,1,Data!$G$2:$G$1105,$A$107)&lt;Controls!$B$19,NA(),IFERROR(SUMIFS(Data!$AN$2:$AN$1105,Data!$AK$2:$AK$1105,1,Data!$G$2:$G$1105,$A$107)/$B$107,NA())))</f>
        <v/>
      </c>
      <c r="H107" s="62">
        <f>IF($A$107="",NA(),IF(COUNTIFS(Data!$AK$2:$AK$1105,1,Data!$G$2:$G$1105,$A$107)&lt;Controls!$B$19,NA(),IFERROR(SUMIFS(Data!$S$2:$S$1105,Data!$AK$2:$AK$1105,1,Data!$G$2:$G$1105,$A$107,Data!$AH$2:$AH$1105,1)/SUMIFS(Data!$P$2:$P$1105,Data!$AK$2:$AK$1105,1,Data!$G$2:$G$1105,$A$107,Data!$AH$2:$AH$1105,1),NA())))</f>
        <v/>
      </c>
      <c r="I107" s="62">
        <f>IF(ISNA($J$107),NA(),IF($J$107&lt;Controls!$B$19,NA(),IFERROR($D$107/$B$107,NA())))</f>
        <v/>
      </c>
      <c r="J107" s="67">
        <f>IF($A$107="",NA(),IFERROR(COUNTIFS(Data!$AK$2:$AK$1105,1,Data!$G$2:$G$1105,$A$107),NA()))</f>
        <v/>
      </c>
      <c r="K107" s="62">
        <f>IF(ISNA($B$107),NA(),IFERROR($B$107/Calc!$BT$6,NA()))</f>
        <v/>
      </c>
      <c r="L107" s="66">
        <f>IF(ISNA($J$107),NA(),IF($J$107&lt;Controls!$B$19,NA(),IFERROR($B$107/$J$107,NA())))</f>
        <v/>
      </c>
      <c r="M107" s="67">
        <f>IF($A$107="",NA(),IF(COUNTIFS(Data!$AK$2:$AK$1105,1,Data!$G$2:$G$1105,$A$107)&lt;Controls!$B$19,NA(),IFERROR(AVERAGEIFS(Data!$AE$2:$AE$1105,Data!$AK$2:$AK$1105,1,Data!$G$2:$G$1105,$A$107),NA())))</f>
        <v/>
      </c>
      <c r="N107" s="67">
        <f>IF($A$107="",NA(),IF(COUNTIFS(Data!$AK$2:$AK$1105,1,Data!$G$2:$G$1105,$A$107)&lt;Controls!$B$19,NA(),IFERROR(AVERAGEIFS(Data!$AD$2:$AD$1105,Data!$AK$2:$AK$1105,1,Data!$G$2:$G$1105,$A$107),NA())))</f>
        <v/>
      </c>
      <c r="O107" s="67">
        <f>IF($A$107="",NA(),IF(COUNTIFS(Data!$AK$2:$AK$1105,1,Data!$G$2:$G$1105,$A$107)&lt;Controls!$B$19,NA(),IFERROR(AVERAGEIFS(Data!$AS$2:$AS$1105,Data!$AK$2:$AK$1105,1,Data!$G$2:$G$1105,$A$107),NA())))</f>
        <v/>
      </c>
      <c r="P107" s="67">
        <f>IF($A$107="",NA(),IF(COUNTIFS(Data!$AK$2:$AK$1105,1,Data!$G$2:$G$1105,$A$107)&lt;Controls!$B$19,NA(),IFERROR(AVERAGEIFS(Data!$AT$2:$AT$1105,Data!$AK$2:$AK$1105,1,Data!$G$2:$G$1105,$A$107),NA())))</f>
        <v/>
      </c>
      <c r="Q107" s="62">
        <f>IF($A$107="",NA(),IF(COUNTIFS(Data!$AK$2:$AK$1105,1,Data!$G$2:$G$1105,$A$107)&lt;Controls!$B$19,NA(),IFERROR(COUNTIFS(Data!$AK$2:$AK$1105,1,Data!$G$2:$G$1105,$A$107,Data!$N$2:$N$1105,"Renewal")/COUNTIFS(Data!$AK$2:$AK$1105,1,Data!$G$2:$G$1105,$A$107),NA())))</f>
        <v/>
      </c>
      <c r="R107" s="62">
        <f>IF($A$107="",NA(),IF(COUNTIFS(Data!$AK$2:$AK$1105,1,Data!$G$2:$G$1105,$A$107)&lt;Controls!$B$19,NA(),IFERROR(SUMIFS(Data!$P$2:$P$1105,Data!$AK$2:$AK$1105,1,Data!$G$2:$G$1105,$A$107,Data!$N$2:$N$1105,"Renewal")/SUMIFS(Data!$P$2:$P$1105,Data!$AK$2:$AK$1105,1,Data!$G$2:$G$1105,$A$107),NA())))</f>
        <v/>
      </c>
      <c r="S107" s="62">
        <f>IF($A$107="",NA(),Calc!$BT$2)</f>
        <v/>
      </c>
      <c r="T107" s="62">
        <f>IF($A$107="",NA(),Calc!$BT$3)</f>
        <v/>
      </c>
      <c r="U107" s="62">
        <f>IF($A$107="",NA(),Calc!$BT$4)</f>
        <v/>
      </c>
      <c r="V107" s="62">
        <f>IF($A$107="",NA(),IF(COUNTIFS(Data!$AK$2:$AK$1105,1,Data!$G$2:$G$1105,$A$107)&lt;Controls!$B$19,NA(),IFERROR(COUNTIFS(Data!$AK$2:$AK$1105,1,Data!$G$2:$G$1105,$A$107,Data!$AH$2:$AH$1105,1)/COUNTIFS(Data!$AK$2:$AK$1105,1,Data!$G$2:$G$1105,$A$107),NA())))</f>
        <v/>
      </c>
      <c r="W107" s="61">
        <f>IF($A$107="","",$A$107&amp;" ("&amp;$J$107&amp;")")</f>
        <v/>
      </c>
      <c r="X107" s="61" t="n"/>
      <c r="Y107" s="61" t="n"/>
      <c r="Z107" s="61" t="n"/>
      <c r="AA107" s="61" t="n"/>
      <c r="AB107" s="61" t="n"/>
      <c r="AC107" s="61" t="n"/>
      <c r="AD107" s="61" t="n"/>
      <c r="AE107" s="61" t="n"/>
      <c r="AF107" s="61" t="n"/>
      <c r="AG107" s="61" t="n"/>
      <c r="AH107" s="61" t="n"/>
      <c r="AI107" s="61" t="n"/>
      <c r="AJ107" s="61" t="n"/>
      <c r="AK107" s="61" t="n"/>
      <c r="AL107" s="61" t="n"/>
      <c r="AM107" s="61" t="n"/>
      <c r="AN107" s="61">
        <f>Controls!$D$66</f>
        <v/>
      </c>
      <c r="AO107" s="61">
        <f>COUNTIFS(Data!$AK$2:$AK$1105,1,Data!$L$2:$L$1105,$AN$107)</f>
        <v/>
      </c>
      <c r="AP107" s="57">
        <f>SUMIFS(Data!$P$2:$P$1105,Data!$AK$2:$AK$1105,1,Data!$L$2:$L$1105,$AN$107)</f>
        <v/>
      </c>
      <c r="AQ107" s="56">
        <f>IFERROR(SUMIFS(Data!$AN$2:$AN$1105,Data!$AK$2:$AK$1105,1,Data!$L$2:$L$1105,$AN$107)/$AP$107,0)</f>
        <v/>
      </c>
      <c r="AR107" s="57">
        <f>SUMIFS(Data!$AN$2:$AN$1105,Data!$AK$2:$AK$1105,1,Data!$L$2:$L$1105,$AN$107)</f>
        <v/>
      </c>
      <c r="AS107" s="61">
        <f>Controls!$E$66</f>
        <v/>
      </c>
      <c r="AT107" s="61">
        <f>IF(OR(AO107=0,AO107&lt;Controls!$B$20),-1000000000000000,IF(AND(Controls!$B$21="Y",$AN$107="No state"),-1000000000000000,IF(Controls!$B$17="Selected only",IF(AS107="Y",AP107,-1000000000000000),IF(Controls!$B$17="Top by funded $",AP107,IF(Controls!$B$17="Top by funded units",AO107,IF(Controls!$B$17="Largest principal lost $",AR107,IF(Controls!$B$17="Highest net profit $",AU107,IF(AO107&lt;Controls!$B$19,-1000000000000000,IF(Controls!$B$17="Highest principal lost rate %",AQ107,IF(Controls!$B$17="Lowest principal lost rate %",1-AQ107,AP107))))))))) +27/1000000)</f>
        <v/>
      </c>
      <c r="AU107" s="57">
        <f>SUMIFS(Data!$AM$2:$AM$1105,Data!$AK$2:$AK$1105,1,Data!$L$2:$L$1105,$AN$107)</f>
        <v/>
      </c>
      <c r="AV107" s="61" t="n"/>
      <c r="AW107" s="61" t="n"/>
      <c r="AX107" s="61" t="n"/>
      <c r="AY107" s="61" t="n"/>
      <c r="AZ107" s="61" t="n"/>
      <c r="BA107" s="61" t="n"/>
      <c r="BB107" s="61">
        <f>Controls!$G$72</f>
        <v/>
      </c>
      <c r="BC107" s="61">
        <f>COUNTIFS(Data!$AK$2:$AK$1105,1,Data!$M$2:$M$1105,$BB$107)</f>
        <v/>
      </c>
      <c r="BD107" s="57">
        <f>SUMIFS(Data!$P$2:$P$1105,Data!$AK$2:$AK$1105,1,Data!$M$2:$M$1105,$BB$107)</f>
        <v/>
      </c>
      <c r="BE107" s="56">
        <f>IF(COUNTIFS(Data!$AK$2:$AK$1105,1,Data!$M$2:$M$1105,$BB$107)&lt;Controls!$B$19,"",IFERROR(SUMIFS(Data!$AN$2:$AN$1105,Data!$AK$2:$AK$1105,1,Data!$M$2:$M$1105,$BB$107)/$BD$107,""))</f>
        <v/>
      </c>
      <c r="BF107" s="56">
        <f>IF(COUNTIFS(Data!$AK$2:$AK$1105,1,Data!$M$2:$M$1105,$BB$107)&lt;Controls!$B$19,"",IFERROR(SUMIFS(Data!$AM$2:$AM$1105,Data!$AK$2:$AK$1105,1,Data!$M$2:$M$1105,$BB$107)/SUMIFS(Data!$P$2:$P$1105,Data!$AK$2:$AK$1105,1,Data!$M$2:$M$1105,$BB$107),""))</f>
        <v/>
      </c>
      <c r="BG107" s="57">
        <f>SUMIFS(Data!$AN$2:$AN$1105,Data!$AK$2:$AK$1105,1,Data!$M$2:$M$1105,$BB$107)</f>
        <v/>
      </c>
      <c r="BH107" s="61" t="n"/>
      <c r="BI107" s="61">
        <f>IF(AND($BC$107&gt;=Controls!$B$22,$BD$107&gt;=LARGE($BD$75:$BD$230,MIN(Controls!$B$18,COUNT($BD$75:$BD$230)))),$BE$107,"")</f>
        <v/>
      </c>
      <c r="BJ107" s="61" t="n"/>
      <c r="BK107" s="61">
        <f>IF($BC$107&lt;Controls!$B$22,"",$BE$107)</f>
        <v/>
      </c>
      <c r="BL107" s="61">
        <f>IF($BC$107&lt;Controls!$B$22,"",$BF$107)</f>
        <v/>
      </c>
      <c r="BM107" s="61">
        <f>IF($BC$107&lt;Controls!$B$22,"",$BG$107)</f>
        <v/>
      </c>
      <c r="BN107" s="61" t="n"/>
      <c r="BO107" s="61" t="n"/>
      <c r="BP107" s="61" t="n"/>
      <c r="BQ107" s="61" t="n"/>
      <c r="BR107" s="61" t="n"/>
      <c r="BS107" s="61" t="n"/>
      <c r="BT107" s="61" t="n"/>
    </row>
    <row r="108" ht="15.75" customHeight="1" s="79">
      <c r="A108" s="61">
        <f>IF(COUNTIFS(Data!$AK$2:$AK$1105,1,Data!$G$2:$G$1105,"2")=0,"","2")</f>
        <v/>
      </c>
      <c r="B108" s="66">
        <f>IF($A$108="",NA(),IFERROR(SUMIFS(Data!$P$2:$P$1105,Data!$AK$2:$AK$1105,1,Data!$G$2:$G$1105,$A$108),NA()))</f>
        <v/>
      </c>
      <c r="C108" s="66">
        <f>IF($A$108="",NA(),IFERROR(SUMIFS(Data!$S$2:$S$1105,Data!$AK$2:$AK$1105,1,Data!$G$2:$G$1105,$A$108),NA()))</f>
        <v/>
      </c>
      <c r="D108" s="66">
        <f>IF(ISNA($B$108),NA(),$C$108-$B$108)</f>
        <v/>
      </c>
      <c r="E108" s="66">
        <f>IF($A$108="",NA(),IFERROR(SUMIFS(Data!$Q$2:$Q$1105,Data!$AK$2:$AK$1105,1,Data!$G$2:$G$1105,$A$108),NA()))</f>
        <v/>
      </c>
      <c r="F108" s="66">
        <f>IF($A$108="",NA(),IFERROR(SUMIFS(Data!$AN$2:$AN$1105,Data!$AK$2:$AK$1105,1,Data!$G$2:$G$1105,$A$108),NA()))</f>
        <v/>
      </c>
      <c r="G108" s="62">
        <f>IF($A$108="",NA(),IF(COUNTIFS(Data!$AK$2:$AK$1105,1,Data!$G$2:$G$1105,$A$108)&lt;Controls!$B$19,NA(),IFERROR(SUMIFS(Data!$AN$2:$AN$1105,Data!$AK$2:$AK$1105,1,Data!$G$2:$G$1105,$A$108)/$B$108,NA())))</f>
        <v/>
      </c>
      <c r="H108" s="62">
        <f>IF($A$108="",NA(),IF(COUNTIFS(Data!$AK$2:$AK$1105,1,Data!$G$2:$G$1105,$A$108)&lt;Controls!$B$19,NA(),IFERROR(SUMIFS(Data!$S$2:$S$1105,Data!$AK$2:$AK$1105,1,Data!$G$2:$G$1105,$A$108,Data!$AH$2:$AH$1105,1)/SUMIFS(Data!$P$2:$P$1105,Data!$AK$2:$AK$1105,1,Data!$G$2:$G$1105,$A$108,Data!$AH$2:$AH$1105,1),NA())))</f>
        <v/>
      </c>
      <c r="I108" s="62">
        <f>IF(ISNA($J$108),NA(),IF($J$108&lt;Controls!$B$19,NA(),IFERROR($D$108/$B$108,NA())))</f>
        <v/>
      </c>
      <c r="J108" s="67">
        <f>IF($A$108="",NA(),IFERROR(COUNTIFS(Data!$AK$2:$AK$1105,1,Data!$G$2:$G$1105,$A$108),NA()))</f>
        <v/>
      </c>
      <c r="K108" s="62">
        <f>IF(ISNA($B$108),NA(),IFERROR($B$108/Calc!$BT$6,NA()))</f>
        <v/>
      </c>
      <c r="L108" s="66">
        <f>IF(ISNA($J$108),NA(),IF($J$108&lt;Controls!$B$19,NA(),IFERROR($B$108/$J$108,NA())))</f>
        <v/>
      </c>
      <c r="M108" s="67">
        <f>IF($A$108="",NA(),IF(COUNTIFS(Data!$AK$2:$AK$1105,1,Data!$G$2:$G$1105,$A$108)&lt;Controls!$B$19,NA(),IFERROR(AVERAGEIFS(Data!$AE$2:$AE$1105,Data!$AK$2:$AK$1105,1,Data!$G$2:$G$1105,$A$108),NA())))</f>
        <v/>
      </c>
      <c r="N108" s="67">
        <f>IF($A$108="",NA(),IF(COUNTIFS(Data!$AK$2:$AK$1105,1,Data!$G$2:$G$1105,$A$108)&lt;Controls!$B$19,NA(),IFERROR(AVERAGEIFS(Data!$AD$2:$AD$1105,Data!$AK$2:$AK$1105,1,Data!$G$2:$G$1105,$A$108),NA())))</f>
        <v/>
      </c>
      <c r="O108" s="67">
        <f>IF($A$108="",NA(),IF(COUNTIFS(Data!$AK$2:$AK$1105,1,Data!$G$2:$G$1105,$A$108)&lt;Controls!$B$19,NA(),IFERROR(AVERAGEIFS(Data!$AS$2:$AS$1105,Data!$AK$2:$AK$1105,1,Data!$G$2:$G$1105,$A$108),NA())))</f>
        <v/>
      </c>
      <c r="P108" s="67">
        <f>IF($A$108="",NA(),IF(COUNTIFS(Data!$AK$2:$AK$1105,1,Data!$G$2:$G$1105,$A$108)&lt;Controls!$B$19,NA(),IFERROR(AVERAGEIFS(Data!$AT$2:$AT$1105,Data!$AK$2:$AK$1105,1,Data!$G$2:$G$1105,$A$108),NA())))</f>
        <v/>
      </c>
      <c r="Q108" s="62">
        <f>IF($A$108="",NA(),IF(COUNTIFS(Data!$AK$2:$AK$1105,1,Data!$G$2:$G$1105,$A$108)&lt;Controls!$B$19,NA(),IFERROR(COUNTIFS(Data!$AK$2:$AK$1105,1,Data!$G$2:$G$1105,$A$108,Data!$N$2:$N$1105,"Renewal")/COUNTIFS(Data!$AK$2:$AK$1105,1,Data!$G$2:$G$1105,$A$108),NA())))</f>
        <v/>
      </c>
      <c r="R108" s="62">
        <f>IF($A$108="",NA(),IF(COUNTIFS(Data!$AK$2:$AK$1105,1,Data!$G$2:$G$1105,$A$108)&lt;Controls!$B$19,NA(),IFERROR(SUMIFS(Data!$P$2:$P$1105,Data!$AK$2:$AK$1105,1,Data!$G$2:$G$1105,$A$108,Data!$N$2:$N$1105,"Renewal")/SUMIFS(Data!$P$2:$P$1105,Data!$AK$2:$AK$1105,1,Data!$G$2:$G$1105,$A$108),NA())))</f>
        <v/>
      </c>
      <c r="S108" s="62">
        <f>IF($A$108="",NA(),Calc!$BT$2)</f>
        <v/>
      </c>
      <c r="T108" s="62">
        <f>IF($A$108="",NA(),Calc!$BT$3)</f>
        <v/>
      </c>
      <c r="U108" s="62">
        <f>IF($A$108="",NA(),Calc!$BT$4)</f>
        <v/>
      </c>
      <c r="V108" s="62">
        <f>IF($A$108="",NA(),IF(COUNTIFS(Data!$AK$2:$AK$1105,1,Data!$G$2:$G$1105,$A$108)&lt;Controls!$B$19,NA(),IFERROR(COUNTIFS(Data!$AK$2:$AK$1105,1,Data!$G$2:$G$1105,$A$108,Data!$AH$2:$AH$1105,1)/COUNTIFS(Data!$AK$2:$AK$1105,1,Data!$G$2:$G$1105,$A$108),NA())))</f>
        <v/>
      </c>
      <c r="W108" s="61">
        <f>IF($A$108="","",$A$108&amp;" ("&amp;$J$108&amp;")")</f>
        <v/>
      </c>
      <c r="X108" s="61" t="n"/>
      <c r="Y108" s="61" t="n"/>
      <c r="Z108" s="61" t="n"/>
      <c r="AA108" s="61" t="n"/>
      <c r="AB108" s="61" t="n"/>
      <c r="AC108" s="61" t="n"/>
      <c r="AD108" s="61" t="n"/>
      <c r="AE108" s="61" t="n"/>
      <c r="AF108" s="61" t="n"/>
      <c r="AG108" s="61" t="n"/>
      <c r="AH108" s="61" t="n"/>
      <c r="AI108" s="61" t="n"/>
      <c r="AJ108" s="61" t="n"/>
      <c r="AK108" s="61" t="n"/>
      <c r="AL108" s="61" t="n"/>
      <c r="AM108" s="61" t="n"/>
      <c r="AN108" s="61">
        <f>Controls!$D$67</f>
        <v/>
      </c>
      <c r="AO108" s="61">
        <f>COUNTIFS(Data!$AK$2:$AK$1105,1,Data!$L$2:$L$1105,$AN$108)</f>
        <v/>
      </c>
      <c r="AP108" s="57">
        <f>SUMIFS(Data!$P$2:$P$1105,Data!$AK$2:$AK$1105,1,Data!$L$2:$L$1105,$AN$108)</f>
        <v/>
      </c>
      <c r="AQ108" s="56">
        <f>IFERROR(SUMIFS(Data!$AN$2:$AN$1105,Data!$AK$2:$AK$1105,1,Data!$L$2:$L$1105,$AN$108)/$AP$108,0)</f>
        <v/>
      </c>
      <c r="AR108" s="57">
        <f>SUMIFS(Data!$AN$2:$AN$1105,Data!$AK$2:$AK$1105,1,Data!$L$2:$L$1105,$AN$108)</f>
        <v/>
      </c>
      <c r="AS108" s="61">
        <f>Controls!$E$67</f>
        <v/>
      </c>
      <c r="AT108" s="61">
        <f>IF(OR(AO108=0,AO108&lt;Controls!$B$20),-1000000000000000,IF(AND(Controls!$B$21="Y",$AN$108="No state"),-1000000000000000,IF(Controls!$B$17="Selected only",IF(AS108="Y",AP108,-1000000000000000),IF(Controls!$B$17="Top by funded $",AP108,IF(Controls!$B$17="Top by funded units",AO108,IF(Controls!$B$17="Largest principal lost $",AR108,IF(Controls!$B$17="Highest net profit $",AU108,IF(AO108&lt;Controls!$B$19,-1000000000000000,IF(Controls!$B$17="Highest principal lost rate %",AQ108,IF(Controls!$B$17="Lowest principal lost rate %",1-AQ108,AP108))))))))) +28/1000000)</f>
        <v/>
      </c>
      <c r="AU108" s="57">
        <f>SUMIFS(Data!$AM$2:$AM$1105,Data!$AK$2:$AK$1105,1,Data!$L$2:$L$1105,$AN$108)</f>
        <v/>
      </c>
      <c r="AV108" s="61" t="n"/>
      <c r="AW108" s="61" t="n"/>
      <c r="AX108" s="61" t="n"/>
      <c r="AY108" s="61" t="n"/>
      <c r="AZ108" s="61" t="n"/>
      <c r="BA108" s="61" t="n"/>
      <c r="BB108" s="61">
        <f>Controls!$G$73</f>
        <v/>
      </c>
      <c r="BC108" s="61">
        <f>COUNTIFS(Data!$AK$2:$AK$1105,1,Data!$M$2:$M$1105,$BB$108)</f>
        <v/>
      </c>
      <c r="BD108" s="57">
        <f>SUMIFS(Data!$P$2:$P$1105,Data!$AK$2:$AK$1105,1,Data!$M$2:$M$1105,$BB$108)</f>
        <v/>
      </c>
      <c r="BE108" s="56">
        <f>IF(COUNTIFS(Data!$AK$2:$AK$1105,1,Data!$M$2:$M$1105,$BB$108)&lt;Controls!$B$19,"",IFERROR(SUMIFS(Data!$AN$2:$AN$1105,Data!$AK$2:$AK$1105,1,Data!$M$2:$M$1105,$BB$108)/$BD$108,""))</f>
        <v/>
      </c>
      <c r="BF108" s="56">
        <f>IF(COUNTIFS(Data!$AK$2:$AK$1105,1,Data!$M$2:$M$1105,$BB$108)&lt;Controls!$B$19,"",IFERROR(SUMIFS(Data!$AM$2:$AM$1105,Data!$AK$2:$AK$1105,1,Data!$M$2:$M$1105,$BB$108)/SUMIFS(Data!$P$2:$P$1105,Data!$AK$2:$AK$1105,1,Data!$M$2:$M$1105,$BB$108),""))</f>
        <v/>
      </c>
      <c r="BG108" s="57">
        <f>SUMIFS(Data!$AN$2:$AN$1105,Data!$AK$2:$AK$1105,1,Data!$M$2:$M$1105,$BB$108)</f>
        <v/>
      </c>
      <c r="BH108" s="61" t="n"/>
      <c r="BI108" s="61">
        <f>IF(AND($BC$108&gt;=Controls!$B$22,$BD$108&gt;=LARGE($BD$75:$BD$230,MIN(Controls!$B$18,COUNT($BD$75:$BD$230)))),$BE$108,"")</f>
        <v/>
      </c>
      <c r="BJ108" s="61" t="n"/>
      <c r="BK108" s="61">
        <f>IF($BC$108&lt;Controls!$B$22,"",$BE$108)</f>
        <v/>
      </c>
      <c r="BL108" s="61">
        <f>IF($BC$108&lt;Controls!$B$22,"",$BF$108)</f>
        <v/>
      </c>
      <c r="BM108" s="61">
        <f>IF($BC$108&lt;Controls!$B$22,"",$BG$108)</f>
        <v/>
      </c>
      <c r="BN108" s="61" t="n"/>
      <c r="BO108" s="61" t="n"/>
      <c r="BP108" s="61" t="n"/>
      <c r="BQ108" s="61" t="n"/>
      <c r="BR108" s="61" t="n"/>
      <c r="BS108" s="61" t="n"/>
      <c r="BT108" s="61" t="n"/>
    </row>
    <row r="109" ht="15.75" customHeight="1" s="79">
      <c r="A109" s="61">
        <f>IF(COUNTIFS(Data!$AK$2:$AK$1105,1,Data!$G$2:$G$1105,"3")=0,"","3")</f>
        <v/>
      </c>
      <c r="B109" s="66">
        <f>IF($A$109="",NA(),IFERROR(SUMIFS(Data!$P$2:$P$1105,Data!$AK$2:$AK$1105,1,Data!$G$2:$G$1105,$A$109),NA()))</f>
        <v/>
      </c>
      <c r="C109" s="66">
        <f>IF($A$109="",NA(),IFERROR(SUMIFS(Data!$S$2:$S$1105,Data!$AK$2:$AK$1105,1,Data!$G$2:$G$1105,$A$109),NA()))</f>
        <v/>
      </c>
      <c r="D109" s="66">
        <f>IF(ISNA($B$109),NA(),$C$109-$B$109)</f>
        <v/>
      </c>
      <c r="E109" s="66">
        <f>IF($A$109="",NA(),IFERROR(SUMIFS(Data!$Q$2:$Q$1105,Data!$AK$2:$AK$1105,1,Data!$G$2:$G$1105,$A$109),NA()))</f>
        <v/>
      </c>
      <c r="F109" s="66">
        <f>IF($A$109="",NA(),IFERROR(SUMIFS(Data!$AN$2:$AN$1105,Data!$AK$2:$AK$1105,1,Data!$G$2:$G$1105,$A$109),NA()))</f>
        <v/>
      </c>
      <c r="G109" s="62">
        <f>IF($A$109="",NA(),IF(COUNTIFS(Data!$AK$2:$AK$1105,1,Data!$G$2:$G$1105,$A$109)&lt;Controls!$B$19,NA(),IFERROR(SUMIFS(Data!$AN$2:$AN$1105,Data!$AK$2:$AK$1105,1,Data!$G$2:$G$1105,$A$109)/$B$109,NA())))</f>
        <v/>
      </c>
      <c r="H109" s="62">
        <f>IF($A$109="",NA(),IF(COUNTIFS(Data!$AK$2:$AK$1105,1,Data!$G$2:$G$1105,$A$109)&lt;Controls!$B$19,NA(),IFERROR(SUMIFS(Data!$S$2:$S$1105,Data!$AK$2:$AK$1105,1,Data!$G$2:$G$1105,$A$109,Data!$AH$2:$AH$1105,1)/SUMIFS(Data!$P$2:$P$1105,Data!$AK$2:$AK$1105,1,Data!$G$2:$G$1105,$A$109,Data!$AH$2:$AH$1105,1),NA())))</f>
        <v/>
      </c>
      <c r="I109" s="62">
        <f>IF(ISNA($J$109),NA(),IF($J$109&lt;Controls!$B$19,NA(),IFERROR($D$109/$B$109,NA())))</f>
        <v/>
      </c>
      <c r="J109" s="67">
        <f>IF($A$109="",NA(),IFERROR(COUNTIFS(Data!$AK$2:$AK$1105,1,Data!$G$2:$G$1105,$A$109),NA()))</f>
        <v/>
      </c>
      <c r="K109" s="62">
        <f>IF(ISNA($B$109),NA(),IFERROR($B$109/Calc!$BT$6,NA()))</f>
        <v/>
      </c>
      <c r="L109" s="66">
        <f>IF(ISNA($J$109),NA(),IF($J$109&lt;Controls!$B$19,NA(),IFERROR($B$109/$J$109,NA())))</f>
        <v/>
      </c>
      <c r="M109" s="67">
        <f>IF($A$109="",NA(),IF(COUNTIFS(Data!$AK$2:$AK$1105,1,Data!$G$2:$G$1105,$A$109)&lt;Controls!$B$19,NA(),IFERROR(AVERAGEIFS(Data!$AE$2:$AE$1105,Data!$AK$2:$AK$1105,1,Data!$G$2:$G$1105,$A$109),NA())))</f>
        <v/>
      </c>
      <c r="N109" s="67">
        <f>IF($A$109="",NA(),IF(COUNTIFS(Data!$AK$2:$AK$1105,1,Data!$G$2:$G$1105,$A$109)&lt;Controls!$B$19,NA(),IFERROR(AVERAGEIFS(Data!$AD$2:$AD$1105,Data!$AK$2:$AK$1105,1,Data!$G$2:$G$1105,$A$109),NA())))</f>
        <v/>
      </c>
      <c r="O109" s="67">
        <f>IF($A$109="",NA(),IF(COUNTIFS(Data!$AK$2:$AK$1105,1,Data!$G$2:$G$1105,$A$109)&lt;Controls!$B$19,NA(),IFERROR(AVERAGEIFS(Data!$AS$2:$AS$1105,Data!$AK$2:$AK$1105,1,Data!$G$2:$G$1105,$A$109),NA())))</f>
        <v/>
      </c>
      <c r="P109" s="67">
        <f>IF($A$109="",NA(),IF(COUNTIFS(Data!$AK$2:$AK$1105,1,Data!$G$2:$G$1105,$A$109)&lt;Controls!$B$19,NA(),IFERROR(AVERAGEIFS(Data!$AT$2:$AT$1105,Data!$AK$2:$AK$1105,1,Data!$G$2:$G$1105,$A$109),NA())))</f>
        <v/>
      </c>
      <c r="Q109" s="62">
        <f>IF($A$109="",NA(),IF(COUNTIFS(Data!$AK$2:$AK$1105,1,Data!$G$2:$G$1105,$A$109)&lt;Controls!$B$19,NA(),IFERROR(COUNTIFS(Data!$AK$2:$AK$1105,1,Data!$G$2:$G$1105,$A$109,Data!$N$2:$N$1105,"Renewal")/COUNTIFS(Data!$AK$2:$AK$1105,1,Data!$G$2:$G$1105,$A$109),NA())))</f>
        <v/>
      </c>
      <c r="R109" s="62">
        <f>IF($A$109="",NA(),IF(COUNTIFS(Data!$AK$2:$AK$1105,1,Data!$G$2:$G$1105,$A$109)&lt;Controls!$B$19,NA(),IFERROR(SUMIFS(Data!$P$2:$P$1105,Data!$AK$2:$AK$1105,1,Data!$G$2:$G$1105,$A$109,Data!$N$2:$N$1105,"Renewal")/SUMIFS(Data!$P$2:$P$1105,Data!$AK$2:$AK$1105,1,Data!$G$2:$G$1105,$A$109),NA())))</f>
        <v/>
      </c>
      <c r="S109" s="62">
        <f>IF($A$109="",NA(),Calc!$BT$2)</f>
        <v/>
      </c>
      <c r="T109" s="62">
        <f>IF($A$109="",NA(),Calc!$BT$3)</f>
        <v/>
      </c>
      <c r="U109" s="62">
        <f>IF($A$109="",NA(),Calc!$BT$4)</f>
        <v/>
      </c>
      <c r="V109" s="62">
        <f>IF($A$109="",NA(),IF(COUNTIFS(Data!$AK$2:$AK$1105,1,Data!$G$2:$G$1105,$A$109)&lt;Controls!$B$19,NA(),IFERROR(COUNTIFS(Data!$AK$2:$AK$1105,1,Data!$G$2:$G$1105,$A$109,Data!$AH$2:$AH$1105,1)/COUNTIFS(Data!$AK$2:$AK$1105,1,Data!$G$2:$G$1105,$A$109),NA())))</f>
        <v/>
      </c>
      <c r="W109" s="61">
        <f>IF($A$109="","",$A$109&amp;" ("&amp;$J$109&amp;")")</f>
        <v/>
      </c>
      <c r="X109" s="61" t="n"/>
      <c r="Y109" s="61" t="n"/>
      <c r="Z109" s="61" t="n"/>
      <c r="AA109" s="61" t="n"/>
      <c r="AB109" s="61" t="n"/>
      <c r="AC109" s="61" t="n"/>
      <c r="AD109" s="61" t="n"/>
      <c r="AE109" s="61" t="n"/>
      <c r="AF109" s="61" t="n"/>
      <c r="AG109" s="61" t="n"/>
      <c r="AH109" s="61" t="n"/>
      <c r="AI109" s="61" t="n"/>
      <c r="AJ109" s="61" t="n"/>
      <c r="AK109" s="61" t="n"/>
      <c r="AL109" s="61" t="n"/>
      <c r="AM109" s="61" t="n"/>
      <c r="AN109" s="61">
        <f>Controls!$D$68</f>
        <v/>
      </c>
      <c r="AO109" s="61">
        <f>COUNTIFS(Data!$AK$2:$AK$1105,1,Data!$L$2:$L$1105,$AN$109)</f>
        <v/>
      </c>
      <c r="AP109" s="57">
        <f>SUMIFS(Data!$P$2:$P$1105,Data!$AK$2:$AK$1105,1,Data!$L$2:$L$1105,$AN$109)</f>
        <v/>
      </c>
      <c r="AQ109" s="56">
        <f>IFERROR(SUMIFS(Data!$AN$2:$AN$1105,Data!$AK$2:$AK$1105,1,Data!$L$2:$L$1105,$AN$109)/$AP$109,0)</f>
        <v/>
      </c>
      <c r="AR109" s="57">
        <f>SUMIFS(Data!$AN$2:$AN$1105,Data!$AK$2:$AK$1105,1,Data!$L$2:$L$1105,$AN$109)</f>
        <v/>
      </c>
      <c r="AS109" s="61">
        <f>Controls!$E$68</f>
        <v/>
      </c>
      <c r="AT109" s="61">
        <f>IF(OR(AO109=0,AO109&lt;Controls!$B$20),-1000000000000000,IF(AND(Controls!$B$21="Y",$AN$109="No state"),-1000000000000000,IF(Controls!$B$17="Selected only",IF(AS109="Y",AP109,-1000000000000000),IF(Controls!$B$17="Top by funded $",AP109,IF(Controls!$B$17="Top by funded units",AO109,IF(Controls!$B$17="Largest principal lost $",AR109,IF(Controls!$B$17="Highest net profit $",AU109,IF(AO109&lt;Controls!$B$19,-1000000000000000,IF(Controls!$B$17="Highest principal lost rate %",AQ109,IF(Controls!$B$17="Lowest principal lost rate %",1-AQ109,AP109))))))))) +29/1000000)</f>
        <v/>
      </c>
      <c r="AU109" s="57">
        <f>SUMIFS(Data!$AM$2:$AM$1105,Data!$AK$2:$AK$1105,1,Data!$L$2:$L$1105,$AN$109)</f>
        <v/>
      </c>
      <c r="AV109" s="61" t="n"/>
      <c r="AW109" s="61" t="n"/>
      <c r="AX109" s="61" t="n"/>
      <c r="AY109" s="61" t="n"/>
      <c r="AZ109" s="61" t="n"/>
      <c r="BA109" s="61" t="n"/>
      <c r="BB109" s="61">
        <f>Controls!$G$74</f>
        <v/>
      </c>
      <c r="BC109" s="61">
        <f>COUNTIFS(Data!$AK$2:$AK$1105,1,Data!$M$2:$M$1105,$BB$109)</f>
        <v/>
      </c>
      <c r="BD109" s="57">
        <f>SUMIFS(Data!$P$2:$P$1105,Data!$AK$2:$AK$1105,1,Data!$M$2:$M$1105,$BB$109)</f>
        <v/>
      </c>
      <c r="BE109" s="56">
        <f>IF(COUNTIFS(Data!$AK$2:$AK$1105,1,Data!$M$2:$M$1105,$BB$109)&lt;Controls!$B$19,"",IFERROR(SUMIFS(Data!$AN$2:$AN$1105,Data!$AK$2:$AK$1105,1,Data!$M$2:$M$1105,$BB$109)/$BD$109,""))</f>
        <v/>
      </c>
      <c r="BF109" s="56">
        <f>IF(COUNTIFS(Data!$AK$2:$AK$1105,1,Data!$M$2:$M$1105,$BB$109)&lt;Controls!$B$19,"",IFERROR(SUMIFS(Data!$AM$2:$AM$1105,Data!$AK$2:$AK$1105,1,Data!$M$2:$M$1105,$BB$109)/SUMIFS(Data!$P$2:$P$1105,Data!$AK$2:$AK$1105,1,Data!$M$2:$M$1105,$BB$109),""))</f>
        <v/>
      </c>
      <c r="BG109" s="57">
        <f>SUMIFS(Data!$AN$2:$AN$1105,Data!$AK$2:$AK$1105,1,Data!$M$2:$M$1105,$BB$109)</f>
        <v/>
      </c>
      <c r="BH109" s="61" t="n"/>
      <c r="BI109" s="61">
        <f>IF(AND($BC$109&gt;=Controls!$B$22,$BD$109&gt;=LARGE($BD$75:$BD$230,MIN(Controls!$B$18,COUNT($BD$75:$BD$230)))),$BE$109,"")</f>
        <v/>
      </c>
      <c r="BJ109" s="61" t="n"/>
      <c r="BK109" s="61">
        <f>IF($BC$109&lt;Controls!$B$22,"",$BE$109)</f>
        <v/>
      </c>
      <c r="BL109" s="61">
        <f>IF($BC$109&lt;Controls!$B$22,"",$BF$109)</f>
        <v/>
      </c>
      <c r="BM109" s="61">
        <f>IF($BC$109&lt;Controls!$B$22,"",$BG$109)</f>
        <v/>
      </c>
      <c r="BN109" s="61" t="n"/>
      <c r="BO109" s="61" t="n"/>
      <c r="BP109" s="61" t="n"/>
      <c r="BQ109" s="61" t="n"/>
      <c r="BR109" s="61" t="n"/>
      <c r="BS109" s="61" t="n"/>
      <c r="BT109" s="61" t="n"/>
    </row>
    <row r="110" ht="15.75" customHeight="1" s="79">
      <c r="A110" s="61">
        <f>IF(COUNTIFS(Data!$AK$2:$AK$1105,1,Data!$G$2:$G$1105,"4")=0,"","4")</f>
        <v/>
      </c>
      <c r="B110" s="66">
        <f>IF($A$110="",NA(),IFERROR(SUMIFS(Data!$P$2:$P$1105,Data!$AK$2:$AK$1105,1,Data!$G$2:$G$1105,$A$110),NA()))</f>
        <v/>
      </c>
      <c r="C110" s="66">
        <f>IF($A$110="",NA(),IFERROR(SUMIFS(Data!$S$2:$S$1105,Data!$AK$2:$AK$1105,1,Data!$G$2:$G$1105,$A$110),NA()))</f>
        <v/>
      </c>
      <c r="D110" s="66">
        <f>IF(ISNA($B$110),NA(),$C$110-$B$110)</f>
        <v/>
      </c>
      <c r="E110" s="66">
        <f>IF($A$110="",NA(),IFERROR(SUMIFS(Data!$Q$2:$Q$1105,Data!$AK$2:$AK$1105,1,Data!$G$2:$G$1105,$A$110),NA()))</f>
        <v/>
      </c>
      <c r="F110" s="66">
        <f>IF($A$110="",NA(),IFERROR(SUMIFS(Data!$AN$2:$AN$1105,Data!$AK$2:$AK$1105,1,Data!$G$2:$G$1105,$A$110),NA()))</f>
        <v/>
      </c>
      <c r="G110" s="62">
        <f>IF($A$110="",NA(),IF(COUNTIFS(Data!$AK$2:$AK$1105,1,Data!$G$2:$G$1105,$A$110)&lt;Controls!$B$19,NA(),IFERROR(SUMIFS(Data!$AN$2:$AN$1105,Data!$AK$2:$AK$1105,1,Data!$G$2:$G$1105,$A$110)/$B$110,NA())))</f>
        <v/>
      </c>
      <c r="H110" s="62">
        <f>IF($A$110="",NA(),IF(COUNTIFS(Data!$AK$2:$AK$1105,1,Data!$G$2:$G$1105,$A$110)&lt;Controls!$B$19,NA(),IFERROR(SUMIFS(Data!$S$2:$S$1105,Data!$AK$2:$AK$1105,1,Data!$G$2:$G$1105,$A$110,Data!$AH$2:$AH$1105,1)/SUMIFS(Data!$P$2:$P$1105,Data!$AK$2:$AK$1105,1,Data!$G$2:$G$1105,$A$110,Data!$AH$2:$AH$1105,1),NA())))</f>
        <v/>
      </c>
      <c r="I110" s="62">
        <f>IF(ISNA($J$110),NA(),IF($J$110&lt;Controls!$B$19,NA(),IFERROR($D$110/$B$110,NA())))</f>
        <v/>
      </c>
      <c r="J110" s="67">
        <f>IF($A$110="",NA(),IFERROR(COUNTIFS(Data!$AK$2:$AK$1105,1,Data!$G$2:$G$1105,$A$110),NA()))</f>
        <v/>
      </c>
      <c r="K110" s="62">
        <f>IF(ISNA($B$110),NA(),IFERROR($B$110/Calc!$BT$6,NA()))</f>
        <v/>
      </c>
      <c r="L110" s="66">
        <f>IF(ISNA($J$110),NA(),IF($J$110&lt;Controls!$B$19,NA(),IFERROR($B$110/$J$110,NA())))</f>
        <v/>
      </c>
      <c r="M110" s="67">
        <f>IF($A$110="",NA(),IF(COUNTIFS(Data!$AK$2:$AK$1105,1,Data!$G$2:$G$1105,$A$110)&lt;Controls!$B$19,NA(),IFERROR(AVERAGEIFS(Data!$AE$2:$AE$1105,Data!$AK$2:$AK$1105,1,Data!$G$2:$G$1105,$A$110),NA())))</f>
        <v/>
      </c>
      <c r="N110" s="67">
        <f>IF($A$110="",NA(),IF(COUNTIFS(Data!$AK$2:$AK$1105,1,Data!$G$2:$G$1105,$A$110)&lt;Controls!$B$19,NA(),IFERROR(AVERAGEIFS(Data!$AD$2:$AD$1105,Data!$AK$2:$AK$1105,1,Data!$G$2:$G$1105,$A$110),NA())))</f>
        <v/>
      </c>
      <c r="O110" s="67">
        <f>IF($A$110="",NA(),IF(COUNTIFS(Data!$AK$2:$AK$1105,1,Data!$G$2:$G$1105,$A$110)&lt;Controls!$B$19,NA(),IFERROR(AVERAGEIFS(Data!$AS$2:$AS$1105,Data!$AK$2:$AK$1105,1,Data!$G$2:$G$1105,$A$110),NA())))</f>
        <v/>
      </c>
      <c r="P110" s="67">
        <f>IF($A$110="",NA(),IF(COUNTIFS(Data!$AK$2:$AK$1105,1,Data!$G$2:$G$1105,$A$110)&lt;Controls!$B$19,NA(),IFERROR(AVERAGEIFS(Data!$AT$2:$AT$1105,Data!$AK$2:$AK$1105,1,Data!$G$2:$G$1105,$A$110),NA())))</f>
        <v/>
      </c>
      <c r="Q110" s="62">
        <f>IF($A$110="",NA(),IF(COUNTIFS(Data!$AK$2:$AK$1105,1,Data!$G$2:$G$1105,$A$110)&lt;Controls!$B$19,NA(),IFERROR(COUNTIFS(Data!$AK$2:$AK$1105,1,Data!$G$2:$G$1105,$A$110,Data!$N$2:$N$1105,"Renewal")/COUNTIFS(Data!$AK$2:$AK$1105,1,Data!$G$2:$G$1105,$A$110),NA())))</f>
        <v/>
      </c>
      <c r="R110" s="62">
        <f>IF($A$110="",NA(),IF(COUNTIFS(Data!$AK$2:$AK$1105,1,Data!$G$2:$G$1105,$A$110)&lt;Controls!$B$19,NA(),IFERROR(SUMIFS(Data!$P$2:$P$1105,Data!$AK$2:$AK$1105,1,Data!$G$2:$G$1105,$A$110,Data!$N$2:$N$1105,"Renewal")/SUMIFS(Data!$P$2:$P$1105,Data!$AK$2:$AK$1105,1,Data!$G$2:$G$1105,$A$110),NA())))</f>
        <v/>
      </c>
      <c r="S110" s="62">
        <f>IF($A$110="",NA(),Calc!$BT$2)</f>
        <v/>
      </c>
      <c r="T110" s="62">
        <f>IF($A$110="",NA(),Calc!$BT$3)</f>
        <v/>
      </c>
      <c r="U110" s="62">
        <f>IF($A$110="",NA(),Calc!$BT$4)</f>
        <v/>
      </c>
      <c r="V110" s="62">
        <f>IF($A$110="",NA(),IF(COUNTIFS(Data!$AK$2:$AK$1105,1,Data!$G$2:$G$1105,$A$110)&lt;Controls!$B$19,NA(),IFERROR(COUNTIFS(Data!$AK$2:$AK$1105,1,Data!$G$2:$G$1105,$A$110,Data!$AH$2:$AH$1105,1)/COUNTIFS(Data!$AK$2:$AK$1105,1,Data!$G$2:$G$1105,$A$110),NA())))</f>
        <v/>
      </c>
      <c r="W110" s="61">
        <f>IF($A$110="","",$A$110&amp;" ("&amp;$J$110&amp;")")</f>
        <v/>
      </c>
      <c r="X110" s="61" t="n"/>
      <c r="Y110" s="61" t="n"/>
      <c r="Z110" s="61" t="n"/>
      <c r="AA110" s="61" t="n"/>
      <c r="AB110" s="61" t="n"/>
      <c r="AC110" s="61" t="n"/>
      <c r="AD110" s="61" t="n"/>
      <c r="AE110" s="61" t="n"/>
      <c r="AF110" s="61" t="n"/>
      <c r="AG110" s="61" t="n"/>
      <c r="AH110" s="61" t="n"/>
      <c r="AI110" s="61" t="n"/>
      <c r="AJ110" s="61" t="n"/>
      <c r="AK110" s="61" t="n"/>
      <c r="AL110" s="61" t="n"/>
      <c r="AM110" s="61" t="n"/>
      <c r="AN110" s="61">
        <f>Controls!$D$69</f>
        <v/>
      </c>
      <c r="AO110" s="61">
        <f>COUNTIFS(Data!$AK$2:$AK$1105,1,Data!$L$2:$L$1105,$AN$110)</f>
        <v/>
      </c>
      <c r="AP110" s="57">
        <f>SUMIFS(Data!$P$2:$P$1105,Data!$AK$2:$AK$1105,1,Data!$L$2:$L$1105,$AN$110)</f>
        <v/>
      </c>
      <c r="AQ110" s="56">
        <f>IFERROR(SUMIFS(Data!$AN$2:$AN$1105,Data!$AK$2:$AK$1105,1,Data!$L$2:$L$1105,$AN$110)/$AP$110,0)</f>
        <v/>
      </c>
      <c r="AR110" s="57">
        <f>SUMIFS(Data!$AN$2:$AN$1105,Data!$AK$2:$AK$1105,1,Data!$L$2:$L$1105,$AN$110)</f>
        <v/>
      </c>
      <c r="AS110" s="61">
        <f>Controls!$E$69</f>
        <v/>
      </c>
      <c r="AT110" s="61">
        <f>IF(OR(AO110=0,AO110&lt;Controls!$B$20),-1000000000000000,IF(AND(Controls!$B$21="Y",$AN$110="No state"),-1000000000000000,IF(Controls!$B$17="Selected only",IF(AS110="Y",AP110,-1000000000000000),IF(Controls!$B$17="Top by funded $",AP110,IF(Controls!$B$17="Top by funded units",AO110,IF(Controls!$B$17="Largest principal lost $",AR110,IF(Controls!$B$17="Highest net profit $",AU110,IF(AO110&lt;Controls!$B$19,-1000000000000000,IF(Controls!$B$17="Highest principal lost rate %",AQ110,IF(Controls!$B$17="Lowest principal lost rate %",1-AQ110,AP110))))))))) +30/1000000)</f>
        <v/>
      </c>
      <c r="AU110" s="57">
        <f>SUMIFS(Data!$AM$2:$AM$1105,Data!$AK$2:$AK$1105,1,Data!$L$2:$L$1105,$AN$110)</f>
        <v/>
      </c>
      <c r="AV110" s="61" t="n"/>
      <c r="AW110" s="61" t="n"/>
      <c r="AX110" s="61" t="n"/>
      <c r="AY110" s="61" t="n"/>
      <c r="AZ110" s="61" t="n"/>
      <c r="BA110" s="61" t="n"/>
      <c r="BB110" s="61">
        <f>Controls!$G$75</f>
        <v/>
      </c>
      <c r="BC110" s="61">
        <f>COUNTIFS(Data!$AK$2:$AK$1105,1,Data!$M$2:$M$1105,$BB$110)</f>
        <v/>
      </c>
      <c r="BD110" s="57">
        <f>SUMIFS(Data!$P$2:$P$1105,Data!$AK$2:$AK$1105,1,Data!$M$2:$M$1105,$BB$110)</f>
        <v/>
      </c>
      <c r="BE110" s="56">
        <f>IF(COUNTIFS(Data!$AK$2:$AK$1105,1,Data!$M$2:$M$1105,$BB$110)&lt;Controls!$B$19,"",IFERROR(SUMIFS(Data!$AN$2:$AN$1105,Data!$AK$2:$AK$1105,1,Data!$M$2:$M$1105,$BB$110)/$BD$110,""))</f>
        <v/>
      </c>
      <c r="BF110" s="56">
        <f>IF(COUNTIFS(Data!$AK$2:$AK$1105,1,Data!$M$2:$M$1105,$BB$110)&lt;Controls!$B$19,"",IFERROR(SUMIFS(Data!$AM$2:$AM$1105,Data!$AK$2:$AK$1105,1,Data!$M$2:$M$1105,$BB$110)/SUMIFS(Data!$P$2:$P$1105,Data!$AK$2:$AK$1105,1,Data!$M$2:$M$1105,$BB$110),""))</f>
        <v/>
      </c>
      <c r="BG110" s="57">
        <f>SUMIFS(Data!$AN$2:$AN$1105,Data!$AK$2:$AK$1105,1,Data!$M$2:$M$1105,$BB$110)</f>
        <v/>
      </c>
      <c r="BH110" s="61" t="n"/>
      <c r="BI110" s="61">
        <f>IF(AND($BC$110&gt;=Controls!$B$22,$BD$110&gt;=LARGE($BD$75:$BD$230,MIN(Controls!$B$18,COUNT($BD$75:$BD$230)))),$BE$110,"")</f>
        <v/>
      </c>
      <c r="BJ110" s="61" t="n"/>
      <c r="BK110" s="61">
        <f>IF($BC$110&lt;Controls!$B$22,"",$BE$110)</f>
        <v/>
      </c>
      <c r="BL110" s="61">
        <f>IF($BC$110&lt;Controls!$B$22,"",$BF$110)</f>
        <v/>
      </c>
      <c r="BM110" s="61">
        <f>IF($BC$110&lt;Controls!$B$22,"",$BG$110)</f>
        <v/>
      </c>
      <c r="BN110" s="61" t="n"/>
      <c r="BO110" s="61" t="n"/>
      <c r="BP110" s="61" t="n"/>
      <c r="BQ110" s="61" t="n"/>
      <c r="BR110" s="61" t="n"/>
      <c r="BS110" s="61" t="n"/>
      <c r="BT110" s="61" t="n"/>
    </row>
    <row r="111" ht="15.75" customHeight="1" s="79">
      <c r="A111" s="61">
        <f>IF(COUNTIFS(Data!$AK$2:$AK$1105,1,Data!$G$2:$G$1105,"5")=0,"","5")</f>
        <v/>
      </c>
      <c r="B111" s="66">
        <f>IF($A$111="",NA(),IFERROR(SUMIFS(Data!$P$2:$P$1105,Data!$AK$2:$AK$1105,1,Data!$G$2:$G$1105,$A$111),NA()))</f>
        <v/>
      </c>
      <c r="C111" s="66">
        <f>IF($A$111="",NA(),IFERROR(SUMIFS(Data!$S$2:$S$1105,Data!$AK$2:$AK$1105,1,Data!$G$2:$G$1105,$A$111),NA()))</f>
        <v/>
      </c>
      <c r="D111" s="66">
        <f>IF(ISNA($B$111),NA(),$C$111-$B$111)</f>
        <v/>
      </c>
      <c r="E111" s="66">
        <f>IF($A$111="",NA(),IFERROR(SUMIFS(Data!$Q$2:$Q$1105,Data!$AK$2:$AK$1105,1,Data!$G$2:$G$1105,$A$111),NA()))</f>
        <v/>
      </c>
      <c r="F111" s="66">
        <f>IF($A$111="",NA(),IFERROR(SUMIFS(Data!$AN$2:$AN$1105,Data!$AK$2:$AK$1105,1,Data!$G$2:$G$1105,$A$111),NA()))</f>
        <v/>
      </c>
      <c r="G111" s="62">
        <f>IF($A$111="",NA(),IF(COUNTIFS(Data!$AK$2:$AK$1105,1,Data!$G$2:$G$1105,$A$111)&lt;Controls!$B$19,NA(),IFERROR(SUMIFS(Data!$AN$2:$AN$1105,Data!$AK$2:$AK$1105,1,Data!$G$2:$G$1105,$A$111)/$B$111,NA())))</f>
        <v/>
      </c>
      <c r="H111" s="62">
        <f>IF($A$111="",NA(),IF(COUNTIFS(Data!$AK$2:$AK$1105,1,Data!$G$2:$G$1105,$A$111)&lt;Controls!$B$19,NA(),IFERROR(SUMIFS(Data!$S$2:$S$1105,Data!$AK$2:$AK$1105,1,Data!$G$2:$G$1105,$A$111,Data!$AH$2:$AH$1105,1)/SUMIFS(Data!$P$2:$P$1105,Data!$AK$2:$AK$1105,1,Data!$G$2:$G$1105,$A$111,Data!$AH$2:$AH$1105,1),NA())))</f>
        <v/>
      </c>
      <c r="I111" s="62">
        <f>IF(ISNA($J$111),NA(),IF($J$111&lt;Controls!$B$19,NA(),IFERROR($D$111/$B$111,NA())))</f>
        <v/>
      </c>
      <c r="J111" s="67">
        <f>IF($A$111="",NA(),IFERROR(COUNTIFS(Data!$AK$2:$AK$1105,1,Data!$G$2:$G$1105,$A$111),NA()))</f>
        <v/>
      </c>
      <c r="K111" s="62">
        <f>IF(ISNA($B$111),NA(),IFERROR($B$111/Calc!$BT$6,NA()))</f>
        <v/>
      </c>
      <c r="L111" s="66">
        <f>IF(ISNA($J$111),NA(),IF($J$111&lt;Controls!$B$19,NA(),IFERROR($B$111/$J$111,NA())))</f>
        <v/>
      </c>
      <c r="M111" s="67">
        <f>IF($A$111="",NA(),IF(COUNTIFS(Data!$AK$2:$AK$1105,1,Data!$G$2:$G$1105,$A$111)&lt;Controls!$B$19,NA(),IFERROR(AVERAGEIFS(Data!$AE$2:$AE$1105,Data!$AK$2:$AK$1105,1,Data!$G$2:$G$1105,$A$111),NA())))</f>
        <v/>
      </c>
      <c r="N111" s="67">
        <f>IF($A$111="",NA(),IF(COUNTIFS(Data!$AK$2:$AK$1105,1,Data!$G$2:$G$1105,$A$111)&lt;Controls!$B$19,NA(),IFERROR(AVERAGEIFS(Data!$AD$2:$AD$1105,Data!$AK$2:$AK$1105,1,Data!$G$2:$G$1105,$A$111),NA())))</f>
        <v/>
      </c>
      <c r="O111" s="67">
        <f>IF($A$111="",NA(),IF(COUNTIFS(Data!$AK$2:$AK$1105,1,Data!$G$2:$G$1105,$A$111)&lt;Controls!$B$19,NA(),IFERROR(AVERAGEIFS(Data!$AS$2:$AS$1105,Data!$AK$2:$AK$1105,1,Data!$G$2:$G$1105,$A$111),NA())))</f>
        <v/>
      </c>
      <c r="P111" s="67">
        <f>IF($A$111="",NA(),IF(COUNTIFS(Data!$AK$2:$AK$1105,1,Data!$G$2:$G$1105,$A$111)&lt;Controls!$B$19,NA(),IFERROR(AVERAGEIFS(Data!$AT$2:$AT$1105,Data!$AK$2:$AK$1105,1,Data!$G$2:$G$1105,$A$111),NA())))</f>
        <v/>
      </c>
      <c r="Q111" s="62">
        <f>IF($A$111="",NA(),IF(COUNTIFS(Data!$AK$2:$AK$1105,1,Data!$G$2:$G$1105,$A$111)&lt;Controls!$B$19,NA(),IFERROR(COUNTIFS(Data!$AK$2:$AK$1105,1,Data!$G$2:$G$1105,$A$111,Data!$N$2:$N$1105,"Renewal")/COUNTIFS(Data!$AK$2:$AK$1105,1,Data!$G$2:$G$1105,$A$111),NA())))</f>
        <v/>
      </c>
      <c r="R111" s="62">
        <f>IF($A$111="",NA(),IF(COUNTIFS(Data!$AK$2:$AK$1105,1,Data!$G$2:$G$1105,$A$111)&lt;Controls!$B$19,NA(),IFERROR(SUMIFS(Data!$P$2:$P$1105,Data!$AK$2:$AK$1105,1,Data!$G$2:$G$1105,$A$111,Data!$N$2:$N$1105,"Renewal")/SUMIFS(Data!$P$2:$P$1105,Data!$AK$2:$AK$1105,1,Data!$G$2:$G$1105,$A$111),NA())))</f>
        <v/>
      </c>
      <c r="S111" s="62">
        <f>IF($A$111="",NA(),Calc!$BT$2)</f>
        <v/>
      </c>
      <c r="T111" s="62">
        <f>IF($A$111="",NA(),Calc!$BT$3)</f>
        <v/>
      </c>
      <c r="U111" s="62">
        <f>IF($A$111="",NA(),Calc!$BT$4)</f>
        <v/>
      </c>
      <c r="V111" s="62">
        <f>IF($A$111="",NA(),IF(COUNTIFS(Data!$AK$2:$AK$1105,1,Data!$G$2:$G$1105,$A$111)&lt;Controls!$B$19,NA(),IFERROR(COUNTIFS(Data!$AK$2:$AK$1105,1,Data!$G$2:$G$1105,$A$111,Data!$AH$2:$AH$1105,1)/COUNTIFS(Data!$AK$2:$AK$1105,1,Data!$G$2:$G$1105,$A$111),NA())))</f>
        <v/>
      </c>
      <c r="W111" s="61">
        <f>IF($A$111="","",$A$111&amp;" ("&amp;$J$111&amp;")")</f>
        <v/>
      </c>
      <c r="X111" s="61" t="n"/>
      <c r="Y111" s="61" t="n"/>
      <c r="Z111" s="61" t="n"/>
      <c r="AA111" s="61" t="n"/>
      <c r="AB111" s="61" t="n"/>
      <c r="AC111" s="61" t="n"/>
      <c r="AD111" s="61" t="n"/>
      <c r="AE111" s="61" t="n"/>
      <c r="AF111" s="61" t="n"/>
      <c r="AG111" s="61" t="n"/>
      <c r="AH111" s="61" t="n"/>
      <c r="AI111" s="61" t="n"/>
      <c r="AJ111" s="61" t="n"/>
      <c r="AK111" s="61" t="n"/>
      <c r="AL111" s="61" t="n"/>
      <c r="AM111" s="61" t="n"/>
      <c r="AN111" s="61">
        <f>Controls!$D$70</f>
        <v/>
      </c>
      <c r="AO111" s="61">
        <f>COUNTIFS(Data!$AK$2:$AK$1105,1,Data!$L$2:$L$1105,$AN$111)</f>
        <v/>
      </c>
      <c r="AP111" s="57">
        <f>SUMIFS(Data!$P$2:$P$1105,Data!$AK$2:$AK$1105,1,Data!$L$2:$L$1105,$AN$111)</f>
        <v/>
      </c>
      <c r="AQ111" s="56">
        <f>IFERROR(SUMIFS(Data!$AN$2:$AN$1105,Data!$AK$2:$AK$1105,1,Data!$L$2:$L$1105,$AN$111)/$AP$111,0)</f>
        <v/>
      </c>
      <c r="AR111" s="57">
        <f>SUMIFS(Data!$AN$2:$AN$1105,Data!$AK$2:$AK$1105,1,Data!$L$2:$L$1105,$AN$111)</f>
        <v/>
      </c>
      <c r="AS111" s="61">
        <f>Controls!$E$70</f>
        <v/>
      </c>
      <c r="AT111" s="61">
        <f>IF(OR(AO111=0,AO111&lt;Controls!$B$20),-1000000000000000,IF(AND(Controls!$B$21="Y",$AN$111="No state"),-1000000000000000,IF(Controls!$B$17="Selected only",IF(AS111="Y",AP111,-1000000000000000),IF(Controls!$B$17="Top by funded $",AP111,IF(Controls!$B$17="Top by funded units",AO111,IF(Controls!$B$17="Largest principal lost $",AR111,IF(Controls!$B$17="Highest net profit $",AU111,IF(AO111&lt;Controls!$B$19,-1000000000000000,IF(Controls!$B$17="Highest principal lost rate %",AQ111,IF(Controls!$B$17="Lowest principal lost rate %",1-AQ111,AP111))))))))) +31/1000000)</f>
        <v/>
      </c>
      <c r="AU111" s="57">
        <f>SUMIFS(Data!$AM$2:$AM$1105,Data!$AK$2:$AK$1105,1,Data!$L$2:$L$1105,$AN$111)</f>
        <v/>
      </c>
      <c r="AV111" s="61" t="n"/>
      <c r="AW111" s="61" t="n"/>
      <c r="AX111" s="61" t="n"/>
      <c r="AY111" s="61" t="n"/>
      <c r="AZ111" s="61" t="n"/>
      <c r="BA111" s="61" t="n"/>
      <c r="BB111" s="61">
        <f>Controls!$G$76</f>
        <v/>
      </c>
      <c r="BC111" s="61">
        <f>COUNTIFS(Data!$AK$2:$AK$1105,1,Data!$M$2:$M$1105,$BB$111)</f>
        <v/>
      </c>
      <c r="BD111" s="57">
        <f>SUMIFS(Data!$P$2:$P$1105,Data!$AK$2:$AK$1105,1,Data!$M$2:$M$1105,$BB$111)</f>
        <v/>
      </c>
      <c r="BE111" s="56">
        <f>IF(COUNTIFS(Data!$AK$2:$AK$1105,1,Data!$M$2:$M$1105,$BB$111)&lt;Controls!$B$19,"",IFERROR(SUMIFS(Data!$AN$2:$AN$1105,Data!$AK$2:$AK$1105,1,Data!$M$2:$M$1105,$BB$111)/$BD$111,""))</f>
        <v/>
      </c>
      <c r="BF111" s="56">
        <f>IF(COUNTIFS(Data!$AK$2:$AK$1105,1,Data!$M$2:$M$1105,$BB$111)&lt;Controls!$B$19,"",IFERROR(SUMIFS(Data!$AM$2:$AM$1105,Data!$AK$2:$AK$1105,1,Data!$M$2:$M$1105,$BB$111)/SUMIFS(Data!$P$2:$P$1105,Data!$AK$2:$AK$1105,1,Data!$M$2:$M$1105,$BB$111),""))</f>
        <v/>
      </c>
      <c r="BG111" s="57">
        <f>SUMIFS(Data!$AN$2:$AN$1105,Data!$AK$2:$AK$1105,1,Data!$M$2:$M$1105,$BB$111)</f>
        <v/>
      </c>
      <c r="BH111" s="61" t="n"/>
      <c r="BI111" s="61">
        <f>IF(AND($BC$111&gt;=Controls!$B$22,$BD$111&gt;=LARGE($BD$75:$BD$230,MIN(Controls!$B$18,COUNT($BD$75:$BD$230)))),$BE$111,"")</f>
        <v/>
      </c>
      <c r="BJ111" s="61" t="n"/>
      <c r="BK111" s="61">
        <f>IF($BC$111&lt;Controls!$B$22,"",$BE$111)</f>
        <v/>
      </c>
      <c r="BL111" s="61">
        <f>IF($BC$111&lt;Controls!$B$22,"",$BF$111)</f>
        <v/>
      </c>
      <c r="BM111" s="61">
        <f>IF($BC$111&lt;Controls!$B$22,"",$BG$111)</f>
        <v/>
      </c>
      <c r="BN111" s="61" t="n"/>
      <c r="BO111" s="61" t="n"/>
      <c r="BP111" s="61" t="n"/>
      <c r="BQ111" s="61" t="n"/>
      <c r="BR111" s="61" t="n"/>
      <c r="BS111" s="61" t="n"/>
      <c r="BT111" s="61" t="n"/>
    </row>
    <row r="112" ht="15.75" customHeight="1" s="79">
      <c r="A112" s="61">
        <f>IF(COUNTIFS(Data!$AK$2:$AK$1105,1,Data!$G$2:$G$1105,"6")=0,"","6")</f>
        <v/>
      </c>
      <c r="B112" s="66">
        <f>IF($A$112="",NA(),IFERROR(SUMIFS(Data!$P$2:$P$1105,Data!$AK$2:$AK$1105,1,Data!$G$2:$G$1105,$A$112),NA()))</f>
        <v/>
      </c>
      <c r="C112" s="66">
        <f>IF($A$112="",NA(),IFERROR(SUMIFS(Data!$S$2:$S$1105,Data!$AK$2:$AK$1105,1,Data!$G$2:$G$1105,$A$112),NA()))</f>
        <v/>
      </c>
      <c r="D112" s="66">
        <f>IF(ISNA($B$112),NA(),$C$112-$B$112)</f>
        <v/>
      </c>
      <c r="E112" s="66">
        <f>IF($A$112="",NA(),IFERROR(SUMIFS(Data!$Q$2:$Q$1105,Data!$AK$2:$AK$1105,1,Data!$G$2:$G$1105,$A$112),NA()))</f>
        <v/>
      </c>
      <c r="F112" s="66">
        <f>IF($A$112="",NA(),IFERROR(SUMIFS(Data!$AN$2:$AN$1105,Data!$AK$2:$AK$1105,1,Data!$G$2:$G$1105,$A$112),NA()))</f>
        <v/>
      </c>
      <c r="G112" s="62">
        <f>IF($A$112="",NA(),IF(COUNTIFS(Data!$AK$2:$AK$1105,1,Data!$G$2:$G$1105,$A$112)&lt;Controls!$B$19,NA(),IFERROR(SUMIFS(Data!$AN$2:$AN$1105,Data!$AK$2:$AK$1105,1,Data!$G$2:$G$1105,$A$112)/$B$112,NA())))</f>
        <v/>
      </c>
      <c r="H112" s="62">
        <f>IF($A$112="",NA(),IF(COUNTIFS(Data!$AK$2:$AK$1105,1,Data!$G$2:$G$1105,$A$112)&lt;Controls!$B$19,NA(),IFERROR(SUMIFS(Data!$S$2:$S$1105,Data!$AK$2:$AK$1105,1,Data!$G$2:$G$1105,$A$112,Data!$AH$2:$AH$1105,1)/SUMIFS(Data!$P$2:$P$1105,Data!$AK$2:$AK$1105,1,Data!$G$2:$G$1105,$A$112,Data!$AH$2:$AH$1105,1),NA())))</f>
        <v/>
      </c>
      <c r="I112" s="62">
        <f>IF(ISNA($J$112),NA(),IF($J$112&lt;Controls!$B$19,NA(),IFERROR($D$112/$B$112,NA())))</f>
        <v/>
      </c>
      <c r="J112" s="67">
        <f>IF($A$112="",NA(),IFERROR(COUNTIFS(Data!$AK$2:$AK$1105,1,Data!$G$2:$G$1105,$A$112),NA()))</f>
        <v/>
      </c>
      <c r="K112" s="62">
        <f>IF(ISNA($B$112),NA(),IFERROR($B$112/Calc!$BT$6,NA()))</f>
        <v/>
      </c>
      <c r="L112" s="66">
        <f>IF(ISNA($J$112),NA(),IF($J$112&lt;Controls!$B$19,NA(),IFERROR($B$112/$J$112,NA())))</f>
        <v/>
      </c>
      <c r="M112" s="67">
        <f>IF($A$112="",NA(),IF(COUNTIFS(Data!$AK$2:$AK$1105,1,Data!$G$2:$G$1105,$A$112)&lt;Controls!$B$19,NA(),IFERROR(AVERAGEIFS(Data!$AE$2:$AE$1105,Data!$AK$2:$AK$1105,1,Data!$G$2:$G$1105,$A$112),NA())))</f>
        <v/>
      </c>
      <c r="N112" s="67">
        <f>IF($A$112="",NA(),IF(COUNTIFS(Data!$AK$2:$AK$1105,1,Data!$G$2:$G$1105,$A$112)&lt;Controls!$B$19,NA(),IFERROR(AVERAGEIFS(Data!$AD$2:$AD$1105,Data!$AK$2:$AK$1105,1,Data!$G$2:$G$1105,$A$112),NA())))</f>
        <v/>
      </c>
      <c r="O112" s="67">
        <f>IF($A$112="",NA(),IF(COUNTIFS(Data!$AK$2:$AK$1105,1,Data!$G$2:$G$1105,$A$112)&lt;Controls!$B$19,NA(),IFERROR(AVERAGEIFS(Data!$AS$2:$AS$1105,Data!$AK$2:$AK$1105,1,Data!$G$2:$G$1105,$A$112),NA())))</f>
        <v/>
      </c>
      <c r="P112" s="67">
        <f>IF($A$112="",NA(),IF(COUNTIFS(Data!$AK$2:$AK$1105,1,Data!$G$2:$G$1105,$A$112)&lt;Controls!$B$19,NA(),IFERROR(AVERAGEIFS(Data!$AT$2:$AT$1105,Data!$AK$2:$AK$1105,1,Data!$G$2:$G$1105,$A$112),NA())))</f>
        <v/>
      </c>
      <c r="Q112" s="62">
        <f>IF($A$112="",NA(),IF(COUNTIFS(Data!$AK$2:$AK$1105,1,Data!$G$2:$G$1105,$A$112)&lt;Controls!$B$19,NA(),IFERROR(COUNTIFS(Data!$AK$2:$AK$1105,1,Data!$G$2:$G$1105,$A$112,Data!$N$2:$N$1105,"Renewal")/COUNTIFS(Data!$AK$2:$AK$1105,1,Data!$G$2:$G$1105,$A$112),NA())))</f>
        <v/>
      </c>
      <c r="R112" s="62">
        <f>IF($A$112="",NA(),IF(COUNTIFS(Data!$AK$2:$AK$1105,1,Data!$G$2:$G$1105,$A$112)&lt;Controls!$B$19,NA(),IFERROR(SUMIFS(Data!$P$2:$P$1105,Data!$AK$2:$AK$1105,1,Data!$G$2:$G$1105,$A$112,Data!$N$2:$N$1105,"Renewal")/SUMIFS(Data!$P$2:$P$1105,Data!$AK$2:$AK$1105,1,Data!$G$2:$G$1105,$A$112),NA())))</f>
        <v/>
      </c>
      <c r="S112" s="62">
        <f>IF($A$112="",NA(),Calc!$BT$2)</f>
        <v/>
      </c>
      <c r="T112" s="62">
        <f>IF($A$112="",NA(),Calc!$BT$3)</f>
        <v/>
      </c>
      <c r="U112" s="62">
        <f>IF($A$112="",NA(),Calc!$BT$4)</f>
        <v/>
      </c>
      <c r="V112" s="62">
        <f>IF($A$112="",NA(),IF(COUNTIFS(Data!$AK$2:$AK$1105,1,Data!$G$2:$G$1105,$A$112)&lt;Controls!$B$19,NA(),IFERROR(COUNTIFS(Data!$AK$2:$AK$1105,1,Data!$G$2:$G$1105,$A$112,Data!$AH$2:$AH$1105,1)/COUNTIFS(Data!$AK$2:$AK$1105,1,Data!$G$2:$G$1105,$A$112),NA())))</f>
        <v/>
      </c>
      <c r="W112" s="61">
        <f>IF($A$112="","",$A$112&amp;" ("&amp;$J$112&amp;")")</f>
        <v/>
      </c>
      <c r="X112" s="61" t="n"/>
      <c r="Y112" s="61" t="n"/>
      <c r="Z112" s="61" t="n"/>
      <c r="AA112" s="61" t="n"/>
      <c r="AB112" s="61" t="n"/>
      <c r="AC112" s="61" t="n"/>
      <c r="AD112" s="61" t="n"/>
      <c r="AE112" s="61" t="n"/>
      <c r="AF112" s="61" t="n"/>
      <c r="AG112" s="61" t="n"/>
      <c r="AH112" s="61" t="n"/>
      <c r="AI112" s="61" t="n"/>
      <c r="AJ112" s="61" t="n"/>
      <c r="AK112" s="61" t="n"/>
      <c r="AL112" s="61" t="n"/>
      <c r="AM112" s="61" t="n"/>
      <c r="AN112" s="61">
        <f>Controls!$D$71</f>
        <v/>
      </c>
      <c r="AO112" s="61">
        <f>COUNTIFS(Data!$AK$2:$AK$1105,1,Data!$L$2:$L$1105,$AN$112)</f>
        <v/>
      </c>
      <c r="AP112" s="57">
        <f>SUMIFS(Data!$P$2:$P$1105,Data!$AK$2:$AK$1105,1,Data!$L$2:$L$1105,$AN$112)</f>
        <v/>
      </c>
      <c r="AQ112" s="56">
        <f>IFERROR(SUMIFS(Data!$AN$2:$AN$1105,Data!$AK$2:$AK$1105,1,Data!$L$2:$L$1105,$AN$112)/$AP$112,0)</f>
        <v/>
      </c>
      <c r="AR112" s="57">
        <f>SUMIFS(Data!$AN$2:$AN$1105,Data!$AK$2:$AK$1105,1,Data!$L$2:$L$1105,$AN$112)</f>
        <v/>
      </c>
      <c r="AS112" s="61">
        <f>Controls!$E$71</f>
        <v/>
      </c>
      <c r="AT112" s="61">
        <f>IF(OR(AO112=0,AO112&lt;Controls!$B$20),-1000000000000000,IF(AND(Controls!$B$21="Y",$AN$112="No state"),-1000000000000000,IF(Controls!$B$17="Selected only",IF(AS112="Y",AP112,-1000000000000000),IF(Controls!$B$17="Top by funded $",AP112,IF(Controls!$B$17="Top by funded units",AO112,IF(Controls!$B$17="Largest principal lost $",AR112,IF(Controls!$B$17="Highest net profit $",AU112,IF(AO112&lt;Controls!$B$19,-1000000000000000,IF(Controls!$B$17="Highest principal lost rate %",AQ112,IF(Controls!$B$17="Lowest principal lost rate %",1-AQ112,AP112))))))))) +32/1000000)</f>
        <v/>
      </c>
      <c r="AU112" s="57">
        <f>SUMIFS(Data!$AM$2:$AM$1105,Data!$AK$2:$AK$1105,1,Data!$L$2:$L$1105,$AN$112)</f>
        <v/>
      </c>
      <c r="AV112" s="61" t="n"/>
      <c r="AW112" s="61" t="n"/>
      <c r="AX112" s="61" t="n"/>
      <c r="AY112" s="61" t="n"/>
      <c r="AZ112" s="61" t="n"/>
      <c r="BA112" s="61" t="n"/>
      <c r="BB112" s="61">
        <f>Controls!$G$77</f>
        <v/>
      </c>
      <c r="BC112" s="61">
        <f>COUNTIFS(Data!$AK$2:$AK$1105,1,Data!$M$2:$M$1105,$BB$112)</f>
        <v/>
      </c>
      <c r="BD112" s="57">
        <f>SUMIFS(Data!$P$2:$P$1105,Data!$AK$2:$AK$1105,1,Data!$M$2:$M$1105,$BB$112)</f>
        <v/>
      </c>
      <c r="BE112" s="56">
        <f>IF(COUNTIFS(Data!$AK$2:$AK$1105,1,Data!$M$2:$M$1105,$BB$112)&lt;Controls!$B$19,"",IFERROR(SUMIFS(Data!$AN$2:$AN$1105,Data!$AK$2:$AK$1105,1,Data!$M$2:$M$1105,$BB$112)/$BD$112,""))</f>
        <v/>
      </c>
      <c r="BF112" s="56">
        <f>IF(COUNTIFS(Data!$AK$2:$AK$1105,1,Data!$M$2:$M$1105,$BB$112)&lt;Controls!$B$19,"",IFERROR(SUMIFS(Data!$AM$2:$AM$1105,Data!$AK$2:$AK$1105,1,Data!$M$2:$M$1105,$BB$112)/SUMIFS(Data!$P$2:$P$1105,Data!$AK$2:$AK$1105,1,Data!$M$2:$M$1105,$BB$112),""))</f>
        <v/>
      </c>
      <c r="BG112" s="57">
        <f>SUMIFS(Data!$AN$2:$AN$1105,Data!$AK$2:$AK$1105,1,Data!$M$2:$M$1105,$BB$112)</f>
        <v/>
      </c>
      <c r="BH112" s="61" t="n"/>
      <c r="BI112" s="61">
        <f>IF(AND($BC$112&gt;=Controls!$B$22,$BD$112&gt;=LARGE($BD$75:$BD$230,MIN(Controls!$B$18,COUNT($BD$75:$BD$230)))),$BE$112,"")</f>
        <v/>
      </c>
      <c r="BJ112" s="61" t="n"/>
      <c r="BK112" s="61">
        <f>IF($BC$112&lt;Controls!$B$22,"",$BE$112)</f>
        <v/>
      </c>
      <c r="BL112" s="61">
        <f>IF($BC$112&lt;Controls!$B$22,"",$BF$112)</f>
        <v/>
      </c>
      <c r="BM112" s="61">
        <f>IF($BC$112&lt;Controls!$B$22,"",$BG$112)</f>
        <v/>
      </c>
      <c r="BN112" s="61" t="n"/>
      <c r="BO112" s="61" t="n"/>
      <c r="BP112" s="61" t="n"/>
      <c r="BQ112" s="61" t="n"/>
      <c r="BR112" s="61" t="n"/>
      <c r="BS112" s="61" t="n"/>
      <c r="BT112" s="61" t="n"/>
    </row>
    <row r="113" ht="15.75" customHeight="1" s="79">
      <c r="A113" s="61">
        <f>IF(COUNTIFS(Data!$AK$2:$AK$1105,1,Data!$G$2:$G$1105,"7")=0,"","7")</f>
        <v/>
      </c>
      <c r="B113" s="66">
        <f>IF($A$113="",NA(),IFERROR(SUMIFS(Data!$P$2:$P$1105,Data!$AK$2:$AK$1105,1,Data!$G$2:$G$1105,$A$113),NA()))</f>
        <v/>
      </c>
      <c r="C113" s="66">
        <f>IF($A$113="",NA(),IFERROR(SUMIFS(Data!$S$2:$S$1105,Data!$AK$2:$AK$1105,1,Data!$G$2:$G$1105,$A$113),NA()))</f>
        <v/>
      </c>
      <c r="D113" s="66">
        <f>IF(ISNA($B$113),NA(),$C$113-$B$113)</f>
        <v/>
      </c>
      <c r="E113" s="66">
        <f>IF($A$113="",NA(),IFERROR(SUMIFS(Data!$Q$2:$Q$1105,Data!$AK$2:$AK$1105,1,Data!$G$2:$G$1105,$A$113),NA()))</f>
        <v/>
      </c>
      <c r="F113" s="66">
        <f>IF($A$113="",NA(),IFERROR(SUMIFS(Data!$AN$2:$AN$1105,Data!$AK$2:$AK$1105,1,Data!$G$2:$G$1105,$A$113),NA()))</f>
        <v/>
      </c>
      <c r="G113" s="62">
        <f>IF($A$113="",NA(),IF(COUNTIFS(Data!$AK$2:$AK$1105,1,Data!$G$2:$G$1105,$A$113)&lt;Controls!$B$19,NA(),IFERROR(SUMIFS(Data!$AN$2:$AN$1105,Data!$AK$2:$AK$1105,1,Data!$G$2:$G$1105,$A$113)/$B$113,NA())))</f>
        <v/>
      </c>
      <c r="H113" s="62">
        <f>IF($A$113="",NA(),IF(COUNTIFS(Data!$AK$2:$AK$1105,1,Data!$G$2:$G$1105,$A$113)&lt;Controls!$B$19,NA(),IFERROR(SUMIFS(Data!$S$2:$S$1105,Data!$AK$2:$AK$1105,1,Data!$G$2:$G$1105,$A$113,Data!$AH$2:$AH$1105,1)/SUMIFS(Data!$P$2:$P$1105,Data!$AK$2:$AK$1105,1,Data!$G$2:$G$1105,$A$113,Data!$AH$2:$AH$1105,1),NA())))</f>
        <v/>
      </c>
      <c r="I113" s="62">
        <f>IF(ISNA($J$113),NA(),IF($J$113&lt;Controls!$B$19,NA(),IFERROR($D$113/$B$113,NA())))</f>
        <v/>
      </c>
      <c r="J113" s="67">
        <f>IF($A$113="",NA(),IFERROR(COUNTIFS(Data!$AK$2:$AK$1105,1,Data!$G$2:$G$1105,$A$113),NA()))</f>
        <v/>
      </c>
      <c r="K113" s="62">
        <f>IF(ISNA($B$113),NA(),IFERROR($B$113/Calc!$BT$6,NA()))</f>
        <v/>
      </c>
      <c r="L113" s="66">
        <f>IF(ISNA($J$113),NA(),IF($J$113&lt;Controls!$B$19,NA(),IFERROR($B$113/$J$113,NA())))</f>
        <v/>
      </c>
      <c r="M113" s="67">
        <f>IF($A$113="",NA(),IF(COUNTIFS(Data!$AK$2:$AK$1105,1,Data!$G$2:$G$1105,$A$113)&lt;Controls!$B$19,NA(),IFERROR(AVERAGEIFS(Data!$AE$2:$AE$1105,Data!$AK$2:$AK$1105,1,Data!$G$2:$G$1105,$A$113),NA())))</f>
        <v/>
      </c>
      <c r="N113" s="67">
        <f>IF($A$113="",NA(),IF(COUNTIFS(Data!$AK$2:$AK$1105,1,Data!$G$2:$G$1105,$A$113)&lt;Controls!$B$19,NA(),IFERROR(AVERAGEIFS(Data!$AD$2:$AD$1105,Data!$AK$2:$AK$1105,1,Data!$G$2:$G$1105,$A$113),NA())))</f>
        <v/>
      </c>
      <c r="O113" s="67">
        <f>IF($A$113="",NA(),IF(COUNTIFS(Data!$AK$2:$AK$1105,1,Data!$G$2:$G$1105,$A$113)&lt;Controls!$B$19,NA(),IFERROR(AVERAGEIFS(Data!$AS$2:$AS$1105,Data!$AK$2:$AK$1105,1,Data!$G$2:$G$1105,$A$113),NA())))</f>
        <v/>
      </c>
      <c r="P113" s="67">
        <f>IF($A$113="",NA(),IF(COUNTIFS(Data!$AK$2:$AK$1105,1,Data!$G$2:$G$1105,$A$113)&lt;Controls!$B$19,NA(),IFERROR(AVERAGEIFS(Data!$AT$2:$AT$1105,Data!$AK$2:$AK$1105,1,Data!$G$2:$G$1105,$A$113),NA())))</f>
        <v/>
      </c>
      <c r="Q113" s="62">
        <f>IF($A$113="",NA(),IF(COUNTIFS(Data!$AK$2:$AK$1105,1,Data!$G$2:$G$1105,$A$113)&lt;Controls!$B$19,NA(),IFERROR(COUNTIFS(Data!$AK$2:$AK$1105,1,Data!$G$2:$G$1105,$A$113,Data!$N$2:$N$1105,"Renewal")/COUNTIFS(Data!$AK$2:$AK$1105,1,Data!$G$2:$G$1105,$A$113),NA())))</f>
        <v/>
      </c>
      <c r="R113" s="62">
        <f>IF($A$113="",NA(),IF(COUNTIFS(Data!$AK$2:$AK$1105,1,Data!$G$2:$G$1105,$A$113)&lt;Controls!$B$19,NA(),IFERROR(SUMIFS(Data!$P$2:$P$1105,Data!$AK$2:$AK$1105,1,Data!$G$2:$G$1105,$A$113,Data!$N$2:$N$1105,"Renewal")/SUMIFS(Data!$P$2:$P$1105,Data!$AK$2:$AK$1105,1,Data!$G$2:$G$1105,$A$113),NA())))</f>
        <v/>
      </c>
      <c r="S113" s="62">
        <f>IF($A$113="",NA(),Calc!$BT$2)</f>
        <v/>
      </c>
      <c r="T113" s="62">
        <f>IF($A$113="",NA(),Calc!$BT$3)</f>
        <v/>
      </c>
      <c r="U113" s="62">
        <f>IF($A$113="",NA(),Calc!$BT$4)</f>
        <v/>
      </c>
      <c r="V113" s="62">
        <f>IF($A$113="",NA(),IF(COUNTIFS(Data!$AK$2:$AK$1105,1,Data!$G$2:$G$1105,$A$113)&lt;Controls!$B$19,NA(),IFERROR(COUNTIFS(Data!$AK$2:$AK$1105,1,Data!$G$2:$G$1105,$A$113,Data!$AH$2:$AH$1105,1)/COUNTIFS(Data!$AK$2:$AK$1105,1,Data!$G$2:$G$1105,$A$113),NA())))</f>
        <v/>
      </c>
      <c r="W113" s="61">
        <f>IF($A$113="","",$A$113&amp;" ("&amp;$J$113&amp;")")</f>
        <v/>
      </c>
      <c r="X113" s="61" t="n"/>
      <c r="Y113" s="61" t="n"/>
      <c r="Z113" s="61" t="n"/>
      <c r="AA113" s="61" t="n"/>
      <c r="AB113" s="61" t="n"/>
      <c r="AC113" s="61" t="n"/>
      <c r="AD113" s="61" t="n"/>
      <c r="AE113" s="61" t="n"/>
      <c r="AF113" s="61" t="n"/>
      <c r="AG113" s="61" t="n"/>
      <c r="AH113" s="61" t="n"/>
      <c r="AI113" s="61" t="n"/>
      <c r="AJ113" s="61" t="n"/>
      <c r="AK113" s="61" t="n"/>
      <c r="AL113" s="61" t="n"/>
      <c r="AM113" s="61" t="n"/>
      <c r="AN113" s="61">
        <f>Controls!$D$72</f>
        <v/>
      </c>
      <c r="AO113" s="61">
        <f>COUNTIFS(Data!$AK$2:$AK$1105,1,Data!$L$2:$L$1105,$AN$113)</f>
        <v/>
      </c>
      <c r="AP113" s="57">
        <f>SUMIFS(Data!$P$2:$P$1105,Data!$AK$2:$AK$1105,1,Data!$L$2:$L$1105,$AN$113)</f>
        <v/>
      </c>
      <c r="AQ113" s="56">
        <f>IFERROR(SUMIFS(Data!$AN$2:$AN$1105,Data!$AK$2:$AK$1105,1,Data!$L$2:$L$1105,$AN$113)/$AP$113,0)</f>
        <v/>
      </c>
      <c r="AR113" s="57">
        <f>SUMIFS(Data!$AN$2:$AN$1105,Data!$AK$2:$AK$1105,1,Data!$L$2:$L$1105,$AN$113)</f>
        <v/>
      </c>
      <c r="AS113" s="61">
        <f>Controls!$E$72</f>
        <v/>
      </c>
      <c r="AT113" s="61">
        <f>IF(OR(AO113=0,AO113&lt;Controls!$B$20),-1000000000000000,IF(AND(Controls!$B$21="Y",$AN$113="No state"),-1000000000000000,IF(Controls!$B$17="Selected only",IF(AS113="Y",AP113,-1000000000000000),IF(Controls!$B$17="Top by funded $",AP113,IF(Controls!$B$17="Top by funded units",AO113,IF(Controls!$B$17="Largest principal lost $",AR113,IF(Controls!$B$17="Highest net profit $",AU113,IF(AO113&lt;Controls!$B$19,-1000000000000000,IF(Controls!$B$17="Highest principal lost rate %",AQ113,IF(Controls!$B$17="Lowest principal lost rate %",1-AQ113,AP113))))))))) +33/1000000)</f>
        <v/>
      </c>
      <c r="AU113" s="57">
        <f>SUMIFS(Data!$AM$2:$AM$1105,Data!$AK$2:$AK$1105,1,Data!$L$2:$L$1105,$AN$113)</f>
        <v/>
      </c>
      <c r="AV113" s="61" t="n"/>
      <c r="AW113" s="61" t="n"/>
      <c r="AX113" s="61" t="n"/>
      <c r="AY113" s="61" t="n"/>
      <c r="AZ113" s="61" t="n"/>
      <c r="BA113" s="61" t="n"/>
      <c r="BB113" s="61">
        <f>Controls!$G$78</f>
        <v/>
      </c>
      <c r="BC113" s="61">
        <f>COUNTIFS(Data!$AK$2:$AK$1105,1,Data!$M$2:$M$1105,$BB$113)</f>
        <v/>
      </c>
      <c r="BD113" s="57">
        <f>SUMIFS(Data!$P$2:$P$1105,Data!$AK$2:$AK$1105,1,Data!$M$2:$M$1105,$BB$113)</f>
        <v/>
      </c>
      <c r="BE113" s="56">
        <f>IF(COUNTIFS(Data!$AK$2:$AK$1105,1,Data!$M$2:$M$1105,$BB$113)&lt;Controls!$B$19,"",IFERROR(SUMIFS(Data!$AN$2:$AN$1105,Data!$AK$2:$AK$1105,1,Data!$M$2:$M$1105,$BB$113)/$BD$113,""))</f>
        <v/>
      </c>
      <c r="BF113" s="56">
        <f>IF(COUNTIFS(Data!$AK$2:$AK$1105,1,Data!$M$2:$M$1105,$BB$113)&lt;Controls!$B$19,"",IFERROR(SUMIFS(Data!$AM$2:$AM$1105,Data!$AK$2:$AK$1105,1,Data!$M$2:$M$1105,$BB$113)/SUMIFS(Data!$P$2:$P$1105,Data!$AK$2:$AK$1105,1,Data!$M$2:$M$1105,$BB$113),""))</f>
        <v/>
      </c>
      <c r="BG113" s="57">
        <f>SUMIFS(Data!$AN$2:$AN$1105,Data!$AK$2:$AK$1105,1,Data!$M$2:$M$1105,$BB$113)</f>
        <v/>
      </c>
      <c r="BH113" s="61" t="n"/>
      <c r="BI113" s="61">
        <f>IF(AND($BC$113&gt;=Controls!$B$22,$BD$113&gt;=LARGE($BD$75:$BD$230,MIN(Controls!$B$18,COUNT($BD$75:$BD$230)))),$BE$113,"")</f>
        <v/>
      </c>
      <c r="BJ113" s="61" t="n"/>
      <c r="BK113" s="61">
        <f>IF($BC$113&lt;Controls!$B$22,"",$BE$113)</f>
        <v/>
      </c>
      <c r="BL113" s="61">
        <f>IF($BC$113&lt;Controls!$B$22,"",$BF$113)</f>
        <v/>
      </c>
      <c r="BM113" s="61">
        <f>IF($BC$113&lt;Controls!$B$22,"",$BG$113)</f>
        <v/>
      </c>
      <c r="BN113" s="61" t="n"/>
      <c r="BO113" s="61" t="n"/>
      <c r="BP113" s="61" t="n"/>
      <c r="BQ113" s="61" t="n"/>
      <c r="BR113" s="61" t="n"/>
      <c r="BS113" s="61" t="n"/>
      <c r="BT113" s="61" t="n"/>
    </row>
    <row r="114" ht="15.75" customHeight="1" s="79">
      <c r="A114" s="61">
        <f>IF(COUNTIFS(Data!$AK$2:$AK$1105,1,Data!$G$2:$G$1105,"8")=0,"","8")</f>
        <v/>
      </c>
      <c r="B114" s="66">
        <f>IF($A$114="",NA(),IFERROR(SUMIFS(Data!$P$2:$P$1105,Data!$AK$2:$AK$1105,1,Data!$G$2:$G$1105,$A$114),NA()))</f>
        <v/>
      </c>
      <c r="C114" s="66">
        <f>IF($A$114="",NA(),IFERROR(SUMIFS(Data!$S$2:$S$1105,Data!$AK$2:$AK$1105,1,Data!$G$2:$G$1105,$A$114),NA()))</f>
        <v/>
      </c>
      <c r="D114" s="66">
        <f>IF(ISNA($B$114),NA(),$C$114-$B$114)</f>
        <v/>
      </c>
      <c r="E114" s="66">
        <f>IF($A$114="",NA(),IFERROR(SUMIFS(Data!$Q$2:$Q$1105,Data!$AK$2:$AK$1105,1,Data!$G$2:$G$1105,$A$114),NA()))</f>
        <v/>
      </c>
      <c r="F114" s="66">
        <f>IF($A$114="",NA(),IFERROR(SUMIFS(Data!$AN$2:$AN$1105,Data!$AK$2:$AK$1105,1,Data!$G$2:$G$1105,$A$114),NA()))</f>
        <v/>
      </c>
      <c r="G114" s="62">
        <f>IF($A$114="",NA(),IF(COUNTIFS(Data!$AK$2:$AK$1105,1,Data!$G$2:$G$1105,$A$114)&lt;Controls!$B$19,NA(),IFERROR(SUMIFS(Data!$AN$2:$AN$1105,Data!$AK$2:$AK$1105,1,Data!$G$2:$G$1105,$A$114)/$B$114,NA())))</f>
        <v/>
      </c>
      <c r="H114" s="62">
        <f>IF($A$114="",NA(),IF(COUNTIFS(Data!$AK$2:$AK$1105,1,Data!$G$2:$G$1105,$A$114)&lt;Controls!$B$19,NA(),IFERROR(SUMIFS(Data!$S$2:$S$1105,Data!$AK$2:$AK$1105,1,Data!$G$2:$G$1105,$A$114,Data!$AH$2:$AH$1105,1)/SUMIFS(Data!$P$2:$P$1105,Data!$AK$2:$AK$1105,1,Data!$G$2:$G$1105,$A$114,Data!$AH$2:$AH$1105,1),NA())))</f>
        <v/>
      </c>
      <c r="I114" s="62">
        <f>IF(ISNA($J$114),NA(),IF($J$114&lt;Controls!$B$19,NA(),IFERROR($D$114/$B$114,NA())))</f>
        <v/>
      </c>
      <c r="J114" s="67">
        <f>IF($A$114="",NA(),IFERROR(COUNTIFS(Data!$AK$2:$AK$1105,1,Data!$G$2:$G$1105,$A$114),NA()))</f>
        <v/>
      </c>
      <c r="K114" s="62">
        <f>IF(ISNA($B$114),NA(),IFERROR($B$114/Calc!$BT$6,NA()))</f>
        <v/>
      </c>
      <c r="L114" s="66">
        <f>IF(ISNA($J$114),NA(),IF($J$114&lt;Controls!$B$19,NA(),IFERROR($B$114/$J$114,NA())))</f>
        <v/>
      </c>
      <c r="M114" s="67">
        <f>IF($A$114="",NA(),IF(COUNTIFS(Data!$AK$2:$AK$1105,1,Data!$G$2:$G$1105,$A$114)&lt;Controls!$B$19,NA(),IFERROR(AVERAGEIFS(Data!$AE$2:$AE$1105,Data!$AK$2:$AK$1105,1,Data!$G$2:$G$1105,$A$114),NA())))</f>
        <v/>
      </c>
      <c r="N114" s="67">
        <f>IF($A$114="",NA(),IF(COUNTIFS(Data!$AK$2:$AK$1105,1,Data!$G$2:$G$1105,$A$114)&lt;Controls!$B$19,NA(),IFERROR(AVERAGEIFS(Data!$AD$2:$AD$1105,Data!$AK$2:$AK$1105,1,Data!$G$2:$G$1105,$A$114),NA())))</f>
        <v/>
      </c>
      <c r="O114" s="67">
        <f>IF($A$114="",NA(),IF(COUNTIFS(Data!$AK$2:$AK$1105,1,Data!$G$2:$G$1105,$A$114)&lt;Controls!$B$19,NA(),IFERROR(AVERAGEIFS(Data!$AS$2:$AS$1105,Data!$AK$2:$AK$1105,1,Data!$G$2:$G$1105,$A$114),NA())))</f>
        <v/>
      </c>
      <c r="P114" s="67">
        <f>IF($A$114="",NA(),IF(COUNTIFS(Data!$AK$2:$AK$1105,1,Data!$G$2:$G$1105,$A$114)&lt;Controls!$B$19,NA(),IFERROR(AVERAGEIFS(Data!$AT$2:$AT$1105,Data!$AK$2:$AK$1105,1,Data!$G$2:$G$1105,$A$114),NA())))</f>
        <v/>
      </c>
      <c r="Q114" s="62">
        <f>IF($A$114="",NA(),IF(COUNTIFS(Data!$AK$2:$AK$1105,1,Data!$G$2:$G$1105,$A$114)&lt;Controls!$B$19,NA(),IFERROR(COUNTIFS(Data!$AK$2:$AK$1105,1,Data!$G$2:$G$1105,$A$114,Data!$N$2:$N$1105,"Renewal")/COUNTIFS(Data!$AK$2:$AK$1105,1,Data!$G$2:$G$1105,$A$114),NA())))</f>
        <v/>
      </c>
      <c r="R114" s="62">
        <f>IF($A$114="",NA(),IF(COUNTIFS(Data!$AK$2:$AK$1105,1,Data!$G$2:$G$1105,$A$114)&lt;Controls!$B$19,NA(),IFERROR(SUMIFS(Data!$P$2:$P$1105,Data!$AK$2:$AK$1105,1,Data!$G$2:$G$1105,$A$114,Data!$N$2:$N$1105,"Renewal")/SUMIFS(Data!$P$2:$P$1105,Data!$AK$2:$AK$1105,1,Data!$G$2:$G$1105,$A$114),NA())))</f>
        <v/>
      </c>
      <c r="S114" s="62">
        <f>IF($A$114="",NA(),Calc!$BT$2)</f>
        <v/>
      </c>
      <c r="T114" s="62">
        <f>IF($A$114="",NA(),Calc!$BT$3)</f>
        <v/>
      </c>
      <c r="U114" s="62">
        <f>IF($A$114="",NA(),Calc!$BT$4)</f>
        <v/>
      </c>
      <c r="V114" s="62">
        <f>IF($A$114="",NA(),IF(COUNTIFS(Data!$AK$2:$AK$1105,1,Data!$G$2:$G$1105,$A$114)&lt;Controls!$B$19,NA(),IFERROR(COUNTIFS(Data!$AK$2:$AK$1105,1,Data!$G$2:$G$1105,$A$114,Data!$AH$2:$AH$1105,1)/COUNTIFS(Data!$AK$2:$AK$1105,1,Data!$G$2:$G$1105,$A$114),NA())))</f>
        <v/>
      </c>
      <c r="W114" s="61">
        <f>IF($A$114="","",$A$114&amp;" ("&amp;$J$114&amp;")")</f>
        <v/>
      </c>
      <c r="X114" s="61" t="n"/>
      <c r="Y114" s="61" t="n"/>
      <c r="Z114" s="61" t="n"/>
      <c r="AA114" s="61" t="n"/>
      <c r="AB114" s="61" t="n"/>
      <c r="AC114" s="61" t="n"/>
      <c r="AD114" s="61" t="n"/>
      <c r="AE114" s="61" t="n"/>
      <c r="AF114" s="61" t="n"/>
      <c r="AG114" s="61" t="n"/>
      <c r="AH114" s="61" t="n"/>
      <c r="AI114" s="61" t="n"/>
      <c r="AJ114" s="61" t="n"/>
      <c r="AK114" s="61" t="n"/>
      <c r="AL114" s="61" t="n"/>
      <c r="AM114" s="61" t="n"/>
      <c r="AN114" s="61">
        <f>Controls!$D$73</f>
        <v/>
      </c>
      <c r="AO114" s="61">
        <f>COUNTIFS(Data!$AK$2:$AK$1105,1,Data!$L$2:$L$1105,$AN$114)</f>
        <v/>
      </c>
      <c r="AP114" s="57">
        <f>SUMIFS(Data!$P$2:$P$1105,Data!$AK$2:$AK$1105,1,Data!$L$2:$L$1105,$AN$114)</f>
        <v/>
      </c>
      <c r="AQ114" s="56">
        <f>IFERROR(SUMIFS(Data!$AN$2:$AN$1105,Data!$AK$2:$AK$1105,1,Data!$L$2:$L$1105,$AN$114)/$AP$114,0)</f>
        <v/>
      </c>
      <c r="AR114" s="57">
        <f>SUMIFS(Data!$AN$2:$AN$1105,Data!$AK$2:$AK$1105,1,Data!$L$2:$L$1105,$AN$114)</f>
        <v/>
      </c>
      <c r="AS114" s="61">
        <f>Controls!$E$73</f>
        <v/>
      </c>
      <c r="AT114" s="61">
        <f>IF(OR(AO114=0,AO114&lt;Controls!$B$20),-1000000000000000,IF(AND(Controls!$B$21="Y",$AN$114="No state"),-1000000000000000,IF(Controls!$B$17="Selected only",IF(AS114="Y",AP114,-1000000000000000),IF(Controls!$B$17="Top by funded $",AP114,IF(Controls!$B$17="Top by funded units",AO114,IF(Controls!$B$17="Largest principal lost $",AR114,IF(Controls!$B$17="Highest net profit $",AU114,IF(AO114&lt;Controls!$B$19,-1000000000000000,IF(Controls!$B$17="Highest principal lost rate %",AQ114,IF(Controls!$B$17="Lowest principal lost rate %",1-AQ114,AP114))))))))) +34/1000000)</f>
        <v/>
      </c>
      <c r="AU114" s="57">
        <f>SUMIFS(Data!$AM$2:$AM$1105,Data!$AK$2:$AK$1105,1,Data!$L$2:$L$1105,$AN$114)</f>
        <v/>
      </c>
      <c r="AV114" s="61" t="n"/>
      <c r="AW114" s="61" t="n"/>
      <c r="AX114" s="61" t="n"/>
      <c r="AY114" s="61" t="n"/>
      <c r="AZ114" s="61" t="n"/>
      <c r="BA114" s="61" t="n"/>
      <c r="BB114" s="61">
        <f>Controls!$G$79</f>
        <v/>
      </c>
      <c r="BC114" s="61">
        <f>COUNTIFS(Data!$AK$2:$AK$1105,1,Data!$M$2:$M$1105,$BB$114)</f>
        <v/>
      </c>
      <c r="BD114" s="57">
        <f>SUMIFS(Data!$P$2:$P$1105,Data!$AK$2:$AK$1105,1,Data!$M$2:$M$1105,$BB$114)</f>
        <v/>
      </c>
      <c r="BE114" s="56">
        <f>IF(COUNTIFS(Data!$AK$2:$AK$1105,1,Data!$M$2:$M$1105,$BB$114)&lt;Controls!$B$19,"",IFERROR(SUMIFS(Data!$AN$2:$AN$1105,Data!$AK$2:$AK$1105,1,Data!$M$2:$M$1105,$BB$114)/$BD$114,""))</f>
        <v/>
      </c>
      <c r="BF114" s="56">
        <f>IF(COUNTIFS(Data!$AK$2:$AK$1105,1,Data!$M$2:$M$1105,$BB$114)&lt;Controls!$B$19,"",IFERROR(SUMIFS(Data!$AM$2:$AM$1105,Data!$AK$2:$AK$1105,1,Data!$M$2:$M$1105,$BB$114)/SUMIFS(Data!$P$2:$P$1105,Data!$AK$2:$AK$1105,1,Data!$M$2:$M$1105,$BB$114),""))</f>
        <v/>
      </c>
      <c r="BG114" s="57">
        <f>SUMIFS(Data!$AN$2:$AN$1105,Data!$AK$2:$AK$1105,1,Data!$M$2:$M$1105,$BB$114)</f>
        <v/>
      </c>
      <c r="BH114" s="61" t="n"/>
      <c r="BI114" s="61">
        <f>IF(AND($BC$114&gt;=Controls!$B$22,$BD$114&gt;=LARGE($BD$75:$BD$230,MIN(Controls!$B$18,COUNT($BD$75:$BD$230)))),$BE$114,"")</f>
        <v/>
      </c>
      <c r="BJ114" s="61" t="n"/>
      <c r="BK114" s="61">
        <f>IF($BC$114&lt;Controls!$B$22,"",$BE$114)</f>
        <v/>
      </c>
      <c r="BL114" s="61">
        <f>IF($BC$114&lt;Controls!$B$22,"",$BF$114)</f>
        <v/>
      </c>
      <c r="BM114" s="61">
        <f>IF($BC$114&lt;Controls!$B$22,"",$BG$114)</f>
        <v/>
      </c>
      <c r="BN114" s="61" t="n"/>
      <c r="BO114" s="61" t="n"/>
      <c r="BP114" s="61" t="n"/>
      <c r="BQ114" s="61" t="n"/>
      <c r="BR114" s="61" t="n"/>
      <c r="BS114" s="61" t="n"/>
      <c r="BT114" s="61" t="n"/>
    </row>
    <row r="115" ht="15.75" customHeight="1" s="79">
      <c r="A115" s="61" t="n"/>
      <c r="B115" s="61" t="n"/>
      <c r="C115" s="61" t="n"/>
      <c r="D115" s="61" t="n"/>
      <c r="E115" s="61" t="n"/>
      <c r="F115" s="61" t="n"/>
      <c r="G115" s="61" t="n"/>
      <c r="H115" s="61" t="n"/>
      <c r="I115" s="61" t="n"/>
      <c r="J115" s="61" t="n"/>
      <c r="K115" s="61" t="n"/>
      <c r="L115" s="61" t="n"/>
      <c r="M115" s="61" t="n"/>
      <c r="N115" s="61" t="n"/>
      <c r="O115" s="61" t="n"/>
      <c r="P115" s="61" t="n"/>
      <c r="Q115" s="61" t="n"/>
      <c r="R115" s="61" t="n"/>
      <c r="S115" s="61" t="n"/>
      <c r="T115" s="61" t="n"/>
      <c r="U115" s="61" t="n"/>
      <c r="V115" s="61" t="n"/>
      <c r="W115" s="61" t="n"/>
      <c r="X115" s="61" t="n"/>
      <c r="Y115" s="61" t="n"/>
      <c r="Z115" s="61" t="n"/>
      <c r="AA115" s="61" t="n"/>
      <c r="AB115" s="61" t="n"/>
      <c r="AC115" s="61" t="n"/>
      <c r="AD115" s="61" t="n"/>
      <c r="AE115" s="61" t="n"/>
      <c r="AF115" s="61" t="n"/>
      <c r="AG115" s="61" t="n"/>
      <c r="AH115" s="61" t="n"/>
      <c r="AI115" s="61" t="n"/>
      <c r="AJ115" s="61" t="n"/>
      <c r="AK115" s="61" t="n"/>
      <c r="AL115" s="61" t="n"/>
      <c r="AM115" s="61" t="n"/>
      <c r="AN115" s="61">
        <f>Controls!$D$74</f>
        <v/>
      </c>
      <c r="AO115" s="61">
        <f>COUNTIFS(Data!$AK$2:$AK$1105,1,Data!$L$2:$L$1105,$AN$115)</f>
        <v/>
      </c>
      <c r="AP115" s="57">
        <f>SUMIFS(Data!$P$2:$P$1105,Data!$AK$2:$AK$1105,1,Data!$L$2:$L$1105,$AN$115)</f>
        <v/>
      </c>
      <c r="AQ115" s="56">
        <f>IFERROR(SUMIFS(Data!$AN$2:$AN$1105,Data!$AK$2:$AK$1105,1,Data!$L$2:$L$1105,$AN$115)/$AP$115,0)</f>
        <v/>
      </c>
      <c r="AR115" s="57">
        <f>SUMIFS(Data!$AN$2:$AN$1105,Data!$AK$2:$AK$1105,1,Data!$L$2:$L$1105,$AN$115)</f>
        <v/>
      </c>
      <c r="AS115" s="61">
        <f>Controls!$E$74</f>
        <v/>
      </c>
      <c r="AT115" s="61">
        <f>IF(OR(AO115=0,AO115&lt;Controls!$B$20),-1000000000000000,IF(AND(Controls!$B$21="Y",$AN$115="No state"),-1000000000000000,IF(Controls!$B$17="Selected only",IF(AS115="Y",AP115,-1000000000000000),IF(Controls!$B$17="Top by funded $",AP115,IF(Controls!$B$17="Top by funded units",AO115,IF(Controls!$B$17="Largest principal lost $",AR115,IF(Controls!$B$17="Highest net profit $",AU115,IF(AO115&lt;Controls!$B$19,-1000000000000000,IF(Controls!$B$17="Highest principal lost rate %",AQ115,IF(Controls!$B$17="Lowest principal lost rate %",1-AQ115,AP115))))))))) +35/1000000)</f>
        <v/>
      </c>
      <c r="AU115" s="57">
        <f>SUMIFS(Data!$AM$2:$AM$1105,Data!$AK$2:$AK$1105,1,Data!$L$2:$L$1105,$AN$115)</f>
        <v/>
      </c>
      <c r="AV115" s="61" t="n"/>
      <c r="AW115" s="61" t="n"/>
      <c r="AX115" s="61" t="n"/>
      <c r="AY115" s="61" t="n"/>
      <c r="AZ115" s="61" t="n"/>
      <c r="BA115" s="61" t="n"/>
      <c r="BB115" s="61">
        <f>Controls!$G$80</f>
        <v/>
      </c>
      <c r="BC115" s="61">
        <f>COUNTIFS(Data!$AK$2:$AK$1105,1,Data!$M$2:$M$1105,$BB$115)</f>
        <v/>
      </c>
      <c r="BD115" s="57">
        <f>SUMIFS(Data!$P$2:$P$1105,Data!$AK$2:$AK$1105,1,Data!$M$2:$M$1105,$BB$115)</f>
        <v/>
      </c>
      <c r="BE115" s="56">
        <f>IF(COUNTIFS(Data!$AK$2:$AK$1105,1,Data!$M$2:$M$1105,$BB$115)&lt;Controls!$B$19,"",IFERROR(SUMIFS(Data!$AN$2:$AN$1105,Data!$AK$2:$AK$1105,1,Data!$M$2:$M$1105,$BB$115)/$BD$115,""))</f>
        <v/>
      </c>
      <c r="BF115" s="56">
        <f>IF(COUNTIFS(Data!$AK$2:$AK$1105,1,Data!$M$2:$M$1105,$BB$115)&lt;Controls!$B$19,"",IFERROR(SUMIFS(Data!$AM$2:$AM$1105,Data!$AK$2:$AK$1105,1,Data!$M$2:$M$1105,$BB$115)/SUMIFS(Data!$P$2:$P$1105,Data!$AK$2:$AK$1105,1,Data!$M$2:$M$1105,$BB$115),""))</f>
        <v/>
      </c>
      <c r="BG115" s="57">
        <f>SUMIFS(Data!$AN$2:$AN$1105,Data!$AK$2:$AK$1105,1,Data!$M$2:$M$1105,$BB$115)</f>
        <v/>
      </c>
      <c r="BH115" s="61" t="n"/>
      <c r="BI115" s="61">
        <f>IF(AND($BC$115&gt;=Controls!$B$22,$BD$115&gt;=LARGE($BD$75:$BD$230,MIN(Controls!$B$18,COUNT($BD$75:$BD$230)))),$BE$115,"")</f>
        <v/>
      </c>
      <c r="BJ115" s="61" t="n"/>
      <c r="BK115" s="61">
        <f>IF($BC$115&lt;Controls!$B$22,"",$BE$115)</f>
        <v/>
      </c>
      <c r="BL115" s="61">
        <f>IF($BC$115&lt;Controls!$B$22,"",$BF$115)</f>
        <v/>
      </c>
      <c r="BM115" s="61">
        <f>IF($BC$115&lt;Controls!$B$22,"",$BG$115)</f>
        <v/>
      </c>
      <c r="BN115" s="61" t="n"/>
      <c r="BO115" s="61" t="n"/>
      <c r="BP115" s="61" t="n"/>
      <c r="BQ115" s="61" t="n"/>
      <c r="BR115" s="61" t="n"/>
      <c r="BS115" s="61" t="n"/>
      <c r="BT115" s="61" t="n"/>
    </row>
    <row r="116" ht="15.75" customHeight="1" s="79">
      <c r="A116" s="61" t="n"/>
      <c r="B116" s="61" t="n"/>
      <c r="C116" s="61" t="n"/>
      <c r="D116" s="61" t="n"/>
      <c r="E116" s="61" t="n"/>
      <c r="F116" s="61" t="n"/>
      <c r="G116" s="61" t="n"/>
      <c r="H116" s="61" t="n"/>
      <c r="I116" s="61" t="n"/>
      <c r="J116" s="61" t="n"/>
      <c r="K116" s="61" t="n"/>
      <c r="L116" s="61" t="n"/>
      <c r="M116" s="61" t="n"/>
      <c r="N116" s="61" t="n"/>
      <c r="O116" s="61" t="n"/>
      <c r="P116" s="61" t="n"/>
      <c r="Q116" s="61" t="n"/>
      <c r="R116" s="61" t="n"/>
      <c r="S116" s="61" t="n"/>
      <c r="T116" s="61" t="n"/>
      <c r="U116" s="61" t="n"/>
      <c r="V116" s="61" t="n"/>
      <c r="W116" s="61" t="n"/>
      <c r="X116" s="61" t="n"/>
      <c r="Y116" s="61" t="n"/>
      <c r="Z116" s="61" t="n"/>
      <c r="AA116" s="61" t="n"/>
      <c r="AB116" s="61" t="n"/>
      <c r="AC116" s="61" t="n"/>
      <c r="AD116" s="61" t="n"/>
      <c r="AE116" s="61" t="n"/>
      <c r="AF116" s="61" t="n"/>
      <c r="AG116" s="61" t="n"/>
      <c r="AH116" s="61" t="n"/>
      <c r="AI116" s="61" t="n"/>
      <c r="AJ116" s="61" t="n"/>
      <c r="AK116" s="61" t="n"/>
      <c r="AL116" s="61" t="n"/>
      <c r="AM116" s="61" t="n"/>
      <c r="AN116" s="61">
        <f>Controls!$D$75</f>
        <v/>
      </c>
      <c r="AO116" s="61">
        <f>COUNTIFS(Data!$AK$2:$AK$1105,1,Data!$L$2:$L$1105,$AN$116)</f>
        <v/>
      </c>
      <c r="AP116" s="57">
        <f>SUMIFS(Data!$P$2:$P$1105,Data!$AK$2:$AK$1105,1,Data!$L$2:$L$1105,$AN$116)</f>
        <v/>
      </c>
      <c r="AQ116" s="56">
        <f>IFERROR(SUMIFS(Data!$AN$2:$AN$1105,Data!$AK$2:$AK$1105,1,Data!$L$2:$L$1105,$AN$116)/$AP$116,0)</f>
        <v/>
      </c>
      <c r="AR116" s="57">
        <f>SUMIFS(Data!$AN$2:$AN$1105,Data!$AK$2:$AK$1105,1,Data!$L$2:$L$1105,$AN$116)</f>
        <v/>
      </c>
      <c r="AS116" s="61">
        <f>Controls!$E$75</f>
        <v/>
      </c>
      <c r="AT116" s="57">
        <f>IF(OR(AO116=0,AO116&lt;Controls!$B$20),-1000000000000000,IF(AND(Controls!$B$21="Y",$AN$116="No state"),-1000000000000000,IF(Controls!$B$17="Selected only",IF(AS116="Y",AP116,-1000000000000000),IF(Controls!$B$17="Top by funded $",AP116,IF(Controls!$B$17="Top by funded units",AO116,IF(Controls!$B$17="Largest principal lost $",AR116,IF(Controls!$B$17="Highest net profit $",AU116,IF(AO116&lt;Controls!$B$19,-1000000000000000,IF(Controls!$B$17="Highest principal lost rate %",AQ116,IF(Controls!$B$17="Lowest principal lost rate %",1-AQ116,AP116))))))))) +36/1000000)</f>
        <v/>
      </c>
      <c r="AU116" s="57">
        <f>SUMIFS(Data!$AM$2:$AM$1105,Data!$AK$2:$AK$1105,1,Data!$L$2:$L$1105,$AN$116)</f>
        <v/>
      </c>
      <c r="AV116" s="61" t="n"/>
      <c r="AW116" s="61" t="n"/>
      <c r="AX116" s="61" t="n"/>
      <c r="AY116" s="61" t="n"/>
      <c r="AZ116" s="61" t="n"/>
      <c r="BA116" s="61" t="n"/>
      <c r="BB116" s="61">
        <f>Controls!$G$81</f>
        <v/>
      </c>
      <c r="BC116" s="61">
        <f>COUNTIFS(Data!$AK$2:$AK$1105,1,Data!$M$2:$M$1105,$BB$116)</f>
        <v/>
      </c>
      <c r="BD116" s="57">
        <f>SUMIFS(Data!$P$2:$P$1105,Data!$AK$2:$AK$1105,1,Data!$M$2:$M$1105,$BB$116)</f>
        <v/>
      </c>
      <c r="BE116" s="56">
        <f>IF(COUNTIFS(Data!$AK$2:$AK$1105,1,Data!$M$2:$M$1105,$BB$116)&lt;Controls!$B$19,"",IFERROR(SUMIFS(Data!$AN$2:$AN$1105,Data!$AK$2:$AK$1105,1,Data!$M$2:$M$1105,$BB$116)/$BD$116,""))</f>
        <v/>
      </c>
      <c r="BF116" s="56">
        <f>IF(COUNTIFS(Data!$AK$2:$AK$1105,1,Data!$M$2:$M$1105,$BB$116)&lt;Controls!$B$19,"",IFERROR(SUMIFS(Data!$AM$2:$AM$1105,Data!$AK$2:$AK$1105,1,Data!$M$2:$M$1105,$BB$116)/SUMIFS(Data!$P$2:$P$1105,Data!$AK$2:$AK$1105,1,Data!$M$2:$M$1105,$BB$116),""))</f>
        <v/>
      </c>
      <c r="BG116" s="57">
        <f>SUMIFS(Data!$AN$2:$AN$1105,Data!$AK$2:$AK$1105,1,Data!$M$2:$M$1105,$BB$116)</f>
        <v/>
      </c>
      <c r="BH116" s="61" t="n"/>
      <c r="BI116" s="56">
        <f>IF(AND($BC$116&gt;=Controls!$B$22,$BD$116&gt;=LARGE($BD$75:$BD$230,MIN(Controls!$B$18,COUNT($BD$75:$BD$230)))),$BE$116,"")</f>
        <v/>
      </c>
      <c r="BJ116" s="61" t="n"/>
      <c r="BK116" s="56">
        <f>IF($BC$116&lt;Controls!$B$22,"",$BE$116)</f>
        <v/>
      </c>
      <c r="BL116" s="56">
        <f>IF($BC$116&lt;Controls!$B$22,"",$BF$116)</f>
        <v/>
      </c>
      <c r="BM116" s="57">
        <f>IF($BC$116&lt;Controls!$B$22,"",$BG$116)</f>
        <v/>
      </c>
      <c r="BN116" s="61" t="n"/>
      <c r="BO116" s="61" t="n"/>
      <c r="BP116" s="61" t="n"/>
      <c r="BQ116" s="61" t="n"/>
      <c r="BR116" s="61" t="n"/>
      <c r="BS116" s="61" t="n"/>
      <c r="BT116" s="61" t="n"/>
    </row>
    <row r="117" ht="15.75" customHeight="1" s="79">
      <c r="A117" s="61" t="inlineStr">
        <is>
          <t xml:space="preserve">Deal size - </t>
        </is>
      </c>
      <c r="B117" s="61" t="n"/>
      <c r="C117" s="61" t="n"/>
      <c r="D117" s="61" t="n"/>
      <c r="E117" s="61" t="n"/>
      <c r="F117" s="61" t="n"/>
      <c r="G117" s="61" t="n"/>
      <c r="H117" s="61" t="n"/>
      <c r="I117" s="61" t="n"/>
      <c r="J117" s="61" t="n"/>
      <c r="K117" s="61" t="n"/>
      <c r="L117" s="61" t="n"/>
      <c r="M117" s="61" t="n"/>
      <c r="N117" s="61" t="n"/>
      <c r="O117" s="61" t="n"/>
      <c r="P117" s="61" t="n"/>
      <c r="Q117" s="61" t="n"/>
      <c r="R117" s="61" t="n"/>
      <c r="S117" s="61" t="n"/>
      <c r="T117" s="61" t="n"/>
      <c r="U117" s="61" t="n"/>
      <c r="V117" s="61" t="n"/>
      <c r="W117" s="61" t="n"/>
      <c r="X117" s="61" t="n"/>
      <c r="Y117" s="61" t="n"/>
      <c r="Z117" s="61" t="n"/>
      <c r="AA117" s="61" t="n"/>
      <c r="AB117" s="61" t="n"/>
      <c r="AC117" s="61" t="n"/>
      <c r="AD117" s="61" t="n"/>
      <c r="AE117" s="61" t="n"/>
      <c r="AF117" s="61" t="n"/>
      <c r="AG117" s="61" t="n"/>
      <c r="AH117" s="61" t="n"/>
      <c r="AI117" s="61" t="n"/>
      <c r="AJ117" s="61" t="n"/>
      <c r="AK117" s="61" t="n"/>
      <c r="AL117" s="61" t="n"/>
      <c r="AM117" s="61" t="n"/>
      <c r="AN117" s="61">
        <f>Controls!$D$76</f>
        <v/>
      </c>
      <c r="AO117" s="61">
        <f>COUNTIFS(Data!$AK$2:$AK$1105,1,Data!$L$2:$L$1105,$AN$117)</f>
        <v/>
      </c>
      <c r="AP117" s="57">
        <f>SUMIFS(Data!$P$2:$P$1105,Data!$AK$2:$AK$1105,1,Data!$L$2:$L$1105,$AN$117)</f>
        <v/>
      </c>
      <c r="AQ117" s="56">
        <f>IFERROR(SUMIFS(Data!$AN$2:$AN$1105,Data!$AK$2:$AK$1105,1,Data!$L$2:$L$1105,$AN$117)/$AP$117,0)</f>
        <v/>
      </c>
      <c r="AR117" s="57">
        <f>SUMIFS(Data!$AN$2:$AN$1105,Data!$AK$2:$AK$1105,1,Data!$L$2:$L$1105,$AN$117)</f>
        <v/>
      </c>
      <c r="AS117" s="61">
        <f>Controls!$E$76</f>
        <v/>
      </c>
      <c r="AT117" s="61">
        <f>IF(OR(AO117=0,AO117&lt;Controls!$B$20),-1000000000000000,IF(AND(Controls!$B$21="Y",$AN$117="No state"),-1000000000000000,IF(Controls!$B$17="Selected only",IF(AS117="Y",AP117,-1000000000000000),IF(Controls!$B$17="Top by funded $",AP117,IF(Controls!$B$17="Top by funded units",AO117,IF(Controls!$B$17="Largest principal lost $",AR117,IF(Controls!$B$17="Highest net profit $",AU117,IF(AO117&lt;Controls!$B$19,-1000000000000000,IF(Controls!$B$17="Highest principal lost rate %",AQ117,IF(Controls!$B$17="Lowest principal lost rate %",1-AQ117,AP117))))))))) +37/1000000)</f>
        <v/>
      </c>
      <c r="AU117" s="57">
        <f>SUMIFS(Data!$AM$2:$AM$1105,Data!$AK$2:$AK$1105,1,Data!$L$2:$L$1105,$AN$117)</f>
        <v/>
      </c>
      <c r="AV117" s="61" t="n"/>
      <c r="AW117" s="61" t="n"/>
      <c r="AX117" s="61" t="n"/>
      <c r="AY117" s="61" t="n"/>
      <c r="AZ117" s="61" t="n"/>
      <c r="BA117" s="61" t="n"/>
      <c r="BB117" s="61">
        <f>Controls!$G$82</f>
        <v/>
      </c>
      <c r="BC117" s="61">
        <f>COUNTIFS(Data!$AK$2:$AK$1105,1,Data!$M$2:$M$1105,$BB$117)</f>
        <v/>
      </c>
      <c r="BD117" s="57">
        <f>SUMIFS(Data!$P$2:$P$1105,Data!$AK$2:$AK$1105,1,Data!$M$2:$M$1105,$BB$117)</f>
        <v/>
      </c>
      <c r="BE117" s="56">
        <f>IF(COUNTIFS(Data!$AK$2:$AK$1105,1,Data!$M$2:$M$1105,$BB$117)&lt;Controls!$B$19,"",IFERROR(SUMIFS(Data!$AN$2:$AN$1105,Data!$AK$2:$AK$1105,1,Data!$M$2:$M$1105,$BB$117)/$BD$117,""))</f>
        <v/>
      </c>
      <c r="BF117" s="56">
        <f>IF(COUNTIFS(Data!$AK$2:$AK$1105,1,Data!$M$2:$M$1105,$BB$117)&lt;Controls!$B$19,"",IFERROR(SUMIFS(Data!$AM$2:$AM$1105,Data!$AK$2:$AK$1105,1,Data!$M$2:$M$1105,$BB$117)/SUMIFS(Data!$P$2:$P$1105,Data!$AK$2:$AK$1105,1,Data!$M$2:$M$1105,$BB$117),""))</f>
        <v/>
      </c>
      <c r="BG117" s="57">
        <f>SUMIFS(Data!$AN$2:$AN$1105,Data!$AK$2:$AK$1105,1,Data!$M$2:$M$1105,$BB$117)</f>
        <v/>
      </c>
      <c r="BH117" s="61" t="n"/>
      <c r="BI117" s="61">
        <f>IF(AND($BC$117&gt;=Controls!$B$22,$BD$117&gt;=LARGE($BD$75:$BD$230,MIN(Controls!$B$18,COUNT($BD$75:$BD$230)))),$BE$117,"")</f>
        <v/>
      </c>
      <c r="BJ117" s="61" t="n"/>
      <c r="BK117" s="61">
        <f>IF($BC$117&lt;Controls!$B$22,"",$BE$117)</f>
        <v/>
      </c>
      <c r="BL117" s="61">
        <f>IF($BC$117&lt;Controls!$B$22,"",$BF$117)</f>
        <v/>
      </c>
      <c r="BM117" s="61">
        <f>IF($BC$117&lt;Controls!$B$22,"",$BG$117)</f>
        <v/>
      </c>
      <c r="BN117" s="61" t="n"/>
      <c r="BO117" s="61" t="n"/>
      <c r="BP117" s="61" t="n"/>
      <c r="BQ117" s="61" t="n"/>
      <c r="BR117" s="61" t="n"/>
      <c r="BS117" s="61" t="n"/>
      <c r="BT117" s="61" t="n"/>
    </row>
    <row r="118" ht="15.75" customHeight="1" s="79">
      <c r="A118" s="61" t="inlineStr">
        <is>
          <t>Label</t>
        </is>
      </c>
      <c r="B118" s="61" t="inlineStr">
        <is>
          <t>Funded $</t>
        </is>
      </c>
      <c r="C118" s="61" t="inlineStr">
        <is>
          <t>Collected $</t>
        </is>
      </c>
      <c r="D118" s="61" t="inlineStr">
        <is>
          <t>Net profit / loss $</t>
        </is>
      </c>
      <c r="E118" s="61" t="inlineStr">
        <is>
          <t>Commission $</t>
        </is>
      </c>
      <c r="F118" s="61" t="inlineStr">
        <is>
          <t>Principal lost $</t>
        </is>
      </c>
      <c r="G118" s="61" t="inlineStr">
        <is>
          <t>Principal lost rate</t>
        </is>
      </c>
      <c r="H118" s="61" t="inlineStr">
        <is>
          <t>Recovery rate</t>
        </is>
      </c>
      <c r="I118" s="61" t="inlineStr">
        <is>
          <t>Return on funded capital (%)</t>
        </is>
      </c>
      <c r="J118" s="61" t="inlineStr">
        <is>
          <t>Deals</t>
        </is>
      </c>
      <c r="K118" s="61" t="inlineStr">
        <is>
          <t>Share of funded dollars</t>
        </is>
      </c>
      <c r="L118" s="61" t="inlineStr">
        <is>
          <t>Avg deal size</t>
        </is>
      </c>
      <c r="M118" s="61" t="inlineStr">
        <is>
          <t>Avg expected term (business days)</t>
        </is>
      </c>
      <c r="N118" s="61" t="inlineStr">
        <is>
          <t>Avg expected term (payments)</t>
        </is>
      </c>
      <c r="O118" s="61" t="inlineStr">
        <is>
          <t>Avg days on book, defaulted</t>
        </is>
      </c>
      <c r="P118" s="61" t="inlineStr">
        <is>
          <t>Avg days to close</t>
        </is>
      </c>
      <c r="Q118" s="61" t="inlineStr">
        <is>
          <t>% of deals that were renewals</t>
        </is>
      </c>
      <c r="R118" s="61" t="inlineStr">
        <is>
          <t>% of funded dollars from renewals</t>
        </is>
      </c>
      <c r="S118" s="61" t="inlineStr">
        <is>
          <t>Book lost rate</t>
        </is>
      </c>
      <c r="T118" s="61" t="inlineStr">
        <is>
          <t>Book recovery</t>
        </is>
      </c>
      <c r="U118" s="61" t="inlineStr">
        <is>
          <t>Book return on funded capital</t>
        </is>
      </c>
      <c r="V118" s="61" t="inlineStr">
        <is>
          <t>Default rate (#)</t>
        </is>
      </c>
      <c r="W118" s="61" t="inlineStr">
        <is>
          <t>Chart label (name + deals)</t>
        </is>
      </c>
      <c r="X118" s="61" t="n"/>
      <c r="Y118" s="61" t="n"/>
      <c r="Z118" s="61" t="n"/>
      <c r="AA118" s="61" t="n"/>
      <c r="AB118" s="61" t="n"/>
      <c r="AC118" s="61" t="n"/>
      <c r="AD118" s="61" t="n"/>
      <c r="AE118" s="61" t="n"/>
      <c r="AF118" s="61" t="n"/>
      <c r="AG118" s="61" t="n"/>
      <c r="AH118" s="61" t="n"/>
      <c r="AI118" s="61" t="n"/>
      <c r="AJ118" s="61" t="n"/>
      <c r="AK118" s="61" t="n"/>
      <c r="AL118" s="61" t="n"/>
      <c r="AM118" s="61" t="n"/>
      <c r="AN118" s="61">
        <f>Controls!$D$77</f>
        <v/>
      </c>
      <c r="AO118" s="61">
        <f>COUNTIFS(Data!$AK$2:$AK$1105,1,Data!$L$2:$L$1105,$AN$118)</f>
        <v/>
      </c>
      <c r="AP118" s="57">
        <f>SUMIFS(Data!$P$2:$P$1105,Data!$AK$2:$AK$1105,1,Data!$L$2:$L$1105,$AN$118)</f>
        <v/>
      </c>
      <c r="AQ118" s="56">
        <f>IFERROR(SUMIFS(Data!$AN$2:$AN$1105,Data!$AK$2:$AK$1105,1,Data!$L$2:$L$1105,$AN$118)/$AP$118,0)</f>
        <v/>
      </c>
      <c r="AR118" s="57">
        <f>SUMIFS(Data!$AN$2:$AN$1105,Data!$AK$2:$AK$1105,1,Data!$L$2:$L$1105,$AN$118)</f>
        <v/>
      </c>
      <c r="AS118" s="61">
        <f>Controls!$E$77</f>
        <v/>
      </c>
      <c r="AT118" s="61">
        <f>IF(OR(AO118=0,AO118&lt;Controls!$B$20),-1000000000000000,IF(AND(Controls!$B$21="Y",$AN$118="No state"),-1000000000000000,IF(Controls!$B$17="Selected only",IF(AS118="Y",AP118,-1000000000000000),IF(Controls!$B$17="Top by funded $",AP118,IF(Controls!$B$17="Top by funded units",AO118,IF(Controls!$B$17="Largest principal lost $",AR118,IF(Controls!$B$17="Highest net profit $",AU118,IF(AO118&lt;Controls!$B$19,-1000000000000000,IF(Controls!$B$17="Highest principal lost rate %",AQ118,IF(Controls!$B$17="Lowest principal lost rate %",1-AQ118,AP118))))))))) +38/1000000)</f>
        <v/>
      </c>
      <c r="AU118" s="57">
        <f>SUMIFS(Data!$AM$2:$AM$1105,Data!$AK$2:$AK$1105,1,Data!$L$2:$L$1105,$AN$118)</f>
        <v/>
      </c>
      <c r="AV118" s="61" t="n"/>
      <c r="AW118" s="61" t="n"/>
      <c r="AX118" s="61" t="n"/>
      <c r="AY118" s="61" t="n"/>
      <c r="AZ118" s="61" t="n"/>
      <c r="BA118" s="61" t="n"/>
      <c r="BB118" s="61">
        <f>Controls!$G$83</f>
        <v/>
      </c>
      <c r="BC118" s="61">
        <f>COUNTIFS(Data!$AK$2:$AK$1105,1,Data!$M$2:$M$1105,$BB$118)</f>
        <v/>
      </c>
      <c r="BD118" s="57">
        <f>SUMIFS(Data!$P$2:$P$1105,Data!$AK$2:$AK$1105,1,Data!$M$2:$M$1105,$BB$118)</f>
        <v/>
      </c>
      <c r="BE118" s="56">
        <f>IF(COUNTIFS(Data!$AK$2:$AK$1105,1,Data!$M$2:$M$1105,$BB$118)&lt;Controls!$B$19,"",IFERROR(SUMIFS(Data!$AN$2:$AN$1105,Data!$AK$2:$AK$1105,1,Data!$M$2:$M$1105,$BB$118)/$BD$118,""))</f>
        <v/>
      </c>
      <c r="BF118" s="56">
        <f>IF(COUNTIFS(Data!$AK$2:$AK$1105,1,Data!$M$2:$M$1105,$BB$118)&lt;Controls!$B$19,"",IFERROR(SUMIFS(Data!$AM$2:$AM$1105,Data!$AK$2:$AK$1105,1,Data!$M$2:$M$1105,$BB$118)/SUMIFS(Data!$P$2:$P$1105,Data!$AK$2:$AK$1105,1,Data!$M$2:$M$1105,$BB$118),""))</f>
        <v/>
      </c>
      <c r="BG118" s="57">
        <f>SUMIFS(Data!$AN$2:$AN$1105,Data!$AK$2:$AK$1105,1,Data!$M$2:$M$1105,$BB$118)</f>
        <v/>
      </c>
      <c r="BH118" s="61" t="n"/>
      <c r="BI118" s="61">
        <f>IF(AND($BC$118&gt;=Controls!$B$22,$BD$118&gt;=LARGE($BD$75:$BD$230,MIN(Controls!$B$18,COUNT($BD$75:$BD$230)))),$BE$118,"")</f>
        <v/>
      </c>
      <c r="BJ118" s="61" t="n"/>
      <c r="BK118" s="61">
        <f>IF($BC$118&lt;Controls!$B$22,"",$BE$118)</f>
        <v/>
      </c>
      <c r="BL118" s="61">
        <f>IF($BC$118&lt;Controls!$B$22,"",$BF$118)</f>
        <v/>
      </c>
      <c r="BM118" s="61">
        <f>IF($BC$118&lt;Controls!$B$22,"",$BG$118)</f>
        <v/>
      </c>
      <c r="BN118" s="61" t="n"/>
      <c r="BO118" s="61" t="n"/>
      <c r="BP118" s="61" t="n"/>
      <c r="BQ118" s="61" t="n"/>
      <c r="BR118" s="61" t="n"/>
      <c r="BS118" s="61" t="n"/>
      <c r="BT118" s="61" t="n"/>
    </row>
    <row r="119" ht="15.75" customHeight="1" s="79">
      <c r="A119" s="61">
        <f>IF(COUNTIFS(Data!$AK$2:$AK$1105,1,Data!$AU$2:$AU$1105,"Under $10K")=0,"","Under $10K")</f>
        <v/>
      </c>
      <c r="B119" s="66">
        <f>IF($A$119="",NA(),IFERROR(SUMIFS(Data!$P$2:$P$1105,Data!$AK$2:$AK$1105,1,Data!$AU$2:$AU$1105,$A$119),NA()))</f>
        <v/>
      </c>
      <c r="C119" s="66">
        <f>IF($A$119="",NA(),IFERROR(SUMIFS(Data!$S$2:$S$1105,Data!$AK$2:$AK$1105,1,Data!$AU$2:$AU$1105,$A$119),NA()))</f>
        <v/>
      </c>
      <c r="D119" s="66">
        <f>IF(ISNA($B$119),NA(),$C$119-$B$119)</f>
        <v/>
      </c>
      <c r="E119" s="66">
        <f>IF($A$119="",NA(),IFERROR(SUMIFS(Data!$Q$2:$Q$1105,Data!$AK$2:$AK$1105,1,Data!$AU$2:$AU$1105,$A$119),NA()))</f>
        <v/>
      </c>
      <c r="F119" s="66">
        <f>IF($A$119="",NA(),IFERROR(SUMIFS(Data!$AN$2:$AN$1105,Data!$AK$2:$AK$1105,1,Data!$AU$2:$AU$1105,$A$119),NA()))</f>
        <v/>
      </c>
      <c r="G119" s="62">
        <f>IF($A$119="",NA(),IF(COUNTIFS(Data!$AK$2:$AK$1105,1,Data!$AU$2:$AU$1105,$A$119)&lt;Controls!$B$19,NA(),IFERROR(SUMIFS(Data!$AN$2:$AN$1105,Data!$AK$2:$AK$1105,1,Data!$AU$2:$AU$1105,$A$119)/$B$119,NA())))</f>
        <v/>
      </c>
      <c r="H119" s="62">
        <f>IF($A$119="",NA(),IF(COUNTIFS(Data!$AK$2:$AK$1105,1,Data!$AU$2:$AU$1105,$A$119)&lt;Controls!$B$19,NA(),IFERROR(SUMIFS(Data!$S$2:$S$1105,Data!$AK$2:$AK$1105,1,Data!$AU$2:$AU$1105,$A$119,Data!$AH$2:$AH$1105,1)/SUMIFS(Data!$P$2:$P$1105,Data!$AK$2:$AK$1105,1,Data!$AU$2:$AU$1105,$A$119,Data!$AH$2:$AH$1105,1),NA())))</f>
        <v/>
      </c>
      <c r="I119" s="62">
        <f>IF(ISNA($J$119),NA(),IF($J$119&lt;Controls!$B$19,NA(),IFERROR($D$119/$B$119,NA())))</f>
        <v/>
      </c>
      <c r="J119" s="67">
        <f>IF($A$119="",NA(),IFERROR(COUNTIFS(Data!$AK$2:$AK$1105,1,Data!$AU$2:$AU$1105,$A$119),NA()))</f>
        <v/>
      </c>
      <c r="K119" s="62">
        <f>IF(ISNA($B$119),NA(),IFERROR($B$119/Calc!$BT$6,NA()))</f>
        <v/>
      </c>
      <c r="L119" s="66">
        <f>IF(ISNA($J$119),NA(),IF($J$119&lt;Controls!$B$19,NA(),IFERROR($B$119/$J$119,NA())))</f>
        <v/>
      </c>
      <c r="M119" s="67">
        <f>IF($A$119="",NA(),IF(COUNTIFS(Data!$AK$2:$AK$1105,1,Data!$AU$2:$AU$1105,$A$119)&lt;Controls!$B$19,NA(),IFERROR(AVERAGEIFS(Data!$AE$2:$AE$1105,Data!$AK$2:$AK$1105,1,Data!$AU$2:$AU$1105,$A$119),NA())))</f>
        <v/>
      </c>
      <c r="N119" s="67">
        <f>IF($A$119="",NA(),IF(COUNTIFS(Data!$AK$2:$AK$1105,1,Data!$AU$2:$AU$1105,$A$119)&lt;Controls!$B$19,NA(),IFERROR(AVERAGEIFS(Data!$AD$2:$AD$1105,Data!$AK$2:$AK$1105,1,Data!$AU$2:$AU$1105,$A$119),NA())))</f>
        <v/>
      </c>
      <c r="O119" s="67">
        <f>IF($A$119="",NA(),IF(COUNTIFS(Data!$AK$2:$AK$1105,1,Data!$AU$2:$AU$1105,$A$119)&lt;Controls!$B$19,NA(),IFERROR(AVERAGEIFS(Data!$AS$2:$AS$1105,Data!$AK$2:$AK$1105,1,Data!$AU$2:$AU$1105,$A$119),NA())))</f>
        <v/>
      </c>
      <c r="P119" s="67">
        <f>IF($A$119="",NA(),IF(COUNTIFS(Data!$AK$2:$AK$1105,1,Data!$AU$2:$AU$1105,$A$119)&lt;Controls!$B$19,NA(),IFERROR(AVERAGEIFS(Data!$AT$2:$AT$1105,Data!$AK$2:$AK$1105,1,Data!$AU$2:$AU$1105,$A$119),NA())))</f>
        <v/>
      </c>
      <c r="Q119" s="62">
        <f>IF($A$119="",NA(),IF(COUNTIFS(Data!$AK$2:$AK$1105,1,Data!$AU$2:$AU$1105,$A$119)&lt;Controls!$B$19,NA(),IFERROR(COUNTIFS(Data!$AK$2:$AK$1105,1,Data!$AU$2:$AU$1105,$A$119,Data!$N$2:$N$1105,"Renewal")/COUNTIFS(Data!$AK$2:$AK$1105,1,Data!$AU$2:$AU$1105,$A$119),NA())))</f>
        <v/>
      </c>
      <c r="R119" s="62">
        <f>IF($A$119="",NA(),IF(COUNTIFS(Data!$AK$2:$AK$1105,1,Data!$AU$2:$AU$1105,$A$119)&lt;Controls!$B$19,NA(),IFERROR(SUMIFS(Data!$P$2:$P$1105,Data!$AK$2:$AK$1105,1,Data!$AU$2:$AU$1105,$A$119,Data!$N$2:$N$1105,"Renewal")/SUMIFS(Data!$P$2:$P$1105,Data!$AK$2:$AK$1105,1,Data!$AU$2:$AU$1105,$A$119),NA())))</f>
        <v/>
      </c>
      <c r="S119" s="62">
        <f>IF($A$119="",NA(),Calc!$BT$2)</f>
        <v/>
      </c>
      <c r="T119" s="62">
        <f>IF($A$119="",NA(),Calc!$BT$3)</f>
        <v/>
      </c>
      <c r="U119" s="62">
        <f>IF($A$119="",NA(),Calc!$BT$4)</f>
        <v/>
      </c>
      <c r="V119" s="62">
        <f>IF($A$119="",NA(),IF(COUNTIFS(Data!$AK$2:$AK$1105,1,Data!$AU$2:$AU$1105,$A$119)&lt;Controls!$B$19,NA(),IFERROR(COUNTIFS(Data!$AK$2:$AK$1105,1,Data!$AU$2:$AU$1105,$A$119,Data!$AH$2:$AH$1105,1)/COUNTIFS(Data!$AK$2:$AK$1105,1,Data!$AU$2:$AU$1105,$A$119),NA())))</f>
        <v/>
      </c>
      <c r="W119" s="61">
        <f>IF($A$119="","",$A$119&amp;" ("&amp;$J$119&amp;")")</f>
        <v/>
      </c>
      <c r="X119" s="61" t="n"/>
      <c r="Y119" s="61" t="n"/>
      <c r="Z119" s="61" t="n"/>
      <c r="AA119" s="61" t="n"/>
      <c r="AB119" s="61" t="n"/>
      <c r="AC119" s="61" t="n"/>
      <c r="AD119" s="61" t="n"/>
      <c r="AE119" s="61" t="n"/>
      <c r="AF119" s="61" t="n"/>
      <c r="AG119" s="61" t="n"/>
      <c r="AH119" s="61" t="n"/>
      <c r="AI119" s="61" t="n"/>
      <c r="AJ119" s="61" t="n"/>
      <c r="AK119" s="61" t="n"/>
      <c r="AL119" s="61" t="n"/>
      <c r="AM119" s="61" t="n"/>
      <c r="AN119" s="61">
        <f>Controls!$D$78</f>
        <v/>
      </c>
      <c r="AO119" s="61">
        <f>COUNTIFS(Data!$AK$2:$AK$1105,1,Data!$L$2:$L$1105,$AN$119)</f>
        <v/>
      </c>
      <c r="AP119" s="57">
        <f>SUMIFS(Data!$P$2:$P$1105,Data!$AK$2:$AK$1105,1,Data!$L$2:$L$1105,$AN$119)</f>
        <v/>
      </c>
      <c r="AQ119" s="56">
        <f>IFERROR(SUMIFS(Data!$AN$2:$AN$1105,Data!$AK$2:$AK$1105,1,Data!$L$2:$L$1105,$AN$119)/$AP$119,0)</f>
        <v/>
      </c>
      <c r="AR119" s="57">
        <f>SUMIFS(Data!$AN$2:$AN$1105,Data!$AK$2:$AK$1105,1,Data!$L$2:$L$1105,$AN$119)</f>
        <v/>
      </c>
      <c r="AS119" s="61">
        <f>Controls!$E$78</f>
        <v/>
      </c>
      <c r="AT119" s="57">
        <f>IF(OR(AO119=0,AO119&lt;Controls!$B$20),-1000000000000000,IF(AND(Controls!$B$21="Y",$AN$119="No state"),-1000000000000000,IF(Controls!$B$17="Selected only",IF(AS119="Y",AP119,-1000000000000000),IF(Controls!$B$17="Top by funded $",AP119,IF(Controls!$B$17="Top by funded units",AO119,IF(Controls!$B$17="Largest principal lost $",AR119,IF(Controls!$B$17="Highest net profit $",AU119,IF(AO119&lt;Controls!$B$19,-1000000000000000,IF(Controls!$B$17="Highest principal lost rate %",AQ119,IF(Controls!$B$17="Lowest principal lost rate %",1-AQ119,AP119))))))))) +39/1000000)</f>
        <v/>
      </c>
      <c r="AU119" s="57">
        <f>SUMIFS(Data!$AM$2:$AM$1105,Data!$AK$2:$AK$1105,1,Data!$L$2:$L$1105,$AN$119)</f>
        <v/>
      </c>
      <c r="AV119" s="61" t="n"/>
      <c r="AW119" s="61" t="n"/>
      <c r="AX119" s="61" t="n"/>
      <c r="AY119" s="61" t="n"/>
      <c r="AZ119" s="61" t="n"/>
      <c r="BA119" s="61" t="n"/>
      <c r="BB119" s="61">
        <f>Controls!$G$84</f>
        <v/>
      </c>
      <c r="BC119" s="61">
        <f>COUNTIFS(Data!$AK$2:$AK$1105,1,Data!$M$2:$M$1105,$BB$119)</f>
        <v/>
      </c>
      <c r="BD119" s="57">
        <f>SUMIFS(Data!$P$2:$P$1105,Data!$AK$2:$AK$1105,1,Data!$M$2:$M$1105,$BB$119)</f>
        <v/>
      </c>
      <c r="BE119" s="56">
        <f>IF(COUNTIFS(Data!$AK$2:$AK$1105,1,Data!$M$2:$M$1105,$BB$119)&lt;Controls!$B$19,"",IFERROR(SUMIFS(Data!$AN$2:$AN$1105,Data!$AK$2:$AK$1105,1,Data!$M$2:$M$1105,$BB$119)/$BD$119,""))</f>
        <v/>
      </c>
      <c r="BF119" s="56">
        <f>IF(COUNTIFS(Data!$AK$2:$AK$1105,1,Data!$M$2:$M$1105,$BB$119)&lt;Controls!$B$19,"",IFERROR(SUMIFS(Data!$AM$2:$AM$1105,Data!$AK$2:$AK$1105,1,Data!$M$2:$M$1105,$BB$119)/SUMIFS(Data!$P$2:$P$1105,Data!$AK$2:$AK$1105,1,Data!$M$2:$M$1105,$BB$119),""))</f>
        <v/>
      </c>
      <c r="BG119" s="57">
        <f>SUMIFS(Data!$AN$2:$AN$1105,Data!$AK$2:$AK$1105,1,Data!$M$2:$M$1105,$BB$119)</f>
        <v/>
      </c>
      <c r="BH119" s="61" t="n"/>
      <c r="BI119" s="61">
        <f>IF(AND($BC$119&gt;=Controls!$B$22,$BD$119&gt;=LARGE($BD$75:$BD$230,MIN(Controls!$B$18,COUNT($BD$75:$BD$230)))),$BE$119,"")</f>
        <v/>
      </c>
      <c r="BJ119" s="61" t="n"/>
      <c r="BK119" s="61">
        <f>IF($BC$119&lt;Controls!$B$22,"",$BE$119)</f>
        <v/>
      </c>
      <c r="BL119" s="61">
        <f>IF($BC$119&lt;Controls!$B$22,"",$BF$119)</f>
        <v/>
      </c>
      <c r="BM119" s="61">
        <f>IF($BC$119&lt;Controls!$B$22,"",$BG$119)</f>
        <v/>
      </c>
      <c r="BN119" s="61" t="n"/>
      <c r="BO119" s="61" t="n"/>
      <c r="BP119" s="61" t="n"/>
      <c r="BQ119" s="61" t="n"/>
      <c r="BR119" s="61" t="n"/>
      <c r="BS119" s="61" t="n"/>
      <c r="BT119" s="61" t="n"/>
    </row>
    <row r="120" ht="15.75" customHeight="1" s="79">
      <c r="A120" s="61">
        <f>IF(COUNTIFS(Data!$AK$2:$AK$1105,1,Data!$AU$2:$AU$1105,"$10-20K")=0,"","$10-20K")</f>
        <v/>
      </c>
      <c r="B120" s="66">
        <f>IF($A$120="",NA(),IFERROR(SUMIFS(Data!$P$2:$P$1105,Data!$AK$2:$AK$1105,1,Data!$AU$2:$AU$1105,$A$120),NA()))</f>
        <v/>
      </c>
      <c r="C120" s="66">
        <f>IF($A$120="",NA(),IFERROR(SUMIFS(Data!$S$2:$S$1105,Data!$AK$2:$AK$1105,1,Data!$AU$2:$AU$1105,$A$120),NA()))</f>
        <v/>
      </c>
      <c r="D120" s="66">
        <f>IF(ISNA($B$120),NA(),$C$120-$B$120)</f>
        <v/>
      </c>
      <c r="E120" s="66">
        <f>IF($A$120="",NA(),IFERROR(SUMIFS(Data!$Q$2:$Q$1105,Data!$AK$2:$AK$1105,1,Data!$AU$2:$AU$1105,$A$120),NA()))</f>
        <v/>
      </c>
      <c r="F120" s="66">
        <f>IF($A$120="",NA(),IFERROR(SUMIFS(Data!$AN$2:$AN$1105,Data!$AK$2:$AK$1105,1,Data!$AU$2:$AU$1105,$A$120),NA()))</f>
        <v/>
      </c>
      <c r="G120" s="62">
        <f>IF($A$120="",NA(),IF(COUNTIFS(Data!$AK$2:$AK$1105,1,Data!$AU$2:$AU$1105,$A$120)&lt;Controls!$B$19,NA(),IFERROR(SUMIFS(Data!$AN$2:$AN$1105,Data!$AK$2:$AK$1105,1,Data!$AU$2:$AU$1105,$A$120)/$B$120,NA())))</f>
        <v/>
      </c>
      <c r="H120" s="62">
        <f>IF($A$120="",NA(),IF(COUNTIFS(Data!$AK$2:$AK$1105,1,Data!$AU$2:$AU$1105,$A$120)&lt;Controls!$B$19,NA(),IFERROR(SUMIFS(Data!$S$2:$S$1105,Data!$AK$2:$AK$1105,1,Data!$AU$2:$AU$1105,$A$120,Data!$AH$2:$AH$1105,1)/SUMIFS(Data!$P$2:$P$1105,Data!$AK$2:$AK$1105,1,Data!$AU$2:$AU$1105,$A$120,Data!$AH$2:$AH$1105,1),NA())))</f>
        <v/>
      </c>
      <c r="I120" s="62">
        <f>IF(ISNA($J$120),NA(),IF($J$120&lt;Controls!$B$19,NA(),IFERROR($D$120/$B$120,NA())))</f>
        <v/>
      </c>
      <c r="J120" s="67">
        <f>IF($A$120="",NA(),IFERROR(COUNTIFS(Data!$AK$2:$AK$1105,1,Data!$AU$2:$AU$1105,$A$120),NA()))</f>
        <v/>
      </c>
      <c r="K120" s="62">
        <f>IF(ISNA($B$120),NA(),IFERROR($B$120/Calc!$BT$6,NA()))</f>
        <v/>
      </c>
      <c r="L120" s="66">
        <f>IF(ISNA($J$120),NA(),IF($J$120&lt;Controls!$B$19,NA(),IFERROR($B$120/$J$120,NA())))</f>
        <v/>
      </c>
      <c r="M120" s="67">
        <f>IF($A$120="",NA(),IF(COUNTIFS(Data!$AK$2:$AK$1105,1,Data!$AU$2:$AU$1105,$A$120)&lt;Controls!$B$19,NA(),IFERROR(AVERAGEIFS(Data!$AE$2:$AE$1105,Data!$AK$2:$AK$1105,1,Data!$AU$2:$AU$1105,$A$120),NA())))</f>
        <v/>
      </c>
      <c r="N120" s="67">
        <f>IF($A$120="",NA(),IF(COUNTIFS(Data!$AK$2:$AK$1105,1,Data!$AU$2:$AU$1105,$A$120)&lt;Controls!$B$19,NA(),IFERROR(AVERAGEIFS(Data!$AD$2:$AD$1105,Data!$AK$2:$AK$1105,1,Data!$AU$2:$AU$1105,$A$120),NA())))</f>
        <v/>
      </c>
      <c r="O120" s="67">
        <f>IF($A$120="",NA(),IF(COUNTIFS(Data!$AK$2:$AK$1105,1,Data!$AU$2:$AU$1105,$A$120)&lt;Controls!$B$19,NA(),IFERROR(AVERAGEIFS(Data!$AS$2:$AS$1105,Data!$AK$2:$AK$1105,1,Data!$AU$2:$AU$1105,$A$120),NA())))</f>
        <v/>
      </c>
      <c r="P120" s="67">
        <f>IF($A$120="",NA(),IF(COUNTIFS(Data!$AK$2:$AK$1105,1,Data!$AU$2:$AU$1105,$A$120)&lt;Controls!$B$19,NA(),IFERROR(AVERAGEIFS(Data!$AT$2:$AT$1105,Data!$AK$2:$AK$1105,1,Data!$AU$2:$AU$1105,$A$120),NA())))</f>
        <v/>
      </c>
      <c r="Q120" s="62">
        <f>IF($A$120="",NA(),IF(COUNTIFS(Data!$AK$2:$AK$1105,1,Data!$AU$2:$AU$1105,$A$120)&lt;Controls!$B$19,NA(),IFERROR(COUNTIFS(Data!$AK$2:$AK$1105,1,Data!$AU$2:$AU$1105,$A$120,Data!$N$2:$N$1105,"Renewal")/COUNTIFS(Data!$AK$2:$AK$1105,1,Data!$AU$2:$AU$1105,$A$120),NA())))</f>
        <v/>
      </c>
      <c r="R120" s="62">
        <f>IF($A$120="",NA(),IF(COUNTIFS(Data!$AK$2:$AK$1105,1,Data!$AU$2:$AU$1105,$A$120)&lt;Controls!$B$19,NA(),IFERROR(SUMIFS(Data!$P$2:$P$1105,Data!$AK$2:$AK$1105,1,Data!$AU$2:$AU$1105,$A$120,Data!$N$2:$N$1105,"Renewal")/SUMIFS(Data!$P$2:$P$1105,Data!$AK$2:$AK$1105,1,Data!$AU$2:$AU$1105,$A$120),NA())))</f>
        <v/>
      </c>
      <c r="S120" s="62">
        <f>IF($A$120="",NA(),Calc!$BT$2)</f>
        <v/>
      </c>
      <c r="T120" s="62">
        <f>IF($A$120="",NA(),Calc!$BT$3)</f>
        <v/>
      </c>
      <c r="U120" s="62">
        <f>IF($A$120="",NA(),Calc!$BT$4)</f>
        <v/>
      </c>
      <c r="V120" s="62">
        <f>IF($A$120="",NA(),IF(COUNTIFS(Data!$AK$2:$AK$1105,1,Data!$AU$2:$AU$1105,$A$120)&lt;Controls!$B$19,NA(),IFERROR(COUNTIFS(Data!$AK$2:$AK$1105,1,Data!$AU$2:$AU$1105,$A$120,Data!$AH$2:$AH$1105,1)/COUNTIFS(Data!$AK$2:$AK$1105,1,Data!$AU$2:$AU$1105,$A$120),NA())))</f>
        <v/>
      </c>
      <c r="W120" s="61">
        <f>IF($A$120="","",$A$120&amp;" ("&amp;$J$120&amp;")")</f>
        <v/>
      </c>
      <c r="X120" s="61" t="n"/>
      <c r="Y120" s="61" t="n"/>
      <c r="Z120" s="61" t="n"/>
      <c r="AA120" s="61" t="n"/>
      <c r="AB120" s="61" t="n"/>
      <c r="AC120" s="61" t="n"/>
      <c r="AD120" s="61" t="n"/>
      <c r="AE120" s="61" t="n"/>
      <c r="AF120" s="61" t="n"/>
      <c r="AG120" s="61" t="n"/>
      <c r="AH120" s="61" t="n"/>
      <c r="AI120" s="61" t="n"/>
      <c r="AJ120" s="61" t="n"/>
      <c r="AK120" s="61" t="n"/>
      <c r="AL120" s="61" t="n"/>
      <c r="AM120" s="61" t="n"/>
      <c r="AN120" s="61">
        <f>Controls!$D$79</f>
        <v/>
      </c>
      <c r="AO120" s="61">
        <f>COUNTIFS(Data!$AK$2:$AK$1105,1,Data!$L$2:$L$1105,$AN$120)</f>
        <v/>
      </c>
      <c r="AP120" s="57">
        <f>SUMIFS(Data!$P$2:$P$1105,Data!$AK$2:$AK$1105,1,Data!$L$2:$L$1105,$AN$120)</f>
        <v/>
      </c>
      <c r="AQ120" s="56">
        <f>IFERROR(SUMIFS(Data!$AN$2:$AN$1105,Data!$AK$2:$AK$1105,1,Data!$L$2:$L$1105,$AN$120)/$AP$120,0)</f>
        <v/>
      </c>
      <c r="AR120" s="57">
        <f>SUMIFS(Data!$AN$2:$AN$1105,Data!$AK$2:$AK$1105,1,Data!$L$2:$L$1105,$AN$120)</f>
        <v/>
      </c>
      <c r="AS120" s="61">
        <f>Controls!$E$79</f>
        <v/>
      </c>
      <c r="AT120" s="61">
        <f>IF(OR(AO120=0,AO120&lt;Controls!$B$20),-1000000000000000,IF(AND(Controls!$B$21="Y",$AN$120="No state"),-1000000000000000,IF(Controls!$B$17="Selected only",IF(AS120="Y",AP120,-1000000000000000),IF(Controls!$B$17="Top by funded $",AP120,IF(Controls!$B$17="Top by funded units",AO120,IF(Controls!$B$17="Largest principal lost $",AR120,IF(Controls!$B$17="Highest net profit $",AU120,IF(AO120&lt;Controls!$B$19,-1000000000000000,IF(Controls!$B$17="Highest principal lost rate %",AQ120,IF(Controls!$B$17="Lowest principal lost rate %",1-AQ120,AP120))))))))) +40/1000000)</f>
        <v/>
      </c>
      <c r="AU120" s="57">
        <f>SUMIFS(Data!$AM$2:$AM$1105,Data!$AK$2:$AK$1105,1,Data!$L$2:$L$1105,$AN$120)</f>
        <v/>
      </c>
      <c r="AV120" s="61" t="n"/>
      <c r="AW120" s="61" t="n"/>
      <c r="AX120" s="61" t="n"/>
      <c r="AY120" s="61" t="n"/>
      <c r="AZ120" s="61" t="n"/>
      <c r="BA120" s="61" t="n"/>
      <c r="BB120" s="61">
        <f>Controls!$G$85</f>
        <v/>
      </c>
      <c r="BC120" s="61">
        <f>COUNTIFS(Data!$AK$2:$AK$1105,1,Data!$M$2:$M$1105,$BB$120)</f>
        <v/>
      </c>
      <c r="BD120" s="57">
        <f>SUMIFS(Data!$P$2:$P$1105,Data!$AK$2:$AK$1105,1,Data!$M$2:$M$1105,$BB$120)</f>
        <v/>
      </c>
      <c r="BE120" s="56">
        <f>IF(COUNTIFS(Data!$AK$2:$AK$1105,1,Data!$M$2:$M$1105,$BB$120)&lt;Controls!$B$19,"",IFERROR(SUMIFS(Data!$AN$2:$AN$1105,Data!$AK$2:$AK$1105,1,Data!$M$2:$M$1105,$BB$120)/$BD$120,""))</f>
        <v/>
      </c>
      <c r="BF120" s="56">
        <f>IF(COUNTIFS(Data!$AK$2:$AK$1105,1,Data!$M$2:$M$1105,$BB$120)&lt;Controls!$B$19,"",IFERROR(SUMIFS(Data!$AM$2:$AM$1105,Data!$AK$2:$AK$1105,1,Data!$M$2:$M$1105,$BB$120)/SUMIFS(Data!$P$2:$P$1105,Data!$AK$2:$AK$1105,1,Data!$M$2:$M$1105,$BB$120),""))</f>
        <v/>
      </c>
      <c r="BG120" s="57">
        <f>SUMIFS(Data!$AN$2:$AN$1105,Data!$AK$2:$AK$1105,1,Data!$M$2:$M$1105,$BB$120)</f>
        <v/>
      </c>
      <c r="BH120" s="61" t="n"/>
      <c r="BI120" s="61">
        <f>IF(AND($BC$120&gt;=Controls!$B$22,$BD$120&gt;=LARGE($BD$75:$BD$230,MIN(Controls!$B$18,COUNT($BD$75:$BD$230)))),$BE$120,"")</f>
        <v/>
      </c>
      <c r="BJ120" s="61" t="n"/>
      <c r="BK120" s="61">
        <f>IF($BC$120&lt;Controls!$B$22,"",$BE$120)</f>
        <v/>
      </c>
      <c r="BL120" s="61">
        <f>IF($BC$120&lt;Controls!$B$22,"",$BF$120)</f>
        <v/>
      </c>
      <c r="BM120" s="61">
        <f>IF($BC$120&lt;Controls!$B$22,"",$BG$120)</f>
        <v/>
      </c>
      <c r="BN120" s="61" t="n"/>
      <c r="BO120" s="61" t="n"/>
      <c r="BP120" s="61" t="n"/>
      <c r="BQ120" s="61" t="n"/>
      <c r="BR120" s="61" t="n"/>
      <c r="BS120" s="61" t="n"/>
      <c r="BT120" s="61" t="n"/>
    </row>
    <row r="121" ht="15.75" customHeight="1" s="79">
      <c r="A121" s="61">
        <f>IF(COUNTIFS(Data!$AK$2:$AK$1105,1,Data!$AU$2:$AU$1105,"$20-30K")=0,"","$20-30K")</f>
        <v/>
      </c>
      <c r="B121" s="66">
        <f>IF($A$121="",NA(),IFERROR(SUMIFS(Data!$P$2:$P$1105,Data!$AK$2:$AK$1105,1,Data!$AU$2:$AU$1105,$A$121),NA()))</f>
        <v/>
      </c>
      <c r="C121" s="66">
        <f>IF($A$121="",NA(),IFERROR(SUMIFS(Data!$S$2:$S$1105,Data!$AK$2:$AK$1105,1,Data!$AU$2:$AU$1105,$A$121),NA()))</f>
        <v/>
      </c>
      <c r="D121" s="66">
        <f>IF(ISNA($B$121),NA(),$C$121-$B$121)</f>
        <v/>
      </c>
      <c r="E121" s="66">
        <f>IF($A$121="",NA(),IFERROR(SUMIFS(Data!$Q$2:$Q$1105,Data!$AK$2:$AK$1105,1,Data!$AU$2:$AU$1105,$A$121),NA()))</f>
        <v/>
      </c>
      <c r="F121" s="66">
        <f>IF($A$121="",NA(),IFERROR(SUMIFS(Data!$AN$2:$AN$1105,Data!$AK$2:$AK$1105,1,Data!$AU$2:$AU$1105,$A$121),NA()))</f>
        <v/>
      </c>
      <c r="G121" s="62">
        <f>IF($A$121="",NA(),IF(COUNTIFS(Data!$AK$2:$AK$1105,1,Data!$AU$2:$AU$1105,$A$121)&lt;Controls!$B$19,NA(),IFERROR(SUMIFS(Data!$AN$2:$AN$1105,Data!$AK$2:$AK$1105,1,Data!$AU$2:$AU$1105,$A$121)/$B$121,NA())))</f>
        <v/>
      </c>
      <c r="H121" s="62">
        <f>IF($A$121="",NA(),IF(COUNTIFS(Data!$AK$2:$AK$1105,1,Data!$AU$2:$AU$1105,$A$121)&lt;Controls!$B$19,NA(),IFERROR(SUMIFS(Data!$S$2:$S$1105,Data!$AK$2:$AK$1105,1,Data!$AU$2:$AU$1105,$A$121,Data!$AH$2:$AH$1105,1)/SUMIFS(Data!$P$2:$P$1105,Data!$AK$2:$AK$1105,1,Data!$AU$2:$AU$1105,$A$121,Data!$AH$2:$AH$1105,1),NA())))</f>
        <v/>
      </c>
      <c r="I121" s="62">
        <f>IF(ISNA($J$121),NA(),IF($J$121&lt;Controls!$B$19,NA(),IFERROR($D$121/$B$121,NA())))</f>
        <v/>
      </c>
      <c r="J121" s="67">
        <f>IF($A$121="",NA(),IFERROR(COUNTIFS(Data!$AK$2:$AK$1105,1,Data!$AU$2:$AU$1105,$A$121),NA()))</f>
        <v/>
      </c>
      <c r="K121" s="62">
        <f>IF(ISNA($B$121),NA(),IFERROR($B$121/Calc!$BT$6,NA()))</f>
        <v/>
      </c>
      <c r="L121" s="66">
        <f>IF(ISNA($J$121),NA(),IF($J$121&lt;Controls!$B$19,NA(),IFERROR($B$121/$J$121,NA())))</f>
        <v/>
      </c>
      <c r="M121" s="67">
        <f>IF($A$121="",NA(),IF(COUNTIFS(Data!$AK$2:$AK$1105,1,Data!$AU$2:$AU$1105,$A$121)&lt;Controls!$B$19,NA(),IFERROR(AVERAGEIFS(Data!$AE$2:$AE$1105,Data!$AK$2:$AK$1105,1,Data!$AU$2:$AU$1105,$A$121),NA())))</f>
        <v/>
      </c>
      <c r="N121" s="67">
        <f>IF($A$121="",NA(),IF(COUNTIFS(Data!$AK$2:$AK$1105,1,Data!$AU$2:$AU$1105,$A$121)&lt;Controls!$B$19,NA(),IFERROR(AVERAGEIFS(Data!$AD$2:$AD$1105,Data!$AK$2:$AK$1105,1,Data!$AU$2:$AU$1105,$A$121),NA())))</f>
        <v/>
      </c>
      <c r="O121" s="67">
        <f>IF($A$121="",NA(),IF(COUNTIFS(Data!$AK$2:$AK$1105,1,Data!$AU$2:$AU$1105,$A$121)&lt;Controls!$B$19,NA(),IFERROR(AVERAGEIFS(Data!$AS$2:$AS$1105,Data!$AK$2:$AK$1105,1,Data!$AU$2:$AU$1105,$A$121),NA())))</f>
        <v/>
      </c>
      <c r="P121" s="67">
        <f>IF($A$121="",NA(),IF(COUNTIFS(Data!$AK$2:$AK$1105,1,Data!$AU$2:$AU$1105,$A$121)&lt;Controls!$B$19,NA(),IFERROR(AVERAGEIFS(Data!$AT$2:$AT$1105,Data!$AK$2:$AK$1105,1,Data!$AU$2:$AU$1105,$A$121),NA())))</f>
        <v/>
      </c>
      <c r="Q121" s="62">
        <f>IF($A$121="",NA(),IF(COUNTIFS(Data!$AK$2:$AK$1105,1,Data!$AU$2:$AU$1105,$A$121)&lt;Controls!$B$19,NA(),IFERROR(COUNTIFS(Data!$AK$2:$AK$1105,1,Data!$AU$2:$AU$1105,$A$121,Data!$N$2:$N$1105,"Renewal")/COUNTIFS(Data!$AK$2:$AK$1105,1,Data!$AU$2:$AU$1105,$A$121),NA())))</f>
        <v/>
      </c>
      <c r="R121" s="62">
        <f>IF($A$121="",NA(),IF(COUNTIFS(Data!$AK$2:$AK$1105,1,Data!$AU$2:$AU$1105,$A$121)&lt;Controls!$B$19,NA(),IFERROR(SUMIFS(Data!$P$2:$P$1105,Data!$AK$2:$AK$1105,1,Data!$AU$2:$AU$1105,$A$121,Data!$N$2:$N$1105,"Renewal")/SUMIFS(Data!$P$2:$P$1105,Data!$AK$2:$AK$1105,1,Data!$AU$2:$AU$1105,$A$121),NA())))</f>
        <v/>
      </c>
      <c r="S121" s="62">
        <f>IF($A$121="",NA(),Calc!$BT$2)</f>
        <v/>
      </c>
      <c r="T121" s="62">
        <f>IF($A$121="",NA(),Calc!$BT$3)</f>
        <v/>
      </c>
      <c r="U121" s="62">
        <f>IF($A$121="",NA(),Calc!$BT$4)</f>
        <v/>
      </c>
      <c r="V121" s="62">
        <f>IF($A$121="",NA(),IF(COUNTIFS(Data!$AK$2:$AK$1105,1,Data!$AU$2:$AU$1105,$A$121)&lt;Controls!$B$19,NA(),IFERROR(COUNTIFS(Data!$AK$2:$AK$1105,1,Data!$AU$2:$AU$1105,$A$121,Data!$AH$2:$AH$1105,1)/COUNTIFS(Data!$AK$2:$AK$1105,1,Data!$AU$2:$AU$1105,$A$121),NA())))</f>
        <v/>
      </c>
      <c r="W121" s="61">
        <f>IF($A$121="","",$A$121&amp;" ("&amp;$J$121&amp;")")</f>
        <v/>
      </c>
      <c r="X121" s="61" t="n"/>
      <c r="Y121" s="61" t="n"/>
      <c r="Z121" s="61" t="n"/>
      <c r="AA121" s="61" t="n"/>
      <c r="AB121" s="61" t="n"/>
      <c r="AC121" s="61" t="n"/>
      <c r="AD121" s="61" t="n"/>
      <c r="AE121" s="61" t="n"/>
      <c r="AF121" s="61" t="n"/>
      <c r="AG121" s="61" t="n"/>
      <c r="AH121" s="61" t="n"/>
      <c r="AI121" s="61" t="n"/>
      <c r="AJ121" s="61" t="n"/>
      <c r="AK121" s="61" t="n"/>
      <c r="AL121" s="61" t="n"/>
      <c r="AM121" s="61" t="n"/>
      <c r="AN121" s="61">
        <f>Controls!$D$80</f>
        <v/>
      </c>
      <c r="AO121" s="61">
        <f>COUNTIFS(Data!$AK$2:$AK$1105,1,Data!$L$2:$L$1105,$AN$121)</f>
        <v/>
      </c>
      <c r="AP121" s="57">
        <f>SUMIFS(Data!$P$2:$P$1105,Data!$AK$2:$AK$1105,1,Data!$L$2:$L$1105,$AN$121)</f>
        <v/>
      </c>
      <c r="AQ121" s="56">
        <f>IFERROR(SUMIFS(Data!$AN$2:$AN$1105,Data!$AK$2:$AK$1105,1,Data!$L$2:$L$1105,$AN$121)/$AP$121,0)</f>
        <v/>
      </c>
      <c r="AR121" s="57">
        <f>SUMIFS(Data!$AN$2:$AN$1105,Data!$AK$2:$AK$1105,1,Data!$L$2:$L$1105,$AN$121)</f>
        <v/>
      </c>
      <c r="AS121" s="61">
        <f>Controls!$E$80</f>
        <v/>
      </c>
      <c r="AT121" s="61">
        <f>IF(OR(AO121=0,AO121&lt;Controls!$B$20),-1000000000000000,IF(AND(Controls!$B$21="Y",$AN$121="No state"),-1000000000000000,IF(Controls!$B$17="Selected only",IF(AS121="Y",AP121,-1000000000000000),IF(Controls!$B$17="Top by funded $",AP121,IF(Controls!$B$17="Top by funded units",AO121,IF(Controls!$B$17="Largest principal lost $",AR121,IF(Controls!$B$17="Highest net profit $",AU121,IF(AO121&lt;Controls!$B$19,-1000000000000000,IF(Controls!$B$17="Highest principal lost rate %",AQ121,IF(Controls!$B$17="Lowest principal lost rate %",1-AQ121,AP121))))))))) +41/1000000)</f>
        <v/>
      </c>
      <c r="AU121" s="57">
        <f>SUMIFS(Data!$AM$2:$AM$1105,Data!$AK$2:$AK$1105,1,Data!$L$2:$L$1105,$AN$121)</f>
        <v/>
      </c>
      <c r="AV121" s="61" t="n"/>
      <c r="AW121" s="61" t="n"/>
      <c r="AX121" s="61" t="n"/>
      <c r="AY121" s="61" t="n"/>
      <c r="AZ121" s="61" t="n"/>
      <c r="BA121" s="61" t="n"/>
      <c r="BB121" s="61">
        <f>Controls!$G$86</f>
        <v/>
      </c>
      <c r="BC121" s="61">
        <f>COUNTIFS(Data!$AK$2:$AK$1105,1,Data!$M$2:$M$1105,$BB$121)</f>
        <v/>
      </c>
      <c r="BD121" s="57">
        <f>SUMIFS(Data!$P$2:$P$1105,Data!$AK$2:$AK$1105,1,Data!$M$2:$M$1105,$BB$121)</f>
        <v/>
      </c>
      <c r="BE121" s="56">
        <f>IF(COUNTIFS(Data!$AK$2:$AK$1105,1,Data!$M$2:$M$1105,$BB$121)&lt;Controls!$B$19,"",IFERROR(SUMIFS(Data!$AN$2:$AN$1105,Data!$AK$2:$AK$1105,1,Data!$M$2:$M$1105,$BB$121)/$BD$121,""))</f>
        <v/>
      </c>
      <c r="BF121" s="56">
        <f>IF(COUNTIFS(Data!$AK$2:$AK$1105,1,Data!$M$2:$M$1105,$BB$121)&lt;Controls!$B$19,"",IFERROR(SUMIFS(Data!$AM$2:$AM$1105,Data!$AK$2:$AK$1105,1,Data!$M$2:$M$1105,$BB$121)/SUMIFS(Data!$P$2:$P$1105,Data!$AK$2:$AK$1105,1,Data!$M$2:$M$1105,$BB$121),""))</f>
        <v/>
      </c>
      <c r="BG121" s="57">
        <f>SUMIFS(Data!$AN$2:$AN$1105,Data!$AK$2:$AK$1105,1,Data!$M$2:$M$1105,$BB$121)</f>
        <v/>
      </c>
      <c r="BH121" s="61" t="n"/>
      <c r="BI121" s="61">
        <f>IF(AND($BC$121&gt;=Controls!$B$22,$BD$121&gt;=LARGE($BD$75:$BD$230,MIN(Controls!$B$18,COUNT($BD$75:$BD$230)))),$BE$121,"")</f>
        <v/>
      </c>
      <c r="BJ121" s="61" t="n"/>
      <c r="BK121" s="61">
        <f>IF($BC$121&lt;Controls!$B$22,"",$BE$121)</f>
        <v/>
      </c>
      <c r="BL121" s="61">
        <f>IF($BC$121&lt;Controls!$B$22,"",$BF$121)</f>
        <v/>
      </c>
      <c r="BM121" s="61">
        <f>IF($BC$121&lt;Controls!$B$22,"",$BG$121)</f>
        <v/>
      </c>
      <c r="BN121" s="61" t="n"/>
      <c r="BO121" s="61" t="n"/>
      <c r="BP121" s="61" t="n"/>
      <c r="BQ121" s="61" t="n"/>
      <c r="BR121" s="61" t="n"/>
      <c r="BS121" s="61" t="n"/>
      <c r="BT121" s="61" t="n"/>
    </row>
    <row r="122" ht="15.75" customHeight="1" s="79">
      <c r="A122" s="61">
        <f>IF(COUNTIFS(Data!$AK$2:$AK$1105,1,Data!$AU$2:$AU$1105,"$30-50K")=0,"","$30-50K")</f>
        <v/>
      </c>
      <c r="B122" s="66">
        <f>IF($A$122="",NA(),IFERROR(SUMIFS(Data!$P$2:$P$1105,Data!$AK$2:$AK$1105,1,Data!$AU$2:$AU$1105,$A$122),NA()))</f>
        <v/>
      </c>
      <c r="C122" s="66">
        <f>IF($A$122="",NA(),IFERROR(SUMIFS(Data!$S$2:$S$1105,Data!$AK$2:$AK$1105,1,Data!$AU$2:$AU$1105,$A$122),NA()))</f>
        <v/>
      </c>
      <c r="D122" s="66">
        <f>IF(ISNA($B$122),NA(),$C$122-$B$122)</f>
        <v/>
      </c>
      <c r="E122" s="66">
        <f>IF($A$122="",NA(),IFERROR(SUMIFS(Data!$Q$2:$Q$1105,Data!$AK$2:$AK$1105,1,Data!$AU$2:$AU$1105,$A$122),NA()))</f>
        <v/>
      </c>
      <c r="F122" s="66">
        <f>IF($A$122="",NA(),IFERROR(SUMIFS(Data!$AN$2:$AN$1105,Data!$AK$2:$AK$1105,1,Data!$AU$2:$AU$1105,$A$122),NA()))</f>
        <v/>
      </c>
      <c r="G122" s="62">
        <f>IF($A$122="",NA(),IF(COUNTIFS(Data!$AK$2:$AK$1105,1,Data!$AU$2:$AU$1105,$A$122)&lt;Controls!$B$19,NA(),IFERROR(SUMIFS(Data!$AN$2:$AN$1105,Data!$AK$2:$AK$1105,1,Data!$AU$2:$AU$1105,$A$122)/$B$122,NA())))</f>
        <v/>
      </c>
      <c r="H122" s="62">
        <f>IF($A$122="",NA(),IF(COUNTIFS(Data!$AK$2:$AK$1105,1,Data!$AU$2:$AU$1105,$A$122)&lt;Controls!$B$19,NA(),IFERROR(SUMIFS(Data!$S$2:$S$1105,Data!$AK$2:$AK$1105,1,Data!$AU$2:$AU$1105,$A$122,Data!$AH$2:$AH$1105,1)/SUMIFS(Data!$P$2:$P$1105,Data!$AK$2:$AK$1105,1,Data!$AU$2:$AU$1105,$A$122,Data!$AH$2:$AH$1105,1),NA())))</f>
        <v/>
      </c>
      <c r="I122" s="62">
        <f>IF(ISNA($J$122),NA(),IF($J$122&lt;Controls!$B$19,NA(),IFERROR($D$122/$B$122,NA())))</f>
        <v/>
      </c>
      <c r="J122" s="67">
        <f>IF($A$122="",NA(),IFERROR(COUNTIFS(Data!$AK$2:$AK$1105,1,Data!$AU$2:$AU$1105,$A$122),NA()))</f>
        <v/>
      </c>
      <c r="K122" s="62">
        <f>IF(ISNA($B$122),NA(),IFERROR($B$122/Calc!$BT$6,NA()))</f>
        <v/>
      </c>
      <c r="L122" s="66">
        <f>IF(ISNA($J$122),NA(),IF($J$122&lt;Controls!$B$19,NA(),IFERROR($B$122/$J$122,NA())))</f>
        <v/>
      </c>
      <c r="M122" s="67">
        <f>IF($A$122="",NA(),IF(COUNTIFS(Data!$AK$2:$AK$1105,1,Data!$AU$2:$AU$1105,$A$122)&lt;Controls!$B$19,NA(),IFERROR(AVERAGEIFS(Data!$AE$2:$AE$1105,Data!$AK$2:$AK$1105,1,Data!$AU$2:$AU$1105,$A$122),NA())))</f>
        <v/>
      </c>
      <c r="N122" s="67">
        <f>IF($A$122="",NA(),IF(COUNTIFS(Data!$AK$2:$AK$1105,1,Data!$AU$2:$AU$1105,$A$122)&lt;Controls!$B$19,NA(),IFERROR(AVERAGEIFS(Data!$AD$2:$AD$1105,Data!$AK$2:$AK$1105,1,Data!$AU$2:$AU$1105,$A$122),NA())))</f>
        <v/>
      </c>
      <c r="O122" s="67">
        <f>IF($A$122="",NA(),IF(COUNTIFS(Data!$AK$2:$AK$1105,1,Data!$AU$2:$AU$1105,$A$122)&lt;Controls!$B$19,NA(),IFERROR(AVERAGEIFS(Data!$AS$2:$AS$1105,Data!$AK$2:$AK$1105,1,Data!$AU$2:$AU$1105,$A$122),NA())))</f>
        <v/>
      </c>
      <c r="P122" s="67">
        <f>IF($A$122="",NA(),IF(COUNTIFS(Data!$AK$2:$AK$1105,1,Data!$AU$2:$AU$1105,$A$122)&lt;Controls!$B$19,NA(),IFERROR(AVERAGEIFS(Data!$AT$2:$AT$1105,Data!$AK$2:$AK$1105,1,Data!$AU$2:$AU$1105,$A$122),NA())))</f>
        <v/>
      </c>
      <c r="Q122" s="62">
        <f>IF($A$122="",NA(),IF(COUNTIFS(Data!$AK$2:$AK$1105,1,Data!$AU$2:$AU$1105,$A$122)&lt;Controls!$B$19,NA(),IFERROR(COUNTIFS(Data!$AK$2:$AK$1105,1,Data!$AU$2:$AU$1105,$A$122,Data!$N$2:$N$1105,"Renewal")/COUNTIFS(Data!$AK$2:$AK$1105,1,Data!$AU$2:$AU$1105,$A$122),NA())))</f>
        <v/>
      </c>
      <c r="R122" s="62">
        <f>IF($A$122="",NA(),IF(COUNTIFS(Data!$AK$2:$AK$1105,1,Data!$AU$2:$AU$1105,$A$122)&lt;Controls!$B$19,NA(),IFERROR(SUMIFS(Data!$P$2:$P$1105,Data!$AK$2:$AK$1105,1,Data!$AU$2:$AU$1105,$A$122,Data!$N$2:$N$1105,"Renewal")/SUMIFS(Data!$P$2:$P$1105,Data!$AK$2:$AK$1105,1,Data!$AU$2:$AU$1105,$A$122),NA())))</f>
        <v/>
      </c>
      <c r="S122" s="62">
        <f>IF($A$122="",NA(),Calc!$BT$2)</f>
        <v/>
      </c>
      <c r="T122" s="62">
        <f>IF($A$122="",NA(),Calc!$BT$3)</f>
        <v/>
      </c>
      <c r="U122" s="62">
        <f>IF($A$122="",NA(),Calc!$BT$4)</f>
        <v/>
      </c>
      <c r="V122" s="62">
        <f>IF($A$122="",NA(),IF(COUNTIFS(Data!$AK$2:$AK$1105,1,Data!$AU$2:$AU$1105,$A$122)&lt;Controls!$B$19,NA(),IFERROR(COUNTIFS(Data!$AK$2:$AK$1105,1,Data!$AU$2:$AU$1105,$A$122,Data!$AH$2:$AH$1105,1)/COUNTIFS(Data!$AK$2:$AK$1105,1,Data!$AU$2:$AU$1105,$A$122),NA())))</f>
        <v/>
      </c>
      <c r="W122" s="61">
        <f>IF($A$122="","",$A$122&amp;" ("&amp;$J$122&amp;")")</f>
        <v/>
      </c>
      <c r="X122" s="61" t="n"/>
      <c r="Y122" s="61" t="n"/>
      <c r="Z122" s="61" t="n"/>
      <c r="AA122" s="61" t="n"/>
      <c r="AB122" s="61" t="n"/>
      <c r="AC122" s="61" t="n"/>
      <c r="AD122" s="61" t="n"/>
      <c r="AE122" s="61" t="n"/>
      <c r="AF122" s="61" t="n"/>
      <c r="AG122" s="61" t="n"/>
      <c r="AH122" s="61" t="n"/>
      <c r="AI122" s="61" t="n"/>
      <c r="AJ122" s="61" t="n"/>
      <c r="AK122" s="61" t="n"/>
      <c r="AL122" s="61" t="n"/>
      <c r="AM122" s="61" t="n"/>
      <c r="AN122" s="61">
        <f>Controls!$D$81</f>
        <v/>
      </c>
      <c r="AO122" s="61">
        <f>COUNTIFS(Data!$AK$2:$AK$1105,1,Data!$L$2:$L$1105,$AN$122)</f>
        <v/>
      </c>
      <c r="AP122" s="57">
        <f>SUMIFS(Data!$P$2:$P$1105,Data!$AK$2:$AK$1105,1,Data!$L$2:$L$1105,$AN$122)</f>
        <v/>
      </c>
      <c r="AQ122" s="56">
        <f>IFERROR(SUMIFS(Data!$AN$2:$AN$1105,Data!$AK$2:$AK$1105,1,Data!$L$2:$L$1105,$AN$122)/$AP$122,0)</f>
        <v/>
      </c>
      <c r="AR122" s="57">
        <f>SUMIFS(Data!$AN$2:$AN$1105,Data!$AK$2:$AK$1105,1,Data!$L$2:$L$1105,$AN$122)</f>
        <v/>
      </c>
      <c r="AS122" s="61">
        <f>Controls!$E$81</f>
        <v/>
      </c>
      <c r="AT122" s="61">
        <f>IF(OR(AO122=0,AO122&lt;Controls!$B$20),-1000000000000000,IF(AND(Controls!$B$21="Y",$AN$122="No state"),-1000000000000000,IF(Controls!$B$17="Selected only",IF(AS122="Y",AP122,-1000000000000000),IF(Controls!$B$17="Top by funded $",AP122,IF(Controls!$B$17="Top by funded units",AO122,IF(Controls!$B$17="Largest principal lost $",AR122,IF(Controls!$B$17="Highest net profit $",AU122,IF(AO122&lt;Controls!$B$19,-1000000000000000,IF(Controls!$B$17="Highest principal lost rate %",AQ122,IF(Controls!$B$17="Lowest principal lost rate %",1-AQ122,AP122))))))))) +42/1000000)</f>
        <v/>
      </c>
      <c r="AU122" s="57">
        <f>SUMIFS(Data!$AM$2:$AM$1105,Data!$AK$2:$AK$1105,1,Data!$L$2:$L$1105,$AN$122)</f>
        <v/>
      </c>
      <c r="AV122" s="61" t="n"/>
      <c r="AW122" s="61" t="n"/>
      <c r="AX122" s="61" t="n"/>
      <c r="AY122" s="61" t="n"/>
      <c r="AZ122" s="61" t="n"/>
      <c r="BA122" s="61" t="n"/>
      <c r="BB122" s="61">
        <f>Controls!$G$87</f>
        <v/>
      </c>
      <c r="BC122" s="61">
        <f>COUNTIFS(Data!$AK$2:$AK$1105,1,Data!$M$2:$M$1105,$BB$122)</f>
        <v/>
      </c>
      <c r="BD122" s="57">
        <f>SUMIFS(Data!$P$2:$P$1105,Data!$AK$2:$AK$1105,1,Data!$M$2:$M$1105,$BB$122)</f>
        <v/>
      </c>
      <c r="BE122" s="56">
        <f>IF(COUNTIFS(Data!$AK$2:$AK$1105,1,Data!$M$2:$M$1105,$BB$122)&lt;Controls!$B$19,"",IFERROR(SUMIFS(Data!$AN$2:$AN$1105,Data!$AK$2:$AK$1105,1,Data!$M$2:$M$1105,$BB$122)/$BD$122,""))</f>
        <v/>
      </c>
      <c r="BF122" s="56">
        <f>IF(COUNTIFS(Data!$AK$2:$AK$1105,1,Data!$M$2:$M$1105,$BB$122)&lt;Controls!$B$19,"",IFERROR(SUMIFS(Data!$AM$2:$AM$1105,Data!$AK$2:$AK$1105,1,Data!$M$2:$M$1105,$BB$122)/SUMIFS(Data!$P$2:$P$1105,Data!$AK$2:$AK$1105,1,Data!$M$2:$M$1105,$BB$122),""))</f>
        <v/>
      </c>
      <c r="BG122" s="57">
        <f>SUMIFS(Data!$AN$2:$AN$1105,Data!$AK$2:$AK$1105,1,Data!$M$2:$M$1105,$BB$122)</f>
        <v/>
      </c>
      <c r="BH122" s="61" t="n"/>
      <c r="BI122" s="61">
        <f>IF(AND($BC$122&gt;=Controls!$B$22,$BD$122&gt;=LARGE($BD$75:$BD$230,MIN(Controls!$B$18,COUNT($BD$75:$BD$230)))),$BE$122,"")</f>
        <v/>
      </c>
      <c r="BJ122" s="61" t="n"/>
      <c r="BK122" s="61">
        <f>IF($BC$122&lt;Controls!$B$22,"",$BE$122)</f>
        <v/>
      </c>
      <c r="BL122" s="61">
        <f>IF($BC$122&lt;Controls!$B$22,"",$BF$122)</f>
        <v/>
      </c>
      <c r="BM122" s="61">
        <f>IF($BC$122&lt;Controls!$B$22,"",$BG$122)</f>
        <v/>
      </c>
      <c r="BN122" s="61" t="n"/>
      <c r="BO122" s="61" t="n"/>
      <c r="BP122" s="61" t="n"/>
      <c r="BQ122" s="61" t="n"/>
      <c r="BR122" s="61" t="n"/>
      <c r="BS122" s="61" t="n"/>
      <c r="BT122" s="61" t="n"/>
    </row>
    <row r="123" ht="15.75" customHeight="1" s="79">
      <c r="A123" s="61">
        <f>IF(COUNTIFS(Data!$AK$2:$AK$1105,1,Data!$AU$2:$AU$1105,"$50-100K")=0,"","$50-100K")</f>
        <v/>
      </c>
      <c r="B123" s="66">
        <f>IF($A$123="",NA(),IFERROR(SUMIFS(Data!$P$2:$P$1105,Data!$AK$2:$AK$1105,1,Data!$AU$2:$AU$1105,$A$123),NA()))</f>
        <v/>
      </c>
      <c r="C123" s="66">
        <f>IF($A$123="",NA(),IFERROR(SUMIFS(Data!$S$2:$S$1105,Data!$AK$2:$AK$1105,1,Data!$AU$2:$AU$1105,$A$123),NA()))</f>
        <v/>
      </c>
      <c r="D123" s="66">
        <f>IF(ISNA($B$123),NA(),$C$123-$B$123)</f>
        <v/>
      </c>
      <c r="E123" s="66">
        <f>IF($A$123="",NA(),IFERROR(SUMIFS(Data!$Q$2:$Q$1105,Data!$AK$2:$AK$1105,1,Data!$AU$2:$AU$1105,$A$123),NA()))</f>
        <v/>
      </c>
      <c r="F123" s="66">
        <f>IF($A$123="",NA(),IFERROR(SUMIFS(Data!$AN$2:$AN$1105,Data!$AK$2:$AK$1105,1,Data!$AU$2:$AU$1105,$A$123),NA()))</f>
        <v/>
      </c>
      <c r="G123" s="62">
        <f>IF($A$123="",NA(),IF(COUNTIFS(Data!$AK$2:$AK$1105,1,Data!$AU$2:$AU$1105,$A$123)&lt;Controls!$B$19,NA(),IFERROR(SUMIFS(Data!$AN$2:$AN$1105,Data!$AK$2:$AK$1105,1,Data!$AU$2:$AU$1105,$A$123)/$B$123,NA())))</f>
        <v/>
      </c>
      <c r="H123" s="62">
        <f>IF($A$123="",NA(),IF(COUNTIFS(Data!$AK$2:$AK$1105,1,Data!$AU$2:$AU$1105,$A$123)&lt;Controls!$B$19,NA(),IFERROR(SUMIFS(Data!$S$2:$S$1105,Data!$AK$2:$AK$1105,1,Data!$AU$2:$AU$1105,$A$123,Data!$AH$2:$AH$1105,1)/SUMIFS(Data!$P$2:$P$1105,Data!$AK$2:$AK$1105,1,Data!$AU$2:$AU$1105,$A$123,Data!$AH$2:$AH$1105,1),NA())))</f>
        <v/>
      </c>
      <c r="I123" s="62">
        <f>IF(ISNA($J$123),NA(),IF($J$123&lt;Controls!$B$19,NA(),IFERROR($D$123/$B$123,NA())))</f>
        <v/>
      </c>
      <c r="J123" s="67">
        <f>IF($A$123="",NA(),IFERROR(COUNTIFS(Data!$AK$2:$AK$1105,1,Data!$AU$2:$AU$1105,$A$123),NA()))</f>
        <v/>
      </c>
      <c r="K123" s="62">
        <f>IF(ISNA($B$123),NA(),IFERROR($B$123/Calc!$BT$6,NA()))</f>
        <v/>
      </c>
      <c r="L123" s="66">
        <f>IF(ISNA($J$123),NA(),IF($J$123&lt;Controls!$B$19,NA(),IFERROR($B$123/$J$123,NA())))</f>
        <v/>
      </c>
      <c r="M123" s="67">
        <f>IF($A$123="",NA(),IF(COUNTIFS(Data!$AK$2:$AK$1105,1,Data!$AU$2:$AU$1105,$A$123)&lt;Controls!$B$19,NA(),IFERROR(AVERAGEIFS(Data!$AE$2:$AE$1105,Data!$AK$2:$AK$1105,1,Data!$AU$2:$AU$1105,$A$123),NA())))</f>
        <v/>
      </c>
      <c r="N123" s="67">
        <f>IF($A$123="",NA(),IF(COUNTIFS(Data!$AK$2:$AK$1105,1,Data!$AU$2:$AU$1105,$A$123)&lt;Controls!$B$19,NA(),IFERROR(AVERAGEIFS(Data!$AD$2:$AD$1105,Data!$AK$2:$AK$1105,1,Data!$AU$2:$AU$1105,$A$123),NA())))</f>
        <v/>
      </c>
      <c r="O123" s="67">
        <f>IF($A$123="",NA(),IF(COUNTIFS(Data!$AK$2:$AK$1105,1,Data!$AU$2:$AU$1105,$A$123)&lt;Controls!$B$19,NA(),IFERROR(AVERAGEIFS(Data!$AS$2:$AS$1105,Data!$AK$2:$AK$1105,1,Data!$AU$2:$AU$1105,$A$123),NA())))</f>
        <v/>
      </c>
      <c r="P123" s="67">
        <f>IF($A$123="",NA(),IF(COUNTIFS(Data!$AK$2:$AK$1105,1,Data!$AU$2:$AU$1105,$A$123)&lt;Controls!$B$19,NA(),IFERROR(AVERAGEIFS(Data!$AT$2:$AT$1105,Data!$AK$2:$AK$1105,1,Data!$AU$2:$AU$1105,$A$123),NA())))</f>
        <v/>
      </c>
      <c r="Q123" s="62">
        <f>IF($A$123="",NA(),IF(COUNTIFS(Data!$AK$2:$AK$1105,1,Data!$AU$2:$AU$1105,$A$123)&lt;Controls!$B$19,NA(),IFERROR(COUNTIFS(Data!$AK$2:$AK$1105,1,Data!$AU$2:$AU$1105,$A$123,Data!$N$2:$N$1105,"Renewal")/COUNTIFS(Data!$AK$2:$AK$1105,1,Data!$AU$2:$AU$1105,$A$123),NA())))</f>
        <v/>
      </c>
      <c r="R123" s="62">
        <f>IF($A$123="",NA(),IF(COUNTIFS(Data!$AK$2:$AK$1105,1,Data!$AU$2:$AU$1105,$A$123)&lt;Controls!$B$19,NA(),IFERROR(SUMIFS(Data!$P$2:$P$1105,Data!$AK$2:$AK$1105,1,Data!$AU$2:$AU$1105,$A$123,Data!$N$2:$N$1105,"Renewal")/SUMIFS(Data!$P$2:$P$1105,Data!$AK$2:$AK$1105,1,Data!$AU$2:$AU$1105,$A$123),NA())))</f>
        <v/>
      </c>
      <c r="S123" s="62">
        <f>IF($A$123="",NA(),Calc!$BT$2)</f>
        <v/>
      </c>
      <c r="T123" s="62">
        <f>IF($A$123="",NA(),Calc!$BT$3)</f>
        <v/>
      </c>
      <c r="U123" s="62">
        <f>IF($A$123="",NA(),Calc!$BT$4)</f>
        <v/>
      </c>
      <c r="V123" s="62">
        <f>IF($A$123="",NA(),IF(COUNTIFS(Data!$AK$2:$AK$1105,1,Data!$AU$2:$AU$1105,$A$123)&lt;Controls!$B$19,NA(),IFERROR(COUNTIFS(Data!$AK$2:$AK$1105,1,Data!$AU$2:$AU$1105,$A$123,Data!$AH$2:$AH$1105,1)/COUNTIFS(Data!$AK$2:$AK$1105,1,Data!$AU$2:$AU$1105,$A$123),NA())))</f>
        <v/>
      </c>
      <c r="W123" s="61">
        <f>IF($A$123="","",$A$123&amp;" ("&amp;$J$123&amp;")")</f>
        <v/>
      </c>
      <c r="X123" s="61" t="n"/>
      <c r="Y123" s="61" t="n"/>
      <c r="Z123" s="61" t="n"/>
      <c r="AA123" s="61" t="n"/>
      <c r="AB123" s="61" t="n"/>
      <c r="AC123" s="61" t="n"/>
      <c r="AD123" s="61" t="n"/>
      <c r="AE123" s="61" t="n"/>
      <c r="AF123" s="61" t="n"/>
      <c r="AG123" s="61" t="n"/>
      <c r="AH123" s="61" t="n"/>
      <c r="AI123" s="61" t="n"/>
      <c r="AJ123" s="61" t="n"/>
      <c r="AK123" s="61" t="n"/>
      <c r="AL123" s="61" t="n"/>
      <c r="AM123" s="61" t="n"/>
      <c r="AN123" s="61">
        <f>Controls!$D$82</f>
        <v/>
      </c>
      <c r="AO123" s="61">
        <f>COUNTIFS(Data!$AK$2:$AK$1105,1,Data!$L$2:$L$1105,$AN$123)</f>
        <v/>
      </c>
      <c r="AP123" s="57">
        <f>SUMIFS(Data!$P$2:$P$1105,Data!$AK$2:$AK$1105,1,Data!$L$2:$L$1105,$AN$123)</f>
        <v/>
      </c>
      <c r="AQ123" s="56">
        <f>IFERROR(SUMIFS(Data!$AN$2:$AN$1105,Data!$AK$2:$AK$1105,1,Data!$L$2:$L$1105,$AN$123)/$AP$123,0)</f>
        <v/>
      </c>
      <c r="AR123" s="57">
        <f>SUMIFS(Data!$AN$2:$AN$1105,Data!$AK$2:$AK$1105,1,Data!$L$2:$L$1105,$AN$123)</f>
        <v/>
      </c>
      <c r="AS123" s="61">
        <f>Controls!$E$82</f>
        <v/>
      </c>
      <c r="AT123" s="61">
        <f>IF(OR(AO123=0,AO123&lt;Controls!$B$20),-1000000000000000,IF(AND(Controls!$B$21="Y",$AN$123="No state"),-1000000000000000,IF(Controls!$B$17="Selected only",IF(AS123="Y",AP123,-1000000000000000),IF(Controls!$B$17="Top by funded $",AP123,IF(Controls!$B$17="Top by funded units",AO123,IF(Controls!$B$17="Largest principal lost $",AR123,IF(Controls!$B$17="Highest net profit $",AU123,IF(AO123&lt;Controls!$B$19,-1000000000000000,IF(Controls!$B$17="Highest principal lost rate %",AQ123,IF(Controls!$B$17="Lowest principal lost rate %",1-AQ123,AP123))))))))) +43/1000000)</f>
        <v/>
      </c>
      <c r="AU123" s="57">
        <f>SUMIFS(Data!$AM$2:$AM$1105,Data!$AK$2:$AK$1105,1,Data!$L$2:$L$1105,$AN$123)</f>
        <v/>
      </c>
      <c r="AV123" s="61" t="n"/>
      <c r="AW123" s="61" t="n"/>
      <c r="AX123" s="61" t="n"/>
      <c r="AY123" s="61" t="n"/>
      <c r="AZ123" s="61" t="n"/>
      <c r="BA123" s="61" t="n"/>
      <c r="BB123" s="61">
        <f>Controls!$G$88</f>
        <v/>
      </c>
      <c r="BC123" s="61">
        <f>COUNTIFS(Data!$AK$2:$AK$1105,1,Data!$M$2:$M$1105,$BB$123)</f>
        <v/>
      </c>
      <c r="BD123" s="57">
        <f>SUMIFS(Data!$P$2:$P$1105,Data!$AK$2:$AK$1105,1,Data!$M$2:$M$1105,$BB$123)</f>
        <v/>
      </c>
      <c r="BE123" s="56">
        <f>IF(COUNTIFS(Data!$AK$2:$AK$1105,1,Data!$M$2:$M$1105,$BB$123)&lt;Controls!$B$19,"",IFERROR(SUMIFS(Data!$AN$2:$AN$1105,Data!$AK$2:$AK$1105,1,Data!$M$2:$M$1105,$BB$123)/$BD$123,""))</f>
        <v/>
      </c>
      <c r="BF123" s="56">
        <f>IF(COUNTIFS(Data!$AK$2:$AK$1105,1,Data!$M$2:$M$1105,$BB$123)&lt;Controls!$B$19,"",IFERROR(SUMIFS(Data!$AM$2:$AM$1105,Data!$AK$2:$AK$1105,1,Data!$M$2:$M$1105,$BB$123)/SUMIFS(Data!$P$2:$P$1105,Data!$AK$2:$AK$1105,1,Data!$M$2:$M$1105,$BB$123),""))</f>
        <v/>
      </c>
      <c r="BG123" s="57">
        <f>SUMIFS(Data!$AN$2:$AN$1105,Data!$AK$2:$AK$1105,1,Data!$M$2:$M$1105,$BB$123)</f>
        <v/>
      </c>
      <c r="BH123" s="61" t="n"/>
      <c r="BI123" s="61">
        <f>IF(AND($BC$123&gt;=Controls!$B$22,$BD$123&gt;=LARGE($BD$75:$BD$230,MIN(Controls!$B$18,COUNT($BD$75:$BD$230)))),$BE$123,"")</f>
        <v/>
      </c>
      <c r="BJ123" s="61" t="n"/>
      <c r="BK123" s="61">
        <f>IF($BC$123&lt;Controls!$B$22,"",$BE$123)</f>
        <v/>
      </c>
      <c r="BL123" s="61">
        <f>IF($BC$123&lt;Controls!$B$22,"",$BF$123)</f>
        <v/>
      </c>
      <c r="BM123" s="61">
        <f>IF($BC$123&lt;Controls!$B$22,"",$BG$123)</f>
        <v/>
      </c>
      <c r="BN123" s="61" t="n"/>
      <c r="BO123" s="61" t="n"/>
      <c r="BP123" s="61" t="n"/>
      <c r="BQ123" s="61" t="n"/>
      <c r="BR123" s="61" t="n"/>
      <c r="BS123" s="61" t="n"/>
      <c r="BT123" s="61" t="n"/>
    </row>
    <row r="124" ht="15.75" customHeight="1" s="79">
      <c r="A124" s="61">
        <f>IF(COUNTIFS(Data!$AK$2:$AK$1105,1,Data!$AU$2:$AU$1105,"$100K+")=0,"","$100K+")</f>
        <v/>
      </c>
      <c r="B124" s="66">
        <f>IF($A$124="",NA(),IFERROR(SUMIFS(Data!$P$2:$P$1105,Data!$AK$2:$AK$1105,1,Data!$AU$2:$AU$1105,$A$124),NA()))</f>
        <v/>
      </c>
      <c r="C124" s="66">
        <f>IF($A$124="",NA(),IFERROR(SUMIFS(Data!$S$2:$S$1105,Data!$AK$2:$AK$1105,1,Data!$AU$2:$AU$1105,$A$124),NA()))</f>
        <v/>
      </c>
      <c r="D124" s="66">
        <f>IF(ISNA($B$124),NA(),$C$124-$B$124)</f>
        <v/>
      </c>
      <c r="E124" s="66">
        <f>IF($A$124="",NA(),IFERROR(SUMIFS(Data!$Q$2:$Q$1105,Data!$AK$2:$AK$1105,1,Data!$AU$2:$AU$1105,$A$124),NA()))</f>
        <v/>
      </c>
      <c r="F124" s="66">
        <f>IF($A$124="",NA(),IFERROR(SUMIFS(Data!$AN$2:$AN$1105,Data!$AK$2:$AK$1105,1,Data!$AU$2:$AU$1105,$A$124),NA()))</f>
        <v/>
      </c>
      <c r="G124" s="62">
        <f>IF($A$124="",NA(),IF(COUNTIFS(Data!$AK$2:$AK$1105,1,Data!$AU$2:$AU$1105,$A$124)&lt;Controls!$B$19,NA(),IFERROR(SUMIFS(Data!$AN$2:$AN$1105,Data!$AK$2:$AK$1105,1,Data!$AU$2:$AU$1105,$A$124)/$B$124,NA())))</f>
        <v/>
      </c>
      <c r="H124" s="62">
        <f>IF($A$124="",NA(),IF(COUNTIFS(Data!$AK$2:$AK$1105,1,Data!$AU$2:$AU$1105,$A$124)&lt;Controls!$B$19,NA(),IFERROR(SUMIFS(Data!$S$2:$S$1105,Data!$AK$2:$AK$1105,1,Data!$AU$2:$AU$1105,$A$124,Data!$AH$2:$AH$1105,1)/SUMIFS(Data!$P$2:$P$1105,Data!$AK$2:$AK$1105,1,Data!$AU$2:$AU$1105,$A$124,Data!$AH$2:$AH$1105,1),NA())))</f>
        <v/>
      </c>
      <c r="I124" s="62">
        <f>IF(ISNA($J$124),NA(),IF($J$124&lt;Controls!$B$19,NA(),IFERROR($D$124/$B$124,NA())))</f>
        <v/>
      </c>
      <c r="J124" s="67">
        <f>IF($A$124="",NA(),IFERROR(COUNTIFS(Data!$AK$2:$AK$1105,1,Data!$AU$2:$AU$1105,$A$124),NA()))</f>
        <v/>
      </c>
      <c r="K124" s="62">
        <f>IF(ISNA($B$124),NA(),IFERROR($B$124/Calc!$BT$6,NA()))</f>
        <v/>
      </c>
      <c r="L124" s="66">
        <f>IF(ISNA($J$124),NA(),IF($J$124&lt;Controls!$B$19,NA(),IFERROR($B$124/$J$124,NA())))</f>
        <v/>
      </c>
      <c r="M124" s="67">
        <f>IF($A$124="",NA(),IF(COUNTIFS(Data!$AK$2:$AK$1105,1,Data!$AU$2:$AU$1105,$A$124)&lt;Controls!$B$19,NA(),IFERROR(AVERAGEIFS(Data!$AE$2:$AE$1105,Data!$AK$2:$AK$1105,1,Data!$AU$2:$AU$1105,$A$124),NA())))</f>
        <v/>
      </c>
      <c r="N124" s="67">
        <f>IF($A$124="",NA(),IF(COUNTIFS(Data!$AK$2:$AK$1105,1,Data!$AU$2:$AU$1105,$A$124)&lt;Controls!$B$19,NA(),IFERROR(AVERAGEIFS(Data!$AD$2:$AD$1105,Data!$AK$2:$AK$1105,1,Data!$AU$2:$AU$1105,$A$124),NA())))</f>
        <v/>
      </c>
      <c r="O124" s="67">
        <f>IF($A$124="",NA(),IF(COUNTIFS(Data!$AK$2:$AK$1105,1,Data!$AU$2:$AU$1105,$A$124)&lt;Controls!$B$19,NA(),IFERROR(AVERAGEIFS(Data!$AS$2:$AS$1105,Data!$AK$2:$AK$1105,1,Data!$AU$2:$AU$1105,$A$124),NA())))</f>
        <v/>
      </c>
      <c r="P124" s="67">
        <f>IF($A$124="",NA(),IF(COUNTIFS(Data!$AK$2:$AK$1105,1,Data!$AU$2:$AU$1105,$A$124)&lt;Controls!$B$19,NA(),IFERROR(AVERAGEIFS(Data!$AT$2:$AT$1105,Data!$AK$2:$AK$1105,1,Data!$AU$2:$AU$1105,$A$124),NA())))</f>
        <v/>
      </c>
      <c r="Q124" s="62">
        <f>IF($A$124="",NA(),IF(COUNTIFS(Data!$AK$2:$AK$1105,1,Data!$AU$2:$AU$1105,$A$124)&lt;Controls!$B$19,NA(),IFERROR(COUNTIFS(Data!$AK$2:$AK$1105,1,Data!$AU$2:$AU$1105,$A$124,Data!$N$2:$N$1105,"Renewal")/COUNTIFS(Data!$AK$2:$AK$1105,1,Data!$AU$2:$AU$1105,$A$124),NA())))</f>
        <v/>
      </c>
      <c r="R124" s="62">
        <f>IF($A$124="",NA(),IF(COUNTIFS(Data!$AK$2:$AK$1105,1,Data!$AU$2:$AU$1105,$A$124)&lt;Controls!$B$19,NA(),IFERROR(SUMIFS(Data!$P$2:$P$1105,Data!$AK$2:$AK$1105,1,Data!$AU$2:$AU$1105,$A$124,Data!$N$2:$N$1105,"Renewal")/SUMIFS(Data!$P$2:$P$1105,Data!$AK$2:$AK$1105,1,Data!$AU$2:$AU$1105,$A$124),NA())))</f>
        <v/>
      </c>
      <c r="S124" s="62">
        <f>IF($A$124="",NA(),Calc!$BT$2)</f>
        <v/>
      </c>
      <c r="T124" s="62">
        <f>IF($A$124="",NA(),Calc!$BT$3)</f>
        <v/>
      </c>
      <c r="U124" s="62">
        <f>IF($A$124="",NA(),Calc!$BT$4)</f>
        <v/>
      </c>
      <c r="V124" s="62">
        <f>IF($A$124="",NA(),IF(COUNTIFS(Data!$AK$2:$AK$1105,1,Data!$AU$2:$AU$1105,$A$124)&lt;Controls!$B$19,NA(),IFERROR(COUNTIFS(Data!$AK$2:$AK$1105,1,Data!$AU$2:$AU$1105,$A$124,Data!$AH$2:$AH$1105,1)/COUNTIFS(Data!$AK$2:$AK$1105,1,Data!$AU$2:$AU$1105,$A$124),NA())))</f>
        <v/>
      </c>
      <c r="W124" s="61">
        <f>IF($A$124="","",$A$124&amp;" ("&amp;$J$124&amp;")")</f>
        <v/>
      </c>
      <c r="X124" s="61" t="n"/>
      <c r="Y124" s="61" t="n"/>
      <c r="Z124" s="61" t="n"/>
      <c r="AA124" s="61" t="n"/>
      <c r="AB124" s="61" t="n"/>
      <c r="AC124" s="61" t="n"/>
      <c r="AD124" s="61" t="n"/>
      <c r="AE124" s="61" t="n"/>
      <c r="AF124" s="61" t="n"/>
      <c r="AG124" s="61" t="n"/>
      <c r="AH124" s="61" t="n"/>
      <c r="AI124" s="61" t="n"/>
      <c r="AJ124" s="61" t="n"/>
      <c r="AK124" s="61" t="n"/>
      <c r="AL124" s="61" t="n"/>
      <c r="AM124" s="61" t="n"/>
      <c r="AN124" s="61">
        <f>Controls!$D$83</f>
        <v/>
      </c>
      <c r="AO124" s="61">
        <f>COUNTIFS(Data!$AK$2:$AK$1105,1,Data!$L$2:$L$1105,$AN$124)</f>
        <v/>
      </c>
      <c r="AP124" s="57">
        <f>SUMIFS(Data!$P$2:$P$1105,Data!$AK$2:$AK$1105,1,Data!$L$2:$L$1105,$AN$124)</f>
        <v/>
      </c>
      <c r="AQ124" s="56">
        <f>IFERROR(SUMIFS(Data!$AN$2:$AN$1105,Data!$AK$2:$AK$1105,1,Data!$L$2:$L$1105,$AN$124)/$AP$124,0)</f>
        <v/>
      </c>
      <c r="AR124" s="57">
        <f>SUMIFS(Data!$AN$2:$AN$1105,Data!$AK$2:$AK$1105,1,Data!$L$2:$L$1105,$AN$124)</f>
        <v/>
      </c>
      <c r="AS124" s="61">
        <f>Controls!$E$83</f>
        <v/>
      </c>
      <c r="AT124" s="57">
        <f>IF(OR(AO124=0,AO124&lt;Controls!$B$20),-1000000000000000,IF(AND(Controls!$B$21="Y",$AN$124="No state"),-1000000000000000,IF(Controls!$B$17="Selected only",IF(AS124="Y",AP124,-1000000000000000),IF(Controls!$B$17="Top by funded $",AP124,IF(Controls!$B$17="Top by funded units",AO124,IF(Controls!$B$17="Largest principal lost $",AR124,IF(Controls!$B$17="Highest net profit $",AU124,IF(AO124&lt;Controls!$B$19,-1000000000000000,IF(Controls!$B$17="Highest principal lost rate %",AQ124,IF(Controls!$B$17="Lowest principal lost rate %",1-AQ124,AP124))))))))) +44/1000000)</f>
        <v/>
      </c>
      <c r="AU124" s="57">
        <f>SUMIFS(Data!$AM$2:$AM$1105,Data!$AK$2:$AK$1105,1,Data!$L$2:$L$1105,$AN$124)</f>
        <v/>
      </c>
      <c r="AV124" s="61" t="n"/>
      <c r="AW124" s="61" t="n"/>
      <c r="AX124" s="61" t="n"/>
      <c r="AY124" s="61" t="n"/>
      <c r="AZ124" s="61" t="n"/>
      <c r="BA124" s="61" t="n"/>
      <c r="BB124" s="61">
        <f>Controls!$G$89</f>
        <v/>
      </c>
      <c r="BC124" s="61">
        <f>COUNTIFS(Data!$AK$2:$AK$1105,1,Data!$M$2:$M$1105,$BB$124)</f>
        <v/>
      </c>
      <c r="BD124" s="57">
        <f>SUMIFS(Data!$P$2:$P$1105,Data!$AK$2:$AK$1105,1,Data!$M$2:$M$1105,$BB$124)</f>
        <v/>
      </c>
      <c r="BE124" s="56">
        <f>IF(COUNTIFS(Data!$AK$2:$AK$1105,1,Data!$M$2:$M$1105,$BB$124)&lt;Controls!$B$19,"",IFERROR(SUMIFS(Data!$AN$2:$AN$1105,Data!$AK$2:$AK$1105,1,Data!$M$2:$M$1105,$BB$124)/$BD$124,""))</f>
        <v/>
      </c>
      <c r="BF124" s="56">
        <f>IF(COUNTIFS(Data!$AK$2:$AK$1105,1,Data!$M$2:$M$1105,$BB$124)&lt;Controls!$B$19,"",IFERROR(SUMIFS(Data!$AM$2:$AM$1105,Data!$AK$2:$AK$1105,1,Data!$M$2:$M$1105,$BB$124)/SUMIFS(Data!$P$2:$P$1105,Data!$AK$2:$AK$1105,1,Data!$M$2:$M$1105,$BB$124),""))</f>
        <v/>
      </c>
      <c r="BG124" s="57">
        <f>SUMIFS(Data!$AN$2:$AN$1105,Data!$AK$2:$AK$1105,1,Data!$M$2:$M$1105,$BB$124)</f>
        <v/>
      </c>
      <c r="BH124" s="61" t="n"/>
      <c r="BI124" s="61">
        <f>IF(AND($BC$124&gt;=Controls!$B$22,$BD$124&gt;=LARGE($BD$75:$BD$230,MIN(Controls!$B$18,COUNT($BD$75:$BD$230)))),$BE$124,"")</f>
        <v/>
      </c>
      <c r="BJ124" s="61" t="n"/>
      <c r="BK124" s="61">
        <f>IF($BC$124&lt;Controls!$B$22,"",$BE$124)</f>
        <v/>
      </c>
      <c r="BL124" s="61">
        <f>IF($BC$124&lt;Controls!$B$22,"",$BF$124)</f>
        <v/>
      </c>
      <c r="BM124" s="61">
        <f>IF($BC$124&lt;Controls!$B$22,"",$BG$124)</f>
        <v/>
      </c>
      <c r="BN124" s="61" t="n"/>
      <c r="BO124" s="61" t="n"/>
      <c r="BP124" s="61" t="n"/>
      <c r="BQ124" s="61" t="n"/>
      <c r="BR124" s="61" t="n"/>
      <c r="BS124" s="61" t="n"/>
      <c r="BT124" s="61" t="n"/>
    </row>
    <row r="125" ht="15.75" customHeight="1" s="79">
      <c r="A125" s="61" t="n"/>
      <c r="B125" s="61" t="n"/>
      <c r="C125" s="61" t="n"/>
      <c r="D125" s="61" t="n"/>
      <c r="E125" s="61" t="n"/>
      <c r="F125" s="61" t="n"/>
      <c r="G125" s="61" t="n"/>
      <c r="H125" s="61" t="n"/>
      <c r="I125" s="61" t="n"/>
      <c r="J125" s="61" t="n"/>
      <c r="K125" s="61" t="n"/>
      <c r="L125" s="61" t="n"/>
      <c r="M125" s="61" t="n"/>
      <c r="N125" s="61" t="n"/>
      <c r="O125" s="61" t="n"/>
      <c r="P125" s="61" t="n"/>
      <c r="Q125" s="61" t="n"/>
      <c r="R125" s="61" t="n"/>
      <c r="S125" s="61" t="n"/>
      <c r="T125" s="61" t="n"/>
      <c r="U125" s="61" t="n"/>
      <c r="V125" s="61" t="n"/>
      <c r="W125" s="61" t="n"/>
      <c r="X125" s="61" t="n"/>
      <c r="Y125" s="61" t="n"/>
      <c r="Z125" s="61" t="n"/>
      <c r="AA125" s="61" t="n"/>
      <c r="AB125" s="61" t="n"/>
      <c r="AC125" s="61" t="n"/>
      <c r="AD125" s="61" t="n"/>
      <c r="AE125" s="61" t="n"/>
      <c r="AF125" s="61" t="n"/>
      <c r="AG125" s="61" t="n"/>
      <c r="AH125" s="61" t="n"/>
      <c r="AI125" s="61" t="n"/>
      <c r="AJ125" s="61" t="n"/>
      <c r="AK125" s="61" t="n"/>
      <c r="AL125" s="61" t="n"/>
      <c r="AM125" s="61" t="n"/>
      <c r="AN125" s="61">
        <f>Controls!$D$84</f>
        <v/>
      </c>
      <c r="AO125" s="61">
        <f>COUNTIFS(Data!$AK$2:$AK$1105,1,Data!$L$2:$L$1105,$AN$125)</f>
        <v/>
      </c>
      <c r="AP125" s="57">
        <f>SUMIFS(Data!$P$2:$P$1105,Data!$AK$2:$AK$1105,1,Data!$L$2:$L$1105,$AN$125)</f>
        <v/>
      </c>
      <c r="AQ125" s="56">
        <f>IFERROR(SUMIFS(Data!$AN$2:$AN$1105,Data!$AK$2:$AK$1105,1,Data!$L$2:$L$1105,$AN$125)/$AP$125,0)</f>
        <v/>
      </c>
      <c r="AR125" s="57">
        <f>SUMIFS(Data!$AN$2:$AN$1105,Data!$AK$2:$AK$1105,1,Data!$L$2:$L$1105,$AN$125)</f>
        <v/>
      </c>
      <c r="AS125" s="61">
        <f>Controls!$E$84</f>
        <v/>
      </c>
      <c r="AT125" s="61">
        <f>IF(OR(AO125=0,AO125&lt;Controls!$B$20),-1000000000000000,IF(AND(Controls!$B$21="Y",$AN$125="No state"),-1000000000000000,IF(Controls!$B$17="Selected only",IF(AS125="Y",AP125,-1000000000000000),IF(Controls!$B$17="Top by funded $",AP125,IF(Controls!$B$17="Top by funded units",AO125,IF(Controls!$B$17="Largest principal lost $",AR125,IF(Controls!$B$17="Highest net profit $",AU125,IF(AO125&lt;Controls!$B$19,-1000000000000000,IF(Controls!$B$17="Highest principal lost rate %",AQ125,IF(Controls!$B$17="Lowest principal lost rate %",1-AQ125,AP125))))))))) +45/1000000)</f>
        <v/>
      </c>
      <c r="AU125" s="57">
        <f>SUMIFS(Data!$AM$2:$AM$1105,Data!$AK$2:$AK$1105,1,Data!$L$2:$L$1105,$AN$125)</f>
        <v/>
      </c>
      <c r="AV125" s="61" t="n"/>
      <c r="AW125" s="61" t="n"/>
      <c r="AX125" s="61" t="n"/>
      <c r="AY125" s="61" t="n"/>
      <c r="AZ125" s="61" t="n"/>
      <c r="BA125" s="61" t="n"/>
      <c r="BB125" s="61">
        <f>Controls!$G$90</f>
        <v/>
      </c>
      <c r="BC125" s="61">
        <f>COUNTIFS(Data!$AK$2:$AK$1105,1,Data!$M$2:$M$1105,$BB$125)</f>
        <v/>
      </c>
      <c r="BD125" s="57">
        <f>SUMIFS(Data!$P$2:$P$1105,Data!$AK$2:$AK$1105,1,Data!$M$2:$M$1105,$BB$125)</f>
        <v/>
      </c>
      <c r="BE125" s="56">
        <f>IF(COUNTIFS(Data!$AK$2:$AK$1105,1,Data!$M$2:$M$1105,$BB$125)&lt;Controls!$B$19,"",IFERROR(SUMIFS(Data!$AN$2:$AN$1105,Data!$AK$2:$AK$1105,1,Data!$M$2:$M$1105,$BB$125)/$BD$125,""))</f>
        <v/>
      </c>
      <c r="BF125" s="56">
        <f>IF(COUNTIFS(Data!$AK$2:$AK$1105,1,Data!$M$2:$M$1105,$BB$125)&lt;Controls!$B$19,"",IFERROR(SUMIFS(Data!$AM$2:$AM$1105,Data!$AK$2:$AK$1105,1,Data!$M$2:$M$1105,$BB$125)/SUMIFS(Data!$P$2:$P$1105,Data!$AK$2:$AK$1105,1,Data!$M$2:$M$1105,$BB$125),""))</f>
        <v/>
      </c>
      <c r="BG125" s="57">
        <f>SUMIFS(Data!$AN$2:$AN$1105,Data!$AK$2:$AK$1105,1,Data!$M$2:$M$1105,$BB$125)</f>
        <v/>
      </c>
      <c r="BH125" s="61" t="n"/>
      <c r="BI125" s="61">
        <f>IF(AND($BC$125&gt;=Controls!$B$22,$BD$125&gt;=LARGE($BD$75:$BD$230,MIN(Controls!$B$18,COUNT($BD$75:$BD$230)))),$BE$125,"")</f>
        <v/>
      </c>
      <c r="BJ125" s="61" t="n"/>
      <c r="BK125" s="61">
        <f>IF($BC$125&lt;Controls!$B$22,"",$BE$125)</f>
        <v/>
      </c>
      <c r="BL125" s="61">
        <f>IF($BC$125&lt;Controls!$B$22,"",$BF$125)</f>
        <v/>
      </c>
      <c r="BM125" s="61">
        <f>IF($BC$125&lt;Controls!$B$22,"",$BG$125)</f>
        <v/>
      </c>
      <c r="BN125" s="61" t="n"/>
      <c r="BO125" s="61" t="n"/>
      <c r="BP125" s="61" t="n"/>
      <c r="BQ125" s="61" t="n"/>
      <c r="BR125" s="61" t="n"/>
      <c r="BS125" s="61" t="n"/>
      <c r="BT125" s="61" t="n"/>
    </row>
    <row r="126" ht="15.75" customHeight="1" s="79">
      <c r="A126" s="61" t="n"/>
      <c r="B126" s="61" t="n"/>
      <c r="C126" s="61" t="n"/>
      <c r="D126" s="61" t="n"/>
      <c r="E126" s="61" t="n"/>
      <c r="F126" s="61" t="n"/>
      <c r="G126" s="61" t="n"/>
      <c r="H126" s="61" t="n"/>
      <c r="I126" s="61" t="n"/>
      <c r="J126" s="61" t="n"/>
      <c r="K126" s="61" t="n"/>
      <c r="L126" s="61" t="n"/>
      <c r="M126" s="61" t="n"/>
      <c r="N126" s="61" t="n"/>
      <c r="O126" s="61" t="n"/>
      <c r="P126" s="61" t="n"/>
      <c r="Q126" s="61" t="n"/>
      <c r="R126" s="61" t="n"/>
      <c r="S126" s="61" t="n"/>
      <c r="T126" s="61" t="n"/>
      <c r="U126" s="61" t="n"/>
      <c r="V126" s="61" t="n"/>
      <c r="W126" s="61" t="n"/>
      <c r="X126" s="61" t="n"/>
      <c r="Y126" s="61" t="n"/>
      <c r="Z126" s="61" t="n"/>
      <c r="AA126" s="61" t="n"/>
      <c r="AB126" s="61" t="n"/>
      <c r="AC126" s="61" t="n"/>
      <c r="AD126" s="61" t="n"/>
      <c r="AE126" s="61" t="n"/>
      <c r="AF126" s="61" t="n"/>
      <c r="AG126" s="61" t="n"/>
      <c r="AH126" s="61" t="n"/>
      <c r="AI126" s="61" t="n"/>
      <c r="AJ126" s="61" t="n"/>
      <c r="AK126" s="61" t="n"/>
      <c r="AL126" s="61" t="n"/>
      <c r="AM126" s="61" t="n"/>
      <c r="AN126" s="61">
        <f>Controls!$D$85</f>
        <v/>
      </c>
      <c r="AO126" s="61">
        <f>COUNTIFS(Data!$AK$2:$AK$1105,1,Data!$L$2:$L$1105,$AN$126)</f>
        <v/>
      </c>
      <c r="AP126" s="57">
        <f>SUMIFS(Data!$P$2:$P$1105,Data!$AK$2:$AK$1105,1,Data!$L$2:$L$1105,$AN$126)</f>
        <v/>
      </c>
      <c r="AQ126" s="56">
        <f>IFERROR(SUMIFS(Data!$AN$2:$AN$1105,Data!$AK$2:$AK$1105,1,Data!$L$2:$L$1105,$AN$126)/$AP$126,0)</f>
        <v/>
      </c>
      <c r="AR126" s="57">
        <f>SUMIFS(Data!$AN$2:$AN$1105,Data!$AK$2:$AK$1105,1,Data!$L$2:$L$1105,$AN$126)</f>
        <v/>
      </c>
      <c r="AS126" s="61">
        <f>Controls!$E$85</f>
        <v/>
      </c>
      <c r="AT126" s="61">
        <f>IF(OR(AO126=0,AO126&lt;Controls!$B$20),-1000000000000000,IF(AND(Controls!$B$21="Y",$AN$126="No state"),-1000000000000000,IF(Controls!$B$17="Selected only",IF(AS126="Y",AP126,-1000000000000000),IF(Controls!$B$17="Top by funded $",AP126,IF(Controls!$B$17="Top by funded units",AO126,IF(Controls!$B$17="Largest principal lost $",AR126,IF(Controls!$B$17="Highest net profit $",AU126,IF(AO126&lt;Controls!$B$19,-1000000000000000,IF(Controls!$B$17="Highest principal lost rate %",AQ126,IF(Controls!$B$17="Lowest principal lost rate %",1-AQ126,AP126))))))))) +46/1000000)</f>
        <v/>
      </c>
      <c r="AU126" s="57">
        <f>SUMIFS(Data!$AM$2:$AM$1105,Data!$AK$2:$AK$1105,1,Data!$L$2:$L$1105,$AN$126)</f>
        <v/>
      </c>
      <c r="AV126" s="61" t="n"/>
      <c r="AW126" s="61" t="n"/>
      <c r="AX126" s="61" t="n"/>
      <c r="AY126" s="61" t="n"/>
      <c r="AZ126" s="61" t="n"/>
      <c r="BA126" s="61" t="n"/>
      <c r="BB126" s="61">
        <f>Controls!$G$91</f>
        <v/>
      </c>
      <c r="BC126" s="61">
        <f>COUNTIFS(Data!$AK$2:$AK$1105,1,Data!$M$2:$M$1105,$BB$126)</f>
        <v/>
      </c>
      <c r="BD126" s="57">
        <f>SUMIFS(Data!$P$2:$P$1105,Data!$AK$2:$AK$1105,1,Data!$M$2:$M$1105,$BB$126)</f>
        <v/>
      </c>
      <c r="BE126" s="56">
        <f>IF(COUNTIFS(Data!$AK$2:$AK$1105,1,Data!$M$2:$M$1105,$BB$126)&lt;Controls!$B$19,"",IFERROR(SUMIFS(Data!$AN$2:$AN$1105,Data!$AK$2:$AK$1105,1,Data!$M$2:$M$1105,$BB$126)/$BD$126,""))</f>
        <v/>
      </c>
      <c r="BF126" s="56">
        <f>IF(COUNTIFS(Data!$AK$2:$AK$1105,1,Data!$M$2:$M$1105,$BB$126)&lt;Controls!$B$19,"",IFERROR(SUMIFS(Data!$AM$2:$AM$1105,Data!$AK$2:$AK$1105,1,Data!$M$2:$M$1105,$BB$126)/SUMIFS(Data!$P$2:$P$1105,Data!$AK$2:$AK$1105,1,Data!$M$2:$M$1105,$BB$126),""))</f>
        <v/>
      </c>
      <c r="BG126" s="57">
        <f>SUMIFS(Data!$AN$2:$AN$1105,Data!$AK$2:$AK$1105,1,Data!$M$2:$M$1105,$BB$126)</f>
        <v/>
      </c>
      <c r="BH126" s="61" t="n"/>
      <c r="BI126" s="61">
        <f>IF(AND($BC$126&gt;=Controls!$B$22,$BD$126&gt;=LARGE($BD$75:$BD$230,MIN(Controls!$B$18,COUNT($BD$75:$BD$230)))),$BE$126,"")</f>
        <v/>
      </c>
      <c r="BJ126" s="61" t="n"/>
      <c r="BK126" s="56">
        <f>IF($BC$126&lt;Controls!$B$22,"",$BE$126)</f>
        <v/>
      </c>
      <c r="BL126" s="56">
        <f>IF($BC$126&lt;Controls!$B$22,"",$BF$126)</f>
        <v/>
      </c>
      <c r="BM126" s="57">
        <f>IF($BC$126&lt;Controls!$B$22,"",$BG$126)</f>
        <v/>
      </c>
      <c r="BN126" s="61" t="n"/>
      <c r="BO126" s="61" t="n"/>
      <c r="BP126" s="61" t="n"/>
      <c r="BQ126" s="61" t="n"/>
      <c r="BR126" s="61" t="n"/>
      <c r="BS126" s="61" t="n"/>
      <c r="BT126" s="61" t="n"/>
    </row>
    <row r="127" ht="15.75" customHeight="1" s="79">
      <c r="A127" s="61" t="inlineStr">
        <is>
          <t xml:space="preserve">Factor bucket - </t>
        </is>
      </c>
      <c r="B127" s="61" t="n"/>
      <c r="C127" s="61" t="n"/>
      <c r="D127" s="61" t="n"/>
      <c r="E127" s="61" t="n"/>
      <c r="F127" s="61" t="n"/>
      <c r="G127" s="61" t="n"/>
      <c r="H127" s="61" t="n"/>
      <c r="I127" s="61" t="n"/>
      <c r="J127" s="61" t="n"/>
      <c r="K127" s="61" t="n"/>
      <c r="L127" s="61" t="n"/>
      <c r="M127" s="61" t="n"/>
      <c r="N127" s="61" t="n"/>
      <c r="O127" s="61" t="n"/>
      <c r="P127" s="61" t="n"/>
      <c r="Q127" s="61" t="n"/>
      <c r="R127" s="61" t="n"/>
      <c r="S127" s="61" t="n"/>
      <c r="T127" s="61" t="n"/>
      <c r="U127" s="61" t="n"/>
      <c r="V127" s="61" t="n"/>
      <c r="W127" s="61" t="n"/>
      <c r="X127" s="61" t="n"/>
      <c r="Y127" s="61" t="n"/>
      <c r="Z127" s="61" t="n"/>
      <c r="AA127" s="61" t="n"/>
      <c r="AB127" s="61" t="n"/>
      <c r="AC127" s="61" t="n"/>
      <c r="AD127" s="61" t="n"/>
      <c r="AE127" s="61" t="n"/>
      <c r="AF127" s="61" t="n"/>
      <c r="AG127" s="61" t="n"/>
      <c r="AH127" s="61" t="n"/>
      <c r="AI127" s="61" t="n"/>
      <c r="AJ127" s="61" t="n"/>
      <c r="AK127" s="61" t="n"/>
      <c r="AL127" s="61" t="n"/>
      <c r="AM127" s="61" t="n"/>
      <c r="AN127" s="61">
        <f>Controls!$D$86</f>
        <v/>
      </c>
      <c r="AO127" s="61">
        <f>COUNTIFS(Data!$AK$2:$AK$1105,1,Data!$L$2:$L$1105,$AN$127)</f>
        <v/>
      </c>
      <c r="AP127" s="57">
        <f>SUMIFS(Data!$P$2:$P$1105,Data!$AK$2:$AK$1105,1,Data!$L$2:$L$1105,$AN$127)</f>
        <v/>
      </c>
      <c r="AQ127" s="56">
        <f>IFERROR(SUMIFS(Data!$AN$2:$AN$1105,Data!$AK$2:$AK$1105,1,Data!$L$2:$L$1105,$AN$127)/$AP$127,0)</f>
        <v/>
      </c>
      <c r="AR127" s="57">
        <f>SUMIFS(Data!$AN$2:$AN$1105,Data!$AK$2:$AK$1105,1,Data!$L$2:$L$1105,$AN$127)</f>
        <v/>
      </c>
      <c r="AS127" s="61">
        <f>Controls!$E$86</f>
        <v/>
      </c>
      <c r="AT127" s="61">
        <f>IF(OR(AO127=0,AO127&lt;Controls!$B$20),-1000000000000000,IF(AND(Controls!$B$21="Y",$AN$127="No state"),-1000000000000000,IF(Controls!$B$17="Selected only",IF(AS127="Y",AP127,-1000000000000000),IF(Controls!$B$17="Top by funded $",AP127,IF(Controls!$B$17="Top by funded units",AO127,IF(Controls!$B$17="Largest principal lost $",AR127,IF(Controls!$B$17="Highest net profit $",AU127,IF(AO127&lt;Controls!$B$19,-1000000000000000,IF(Controls!$B$17="Highest principal lost rate %",AQ127,IF(Controls!$B$17="Lowest principal lost rate %",1-AQ127,AP127))))))))) +47/1000000)</f>
        <v/>
      </c>
      <c r="AU127" s="57">
        <f>SUMIFS(Data!$AM$2:$AM$1105,Data!$AK$2:$AK$1105,1,Data!$L$2:$L$1105,$AN$127)</f>
        <v/>
      </c>
      <c r="AV127" s="61" t="n"/>
      <c r="AW127" s="61" t="n"/>
      <c r="AX127" s="61" t="n"/>
      <c r="AY127" s="61" t="n"/>
      <c r="AZ127" s="61" t="n"/>
      <c r="BA127" s="61" t="n"/>
      <c r="BB127" s="61">
        <f>Controls!$G$92</f>
        <v/>
      </c>
      <c r="BC127" s="61">
        <f>COUNTIFS(Data!$AK$2:$AK$1105,1,Data!$M$2:$M$1105,$BB$127)</f>
        <v/>
      </c>
      <c r="BD127" s="57">
        <f>SUMIFS(Data!$P$2:$P$1105,Data!$AK$2:$AK$1105,1,Data!$M$2:$M$1105,$BB$127)</f>
        <v/>
      </c>
      <c r="BE127" s="56">
        <f>IF(COUNTIFS(Data!$AK$2:$AK$1105,1,Data!$M$2:$M$1105,$BB$127)&lt;Controls!$B$19,"",IFERROR(SUMIFS(Data!$AN$2:$AN$1105,Data!$AK$2:$AK$1105,1,Data!$M$2:$M$1105,$BB$127)/$BD$127,""))</f>
        <v/>
      </c>
      <c r="BF127" s="56">
        <f>IF(COUNTIFS(Data!$AK$2:$AK$1105,1,Data!$M$2:$M$1105,$BB$127)&lt;Controls!$B$19,"",IFERROR(SUMIFS(Data!$AM$2:$AM$1105,Data!$AK$2:$AK$1105,1,Data!$M$2:$M$1105,$BB$127)/SUMIFS(Data!$P$2:$P$1105,Data!$AK$2:$AK$1105,1,Data!$M$2:$M$1105,$BB$127),""))</f>
        <v/>
      </c>
      <c r="BG127" s="57">
        <f>SUMIFS(Data!$AN$2:$AN$1105,Data!$AK$2:$AK$1105,1,Data!$M$2:$M$1105,$BB$127)</f>
        <v/>
      </c>
      <c r="BH127" s="61" t="n"/>
      <c r="BI127" s="61">
        <f>IF(AND($BC$127&gt;=Controls!$B$22,$BD$127&gt;=LARGE($BD$75:$BD$230,MIN(Controls!$B$18,COUNT($BD$75:$BD$230)))),$BE$127,"")</f>
        <v/>
      </c>
      <c r="BJ127" s="61" t="n"/>
      <c r="BK127" s="61">
        <f>IF($BC$127&lt;Controls!$B$22,"",$BE$127)</f>
        <v/>
      </c>
      <c r="BL127" s="61">
        <f>IF($BC$127&lt;Controls!$B$22,"",$BF$127)</f>
        <v/>
      </c>
      <c r="BM127" s="61">
        <f>IF($BC$127&lt;Controls!$B$22,"",$BG$127)</f>
        <v/>
      </c>
      <c r="BN127" s="61" t="n"/>
      <c r="BO127" s="61" t="n"/>
      <c r="BP127" s="61" t="n"/>
      <c r="BQ127" s="61" t="n"/>
      <c r="BR127" s="61" t="n"/>
      <c r="BS127" s="61" t="n"/>
      <c r="BT127" s="61" t="n"/>
    </row>
    <row r="128" ht="15.75" customHeight="1" s="79">
      <c r="A128" s="61" t="inlineStr">
        <is>
          <t>Label</t>
        </is>
      </c>
      <c r="B128" s="61" t="inlineStr">
        <is>
          <t>Funded $</t>
        </is>
      </c>
      <c r="C128" s="61" t="inlineStr">
        <is>
          <t>Collected $</t>
        </is>
      </c>
      <c r="D128" s="61" t="inlineStr">
        <is>
          <t>Net profit / loss $</t>
        </is>
      </c>
      <c r="E128" s="61" t="inlineStr">
        <is>
          <t>Commission $</t>
        </is>
      </c>
      <c r="F128" s="61" t="inlineStr">
        <is>
          <t>Principal lost $</t>
        </is>
      </c>
      <c r="G128" s="61" t="inlineStr">
        <is>
          <t>Principal lost rate</t>
        </is>
      </c>
      <c r="H128" s="61" t="inlineStr">
        <is>
          <t>Recovery rate</t>
        </is>
      </c>
      <c r="I128" s="61" t="inlineStr">
        <is>
          <t>Return on funded capital (%)</t>
        </is>
      </c>
      <c r="J128" s="61" t="inlineStr">
        <is>
          <t>Deals</t>
        </is>
      </c>
      <c r="K128" s="61" t="inlineStr">
        <is>
          <t>Share of funded dollars</t>
        </is>
      </c>
      <c r="L128" s="61" t="inlineStr">
        <is>
          <t>Avg deal size</t>
        </is>
      </c>
      <c r="M128" s="61" t="inlineStr">
        <is>
          <t>Avg expected term (business days)</t>
        </is>
      </c>
      <c r="N128" s="61" t="inlineStr">
        <is>
          <t>Avg expected term (payments)</t>
        </is>
      </c>
      <c r="O128" s="61" t="inlineStr">
        <is>
          <t>Avg days on book, defaulted</t>
        </is>
      </c>
      <c r="P128" s="61" t="inlineStr">
        <is>
          <t>Avg days to close</t>
        </is>
      </c>
      <c r="Q128" s="61" t="inlineStr">
        <is>
          <t>% of deals that were renewals</t>
        </is>
      </c>
      <c r="R128" s="61" t="inlineStr">
        <is>
          <t>% of funded dollars from renewals</t>
        </is>
      </c>
      <c r="S128" s="61" t="inlineStr">
        <is>
          <t>Book lost rate</t>
        </is>
      </c>
      <c r="T128" s="61" t="inlineStr">
        <is>
          <t>Book recovery</t>
        </is>
      </c>
      <c r="U128" s="61" t="inlineStr">
        <is>
          <t>Book return on funded capital</t>
        </is>
      </c>
      <c r="V128" s="61" t="inlineStr">
        <is>
          <t>Default rate (#)</t>
        </is>
      </c>
      <c r="W128" s="61" t="inlineStr">
        <is>
          <t>Chart label (name + deals)</t>
        </is>
      </c>
      <c r="X128" s="61" t="n"/>
      <c r="Y128" s="61" t="n"/>
      <c r="Z128" s="61" t="n"/>
      <c r="AA128" s="61" t="n"/>
      <c r="AB128" s="61" t="n"/>
      <c r="AC128" s="61" t="n"/>
      <c r="AD128" s="61" t="n"/>
      <c r="AE128" s="61" t="n"/>
      <c r="AF128" s="61" t="n"/>
      <c r="AG128" s="61" t="n"/>
      <c r="AH128" s="61" t="n"/>
      <c r="AI128" s="61" t="n"/>
      <c r="AJ128" s="61" t="n"/>
      <c r="AK128" s="61" t="n"/>
      <c r="AL128" s="61" t="n"/>
      <c r="AM128" s="61" t="n"/>
      <c r="AN128" s="61">
        <f>Controls!$D$87</f>
        <v/>
      </c>
      <c r="AO128" s="61">
        <f>COUNTIFS(Data!$AK$2:$AK$1105,1,Data!$L$2:$L$1105,$AN$128)</f>
        <v/>
      </c>
      <c r="AP128" s="57">
        <f>SUMIFS(Data!$P$2:$P$1105,Data!$AK$2:$AK$1105,1,Data!$L$2:$L$1105,$AN$128)</f>
        <v/>
      </c>
      <c r="AQ128" s="56">
        <f>IFERROR(SUMIFS(Data!$AN$2:$AN$1105,Data!$AK$2:$AK$1105,1,Data!$L$2:$L$1105,$AN$128)/$AP$128,0)</f>
        <v/>
      </c>
      <c r="AR128" s="57">
        <f>SUMIFS(Data!$AN$2:$AN$1105,Data!$AK$2:$AK$1105,1,Data!$L$2:$L$1105,$AN$128)</f>
        <v/>
      </c>
      <c r="AS128" s="61">
        <f>Controls!$E$87</f>
        <v/>
      </c>
      <c r="AT128" s="61">
        <f>IF(OR(AO128=0,AO128&lt;Controls!$B$20),-1000000000000000,IF(AND(Controls!$B$21="Y",$AN$128="No state"),-1000000000000000,IF(Controls!$B$17="Selected only",IF(AS128="Y",AP128,-1000000000000000),IF(Controls!$B$17="Top by funded $",AP128,IF(Controls!$B$17="Top by funded units",AO128,IF(Controls!$B$17="Largest principal lost $",AR128,IF(Controls!$B$17="Highest net profit $",AU128,IF(AO128&lt;Controls!$B$19,-1000000000000000,IF(Controls!$B$17="Highest principal lost rate %",AQ128,IF(Controls!$B$17="Lowest principal lost rate %",1-AQ128,AP128))))))))) +48/1000000)</f>
        <v/>
      </c>
      <c r="AU128" s="57">
        <f>SUMIFS(Data!$AM$2:$AM$1105,Data!$AK$2:$AK$1105,1,Data!$L$2:$L$1105,$AN$128)</f>
        <v/>
      </c>
      <c r="AV128" s="61" t="n"/>
      <c r="AW128" s="61" t="n"/>
      <c r="AX128" s="61" t="n"/>
      <c r="AY128" s="61" t="n"/>
      <c r="AZ128" s="61" t="n"/>
      <c r="BA128" s="61" t="n"/>
      <c r="BB128" s="61">
        <f>Controls!$G$93</f>
        <v/>
      </c>
      <c r="BC128" s="61">
        <f>COUNTIFS(Data!$AK$2:$AK$1105,1,Data!$M$2:$M$1105,$BB$128)</f>
        <v/>
      </c>
      <c r="BD128" s="57">
        <f>SUMIFS(Data!$P$2:$P$1105,Data!$AK$2:$AK$1105,1,Data!$M$2:$M$1105,$BB$128)</f>
        <v/>
      </c>
      <c r="BE128" s="56">
        <f>IF(COUNTIFS(Data!$AK$2:$AK$1105,1,Data!$M$2:$M$1105,$BB$128)&lt;Controls!$B$19,"",IFERROR(SUMIFS(Data!$AN$2:$AN$1105,Data!$AK$2:$AK$1105,1,Data!$M$2:$M$1105,$BB$128)/$BD$128,""))</f>
        <v/>
      </c>
      <c r="BF128" s="56">
        <f>IF(COUNTIFS(Data!$AK$2:$AK$1105,1,Data!$M$2:$M$1105,$BB$128)&lt;Controls!$B$19,"",IFERROR(SUMIFS(Data!$AM$2:$AM$1105,Data!$AK$2:$AK$1105,1,Data!$M$2:$M$1105,$BB$128)/SUMIFS(Data!$P$2:$P$1105,Data!$AK$2:$AK$1105,1,Data!$M$2:$M$1105,$BB$128),""))</f>
        <v/>
      </c>
      <c r="BG128" s="57">
        <f>SUMIFS(Data!$AN$2:$AN$1105,Data!$AK$2:$AK$1105,1,Data!$M$2:$M$1105,$BB$128)</f>
        <v/>
      </c>
      <c r="BH128" s="61" t="n"/>
      <c r="BI128" s="56">
        <f>IF(AND($BC$128&gt;=Controls!$B$22,$BD$128&gt;=LARGE($BD$75:$BD$230,MIN(Controls!$B$18,COUNT($BD$75:$BD$230)))),$BE$128,"")</f>
        <v/>
      </c>
      <c r="BJ128" s="61" t="n"/>
      <c r="BK128" s="56">
        <f>IF($BC$128&lt;Controls!$B$22,"",$BE$128)</f>
        <v/>
      </c>
      <c r="BL128" s="56">
        <f>IF($BC$128&lt;Controls!$B$22,"",$BF$128)</f>
        <v/>
      </c>
      <c r="BM128" s="57">
        <f>IF($BC$128&lt;Controls!$B$22,"",$BG$128)</f>
        <v/>
      </c>
      <c r="BN128" s="61" t="n"/>
      <c r="BO128" s="61" t="n"/>
      <c r="BP128" s="61" t="n"/>
      <c r="BQ128" s="61" t="n"/>
      <c r="BR128" s="61" t="n"/>
      <c r="BS128" s="61" t="n"/>
      <c r="BT128" s="61" t="n"/>
    </row>
    <row r="129" ht="15.75" customHeight="1" s="79">
      <c r="A129" s="61">
        <f>IF(COUNTIFS(Data!$AK$2:$AK$1105,1,Data!$AV$2:$AV$1105,"1.35 and under")=0,"","1.35 and under")</f>
        <v/>
      </c>
      <c r="B129" s="66">
        <f>IF($A$129="",NA(),IFERROR(SUMIFS(Data!$P$2:$P$1105,Data!$AK$2:$AK$1105,1,Data!$AV$2:$AV$1105,$A$129),NA()))</f>
        <v/>
      </c>
      <c r="C129" s="66">
        <f>IF($A$129="",NA(),IFERROR(SUMIFS(Data!$S$2:$S$1105,Data!$AK$2:$AK$1105,1,Data!$AV$2:$AV$1105,$A$129),NA()))</f>
        <v/>
      </c>
      <c r="D129" s="66">
        <f>IF(ISNA($B$129),NA(),$C$129-$B$129)</f>
        <v/>
      </c>
      <c r="E129" s="66">
        <f>IF($A$129="",NA(),IFERROR(SUMIFS(Data!$Q$2:$Q$1105,Data!$AK$2:$AK$1105,1,Data!$AV$2:$AV$1105,$A$129),NA()))</f>
        <v/>
      </c>
      <c r="F129" s="66">
        <f>IF($A$129="",NA(),IFERROR(SUMIFS(Data!$AN$2:$AN$1105,Data!$AK$2:$AK$1105,1,Data!$AV$2:$AV$1105,$A$129),NA()))</f>
        <v/>
      </c>
      <c r="G129" s="62">
        <f>IF($A$129="",NA(),IF(COUNTIFS(Data!$AK$2:$AK$1105,1,Data!$AV$2:$AV$1105,$A$129)&lt;Controls!$B$19,NA(),IFERROR(SUMIFS(Data!$AN$2:$AN$1105,Data!$AK$2:$AK$1105,1,Data!$AV$2:$AV$1105,$A$129)/$B$129,NA())))</f>
        <v/>
      </c>
      <c r="H129" s="62">
        <f>IF($A$129="",NA(),IF(COUNTIFS(Data!$AK$2:$AK$1105,1,Data!$AV$2:$AV$1105,$A$129)&lt;Controls!$B$19,NA(),IFERROR(SUMIFS(Data!$S$2:$S$1105,Data!$AK$2:$AK$1105,1,Data!$AV$2:$AV$1105,$A$129,Data!$AH$2:$AH$1105,1)/SUMIFS(Data!$P$2:$P$1105,Data!$AK$2:$AK$1105,1,Data!$AV$2:$AV$1105,$A$129,Data!$AH$2:$AH$1105,1),NA())))</f>
        <v/>
      </c>
      <c r="I129" s="62">
        <f>IF(ISNA($J$129),NA(),IF($J$129&lt;Controls!$B$19,NA(),IFERROR($D$129/$B$129,NA())))</f>
        <v/>
      </c>
      <c r="J129" s="67">
        <f>IF($A$129="",NA(),IFERROR(COUNTIFS(Data!$AK$2:$AK$1105,1,Data!$AV$2:$AV$1105,$A$129),NA()))</f>
        <v/>
      </c>
      <c r="K129" s="62">
        <f>IF(ISNA($B$129),NA(),IFERROR($B$129/Calc!$BT$6,NA()))</f>
        <v/>
      </c>
      <c r="L129" s="66">
        <f>IF(ISNA($J$129),NA(),IF($J$129&lt;Controls!$B$19,NA(),IFERROR($B$129/$J$129,NA())))</f>
        <v/>
      </c>
      <c r="M129" s="67">
        <f>IF($A$129="",NA(),IF(COUNTIFS(Data!$AK$2:$AK$1105,1,Data!$AV$2:$AV$1105,$A$129)&lt;Controls!$B$19,NA(),IFERROR(AVERAGEIFS(Data!$AE$2:$AE$1105,Data!$AK$2:$AK$1105,1,Data!$AV$2:$AV$1105,$A$129),NA())))</f>
        <v/>
      </c>
      <c r="N129" s="67">
        <f>IF($A$129="",NA(),IF(COUNTIFS(Data!$AK$2:$AK$1105,1,Data!$AV$2:$AV$1105,$A$129)&lt;Controls!$B$19,NA(),IFERROR(AVERAGEIFS(Data!$AD$2:$AD$1105,Data!$AK$2:$AK$1105,1,Data!$AV$2:$AV$1105,$A$129),NA())))</f>
        <v/>
      </c>
      <c r="O129" s="67">
        <f>IF($A$129="",NA(),IF(COUNTIFS(Data!$AK$2:$AK$1105,1,Data!$AV$2:$AV$1105,$A$129)&lt;Controls!$B$19,NA(),IFERROR(AVERAGEIFS(Data!$AS$2:$AS$1105,Data!$AK$2:$AK$1105,1,Data!$AV$2:$AV$1105,$A$129),NA())))</f>
        <v/>
      </c>
      <c r="P129" s="67">
        <f>IF($A$129="",NA(),IF(COUNTIFS(Data!$AK$2:$AK$1105,1,Data!$AV$2:$AV$1105,$A$129)&lt;Controls!$B$19,NA(),IFERROR(AVERAGEIFS(Data!$AT$2:$AT$1105,Data!$AK$2:$AK$1105,1,Data!$AV$2:$AV$1105,$A$129),NA())))</f>
        <v/>
      </c>
      <c r="Q129" s="62">
        <f>IF($A$129="",NA(),IF(COUNTIFS(Data!$AK$2:$AK$1105,1,Data!$AV$2:$AV$1105,$A$129)&lt;Controls!$B$19,NA(),IFERROR(COUNTIFS(Data!$AK$2:$AK$1105,1,Data!$AV$2:$AV$1105,$A$129,Data!$N$2:$N$1105,"Renewal")/COUNTIFS(Data!$AK$2:$AK$1105,1,Data!$AV$2:$AV$1105,$A$129),NA())))</f>
        <v/>
      </c>
      <c r="R129" s="62">
        <f>IF($A$129="",NA(),IF(COUNTIFS(Data!$AK$2:$AK$1105,1,Data!$AV$2:$AV$1105,$A$129)&lt;Controls!$B$19,NA(),IFERROR(SUMIFS(Data!$P$2:$P$1105,Data!$AK$2:$AK$1105,1,Data!$AV$2:$AV$1105,$A$129,Data!$N$2:$N$1105,"Renewal")/SUMIFS(Data!$P$2:$P$1105,Data!$AK$2:$AK$1105,1,Data!$AV$2:$AV$1105,$A$129),NA())))</f>
        <v/>
      </c>
      <c r="S129" s="62">
        <f>IF($A$129="",NA(),Calc!$BT$2)</f>
        <v/>
      </c>
      <c r="T129" s="62">
        <f>IF($A$129="",NA(),Calc!$BT$3)</f>
        <v/>
      </c>
      <c r="U129" s="62">
        <f>IF($A$129="",NA(),Calc!$BT$4)</f>
        <v/>
      </c>
      <c r="V129" s="62">
        <f>IF($A$129="",NA(),IF(COUNTIFS(Data!$AK$2:$AK$1105,1,Data!$AV$2:$AV$1105,$A$129)&lt;Controls!$B$19,NA(),IFERROR(COUNTIFS(Data!$AK$2:$AK$1105,1,Data!$AV$2:$AV$1105,$A$129,Data!$AH$2:$AH$1105,1)/COUNTIFS(Data!$AK$2:$AK$1105,1,Data!$AV$2:$AV$1105,$A$129),NA())))</f>
        <v/>
      </c>
      <c r="W129" s="61">
        <f>IF($A$129="","",$A$129&amp;" ("&amp;$J$129&amp;")")</f>
        <v/>
      </c>
      <c r="X129" s="61" t="n"/>
      <c r="Y129" s="61" t="n"/>
      <c r="Z129" s="61" t="n"/>
      <c r="AA129" s="61" t="n"/>
      <c r="AB129" s="61" t="n"/>
      <c r="AC129" s="61" t="n"/>
      <c r="AD129" s="61" t="n"/>
      <c r="AE129" s="61" t="n"/>
      <c r="AF129" s="61" t="n"/>
      <c r="AG129" s="61" t="n"/>
      <c r="AH129" s="61" t="n"/>
      <c r="AI129" s="61" t="n"/>
      <c r="AJ129" s="61" t="n"/>
      <c r="AK129" s="61" t="n"/>
      <c r="AL129" s="61" t="n"/>
      <c r="AM129" s="61" t="n"/>
      <c r="AN129" s="61">
        <f>Controls!$D$88</f>
        <v/>
      </c>
      <c r="AO129" s="61">
        <f>COUNTIFS(Data!$AK$2:$AK$1105,1,Data!$L$2:$L$1105,$AN$129)</f>
        <v/>
      </c>
      <c r="AP129" s="57">
        <f>SUMIFS(Data!$P$2:$P$1105,Data!$AK$2:$AK$1105,1,Data!$L$2:$L$1105,$AN$129)</f>
        <v/>
      </c>
      <c r="AQ129" s="56">
        <f>IFERROR(SUMIFS(Data!$AN$2:$AN$1105,Data!$AK$2:$AK$1105,1,Data!$L$2:$L$1105,$AN$129)/$AP$129,0)</f>
        <v/>
      </c>
      <c r="AR129" s="57">
        <f>SUMIFS(Data!$AN$2:$AN$1105,Data!$AK$2:$AK$1105,1,Data!$L$2:$L$1105,$AN$129)</f>
        <v/>
      </c>
      <c r="AS129" s="61">
        <f>Controls!$E$88</f>
        <v/>
      </c>
      <c r="AT129" s="61">
        <f>IF(OR(AO129=0,AO129&lt;Controls!$B$20),-1000000000000000,IF(AND(Controls!$B$21="Y",$AN$129="No state"),-1000000000000000,IF(Controls!$B$17="Selected only",IF(AS129="Y",AP129,-1000000000000000),IF(Controls!$B$17="Top by funded $",AP129,IF(Controls!$B$17="Top by funded units",AO129,IF(Controls!$B$17="Largest principal lost $",AR129,IF(Controls!$B$17="Highest net profit $",AU129,IF(AO129&lt;Controls!$B$19,-1000000000000000,IF(Controls!$B$17="Highest principal lost rate %",AQ129,IF(Controls!$B$17="Lowest principal lost rate %",1-AQ129,AP129))))))))) +49/1000000)</f>
        <v/>
      </c>
      <c r="AU129" s="57">
        <f>SUMIFS(Data!$AM$2:$AM$1105,Data!$AK$2:$AK$1105,1,Data!$L$2:$L$1105,$AN$129)</f>
        <v/>
      </c>
      <c r="AV129" s="61" t="n"/>
      <c r="AW129" s="61" t="n"/>
      <c r="AX129" s="61" t="n"/>
      <c r="AY129" s="61" t="n"/>
      <c r="AZ129" s="61" t="n"/>
      <c r="BA129" s="61" t="n"/>
      <c r="BB129" s="61">
        <f>Controls!$G$94</f>
        <v/>
      </c>
      <c r="BC129" s="61">
        <f>COUNTIFS(Data!$AK$2:$AK$1105,1,Data!$M$2:$M$1105,$BB$129)</f>
        <v/>
      </c>
      <c r="BD129" s="57">
        <f>SUMIFS(Data!$P$2:$P$1105,Data!$AK$2:$AK$1105,1,Data!$M$2:$M$1105,$BB$129)</f>
        <v/>
      </c>
      <c r="BE129" s="56">
        <f>IF(COUNTIFS(Data!$AK$2:$AK$1105,1,Data!$M$2:$M$1105,$BB$129)&lt;Controls!$B$19,"",IFERROR(SUMIFS(Data!$AN$2:$AN$1105,Data!$AK$2:$AK$1105,1,Data!$M$2:$M$1105,$BB$129)/$BD$129,""))</f>
        <v/>
      </c>
      <c r="BF129" s="56">
        <f>IF(COUNTIFS(Data!$AK$2:$AK$1105,1,Data!$M$2:$M$1105,$BB$129)&lt;Controls!$B$19,"",IFERROR(SUMIFS(Data!$AM$2:$AM$1105,Data!$AK$2:$AK$1105,1,Data!$M$2:$M$1105,$BB$129)/SUMIFS(Data!$P$2:$P$1105,Data!$AK$2:$AK$1105,1,Data!$M$2:$M$1105,$BB$129),""))</f>
        <v/>
      </c>
      <c r="BG129" s="57">
        <f>SUMIFS(Data!$AN$2:$AN$1105,Data!$AK$2:$AK$1105,1,Data!$M$2:$M$1105,$BB$129)</f>
        <v/>
      </c>
      <c r="BH129" s="61" t="n"/>
      <c r="BI129" s="61">
        <f>IF(AND($BC$129&gt;=Controls!$B$22,$BD$129&gt;=LARGE($BD$75:$BD$230,MIN(Controls!$B$18,COUNT($BD$75:$BD$230)))),$BE$129,"")</f>
        <v/>
      </c>
      <c r="BJ129" s="61" t="n"/>
      <c r="BK129" s="61">
        <f>IF($BC$129&lt;Controls!$B$22,"",$BE$129)</f>
        <v/>
      </c>
      <c r="BL129" s="61">
        <f>IF($BC$129&lt;Controls!$B$22,"",$BF$129)</f>
        <v/>
      </c>
      <c r="BM129" s="61">
        <f>IF($BC$129&lt;Controls!$B$22,"",$BG$129)</f>
        <v/>
      </c>
      <c r="BN129" s="61" t="n"/>
      <c r="BO129" s="61" t="n"/>
      <c r="BP129" s="61" t="n"/>
      <c r="BQ129" s="61" t="n"/>
      <c r="BR129" s="61" t="n"/>
      <c r="BS129" s="61" t="n"/>
      <c r="BT129" s="61" t="n"/>
    </row>
    <row r="130" ht="15.75" customHeight="1" s="79">
      <c r="A130" s="61">
        <f>IF(COUNTIFS(Data!$AK$2:$AK$1105,1,Data!$AV$2:$AV$1105,"1.36-1.42")=0,"","1.36-1.42")</f>
        <v/>
      </c>
      <c r="B130" s="66">
        <f>IF($A$130="",NA(),IFERROR(SUMIFS(Data!$P$2:$P$1105,Data!$AK$2:$AK$1105,1,Data!$AV$2:$AV$1105,$A$130),NA()))</f>
        <v/>
      </c>
      <c r="C130" s="66">
        <f>IF($A$130="",NA(),IFERROR(SUMIFS(Data!$S$2:$S$1105,Data!$AK$2:$AK$1105,1,Data!$AV$2:$AV$1105,$A$130),NA()))</f>
        <v/>
      </c>
      <c r="D130" s="66">
        <f>IF(ISNA($B$130),NA(),$C$130-$B$130)</f>
        <v/>
      </c>
      <c r="E130" s="66">
        <f>IF($A$130="",NA(),IFERROR(SUMIFS(Data!$Q$2:$Q$1105,Data!$AK$2:$AK$1105,1,Data!$AV$2:$AV$1105,$A$130),NA()))</f>
        <v/>
      </c>
      <c r="F130" s="66">
        <f>IF($A$130="",NA(),IFERROR(SUMIFS(Data!$AN$2:$AN$1105,Data!$AK$2:$AK$1105,1,Data!$AV$2:$AV$1105,$A$130),NA()))</f>
        <v/>
      </c>
      <c r="G130" s="62">
        <f>IF($A$130="",NA(),IF(COUNTIFS(Data!$AK$2:$AK$1105,1,Data!$AV$2:$AV$1105,$A$130)&lt;Controls!$B$19,NA(),IFERROR(SUMIFS(Data!$AN$2:$AN$1105,Data!$AK$2:$AK$1105,1,Data!$AV$2:$AV$1105,$A$130)/$B$130,NA())))</f>
        <v/>
      </c>
      <c r="H130" s="62">
        <f>IF($A$130="",NA(),IF(COUNTIFS(Data!$AK$2:$AK$1105,1,Data!$AV$2:$AV$1105,$A$130)&lt;Controls!$B$19,NA(),IFERROR(SUMIFS(Data!$S$2:$S$1105,Data!$AK$2:$AK$1105,1,Data!$AV$2:$AV$1105,$A$130,Data!$AH$2:$AH$1105,1)/SUMIFS(Data!$P$2:$P$1105,Data!$AK$2:$AK$1105,1,Data!$AV$2:$AV$1105,$A$130,Data!$AH$2:$AH$1105,1),NA())))</f>
        <v/>
      </c>
      <c r="I130" s="62">
        <f>IF(ISNA($J$130),NA(),IF($J$130&lt;Controls!$B$19,NA(),IFERROR($D$130/$B$130,NA())))</f>
        <v/>
      </c>
      <c r="J130" s="67">
        <f>IF($A$130="",NA(),IFERROR(COUNTIFS(Data!$AK$2:$AK$1105,1,Data!$AV$2:$AV$1105,$A$130),NA()))</f>
        <v/>
      </c>
      <c r="K130" s="62">
        <f>IF(ISNA($B$130),NA(),IFERROR($B$130/Calc!$BT$6,NA()))</f>
        <v/>
      </c>
      <c r="L130" s="66">
        <f>IF(ISNA($J$130),NA(),IF($J$130&lt;Controls!$B$19,NA(),IFERROR($B$130/$J$130,NA())))</f>
        <v/>
      </c>
      <c r="M130" s="67">
        <f>IF($A$130="",NA(),IF(COUNTIFS(Data!$AK$2:$AK$1105,1,Data!$AV$2:$AV$1105,$A$130)&lt;Controls!$B$19,NA(),IFERROR(AVERAGEIFS(Data!$AE$2:$AE$1105,Data!$AK$2:$AK$1105,1,Data!$AV$2:$AV$1105,$A$130),NA())))</f>
        <v/>
      </c>
      <c r="N130" s="67">
        <f>IF($A$130="",NA(),IF(COUNTIFS(Data!$AK$2:$AK$1105,1,Data!$AV$2:$AV$1105,$A$130)&lt;Controls!$B$19,NA(),IFERROR(AVERAGEIFS(Data!$AD$2:$AD$1105,Data!$AK$2:$AK$1105,1,Data!$AV$2:$AV$1105,$A$130),NA())))</f>
        <v/>
      </c>
      <c r="O130" s="67">
        <f>IF($A$130="",NA(),IF(COUNTIFS(Data!$AK$2:$AK$1105,1,Data!$AV$2:$AV$1105,$A$130)&lt;Controls!$B$19,NA(),IFERROR(AVERAGEIFS(Data!$AS$2:$AS$1105,Data!$AK$2:$AK$1105,1,Data!$AV$2:$AV$1105,$A$130),NA())))</f>
        <v/>
      </c>
      <c r="P130" s="67">
        <f>IF($A$130="",NA(),IF(COUNTIFS(Data!$AK$2:$AK$1105,1,Data!$AV$2:$AV$1105,$A$130)&lt;Controls!$B$19,NA(),IFERROR(AVERAGEIFS(Data!$AT$2:$AT$1105,Data!$AK$2:$AK$1105,1,Data!$AV$2:$AV$1105,$A$130),NA())))</f>
        <v/>
      </c>
      <c r="Q130" s="62">
        <f>IF($A$130="",NA(),IF(COUNTIFS(Data!$AK$2:$AK$1105,1,Data!$AV$2:$AV$1105,$A$130)&lt;Controls!$B$19,NA(),IFERROR(COUNTIFS(Data!$AK$2:$AK$1105,1,Data!$AV$2:$AV$1105,$A$130,Data!$N$2:$N$1105,"Renewal")/COUNTIFS(Data!$AK$2:$AK$1105,1,Data!$AV$2:$AV$1105,$A$130),NA())))</f>
        <v/>
      </c>
      <c r="R130" s="62">
        <f>IF($A$130="",NA(),IF(COUNTIFS(Data!$AK$2:$AK$1105,1,Data!$AV$2:$AV$1105,$A$130)&lt;Controls!$B$19,NA(),IFERROR(SUMIFS(Data!$P$2:$P$1105,Data!$AK$2:$AK$1105,1,Data!$AV$2:$AV$1105,$A$130,Data!$N$2:$N$1105,"Renewal")/SUMIFS(Data!$P$2:$P$1105,Data!$AK$2:$AK$1105,1,Data!$AV$2:$AV$1105,$A$130),NA())))</f>
        <v/>
      </c>
      <c r="S130" s="62">
        <f>IF($A$130="",NA(),Calc!$BT$2)</f>
        <v/>
      </c>
      <c r="T130" s="62">
        <f>IF($A$130="",NA(),Calc!$BT$3)</f>
        <v/>
      </c>
      <c r="U130" s="62">
        <f>IF($A$130="",NA(),Calc!$BT$4)</f>
        <v/>
      </c>
      <c r="V130" s="62">
        <f>IF($A$130="",NA(),IF(COUNTIFS(Data!$AK$2:$AK$1105,1,Data!$AV$2:$AV$1105,$A$130)&lt;Controls!$B$19,NA(),IFERROR(COUNTIFS(Data!$AK$2:$AK$1105,1,Data!$AV$2:$AV$1105,$A$130,Data!$AH$2:$AH$1105,1)/COUNTIFS(Data!$AK$2:$AK$1105,1,Data!$AV$2:$AV$1105,$A$130),NA())))</f>
        <v/>
      </c>
      <c r="W130" s="61">
        <f>IF($A$130="","",$A$130&amp;" ("&amp;$J$130&amp;")")</f>
        <v/>
      </c>
      <c r="X130" s="61" t="n"/>
      <c r="Y130" s="61" t="n"/>
      <c r="Z130" s="61" t="n"/>
      <c r="AA130" s="61" t="n"/>
      <c r="AB130" s="61" t="n"/>
      <c r="AC130" s="61" t="n"/>
      <c r="AD130" s="61" t="n"/>
      <c r="AE130" s="61" t="n"/>
      <c r="AF130" s="61" t="n"/>
      <c r="AG130" s="61" t="n"/>
      <c r="AH130" s="61" t="n"/>
      <c r="AI130" s="61" t="n"/>
      <c r="AJ130" s="61" t="n"/>
      <c r="AK130" s="61" t="n"/>
      <c r="AL130" s="61" t="n"/>
      <c r="AM130" s="61" t="n"/>
      <c r="AN130" s="61">
        <f>Controls!$D$89</f>
        <v/>
      </c>
      <c r="AO130" s="61">
        <f>COUNTIFS(Data!$AK$2:$AK$1105,1,Data!$L$2:$L$1105,$AN$130)</f>
        <v/>
      </c>
      <c r="AP130" s="57">
        <f>SUMIFS(Data!$P$2:$P$1105,Data!$AK$2:$AK$1105,1,Data!$L$2:$L$1105,$AN$130)</f>
        <v/>
      </c>
      <c r="AQ130" s="56">
        <f>IFERROR(SUMIFS(Data!$AN$2:$AN$1105,Data!$AK$2:$AK$1105,1,Data!$L$2:$L$1105,$AN$130)/$AP$130,0)</f>
        <v/>
      </c>
      <c r="AR130" s="57">
        <f>SUMIFS(Data!$AN$2:$AN$1105,Data!$AK$2:$AK$1105,1,Data!$L$2:$L$1105,$AN$130)</f>
        <v/>
      </c>
      <c r="AS130" s="61">
        <f>Controls!$E$89</f>
        <v/>
      </c>
      <c r="AT130" s="61">
        <f>IF(OR(AO130=0,AO130&lt;Controls!$B$20),-1000000000000000,IF(AND(Controls!$B$21="Y",$AN$130="No state"),-1000000000000000,IF(Controls!$B$17="Selected only",IF(AS130="Y",AP130,-1000000000000000),IF(Controls!$B$17="Top by funded $",AP130,IF(Controls!$B$17="Top by funded units",AO130,IF(Controls!$B$17="Largest principal lost $",AR130,IF(Controls!$B$17="Highest net profit $",AU130,IF(AO130&lt;Controls!$B$19,-1000000000000000,IF(Controls!$B$17="Highest principal lost rate %",AQ130,IF(Controls!$B$17="Lowest principal lost rate %",1-AQ130,AP130))))))))) +50/1000000)</f>
        <v/>
      </c>
      <c r="AU130" s="57">
        <f>SUMIFS(Data!$AM$2:$AM$1105,Data!$AK$2:$AK$1105,1,Data!$L$2:$L$1105,$AN$130)</f>
        <v/>
      </c>
      <c r="AV130" s="61" t="n"/>
      <c r="AW130" s="61" t="n"/>
      <c r="AX130" s="61" t="n"/>
      <c r="AY130" s="61" t="n"/>
      <c r="AZ130" s="61" t="n"/>
      <c r="BA130" s="61" t="n"/>
      <c r="BB130" s="61">
        <f>Controls!$G$95</f>
        <v/>
      </c>
      <c r="BC130" s="61">
        <f>COUNTIFS(Data!$AK$2:$AK$1105,1,Data!$M$2:$M$1105,$BB$130)</f>
        <v/>
      </c>
      <c r="BD130" s="57">
        <f>SUMIFS(Data!$P$2:$P$1105,Data!$AK$2:$AK$1105,1,Data!$M$2:$M$1105,$BB$130)</f>
        <v/>
      </c>
      <c r="BE130" s="56">
        <f>IF(COUNTIFS(Data!$AK$2:$AK$1105,1,Data!$M$2:$M$1105,$BB$130)&lt;Controls!$B$19,"",IFERROR(SUMIFS(Data!$AN$2:$AN$1105,Data!$AK$2:$AK$1105,1,Data!$M$2:$M$1105,$BB$130)/$BD$130,""))</f>
        <v/>
      </c>
      <c r="BF130" s="56">
        <f>IF(COUNTIFS(Data!$AK$2:$AK$1105,1,Data!$M$2:$M$1105,$BB$130)&lt;Controls!$B$19,"",IFERROR(SUMIFS(Data!$AM$2:$AM$1105,Data!$AK$2:$AK$1105,1,Data!$M$2:$M$1105,$BB$130)/SUMIFS(Data!$P$2:$P$1105,Data!$AK$2:$AK$1105,1,Data!$M$2:$M$1105,$BB$130),""))</f>
        <v/>
      </c>
      <c r="BG130" s="57">
        <f>SUMIFS(Data!$AN$2:$AN$1105,Data!$AK$2:$AK$1105,1,Data!$M$2:$M$1105,$BB$130)</f>
        <v/>
      </c>
      <c r="BH130" s="61" t="n"/>
      <c r="BI130" s="61">
        <f>IF(AND($BC$130&gt;=Controls!$B$22,$BD$130&gt;=LARGE($BD$75:$BD$230,MIN(Controls!$B$18,COUNT($BD$75:$BD$230)))),$BE$130,"")</f>
        <v/>
      </c>
      <c r="BJ130" s="61" t="n"/>
      <c r="BK130" s="61">
        <f>IF($BC$130&lt;Controls!$B$22,"",$BE$130)</f>
        <v/>
      </c>
      <c r="BL130" s="61">
        <f>IF($BC$130&lt;Controls!$B$22,"",$BF$130)</f>
        <v/>
      </c>
      <c r="BM130" s="61">
        <f>IF($BC$130&lt;Controls!$B$22,"",$BG$130)</f>
        <v/>
      </c>
      <c r="BN130" s="61" t="n"/>
      <c r="BO130" s="61" t="n"/>
      <c r="BP130" s="61" t="n"/>
      <c r="BQ130" s="61" t="n"/>
      <c r="BR130" s="61" t="n"/>
      <c r="BS130" s="61" t="n"/>
      <c r="BT130" s="61" t="n"/>
    </row>
    <row r="131" ht="15.75" customHeight="1" s="79">
      <c r="A131" s="61">
        <f>IF(COUNTIFS(Data!$AK$2:$AK$1105,1,Data!$AV$2:$AV$1105,"1.43-1.45")=0,"","1.43-1.45")</f>
        <v/>
      </c>
      <c r="B131" s="66">
        <f>IF($A$131="",NA(),IFERROR(SUMIFS(Data!$P$2:$P$1105,Data!$AK$2:$AK$1105,1,Data!$AV$2:$AV$1105,$A$131),NA()))</f>
        <v/>
      </c>
      <c r="C131" s="66">
        <f>IF($A$131="",NA(),IFERROR(SUMIFS(Data!$S$2:$S$1105,Data!$AK$2:$AK$1105,1,Data!$AV$2:$AV$1105,$A$131),NA()))</f>
        <v/>
      </c>
      <c r="D131" s="66">
        <f>IF(ISNA($B$131),NA(),$C$131-$B$131)</f>
        <v/>
      </c>
      <c r="E131" s="66">
        <f>IF($A$131="",NA(),IFERROR(SUMIFS(Data!$Q$2:$Q$1105,Data!$AK$2:$AK$1105,1,Data!$AV$2:$AV$1105,$A$131),NA()))</f>
        <v/>
      </c>
      <c r="F131" s="66">
        <f>IF($A$131="",NA(),IFERROR(SUMIFS(Data!$AN$2:$AN$1105,Data!$AK$2:$AK$1105,1,Data!$AV$2:$AV$1105,$A$131),NA()))</f>
        <v/>
      </c>
      <c r="G131" s="62">
        <f>IF($A$131="",NA(),IF(COUNTIFS(Data!$AK$2:$AK$1105,1,Data!$AV$2:$AV$1105,$A$131)&lt;Controls!$B$19,NA(),IFERROR(SUMIFS(Data!$AN$2:$AN$1105,Data!$AK$2:$AK$1105,1,Data!$AV$2:$AV$1105,$A$131)/$B$131,NA())))</f>
        <v/>
      </c>
      <c r="H131" s="62">
        <f>IF($A$131="",NA(),IF(COUNTIFS(Data!$AK$2:$AK$1105,1,Data!$AV$2:$AV$1105,$A$131)&lt;Controls!$B$19,NA(),IFERROR(SUMIFS(Data!$S$2:$S$1105,Data!$AK$2:$AK$1105,1,Data!$AV$2:$AV$1105,$A$131,Data!$AH$2:$AH$1105,1)/SUMIFS(Data!$P$2:$P$1105,Data!$AK$2:$AK$1105,1,Data!$AV$2:$AV$1105,$A$131,Data!$AH$2:$AH$1105,1),NA())))</f>
        <v/>
      </c>
      <c r="I131" s="62">
        <f>IF(ISNA($J$131),NA(),IF($J$131&lt;Controls!$B$19,NA(),IFERROR($D$131/$B$131,NA())))</f>
        <v/>
      </c>
      <c r="J131" s="67">
        <f>IF($A$131="",NA(),IFERROR(COUNTIFS(Data!$AK$2:$AK$1105,1,Data!$AV$2:$AV$1105,$A$131),NA()))</f>
        <v/>
      </c>
      <c r="K131" s="62">
        <f>IF(ISNA($B$131),NA(),IFERROR($B$131/Calc!$BT$6,NA()))</f>
        <v/>
      </c>
      <c r="L131" s="66">
        <f>IF(ISNA($J$131),NA(),IF($J$131&lt;Controls!$B$19,NA(),IFERROR($B$131/$J$131,NA())))</f>
        <v/>
      </c>
      <c r="M131" s="67">
        <f>IF($A$131="",NA(),IF(COUNTIFS(Data!$AK$2:$AK$1105,1,Data!$AV$2:$AV$1105,$A$131)&lt;Controls!$B$19,NA(),IFERROR(AVERAGEIFS(Data!$AE$2:$AE$1105,Data!$AK$2:$AK$1105,1,Data!$AV$2:$AV$1105,$A$131),NA())))</f>
        <v/>
      </c>
      <c r="N131" s="67">
        <f>IF($A$131="",NA(),IF(COUNTIFS(Data!$AK$2:$AK$1105,1,Data!$AV$2:$AV$1105,$A$131)&lt;Controls!$B$19,NA(),IFERROR(AVERAGEIFS(Data!$AD$2:$AD$1105,Data!$AK$2:$AK$1105,1,Data!$AV$2:$AV$1105,$A$131),NA())))</f>
        <v/>
      </c>
      <c r="O131" s="67">
        <f>IF($A$131="",NA(),IF(COUNTIFS(Data!$AK$2:$AK$1105,1,Data!$AV$2:$AV$1105,$A$131)&lt;Controls!$B$19,NA(),IFERROR(AVERAGEIFS(Data!$AS$2:$AS$1105,Data!$AK$2:$AK$1105,1,Data!$AV$2:$AV$1105,$A$131),NA())))</f>
        <v/>
      </c>
      <c r="P131" s="67">
        <f>IF($A$131="",NA(),IF(COUNTIFS(Data!$AK$2:$AK$1105,1,Data!$AV$2:$AV$1105,$A$131)&lt;Controls!$B$19,NA(),IFERROR(AVERAGEIFS(Data!$AT$2:$AT$1105,Data!$AK$2:$AK$1105,1,Data!$AV$2:$AV$1105,$A$131),NA())))</f>
        <v/>
      </c>
      <c r="Q131" s="62">
        <f>IF($A$131="",NA(),IF(COUNTIFS(Data!$AK$2:$AK$1105,1,Data!$AV$2:$AV$1105,$A$131)&lt;Controls!$B$19,NA(),IFERROR(COUNTIFS(Data!$AK$2:$AK$1105,1,Data!$AV$2:$AV$1105,$A$131,Data!$N$2:$N$1105,"Renewal")/COUNTIFS(Data!$AK$2:$AK$1105,1,Data!$AV$2:$AV$1105,$A$131),NA())))</f>
        <v/>
      </c>
      <c r="R131" s="62">
        <f>IF($A$131="",NA(),IF(COUNTIFS(Data!$AK$2:$AK$1105,1,Data!$AV$2:$AV$1105,$A$131)&lt;Controls!$B$19,NA(),IFERROR(SUMIFS(Data!$P$2:$P$1105,Data!$AK$2:$AK$1105,1,Data!$AV$2:$AV$1105,$A$131,Data!$N$2:$N$1105,"Renewal")/SUMIFS(Data!$P$2:$P$1105,Data!$AK$2:$AK$1105,1,Data!$AV$2:$AV$1105,$A$131),NA())))</f>
        <v/>
      </c>
      <c r="S131" s="62">
        <f>IF($A$131="",NA(),Calc!$BT$2)</f>
        <v/>
      </c>
      <c r="T131" s="62">
        <f>IF($A$131="",NA(),Calc!$BT$3)</f>
        <v/>
      </c>
      <c r="U131" s="62">
        <f>IF($A$131="",NA(),Calc!$BT$4)</f>
        <v/>
      </c>
      <c r="V131" s="62">
        <f>IF($A$131="",NA(),IF(COUNTIFS(Data!$AK$2:$AK$1105,1,Data!$AV$2:$AV$1105,$A$131)&lt;Controls!$B$19,NA(),IFERROR(COUNTIFS(Data!$AK$2:$AK$1105,1,Data!$AV$2:$AV$1105,$A$131,Data!$AH$2:$AH$1105,1)/COUNTIFS(Data!$AK$2:$AK$1105,1,Data!$AV$2:$AV$1105,$A$131),NA())))</f>
        <v/>
      </c>
      <c r="W131" s="61">
        <f>IF($A$131="","",$A$131&amp;" ("&amp;$J$131&amp;")")</f>
        <v/>
      </c>
      <c r="X131" s="61" t="n"/>
      <c r="Y131" s="61" t="n"/>
      <c r="Z131" s="61" t="n"/>
      <c r="AA131" s="61" t="n"/>
      <c r="AB131" s="61" t="n"/>
      <c r="AC131" s="61" t="n"/>
      <c r="AD131" s="61" t="n"/>
      <c r="AE131" s="61" t="n"/>
      <c r="AF131" s="61" t="n"/>
      <c r="AG131" s="61" t="n"/>
      <c r="AH131" s="61" t="n"/>
      <c r="AI131" s="61" t="n"/>
      <c r="AJ131" s="61" t="n"/>
      <c r="AK131" s="61" t="n"/>
      <c r="AL131" s="61" t="n"/>
      <c r="AM131" s="61" t="n"/>
      <c r="AN131" s="61" t="n"/>
      <c r="AO131" s="61" t="n"/>
      <c r="AP131" s="57" t="n"/>
      <c r="AQ131" s="56" t="n"/>
      <c r="AR131" s="57" t="n"/>
      <c r="AS131" s="61" t="n"/>
      <c r="AT131" s="61" t="n"/>
      <c r="AU131" s="57" t="n"/>
      <c r="AV131" s="61" t="n"/>
      <c r="AW131" s="61" t="n"/>
      <c r="AX131" s="61" t="n"/>
      <c r="AY131" s="61" t="n"/>
      <c r="AZ131" s="61" t="n"/>
      <c r="BA131" s="61" t="n"/>
      <c r="BB131" s="61">
        <f>Controls!$G$96</f>
        <v/>
      </c>
      <c r="BC131" s="61">
        <f>COUNTIFS(Data!$AK$2:$AK$1105,1,Data!$M$2:$M$1105,$BB$131)</f>
        <v/>
      </c>
      <c r="BD131" s="57">
        <f>SUMIFS(Data!$P$2:$P$1105,Data!$AK$2:$AK$1105,1,Data!$M$2:$M$1105,$BB$131)</f>
        <v/>
      </c>
      <c r="BE131" s="56">
        <f>IF(COUNTIFS(Data!$AK$2:$AK$1105,1,Data!$M$2:$M$1105,$BB$131)&lt;Controls!$B$19,"",IFERROR(SUMIFS(Data!$AN$2:$AN$1105,Data!$AK$2:$AK$1105,1,Data!$M$2:$M$1105,$BB$131)/$BD$131,""))</f>
        <v/>
      </c>
      <c r="BF131" s="56">
        <f>IF(COUNTIFS(Data!$AK$2:$AK$1105,1,Data!$M$2:$M$1105,$BB$131)&lt;Controls!$B$19,"",IFERROR(SUMIFS(Data!$AM$2:$AM$1105,Data!$AK$2:$AK$1105,1,Data!$M$2:$M$1105,$BB$131)/SUMIFS(Data!$P$2:$P$1105,Data!$AK$2:$AK$1105,1,Data!$M$2:$M$1105,$BB$131),""))</f>
        <v/>
      </c>
      <c r="BG131" s="57">
        <f>SUMIFS(Data!$AN$2:$AN$1105,Data!$AK$2:$AK$1105,1,Data!$M$2:$M$1105,$BB$131)</f>
        <v/>
      </c>
      <c r="BH131" s="61" t="n"/>
      <c r="BI131" s="61">
        <f>IF(AND($BC$131&gt;=Controls!$B$22,$BD$131&gt;=LARGE($BD$75:$BD$230,MIN(Controls!$B$18,COUNT($BD$75:$BD$230)))),$BE$131,"")</f>
        <v/>
      </c>
      <c r="BJ131" s="61" t="n"/>
      <c r="BK131" s="61">
        <f>IF($BC$131&lt;Controls!$B$22,"",$BE$131)</f>
        <v/>
      </c>
      <c r="BL131" s="61">
        <f>IF($BC$131&lt;Controls!$B$22,"",$BF$131)</f>
        <v/>
      </c>
      <c r="BM131" s="61">
        <f>IF($BC$131&lt;Controls!$B$22,"",$BG$131)</f>
        <v/>
      </c>
      <c r="BN131" s="61" t="n"/>
      <c r="BO131" s="61" t="n"/>
      <c r="BP131" s="61" t="n"/>
      <c r="BQ131" s="61" t="n"/>
      <c r="BR131" s="61" t="n"/>
      <c r="BS131" s="61" t="n"/>
      <c r="BT131" s="61" t="n"/>
    </row>
    <row r="132" ht="15.75" customHeight="1" s="79">
      <c r="A132" s="61">
        <f>IF(COUNTIFS(Data!$AK$2:$AK$1105,1,Data!$AV$2:$AV$1105,"1.46-1.48")=0,"","1.46-1.48")</f>
        <v/>
      </c>
      <c r="B132" s="66">
        <f>IF($A$132="",NA(),IFERROR(SUMIFS(Data!$P$2:$P$1105,Data!$AK$2:$AK$1105,1,Data!$AV$2:$AV$1105,$A$132),NA()))</f>
        <v/>
      </c>
      <c r="C132" s="66">
        <f>IF($A$132="",NA(),IFERROR(SUMIFS(Data!$S$2:$S$1105,Data!$AK$2:$AK$1105,1,Data!$AV$2:$AV$1105,$A$132),NA()))</f>
        <v/>
      </c>
      <c r="D132" s="66">
        <f>IF(ISNA($B$132),NA(),$C$132-$B$132)</f>
        <v/>
      </c>
      <c r="E132" s="66">
        <f>IF($A$132="",NA(),IFERROR(SUMIFS(Data!$Q$2:$Q$1105,Data!$AK$2:$AK$1105,1,Data!$AV$2:$AV$1105,$A$132),NA()))</f>
        <v/>
      </c>
      <c r="F132" s="66">
        <f>IF($A$132="",NA(),IFERROR(SUMIFS(Data!$AN$2:$AN$1105,Data!$AK$2:$AK$1105,1,Data!$AV$2:$AV$1105,$A$132),NA()))</f>
        <v/>
      </c>
      <c r="G132" s="62">
        <f>IF($A$132="",NA(),IF(COUNTIFS(Data!$AK$2:$AK$1105,1,Data!$AV$2:$AV$1105,$A$132)&lt;Controls!$B$19,NA(),IFERROR(SUMIFS(Data!$AN$2:$AN$1105,Data!$AK$2:$AK$1105,1,Data!$AV$2:$AV$1105,$A$132)/$B$132,NA())))</f>
        <v/>
      </c>
      <c r="H132" s="62">
        <f>IF($A$132="",NA(),IF(COUNTIFS(Data!$AK$2:$AK$1105,1,Data!$AV$2:$AV$1105,$A$132)&lt;Controls!$B$19,NA(),IFERROR(SUMIFS(Data!$S$2:$S$1105,Data!$AK$2:$AK$1105,1,Data!$AV$2:$AV$1105,$A$132,Data!$AH$2:$AH$1105,1)/SUMIFS(Data!$P$2:$P$1105,Data!$AK$2:$AK$1105,1,Data!$AV$2:$AV$1105,$A$132,Data!$AH$2:$AH$1105,1),NA())))</f>
        <v/>
      </c>
      <c r="I132" s="62">
        <f>IF(ISNA($J$132),NA(),IF($J$132&lt;Controls!$B$19,NA(),IFERROR($D$132/$B$132,NA())))</f>
        <v/>
      </c>
      <c r="J132" s="67">
        <f>IF($A$132="",NA(),IFERROR(COUNTIFS(Data!$AK$2:$AK$1105,1,Data!$AV$2:$AV$1105,$A$132),NA()))</f>
        <v/>
      </c>
      <c r="K132" s="62">
        <f>IF(ISNA($B$132),NA(),IFERROR($B$132/Calc!$BT$6,NA()))</f>
        <v/>
      </c>
      <c r="L132" s="66">
        <f>IF(ISNA($J$132),NA(),IF($J$132&lt;Controls!$B$19,NA(),IFERROR($B$132/$J$132,NA())))</f>
        <v/>
      </c>
      <c r="M132" s="67">
        <f>IF($A$132="",NA(),IF(COUNTIFS(Data!$AK$2:$AK$1105,1,Data!$AV$2:$AV$1105,$A$132)&lt;Controls!$B$19,NA(),IFERROR(AVERAGEIFS(Data!$AE$2:$AE$1105,Data!$AK$2:$AK$1105,1,Data!$AV$2:$AV$1105,$A$132),NA())))</f>
        <v/>
      </c>
      <c r="N132" s="67">
        <f>IF($A$132="",NA(),IF(COUNTIFS(Data!$AK$2:$AK$1105,1,Data!$AV$2:$AV$1105,$A$132)&lt;Controls!$B$19,NA(),IFERROR(AVERAGEIFS(Data!$AD$2:$AD$1105,Data!$AK$2:$AK$1105,1,Data!$AV$2:$AV$1105,$A$132),NA())))</f>
        <v/>
      </c>
      <c r="O132" s="67">
        <f>IF($A$132="",NA(),IF(COUNTIFS(Data!$AK$2:$AK$1105,1,Data!$AV$2:$AV$1105,$A$132)&lt;Controls!$B$19,NA(),IFERROR(AVERAGEIFS(Data!$AS$2:$AS$1105,Data!$AK$2:$AK$1105,1,Data!$AV$2:$AV$1105,$A$132),NA())))</f>
        <v/>
      </c>
      <c r="P132" s="67">
        <f>IF($A$132="",NA(),IF(COUNTIFS(Data!$AK$2:$AK$1105,1,Data!$AV$2:$AV$1105,$A$132)&lt;Controls!$B$19,NA(),IFERROR(AVERAGEIFS(Data!$AT$2:$AT$1105,Data!$AK$2:$AK$1105,1,Data!$AV$2:$AV$1105,$A$132),NA())))</f>
        <v/>
      </c>
      <c r="Q132" s="62">
        <f>IF($A$132="",NA(),IF(COUNTIFS(Data!$AK$2:$AK$1105,1,Data!$AV$2:$AV$1105,$A$132)&lt;Controls!$B$19,NA(),IFERROR(COUNTIFS(Data!$AK$2:$AK$1105,1,Data!$AV$2:$AV$1105,$A$132,Data!$N$2:$N$1105,"Renewal")/COUNTIFS(Data!$AK$2:$AK$1105,1,Data!$AV$2:$AV$1105,$A$132),NA())))</f>
        <v/>
      </c>
      <c r="R132" s="62">
        <f>IF($A$132="",NA(),IF(COUNTIFS(Data!$AK$2:$AK$1105,1,Data!$AV$2:$AV$1105,$A$132)&lt;Controls!$B$19,NA(),IFERROR(SUMIFS(Data!$P$2:$P$1105,Data!$AK$2:$AK$1105,1,Data!$AV$2:$AV$1105,$A$132,Data!$N$2:$N$1105,"Renewal")/SUMIFS(Data!$P$2:$P$1105,Data!$AK$2:$AK$1105,1,Data!$AV$2:$AV$1105,$A$132),NA())))</f>
        <v/>
      </c>
      <c r="S132" s="62">
        <f>IF($A$132="",NA(),Calc!$BT$2)</f>
        <v/>
      </c>
      <c r="T132" s="62">
        <f>IF($A$132="",NA(),Calc!$BT$3)</f>
        <v/>
      </c>
      <c r="U132" s="62">
        <f>IF($A$132="",NA(),Calc!$BT$4)</f>
        <v/>
      </c>
      <c r="V132" s="62">
        <f>IF($A$132="",NA(),IF(COUNTIFS(Data!$AK$2:$AK$1105,1,Data!$AV$2:$AV$1105,$A$132)&lt;Controls!$B$19,NA(),IFERROR(COUNTIFS(Data!$AK$2:$AK$1105,1,Data!$AV$2:$AV$1105,$A$132,Data!$AH$2:$AH$1105,1)/COUNTIFS(Data!$AK$2:$AK$1105,1,Data!$AV$2:$AV$1105,$A$132),NA())))</f>
        <v/>
      </c>
      <c r="W132" s="61">
        <f>IF($A$132="","",$A$132&amp;" ("&amp;$J$132&amp;")")</f>
        <v/>
      </c>
      <c r="X132" s="61" t="n"/>
      <c r="Y132" s="61" t="n"/>
      <c r="Z132" s="61" t="n"/>
      <c r="AA132" s="61" t="n"/>
      <c r="AB132" s="61" t="n"/>
      <c r="AC132" s="61" t="n"/>
      <c r="AD132" s="61" t="n"/>
      <c r="AE132" s="61" t="n"/>
      <c r="AF132" s="61" t="n"/>
      <c r="AG132" s="61" t="n"/>
      <c r="AH132" s="61" t="n"/>
      <c r="AI132" s="61" t="n"/>
      <c r="AJ132" s="61" t="n"/>
      <c r="AK132" s="61" t="n"/>
      <c r="AL132" s="61" t="n"/>
      <c r="AM132" s="61" t="n"/>
      <c r="AN132" s="61" t="n"/>
      <c r="AO132" s="61" t="n"/>
      <c r="AP132" s="57" t="n"/>
      <c r="AQ132" s="56" t="n"/>
      <c r="AR132" s="57" t="n"/>
      <c r="AS132" s="61" t="n"/>
      <c r="AT132" s="61" t="n"/>
      <c r="AU132" s="57" t="n"/>
      <c r="AV132" s="61" t="n"/>
      <c r="AW132" s="61" t="n"/>
      <c r="AX132" s="61" t="n"/>
      <c r="AY132" s="61" t="n"/>
      <c r="AZ132" s="61" t="n"/>
      <c r="BA132" s="61" t="n"/>
      <c r="BB132" s="61">
        <f>Controls!$G$97</f>
        <v/>
      </c>
      <c r="BC132" s="61">
        <f>COUNTIFS(Data!$AK$2:$AK$1105,1,Data!$M$2:$M$1105,$BB$132)</f>
        <v/>
      </c>
      <c r="BD132" s="57">
        <f>SUMIFS(Data!$P$2:$P$1105,Data!$AK$2:$AK$1105,1,Data!$M$2:$M$1105,$BB$132)</f>
        <v/>
      </c>
      <c r="BE132" s="56">
        <f>IF(COUNTIFS(Data!$AK$2:$AK$1105,1,Data!$M$2:$M$1105,$BB$132)&lt;Controls!$B$19,"",IFERROR(SUMIFS(Data!$AN$2:$AN$1105,Data!$AK$2:$AK$1105,1,Data!$M$2:$M$1105,$BB$132)/$BD$132,""))</f>
        <v/>
      </c>
      <c r="BF132" s="56">
        <f>IF(COUNTIFS(Data!$AK$2:$AK$1105,1,Data!$M$2:$M$1105,$BB$132)&lt;Controls!$B$19,"",IFERROR(SUMIFS(Data!$AM$2:$AM$1105,Data!$AK$2:$AK$1105,1,Data!$M$2:$M$1105,$BB$132)/SUMIFS(Data!$P$2:$P$1105,Data!$AK$2:$AK$1105,1,Data!$M$2:$M$1105,$BB$132),""))</f>
        <v/>
      </c>
      <c r="BG132" s="57">
        <f>SUMIFS(Data!$AN$2:$AN$1105,Data!$AK$2:$AK$1105,1,Data!$M$2:$M$1105,$BB$132)</f>
        <v/>
      </c>
      <c r="BH132" s="61" t="n"/>
      <c r="BI132" s="61">
        <f>IF(AND($BC$132&gt;=Controls!$B$22,$BD$132&gt;=LARGE($BD$75:$BD$230,MIN(Controls!$B$18,COUNT($BD$75:$BD$230)))),$BE$132,"")</f>
        <v/>
      </c>
      <c r="BJ132" s="61" t="n"/>
      <c r="BK132" s="61">
        <f>IF($BC$132&lt;Controls!$B$22,"",$BE$132)</f>
        <v/>
      </c>
      <c r="BL132" s="61">
        <f>IF($BC$132&lt;Controls!$B$22,"",$BF$132)</f>
        <v/>
      </c>
      <c r="BM132" s="61">
        <f>IF($BC$132&lt;Controls!$B$22,"",$BG$132)</f>
        <v/>
      </c>
      <c r="BN132" s="61" t="n"/>
      <c r="BO132" s="61" t="n"/>
      <c r="BP132" s="61" t="n"/>
      <c r="BQ132" s="61" t="n"/>
      <c r="BR132" s="61" t="n"/>
      <c r="BS132" s="61" t="n"/>
      <c r="BT132" s="61" t="n"/>
    </row>
    <row r="133" ht="15.75" customHeight="1" s="79">
      <c r="A133" s="61">
        <f>IF(COUNTIFS(Data!$AK$2:$AK$1105,1,Data!$AV$2:$AV$1105,"1.49")=0,"","1.49")</f>
        <v/>
      </c>
      <c r="B133" s="66">
        <f>IF($A$133="",NA(),IFERROR(SUMIFS(Data!$P$2:$P$1105,Data!$AK$2:$AK$1105,1,Data!$AV$2:$AV$1105,$A$133),NA()))</f>
        <v/>
      </c>
      <c r="C133" s="66">
        <f>IF($A$133="",NA(),IFERROR(SUMIFS(Data!$S$2:$S$1105,Data!$AK$2:$AK$1105,1,Data!$AV$2:$AV$1105,$A$133),NA()))</f>
        <v/>
      </c>
      <c r="D133" s="66">
        <f>IF(ISNA($B$133),NA(),$C$133-$B$133)</f>
        <v/>
      </c>
      <c r="E133" s="66">
        <f>IF($A$133="",NA(),IFERROR(SUMIFS(Data!$Q$2:$Q$1105,Data!$AK$2:$AK$1105,1,Data!$AV$2:$AV$1105,$A$133),NA()))</f>
        <v/>
      </c>
      <c r="F133" s="66">
        <f>IF($A$133="",NA(),IFERROR(SUMIFS(Data!$AN$2:$AN$1105,Data!$AK$2:$AK$1105,1,Data!$AV$2:$AV$1105,$A$133),NA()))</f>
        <v/>
      </c>
      <c r="G133" s="62">
        <f>IF($A$133="",NA(),IF(COUNTIFS(Data!$AK$2:$AK$1105,1,Data!$AV$2:$AV$1105,$A$133)&lt;Controls!$B$19,NA(),IFERROR(SUMIFS(Data!$AN$2:$AN$1105,Data!$AK$2:$AK$1105,1,Data!$AV$2:$AV$1105,$A$133)/$B$133,NA())))</f>
        <v/>
      </c>
      <c r="H133" s="62">
        <f>IF($A$133="",NA(),IF(COUNTIFS(Data!$AK$2:$AK$1105,1,Data!$AV$2:$AV$1105,$A$133)&lt;Controls!$B$19,NA(),IFERROR(SUMIFS(Data!$S$2:$S$1105,Data!$AK$2:$AK$1105,1,Data!$AV$2:$AV$1105,$A$133,Data!$AH$2:$AH$1105,1)/SUMIFS(Data!$P$2:$P$1105,Data!$AK$2:$AK$1105,1,Data!$AV$2:$AV$1105,$A$133,Data!$AH$2:$AH$1105,1),NA())))</f>
        <v/>
      </c>
      <c r="I133" s="62">
        <f>IF(ISNA($J$133),NA(),IF($J$133&lt;Controls!$B$19,NA(),IFERROR($D$133/$B$133,NA())))</f>
        <v/>
      </c>
      <c r="J133" s="67">
        <f>IF($A$133="",NA(),IFERROR(COUNTIFS(Data!$AK$2:$AK$1105,1,Data!$AV$2:$AV$1105,$A$133),NA()))</f>
        <v/>
      </c>
      <c r="K133" s="62">
        <f>IF(ISNA($B$133),NA(),IFERROR($B$133/Calc!$BT$6,NA()))</f>
        <v/>
      </c>
      <c r="L133" s="66">
        <f>IF(ISNA($J$133),NA(),IF($J$133&lt;Controls!$B$19,NA(),IFERROR($B$133/$J$133,NA())))</f>
        <v/>
      </c>
      <c r="M133" s="67">
        <f>IF($A$133="",NA(),IF(COUNTIFS(Data!$AK$2:$AK$1105,1,Data!$AV$2:$AV$1105,$A$133)&lt;Controls!$B$19,NA(),IFERROR(AVERAGEIFS(Data!$AE$2:$AE$1105,Data!$AK$2:$AK$1105,1,Data!$AV$2:$AV$1105,$A$133),NA())))</f>
        <v/>
      </c>
      <c r="N133" s="67">
        <f>IF($A$133="",NA(),IF(COUNTIFS(Data!$AK$2:$AK$1105,1,Data!$AV$2:$AV$1105,$A$133)&lt;Controls!$B$19,NA(),IFERROR(AVERAGEIFS(Data!$AD$2:$AD$1105,Data!$AK$2:$AK$1105,1,Data!$AV$2:$AV$1105,$A$133),NA())))</f>
        <v/>
      </c>
      <c r="O133" s="67">
        <f>IF($A$133="",NA(),IF(COUNTIFS(Data!$AK$2:$AK$1105,1,Data!$AV$2:$AV$1105,$A$133)&lt;Controls!$B$19,NA(),IFERROR(AVERAGEIFS(Data!$AS$2:$AS$1105,Data!$AK$2:$AK$1105,1,Data!$AV$2:$AV$1105,$A$133),NA())))</f>
        <v/>
      </c>
      <c r="P133" s="67">
        <f>IF($A$133="",NA(),IF(COUNTIFS(Data!$AK$2:$AK$1105,1,Data!$AV$2:$AV$1105,$A$133)&lt;Controls!$B$19,NA(),IFERROR(AVERAGEIFS(Data!$AT$2:$AT$1105,Data!$AK$2:$AK$1105,1,Data!$AV$2:$AV$1105,$A$133),NA())))</f>
        <v/>
      </c>
      <c r="Q133" s="62">
        <f>IF($A$133="",NA(),IF(COUNTIFS(Data!$AK$2:$AK$1105,1,Data!$AV$2:$AV$1105,$A$133)&lt;Controls!$B$19,NA(),IFERROR(COUNTIFS(Data!$AK$2:$AK$1105,1,Data!$AV$2:$AV$1105,$A$133,Data!$N$2:$N$1105,"Renewal")/COUNTIFS(Data!$AK$2:$AK$1105,1,Data!$AV$2:$AV$1105,$A$133),NA())))</f>
        <v/>
      </c>
      <c r="R133" s="62">
        <f>IF($A$133="",NA(),IF(COUNTIFS(Data!$AK$2:$AK$1105,1,Data!$AV$2:$AV$1105,$A$133)&lt;Controls!$B$19,NA(),IFERROR(SUMIFS(Data!$P$2:$P$1105,Data!$AK$2:$AK$1105,1,Data!$AV$2:$AV$1105,$A$133,Data!$N$2:$N$1105,"Renewal")/SUMIFS(Data!$P$2:$P$1105,Data!$AK$2:$AK$1105,1,Data!$AV$2:$AV$1105,$A$133),NA())))</f>
        <v/>
      </c>
      <c r="S133" s="62">
        <f>IF($A$133="",NA(),Calc!$BT$2)</f>
        <v/>
      </c>
      <c r="T133" s="62">
        <f>IF($A$133="",NA(),Calc!$BT$3)</f>
        <v/>
      </c>
      <c r="U133" s="62">
        <f>IF($A$133="",NA(),Calc!$BT$4)</f>
        <v/>
      </c>
      <c r="V133" s="62">
        <f>IF($A$133="",NA(),IF(COUNTIFS(Data!$AK$2:$AK$1105,1,Data!$AV$2:$AV$1105,$A$133)&lt;Controls!$B$19,NA(),IFERROR(COUNTIFS(Data!$AK$2:$AK$1105,1,Data!$AV$2:$AV$1105,$A$133,Data!$AH$2:$AH$1105,1)/COUNTIFS(Data!$AK$2:$AK$1105,1,Data!$AV$2:$AV$1105,$A$133),NA())))</f>
        <v/>
      </c>
      <c r="W133" s="61">
        <f>IF($A$133="","",$A$133&amp;" ("&amp;$J$133&amp;")")</f>
        <v/>
      </c>
      <c r="X133" s="61" t="n"/>
      <c r="Y133" s="61" t="n"/>
      <c r="Z133" s="61" t="n"/>
      <c r="AA133" s="61" t="n"/>
      <c r="AB133" s="61" t="n"/>
      <c r="AC133" s="61" t="n"/>
      <c r="AD133" s="61" t="n"/>
      <c r="AE133" s="61" t="n"/>
      <c r="AF133" s="61" t="n"/>
      <c r="AG133" s="61" t="n"/>
      <c r="AH133" s="61" t="n"/>
      <c r="AI133" s="61" t="n"/>
      <c r="AJ133" s="61" t="n"/>
      <c r="AK133" s="61" t="n"/>
      <c r="AL133" s="61" t="n"/>
      <c r="AM133" s="61" t="n"/>
      <c r="AN133" s="61" t="n"/>
      <c r="AO133" s="61" t="n"/>
      <c r="AP133" s="57" t="n"/>
      <c r="AQ133" s="56" t="n"/>
      <c r="AR133" s="57" t="n"/>
      <c r="AS133" s="61" t="n"/>
      <c r="AT133" s="61" t="n"/>
      <c r="AU133" s="57" t="n"/>
      <c r="AV133" s="61" t="n"/>
      <c r="AW133" s="61" t="n"/>
      <c r="AX133" s="61" t="n"/>
      <c r="AY133" s="61" t="n"/>
      <c r="AZ133" s="61" t="n"/>
      <c r="BA133" s="61" t="n"/>
      <c r="BB133" s="61">
        <f>Controls!$G$98</f>
        <v/>
      </c>
      <c r="BC133" s="61">
        <f>COUNTIFS(Data!$AK$2:$AK$1105,1,Data!$M$2:$M$1105,$BB$133)</f>
        <v/>
      </c>
      <c r="BD133" s="57">
        <f>SUMIFS(Data!$P$2:$P$1105,Data!$AK$2:$AK$1105,1,Data!$M$2:$M$1105,$BB$133)</f>
        <v/>
      </c>
      <c r="BE133" s="56">
        <f>IF(COUNTIFS(Data!$AK$2:$AK$1105,1,Data!$M$2:$M$1105,$BB$133)&lt;Controls!$B$19,"",IFERROR(SUMIFS(Data!$AN$2:$AN$1105,Data!$AK$2:$AK$1105,1,Data!$M$2:$M$1105,$BB$133)/$BD$133,""))</f>
        <v/>
      </c>
      <c r="BF133" s="56">
        <f>IF(COUNTIFS(Data!$AK$2:$AK$1105,1,Data!$M$2:$M$1105,$BB$133)&lt;Controls!$B$19,"",IFERROR(SUMIFS(Data!$AM$2:$AM$1105,Data!$AK$2:$AK$1105,1,Data!$M$2:$M$1105,$BB$133)/SUMIFS(Data!$P$2:$P$1105,Data!$AK$2:$AK$1105,1,Data!$M$2:$M$1105,$BB$133),""))</f>
        <v/>
      </c>
      <c r="BG133" s="57">
        <f>SUMIFS(Data!$AN$2:$AN$1105,Data!$AK$2:$AK$1105,1,Data!$M$2:$M$1105,$BB$133)</f>
        <v/>
      </c>
      <c r="BH133" s="61" t="n"/>
      <c r="BI133" s="61">
        <f>IF(AND($BC$133&gt;=Controls!$B$22,$BD$133&gt;=LARGE($BD$75:$BD$230,MIN(Controls!$B$18,COUNT($BD$75:$BD$230)))),$BE$133,"")</f>
        <v/>
      </c>
      <c r="BJ133" s="61" t="n"/>
      <c r="BK133" s="61">
        <f>IF($BC$133&lt;Controls!$B$22,"",$BE$133)</f>
        <v/>
      </c>
      <c r="BL133" s="61">
        <f>IF($BC$133&lt;Controls!$B$22,"",$BF$133)</f>
        <v/>
      </c>
      <c r="BM133" s="61">
        <f>IF($BC$133&lt;Controls!$B$22,"",$BG$133)</f>
        <v/>
      </c>
      <c r="BN133" s="61" t="n"/>
      <c r="BO133" s="61" t="n"/>
      <c r="BP133" s="61" t="n"/>
      <c r="BQ133" s="61" t="n"/>
      <c r="BR133" s="61" t="n"/>
      <c r="BS133" s="61" t="n"/>
      <c r="BT133" s="61" t="n"/>
    </row>
    <row r="134" ht="15.75" customHeight="1" s="79">
      <c r="A134" s="61">
        <f>IF(COUNTIFS(Data!$AK$2:$AK$1105,1,Data!$AV$2:$AV$1105,"Above 1.49")=0,"","Above 1.49")</f>
        <v/>
      </c>
      <c r="B134" s="66">
        <f>IF($A$134="",NA(),IFERROR(SUMIFS(Data!$P$2:$P$1105,Data!$AK$2:$AK$1105,1,Data!$AV$2:$AV$1105,$A$134),NA()))</f>
        <v/>
      </c>
      <c r="C134" s="66">
        <f>IF($A$134="",NA(),IFERROR(SUMIFS(Data!$S$2:$S$1105,Data!$AK$2:$AK$1105,1,Data!$AV$2:$AV$1105,$A$134),NA()))</f>
        <v/>
      </c>
      <c r="D134" s="66">
        <f>IF(ISNA($B$134),NA(),$C$134-$B$134)</f>
        <v/>
      </c>
      <c r="E134" s="66">
        <f>IF($A$134="",NA(),IFERROR(SUMIFS(Data!$Q$2:$Q$1105,Data!$AK$2:$AK$1105,1,Data!$AV$2:$AV$1105,$A$134),NA()))</f>
        <v/>
      </c>
      <c r="F134" s="66">
        <f>IF($A$134="",NA(),IFERROR(SUMIFS(Data!$AN$2:$AN$1105,Data!$AK$2:$AK$1105,1,Data!$AV$2:$AV$1105,$A$134),NA()))</f>
        <v/>
      </c>
      <c r="G134" s="62">
        <f>IF($A$134="",NA(),IF(COUNTIFS(Data!$AK$2:$AK$1105,1,Data!$AV$2:$AV$1105,$A$134)&lt;Controls!$B$19,NA(),IFERROR(SUMIFS(Data!$AN$2:$AN$1105,Data!$AK$2:$AK$1105,1,Data!$AV$2:$AV$1105,$A$134)/$B$134,NA())))</f>
        <v/>
      </c>
      <c r="H134" s="62">
        <f>IF($A$134="",NA(),IF(COUNTIFS(Data!$AK$2:$AK$1105,1,Data!$AV$2:$AV$1105,$A$134)&lt;Controls!$B$19,NA(),IFERROR(SUMIFS(Data!$S$2:$S$1105,Data!$AK$2:$AK$1105,1,Data!$AV$2:$AV$1105,$A$134,Data!$AH$2:$AH$1105,1)/SUMIFS(Data!$P$2:$P$1105,Data!$AK$2:$AK$1105,1,Data!$AV$2:$AV$1105,$A$134,Data!$AH$2:$AH$1105,1),NA())))</f>
        <v/>
      </c>
      <c r="I134" s="62">
        <f>IF(ISNA($J$134),NA(),IF($J$134&lt;Controls!$B$19,NA(),IFERROR($D$134/$B$134,NA())))</f>
        <v/>
      </c>
      <c r="J134" s="67">
        <f>IF($A$134="",NA(),IFERROR(COUNTIFS(Data!$AK$2:$AK$1105,1,Data!$AV$2:$AV$1105,$A$134),NA()))</f>
        <v/>
      </c>
      <c r="K134" s="62">
        <f>IF(ISNA($B$134),NA(),IFERROR($B$134/Calc!$BT$6,NA()))</f>
        <v/>
      </c>
      <c r="L134" s="66">
        <f>IF(ISNA($J$134),NA(),IF($J$134&lt;Controls!$B$19,NA(),IFERROR($B$134/$J$134,NA())))</f>
        <v/>
      </c>
      <c r="M134" s="67">
        <f>IF($A$134="",NA(),IF(COUNTIFS(Data!$AK$2:$AK$1105,1,Data!$AV$2:$AV$1105,$A$134)&lt;Controls!$B$19,NA(),IFERROR(AVERAGEIFS(Data!$AE$2:$AE$1105,Data!$AK$2:$AK$1105,1,Data!$AV$2:$AV$1105,$A$134),NA())))</f>
        <v/>
      </c>
      <c r="N134" s="67">
        <f>IF($A$134="",NA(),IF(COUNTIFS(Data!$AK$2:$AK$1105,1,Data!$AV$2:$AV$1105,$A$134)&lt;Controls!$B$19,NA(),IFERROR(AVERAGEIFS(Data!$AD$2:$AD$1105,Data!$AK$2:$AK$1105,1,Data!$AV$2:$AV$1105,$A$134),NA())))</f>
        <v/>
      </c>
      <c r="O134" s="67">
        <f>IF($A$134="",NA(),IF(COUNTIFS(Data!$AK$2:$AK$1105,1,Data!$AV$2:$AV$1105,$A$134)&lt;Controls!$B$19,NA(),IFERROR(AVERAGEIFS(Data!$AS$2:$AS$1105,Data!$AK$2:$AK$1105,1,Data!$AV$2:$AV$1105,$A$134),NA())))</f>
        <v/>
      </c>
      <c r="P134" s="67">
        <f>IF($A$134="",NA(),IF(COUNTIFS(Data!$AK$2:$AK$1105,1,Data!$AV$2:$AV$1105,$A$134)&lt;Controls!$B$19,NA(),IFERROR(AVERAGEIFS(Data!$AT$2:$AT$1105,Data!$AK$2:$AK$1105,1,Data!$AV$2:$AV$1105,$A$134),NA())))</f>
        <v/>
      </c>
      <c r="Q134" s="62">
        <f>IF($A$134="",NA(),IF(COUNTIFS(Data!$AK$2:$AK$1105,1,Data!$AV$2:$AV$1105,$A$134)&lt;Controls!$B$19,NA(),IFERROR(COUNTIFS(Data!$AK$2:$AK$1105,1,Data!$AV$2:$AV$1105,$A$134,Data!$N$2:$N$1105,"Renewal")/COUNTIFS(Data!$AK$2:$AK$1105,1,Data!$AV$2:$AV$1105,$A$134),NA())))</f>
        <v/>
      </c>
      <c r="R134" s="62">
        <f>IF($A$134="",NA(),IF(COUNTIFS(Data!$AK$2:$AK$1105,1,Data!$AV$2:$AV$1105,$A$134)&lt;Controls!$B$19,NA(),IFERROR(SUMIFS(Data!$P$2:$P$1105,Data!$AK$2:$AK$1105,1,Data!$AV$2:$AV$1105,$A$134,Data!$N$2:$N$1105,"Renewal")/SUMIFS(Data!$P$2:$P$1105,Data!$AK$2:$AK$1105,1,Data!$AV$2:$AV$1105,$A$134),NA())))</f>
        <v/>
      </c>
      <c r="S134" s="62">
        <f>IF($A$134="",NA(),Calc!$BT$2)</f>
        <v/>
      </c>
      <c r="T134" s="62">
        <f>IF($A$134="",NA(),Calc!$BT$3)</f>
        <v/>
      </c>
      <c r="U134" s="62">
        <f>IF($A$134="",NA(),Calc!$BT$4)</f>
        <v/>
      </c>
      <c r="V134" s="62">
        <f>IF($A$134="",NA(),IF(COUNTIFS(Data!$AK$2:$AK$1105,1,Data!$AV$2:$AV$1105,$A$134)&lt;Controls!$B$19,NA(),IFERROR(COUNTIFS(Data!$AK$2:$AK$1105,1,Data!$AV$2:$AV$1105,$A$134,Data!$AH$2:$AH$1105,1)/COUNTIFS(Data!$AK$2:$AK$1105,1,Data!$AV$2:$AV$1105,$A$134),NA())))</f>
        <v/>
      </c>
      <c r="W134" s="61">
        <f>IF($A$134="","",$A$134&amp;" ("&amp;$J$134&amp;")")</f>
        <v/>
      </c>
      <c r="X134" s="61" t="n"/>
      <c r="Y134" s="61" t="n"/>
      <c r="Z134" s="61" t="n"/>
      <c r="AA134" s="61" t="n"/>
      <c r="AB134" s="61" t="n"/>
      <c r="AC134" s="61" t="n"/>
      <c r="AD134" s="61" t="n"/>
      <c r="AE134" s="61" t="n"/>
      <c r="AF134" s="61" t="n"/>
      <c r="AG134" s="61" t="n"/>
      <c r="AH134" s="61" t="n"/>
      <c r="AI134" s="61" t="n"/>
      <c r="AJ134" s="61" t="n"/>
      <c r="AK134" s="61" t="n"/>
      <c r="AL134" s="61" t="n"/>
      <c r="AM134" s="61" t="n"/>
      <c r="AN134" s="61" t="n"/>
      <c r="AO134" s="61" t="n"/>
      <c r="AP134" s="57" t="n"/>
      <c r="AQ134" s="56" t="n"/>
      <c r="AR134" s="57" t="n"/>
      <c r="AS134" s="61" t="n"/>
      <c r="AT134" s="61" t="n"/>
      <c r="AU134" s="57" t="n"/>
      <c r="AV134" s="61" t="n"/>
      <c r="AW134" s="61" t="n"/>
      <c r="AX134" s="61" t="n"/>
      <c r="AY134" s="61" t="n"/>
      <c r="AZ134" s="61" t="n"/>
      <c r="BA134" s="61" t="n"/>
      <c r="BB134" s="61">
        <f>Controls!$G$99</f>
        <v/>
      </c>
      <c r="BC134" s="61">
        <f>COUNTIFS(Data!$AK$2:$AK$1105,1,Data!$M$2:$M$1105,$BB$134)</f>
        <v/>
      </c>
      <c r="BD134" s="57">
        <f>SUMIFS(Data!$P$2:$P$1105,Data!$AK$2:$AK$1105,1,Data!$M$2:$M$1105,$BB$134)</f>
        <v/>
      </c>
      <c r="BE134" s="56">
        <f>IF(COUNTIFS(Data!$AK$2:$AK$1105,1,Data!$M$2:$M$1105,$BB$134)&lt;Controls!$B$19,"",IFERROR(SUMIFS(Data!$AN$2:$AN$1105,Data!$AK$2:$AK$1105,1,Data!$M$2:$M$1105,$BB$134)/$BD$134,""))</f>
        <v/>
      </c>
      <c r="BF134" s="56">
        <f>IF(COUNTIFS(Data!$AK$2:$AK$1105,1,Data!$M$2:$M$1105,$BB$134)&lt;Controls!$B$19,"",IFERROR(SUMIFS(Data!$AM$2:$AM$1105,Data!$AK$2:$AK$1105,1,Data!$M$2:$M$1105,$BB$134)/SUMIFS(Data!$P$2:$P$1105,Data!$AK$2:$AK$1105,1,Data!$M$2:$M$1105,$BB$134),""))</f>
        <v/>
      </c>
      <c r="BG134" s="57">
        <f>SUMIFS(Data!$AN$2:$AN$1105,Data!$AK$2:$AK$1105,1,Data!$M$2:$M$1105,$BB$134)</f>
        <v/>
      </c>
      <c r="BH134" s="61" t="n"/>
      <c r="BI134" s="61">
        <f>IF(AND($BC$134&gt;=Controls!$B$22,$BD$134&gt;=LARGE($BD$75:$BD$230,MIN(Controls!$B$18,COUNT($BD$75:$BD$230)))),$BE$134,"")</f>
        <v/>
      </c>
      <c r="BJ134" s="61" t="n"/>
      <c r="BK134" s="61">
        <f>IF($BC$134&lt;Controls!$B$22,"",$BE$134)</f>
        <v/>
      </c>
      <c r="BL134" s="61">
        <f>IF($BC$134&lt;Controls!$B$22,"",$BF$134)</f>
        <v/>
      </c>
      <c r="BM134" s="61">
        <f>IF($BC$134&lt;Controls!$B$22,"",$BG$134)</f>
        <v/>
      </c>
      <c r="BN134" s="61" t="n"/>
      <c r="BO134" s="61" t="n"/>
      <c r="BP134" s="61" t="n"/>
      <c r="BQ134" s="61" t="n"/>
      <c r="BR134" s="61" t="n"/>
      <c r="BS134" s="61" t="n"/>
      <c r="BT134" s="61" t="n"/>
    </row>
    <row r="135" ht="15.75" customHeight="1" s="79">
      <c r="A135" s="61" t="n"/>
      <c r="B135" s="61" t="n"/>
      <c r="C135" s="61" t="n"/>
      <c r="D135" s="61" t="n"/>
      <c r="E135" s="61" t="n"/>
      <c r="F135" s="61" t="n"/>
      <c r="G135" s="61" t="n"/>
      <c r="H135" s="61" t="n"/>
      <c r="I135" s="61" t="n"/>
      <c r="J135" s="61" t="n"/>
      <c r="K135" s="61" t="n"/>
      <c r="L135" s="61" t="n"/>
      <c r="M135" s="61" t="n"/>
      <c r="N135" s="61" t="n"/>
      <c r="O135" s="61" t="n"/>
      <c r="P135" s="61" t="n"/>
      <c r="Q135" s="61" t="n"/>
      <c r="R135" s="61" t="n"/>
      <c r="S135" s="61" t="n"/>
      <c r="T135" s="61" t="n"/>
      <c r="U135" s="61" t="n"/>
      <c r="V135" s="61" t="n"/>
      <c r="W135" s="61" t="n"/>
      <c r="X135" s="61" t="n"/>
      <c r="Y135" s="61" t="n"/>
      <c r="Z135" s="61" t="n"/>
      <c r="AA135" s="61" t="n"/>
      <c r="AB135" s="61" t="n"/>
      <c r="AC135" s="61" t="n"/>
      <c r="AD135" s="61" t="n"/>
      <c r="AE135" s="61" t="n"/>
      <c r="AF135" s="61" t="n"/>
      <c r="AG135" s="61" t="n"/>
      <c r="AH135" s="61" t="n"/>
      <c r="AI135" s="61" t="n"/>
      <c r="AJ135" s="61" t="n"/>
      <c r="AK135" s="61" t="n"/>
      <c r="AL135" s="61" t="n"/>
      <c r="AM135" s="61" t="n"/>
      <c r="AN135" s="61" t="n"/>
      <c r="AO135" s="61" t="n"/>
      <c r="AP135" s="57" t="n"/>
      <c r="AQ135" s="56" t="n"/>
      <c r="AR135" s="57" t="n"/>
      <c r="AS135" s="61" t="n"/>
      <c r="AT135" s="61" t="n"/>
      <c r="AU135" s="57" t="n"/>
      <c r="AV135" s="61" t="n"/>
      <c r="AW135" s="61" t="n"/>
      <c r="AX135" s="61" t="n"/>
      <c r="AY135" s="61" t="n"/>
      <c r="AZ135" s="61" t="n"/>
      <c r="BA135" s="61" t="n"/>
      <c r="BB135" s="61">
        <f>Controls!$G$100</f>
        <v/>
      </c>
      <c r="BC135" s="61">
        <f>COUNTIFS(Data!$AK$2:$AK$1105,1,Data!$M$2:$M$1105,$BB$135)</f>
        <v/>
      </c>
      <c r="BD135" s="57">
        <f>SUMIFS(Data!$P$2:$P$1105,Data!$AK$2:$AK$1105,1,Data!$M$2:$M$1105,$BB$135)</f>
        <v/>
      </c>
      <c r="BE135" s="56">
        <f>IF(COUNTIFS(Data!$AK$2:$AK$1105,1,Data!$M$2:$M$1105,$BB$135)&lt;Controls!$B$19,"",IFERROR(SUMIFS(Data!$AN$2:$AN$1105,Data!$AK$2:$AK$1105,1,Data!$M$2:$M$1105,$BB$135)/$BD$135,""))</f>
        <v/>
      </c>
      <c r="BF135" s="56">
        <f>IF(COUNTIFS(Data!$AK$2:$AK$1105,1,Data!$M$2:$M$1105,$BB$135)&lt;Controls!$B$19,"",IFERROR(SUMIFS(Data!$AM$2:$AM$1105,Data!$AK$2:$AK$1105,1,Data!$M$2:$M$1105,$BB$135)/SUMIFS(Data!$P$2:$P$1105,Data!$AK$2:$AK$1105,1,Data!$M$2:$M$1105,$BB$135),""))</f>
        <v/>
      </c>
      <c r="BG135" s="57">
        <f>SUMIFS(Data!$AN$2:$AN$1105,Data!$AK$2:$AK$1105,1,Data!$M$2:$M$1105,$BB$135)</f>
        <v/>
      </c>
      <c r="BH135" s="61" t="n"/>
      <c r="BI135" s="61">
        <f>IF(AND($BC$135&gt;=Controls!$B$22,$BD$135&gt;=LARGE($BD$75:$BD$230,MIN(Controls!$B$18,COUNT($BD$75:$BD$230)))),$BE$135,"")</f>
        <v/>
      </c>
      <c r="BJ135" s="61" t="n"/>
      <c r="BK135" s="61">
        <f>IF($BC$135&lt;Controls!$B$22,"",$BE$135)</f>
        <v/>
      </c>
      <c r="BL135" s="61">
        <f>IF($BC$135&lt;Controls!$B$22,"",$BF$135)</f>
        <v/>
      </c>
      <c r="BM135" s="61">
        <f>IF($BC$135&lt;Controls!$B$22,"",$BG$135)</f>
        <v/>
      </c>
      <c r="BN135" s="61" t="n"/>
      <c r="BO135" s="61" t="n"/>
      <c r="BP135" s="61" t="n"/>
      <c r="BQ135" s="61" t="n"/>
      <c r="BR135" s="61" t="n"/>
      <c r="BS135" s="61" t="n"/>
      <c r="BT135" s="61" t="n"/>
    </row>
    <row r="136" ht="15.75" customHeight="1" s="79">
      <c r="A136" s="61" t="n"/>
      <c r="B136" s="61" t="n"/>
      <c r="C136" s="61" t="n"/>
      <c r="D136" s="61" t="n"/>
      <c r="E136" s="61" t="n"/>
      <c r="F136" s="61" t="n"/>
      <c r="G136" s="61" t="n"/>
      <c r="H136" s="61" t="n"/>
      <c r="I136" s="61" t="n"/>
      <c r="J136" s="61" t="n"/>
      <c r="K136" s="61" t="n"/>
      <c r="L136" s="61" t="n"/>
      <c r="M136" s="61" t="n"/>
      <c r="N136" s="61" t="n"/>
      <c r="O136" s="61" t="n"/>
      <c r="P136" s="61" t="n"/>
      <c r="Q136" s="61" t="n"/>
      <c r="R136" s="61" t="n"/>
      <c r="S136" s="61" t="n"/>
      <c r="T136" s="61" t="n"/>
      <c r="U136" s="61" t="n"/>
      <c r="V136" s="61" t="n"/>
      <c r="W136" s="61" t="n"/>
      <c r="X136" s="61" t="n"/>
      <c r="Y136" s="61" t="n"/>
      <c r="Z136" s="61" t="n"/>
      <c r="AA136" s="61" t="n"/>
      <c r="AB136" s="61" t="n"/>
      <c r="AC136" s="61" t="n"/>
      <c r="AD136" s="61" t="n"/>
      <c r="AE136" s="61" t="n"/>
      <c r="AF136" s="61" t="n"/>
      <c r="AG136" s="61" t="n"/>
      <c r="AH136" s="61" t="n"/>
      <c r="AI136" s="61" t="n"/>
      <c r="AJ136" s="61" t="n"/>
      <c r="AK136" s="61" t="n"/>
      <c r="AL136" s="61" t="n"/>
      <c r="AM136" s="61" t="n"/>
      <c r="AN136" s="61" t="n"/>
      <c r="AO136" s="61" t="n"/>
      <c r="AP136" s="57" t="n"/>
      <c r="AQ136" s="56" t="n"/>
      <c r="AR136" s="57" t="n"/>
      <c r="AS136" s="61" t="n"/>
      <c r="AT136" s="61" t="n"/>
      <c r="AU136" s="57" t="n"/>
      <c r="AV136" s="61" t="n"/>
      <c r="AW136" s="61" t="n"/>
      <c r="AX136" s="61" t="n"/>
      <c r="AY136" s="61" t="n"/>
      <c r="AZ136" s="61" t="n"/>
      <c r="BA136" s="61" t="n"/>
      <c r="BB136" s="61">
        <f>Controls!$G$101</f>
        <v/>
      </c>
      <c r="BC136" s="61">
        <f>COUNTIFS(Data!$AK$2:$AK$1105,1,Data!$M$2:$M$1105,$BB$136)</f>
        <v/>
      </c>
      <c r="BD136" s="57">
        <f>SUMIFS(Data!$P$2:$P$1105,Data!$AK$2:$AK$1105,1,Data!$M$2:$M$1105,$BB$136)</f>
        <v/>
      </c>
      <c r="BE136" s="56">
        <f>IF(COUNTIFS(Data!$AK$2:$AK$1105,1,Data!$M$2:$M$1105,$BB$136)&lt;Controls!$B$19,"",IFERROR(SUMIFS(Data!$AN$2:$AN$1105,Data!$AK$2:$AK$1105,1,Data!$M$2:$M$1105,$BB$136)/$BD$136,""))</f>
        <v/>
      </c>
      <c r="BF136" s="56">
        <f>IF(COUNTIFS(Data!$AK$2:$AK$1105,1,Data!$M$2:$M$1105,$BB$136)&lt;Controls!$B$19,"",IFERROR(SUMIFS(Data!$AM$2:$AM$1105,Data!$AK$2:$AK$1105,1,Data!$M$2:$M$1105,$BB$136)/SUMIFS(Data!$P$2:$P$1105,Data!$AK$2:$AK$1105,1,Data!$M$2:$M$1105,$BB$136),""))</f>
        <v/>
      </c>
      <c r="BG136" s="57">
        <f>SUMIFS(Data!$AN$2:$AN$1105,Data!$AK$2:$AK$1105,1,Data!$M$2:$M$1105,$BB$136)</f>
        <v/>
      </c>
      <c r="BH136" s="61" t="n"/>
      <c r="BI136" s="61">
        <f>IF(AND($BC$136&gt;=Controls!$B$22,$BD$136&gt;=LARGE($BD$75:$BD$230,MIN(Controls!$B$18,COUNT($BD$75:$BD$230)))),$BE$136,"")</f>
        <v/>
      </c>
      <c r="BJ136" s="61" t="n"/>
      <c r="BK136" s="61">
        <f>IF($BC$136&lt;Controls!$B$22,"",$BE$136)</f>
        <v/>
      </c>
      <c r="BL136" s="61">
        <f>IF($BC$136&lt;Controls!$B$22,"",$BF$136)</f>
        <v/>
      </c>
      <c r="BM136" s="61">
        <f>IF($BC$136&lt;Controls!$B$22,"",$BG$136)</f>
        <v/>
      </c>
      <c r="BN136" s="61" t="n"/>
      <c r="BO136" s="61" t="n"/>
      <c r="BP136" s="61" t="n"/>
      <c r="BQ136" s="61" t="n"/>
      <c r="BR136" s="61" t="n"/>
      <c r="BS136" s="61" t="n"/>
      <c r="BT136" s="61" t="n"/>
    </row>
    <row r="137" ht="15.75" customHeight="1" s="79">
      <c r="A137" s="61" t="inlineStr">
        <is>
          <t xml:space="preserve">Term length - </t>
        </is>
      </c>
      <c r="B137" s="61" t="n"/>
      <c r="C137" s="61" t="n"/>
      <c r="D137" s="61" t="n"/>
      <c r="E137" s="61" t="n"/>
      <c r="F137" s="61" t="n"/>
      <c r="G137" s="61" t="n"/>
      <c r="H137" s="61" t="n"/>
      <c r="I137" s="61" t="n"/>
      <c r="J137" s="61" t="n"/>
      <c r="K137" s="61" t="n"/>
      <c r="L137" s="61" t="n"/>
      <c r="M137" s="61" t="n"/>
      <c r="N137" s="61" t="n"/>
      <c r="O137" s="61" t="n"/>
      <c r="P137" s="61" t="n"/>
      <c r="Q137" s="61" t="n"/>
      <c r="R137" s="61" t="n"/>
      <c r="S137" s="61" t="n"/>
      <c r="T137" s="61" t="n"/>
      <c r="U137" s="61" t="n"/>
      <c r="V137" s="61" t="n"/>
      <c r="W137" s="61" t="n"/>
      <c r="X137" s="61" t="n"/>
      <c r="Y137" s="61" t="n"/>
      <c r="Z137" s="61" t="n"/>
      <c r="AA137" s="61" t="n"/>
      <c r="AB137" s="61" t="n"/>
      <c r="AC137" s="61" t="n"/>
      <c r="AD137" s="61" t="n"/>
      <c r="AE137" s="61" t="n"/>
      <c r="AF137" s="61" t="n"/>
      <c r="AG137" s="61" t="n"/>
      <c r="AH137" s="61" t="n"/>
      <c r="AI137" s="61" t="n"/>
      <c r="AJ137" s="61" t="n"/>
      <c r="AK137" s="61" t="n"/>
      <c r="AL137" s="61" t="n"/>
      <c r="AM137" s="61" t="n"/>
      <c r="AN137" s="61" t="n"/>
      <c r="AO137" s="61" t="n"/>
      <c r="AP137" s="57" t="n"/>
      <c r="AQ137" s="56" t="n"/>
      <c r="AR137" s="57" t="n"/>
      <c r="AS137" s="61" t="n"/>
      <c r="AT137" s="61" t="n"/>
      <c r="AU137" s="57" t="n"/>
      <c r="AV137" s="61" t="n"/>
      <c r="AW137" s="61" t="n"/>
      <c r="AX137" s="61" t="n"/>
      <c r="AY137" s="61" t="n"/>
      <c r="AZ137" s="61" t="n"/>
      <c r="BA137" s="61" t="n"/>
      <c r="BB137" s="61">
        <f>Controls!$G$102</f>
        <v/>
      </c>
      <c r="BC137" s="61">
        <f>COUNTIFS(Data!$AK$2:$AK$1105,1,Data!$M$2:$M$1105,$BB$137)</f>
        <v/>
      </c>
      <c r="BD137" s="57">
        <f>SUMIFS(Data!$P$2:$P$1105,Data!$AK$2:$AK$1105,1,Data!$M$2:$M$1105,$BB$137)</f>
        <v/>
      </c>
      <c r="BE137" s="56">
        <f>IF(COUNTIFS(Data!$AK$2:$AK$1105,1,Data!$M$2:$M$1105,$BB$137)&lt;Controls!$B$19,"",IFERROR(SUMIFS(Data!$AN$2:$AN$1105,Data!$AK$2:$AK$1105,1,Data!$M$2:$M$1105,$BB$137)/$BD$137,""))</f>
        <v/>
      </c>
      <c r="BF137" s="56">
        <f>IF(COUNTIFS(Data!$AK$2:$AK$1105,1,Data!$M$2:$M$1105,$BB$137)&lt;Controls!$B$19,"",IFERROR(SUMIFS(Data!$AM$2:$AM$1105,Data!$AK$2:$AK$1105,1,Data!$M$2:$M$1105,$BB$137)/SUMIFS(Data!$P$2:$P$1105,Data!$AK$2:$AK$1105,1,Data!$M$2:$M$1105,$BB$137),""))</f>
        <v/>
      </c>
      <c r="BG137" s="57">
        <f>SUMIFS(Data!$AN$2:$AN$1105,Data!$AK$2:$AK$1105,1,Data!$M$2:$M$1105,$BB$137)</f>
        <v/>
      </c>
      <c r="BH137" s="61" t="n"/>
      <c r="BI137" s="61">
        <f>IF(AND($BC$137&gt;=Controls!$B$22,$BD$137&gt;=LARGE($BD$75:$BD$230,MIN(Controls!$B$18,COUNT($BD$75:$BD$230)))),$BE$137,"")</f>
        <v/>
      </c>
      <c r="BJ137" s="61" t="n"/>
      <c r="BK137" s="61">
        <f>IF($BC$137&lt;Controls!$B$22,"",$BE$137)</f>
        <v/>
      </c>
      <c r="BL137" s="61">
        <f>IF($BC$137&lt;Controls!$B$22,"",$BF$137)</f>
        <v/>
      </c>
      <c r="BM137" s="61">
        <f>IF($BC$137&lt;Controls!$B$22,"",$BG$137)</f>
        <v/>
      </c>
      <c r="BN137" s="61" t="n"/>
      <c r="BO137" s="61" t="n"/>
      <c r="BP137" s="61" t="n"/>
      <c r="BQ137" s="61" t="n"/>
      <c r="BR137" s="61" t="n"/>
      <c r="BS137" s="61" t="n"/>
      <c r="BT137" s="61" t="n"/>
    </row>
    <row r="138" ht="15.75" customHeight="1" s="79">
      <c r="A138" s="61" t="inlineStr">
        <is>
          <t>Label</t>
        </is>
      </c>
      <c r="B138" s="61" t="inlineStr">
        <is>
          <t>Funded $</t>
        </is>
      </c>
      <c r="C138" s="61" t="inlineStr">
        <is>
          <t>Collected $</t>
        </is>
      </c>
      <c r="D138" s="61" t="inlineStr">
        <is>
          <t>Net profit / loss $</t>
        </is>
      </c>
      <c r="E138" s="61" t="inlineStr">
        <is>
          <t>Commission $</t>
        </is>
      </c>
      <c r="F138" s="61" t="inlineStr">
        <is>
          <t>Principal lost $</t>
        </is>
      </c>
      <c r="G138" s="61" t="inlineStr">
        <is>
          <t>Principal lost rate</t>
        </is>
      </c>
      <c r="H138" s="61" t="inlineStr">
        <is>
          <t>Recovery rate</t>
        </is>
      </c>
      <c r="I138" s="61" t="inlineStr">
        <is>
          <t>Return on funded capital (%)</t>
        </is>
      </c>
      <c r="J138" s="61" t="inlineStr">
        <is>
          <t>Deals</t>
        </is>
      </c>
      <c r="K138" s="61" t="inlineStr">
        <is>
          <t>Share of funded dollars</t>
        </is>
      </c>
      <c r="L138" s="61" t="inlineStr">
        <is>
          <t>Avg deal size</t>
        </is>
      </c>
      <c r="M138" s="61" t="inlineStr">
        <is>
          <t>Avg expected term (business days)</t>
        </is>
      </c>
      <c r="N138" s="61" t="inlineStr">
        <is>
          <t>Avg expected term (payments)</t>
        </is>
      </c>
      <c r="O138" s="61" t="inlineStr">
        <is>
          <t>Avg days on book, defaulted</t>
        </is>
      </c>
      <c r="P138" s="61" t="inlineStr">
        <is>
          <t>Avg days to close</t>
        </is>
      </c>
      <c r="Q138" s="61" t="inlineStr">
        <is>
          <t>% of deals that were renewals</t>
        </is>
      </c>
      <c r="R138" s="61" t="inlineStr">
        <is>
          <t>% of funded dollars from renewals</t>
        </is>
      </c>
      <c r="S138" s="61" t="inlineStr">
        <is>
          <t>Book lost rate</t>
        </is>
      </c>
      <c r="T138" s="61" t="inlineStr">
        <is>
          <t>Book recovery</t>
        </is>
      </c>
      <c r="U138" s="61" t="inlineStr">
        <is>
          <t>Book return on funded capital</t>
        </is>
      </c>
      <c r="V138" s="61" t="inlineStr">
        <is>
          <t>Default rate (#)</t>
        </is>
      </c>
      <c r="W138" s="61" t="inlineStr">
        <is>
          <t>Chart label (name + deals)</t>
        </is>
      </c>
      <c r="X138" s="61" t="n"/>
      <c r="Y138" s="61" t="n"/>
      <c r="Z138" s="61" t="n"/>
      <c r="AA138" s="61" t="n"/>
      <c r="AB138" s="61" t="n"/>
      <c r="AC138" s="61" t="n"/>
      <c r="AD138" s="61" t="n"/>
      <c r="AE138" s="61" t="n"/>
      <c r="AF138" s="61" t="n"/>
      <c r="AG138" s="61" t="n"/>
      <c r="AH138" s="61" t="n"/>
      <c r="AI138" s="61" t="n"/>
      <c r="AJ138" s="61" t="n"/>
      <c r="AK138" s="61" t="n"/>
      <c r="AL138" s="61" t="n"/>
      <c r="AM138" s="61" t="n"/>
      <c r="AN138" s="61" t="n"/>
      <c r="AO138" s="61" t="n"/>
      <c r="AP138" s="57" t="n"/>
      <c r="AQ138" s="56" t="n"/>
      <c r="AR138" s="57" t="n"/>
      <c r="AS138" s="61" t="n"/>
      <c r="AT138" s="61" t="n"/>
      <c r="AU138" s="57" t="n"/>
      <c r="AV138" s="61" t="n"/>
      <c r="AW138" s="61" t="n"/>
      <c r="AX138" s="61" t="n"/>
      <c r="AY138" s="61" t="n"/>
      <c r="AZ138" s="61" t="n"/>
      <c r="BA138" s="61" t="n"/>
      <c r="BB138" s="61">
        <f>Controls!$G$103</f>
        <v/>
      </c>
      <c r="BC138" s="61">
        <f>COUNTIFS(Data!$AK$2:$AK$1105,1,Data!$M$2:$M$1105,$BB$138)</f>
        <v/>
      </c>
      <c r="BD138" s="57">
        <f>SUMIFS(Data!$P$2:$P$1105,Data!$AK$2:$AK$1105,1,Data!$M$2:$M$1105,$BB$138)</f>
        <v/>
      </c>
      <c r="BE138" s="56">
        <f>IF(COUNTIFS(Data!$AK$2:$AK$1105,1,Data!$M$2:$M$1105,$BB$138)&lt;Controls!$B$19,"",IFERROR(SUMIFS(Data!$AN$2:$AN$1105,Data!$AK$2:$AK$1105,1,Data!$M$2:$M$1105,$BB$138)/$BD$138,""))</f>
        <v/>
      </c>
      <c r="BF138" s="56">
        <f>IF(COUNTIFS(Data!$AK$2:$AK$1105,1,Data!$M$2:$M$1105,$BB$138)&lt;Controls!$B$19,"",IFERROR(SUMIFS(Data!$AM$2:$AM$1105,Data!$AK$2:$AK$1105,1,Data!$M$2:$M$1105,$BB$138)/SUMIFS(Data!$P$2:$P$1105,Data!$AK$2:$AK$1105,1,Data!$M$2:$M$1105,$BB$138),""))</f>
        <v/>
      </c>
      <c r="BG138" s="57">
        <f>SUMIFS(Data!$AN$2:$AN$1105,Data!$AK$2:$AK$1105,1,Data!$M$2:$M$1105,$BB$138)</f>
        <v/>
      </c>
      <c r="BH138" s="61" t="n"/>
      <c r="BI138" s="61">
        <f>IF(AND($BC$138&gt;=Controls!$B$22,$BD$138&gt;=LARGE($BD$75:$BD$230,MIN(Controls!$B$18,COUNT($BD$75:$BD$230)))),$BE$138,"")</f>
        <v/>
      </c>
      <c r="BJ138" s="61" t="n"/>
      <c r="BK138" s="61">
        <f>IF($BC$138&lt;Controls!$B$22,"",$BE$138)</f>
        <v/>
      </c>
      <c r="BL138" s="61">
        <f>IF($BC$138&lt;Controls!$B$22,"",$BF$138)</f>
        <v/>
      </c>
      <c r="BM138" s="61">
        <f>IF($BC$138&lt;Controls!$B$22,"",$BG$138)</f>
        <v/>
      </c>
      <c r="BN138" s="61" t="n"/>
      <c r="BO138" s="61" t="n"/>
      <c r="BP138" s="61" t="n"/>
      <c r="BQ138" s="61" t="n"/>
      <c r="BR138" s="61" t="n"/>
      <c r="BS138" s="61" t="n"/>
      <c r="BT138" s="61" t="n"/>
    </row>
    <row r="139" ht="15.75" customHeight="1" s="79">
      <c r="A139" s="61">
        <f>IF(COUNTIFS(Data!$AK$2:$AK$1105,1,Data!$AW$2:$AW$1105,"Under 60")=0,"","Under 60")</f>
        <v/>
      </c>
      <c r="B139" s="66">
        <f>IF($A$139="",NA(),IFERROR(SUMIFS(Data!$P$2:$P$1105,Data!$AK$2:$AK$1105,1,Data!$AW$2:$AW$1105,$A$139),NA()))</f>
        <v/>
      </c>
      <c r="C139" s="66">
        <f>IF($A$139="",NA(),IFERROR(SUMIFS(Data!$S$2:$S$1105,Data!$AK$2:$AK$1105,1,Data!$AW$2:$AW$1105,$A$139),NA()))</f>
        <v/>
      </c>
      <c r="D139" s="66">
        <f>IF(ISNA($B$139),NA(),$C$139-$B$139)</f>
        <v/>
      </c>
      <c r="E139" s="66">
        <f>IF($A$139="",NA(),IFERROR(SUMIFS(Data!$Q$2:$Q$1105,Data!$AK$2:$AK$1105,1,Data!$AW$2:$AW$1105,$A$139),NA()))</f>
        <v/>
      </c>
      <c r="F139" s="66">
        <f>IF($A$139="",NA(),IFERROR(SUMIFS(Data!$AN$2:$AN$1105,Data!$AK$2:$AK$1105,1,Data!$AW$2:$AW$1105,$A$139),NA()))</f>
        <v/>
      </c>
      <c r="G139" s="62">
        <f>IF($A$139="",NA(),IF(COUNTIFS(Data!$AK$2:$AK$1105,1,Data!$AW$2:$AW$1105,$A$139)&lt;Controls!$B$19,NA(),IFERROR(SUMIFS(Data!$AN$2:$AN$1105,Data!$AK$2:$AK$1105,1,Data!$AW$2:$AW$1105,$A$139)/$B$139,NA())))</f>
        <v/>
      </c>
      <c r="H139" s="62">
        <f>IF($A$139="",NA(),IF(COUNTIFS(Data!$AK$2:$AK$1105,1,Data!$AW$2:$AW$1105,$A$139)&lt;Controls!$B$19,NA(),IFERROR(SUMIFS(Data!$S$2:$S$1105,Data!$AK$2:$AK$1105,1,Data!$AW$2:$AW$1105,$A$139,Data!$AH$2:$AH$1105,1)/SUMIFS(Data!$P$2:$P$1105,Data!$AK$2:$AK$1105,1,Data!$AW$2:$AW$1105,$A$139,Data!$AH$2:$AH$1105,1),NA())))</f>
        <v/>
      </c>
      <c r="I139" s="62">
        <f>IF(ISNA($J$139),NA(),IF($J$139&lt;Controls!$B$19,NA(),IFERROR($D$139/$B$139,NA())))</f>
        <v/>
      </c>
      <c r="J139" s="67">
        <f>IF($A$139="",NA(),IFERROR(COUNTIFS(Data!$AK$2:$AK$1105,1,Data!$AW$2:$AW$1105,$A$139),NA()))</f>
        <v/>
      </c>
      <c r="K139" s="62">
        <f>IF(ISNA($B$139),NA(),IFERROR($B$139/Calc!$BT$6,NA()))</f>
        <v/>
      </c>
      <c r="L139" s="66">
        <f>IF(ISNA($J$139),NA(),IF($J$139&lt;Controls!$B$19,NA(),IFERROR($B$139/$J$139,NA())))</f>
        <v/>
      </c>
      <c r="M139" s="67">
        <f>IF($A$139="",NA(),IF(COUNTIFS(Data!$AK$2:$AK$1105,1,Data!$AW$2:$AW$1105,$A$139)&lt;Controls!$B$19,NA(),IFERROR(AVERAGEIFS(Data!$AE$2:$AE$1105,Data!$AK$2:$AK$1105,1,Data!$AW$2:$AW$1105,$A$139),NA())))</f>
        <v/>
      </c>
      <c r="N139" s="67">
        <f>IF($A$139="",NA(),IF(COUNTIFS(Data!$AK$2:$AK$1105,1,Data!$AW$2:$AW$1105,$A$139)&lt;Controls!$B$19,NA(),IFERROR(AVERAGEIFS(Data!$AD$2:$AD$1105,Data!$AK$2:$AK$1105,1,Data!$AW$2:$AW$1105,$A$139),NA())))</f>
        <v/>
      </c>
      <c r="O139" s="67">
        <f>IF($A$139="",NA(),IF(COUNTIFS(Data!$AK$2:$AK$1105,1,Data!$AW$2:$AW$1105,$A$139)&lt;Controls!$B$19,NA(),IFERROR(AVERAGEIFS(Data!$AS$2:$AS$1105,Data!$AK$2:$AK$1105,1,Data!$AW$2:$AW$1105,$A$139),NA())))</f>
        <v/>
      </c>
      <c r="P139" s="67">
        <f>IF($A$139="",NA(),IF(COUNTIFS(Data!$AK$2:$AK$1105,1,Data!$AW$2:$AW$1105,$A$139)&lt;Controls!$B$19,NA(),IFERROR(AVERAGEIFS(Data!$AT$2:$AT$1105,Data!$AK$2:$AK$1105,1,Data!$AW$2:$AW$1105,$A$139),NA())))</f>
        <v/>
      </c>
      <c r="Q139" s="62">
        <f>IF($A$139="",NA(),IF(COUNTIFS(Data!$AK$2:$AK$1105,1,Data!$AW$2:$AW$1105,$A$139)&lt;Controls!$B$19,NA(),IFERROR(COUNTIFS(Data!$AK$2:$AK$1105,1,Data!$AW$2:$AW$1105,$A$139,Data!$N$2:$N$1105,"Renewal")/COUNTIFS(Data!$AK$2:$AK$1105,1,Data!$AW$2:$AW$1105,$A$139),NA())))</f>
        <v/>
      </c>
      <c r="R139" s="62">
        <f>IF($A$139="",NA(),IF(COUNTIFS(Data!$AK$2:$AK$1105,1,Data!$AW$2:$AW$1105,$A$139)&lt;Controls!$B$19,NA(),IFERROR(SUMIFS(Data!$P$2:$P$1105,Data!$AK$2:$AK$1105,1,Data!$AW$2:$AW$1105,$A$139,Data!$N$2:$N$1105,"Renewal")/SUMIFS(Data!$P$2:$P$1105,Data!$AK$2:$AK$1105,1,Data!$AW$2:$AW$1105,$A$139),NA())))</f>
        <v/>
      </c>
      <c r="S139" s="62">
        <f>IF($A$139="",NA(),Calc!$BT$2)</f>
        <v/>
      </c>
      <c r="T139" s="62">
        <f>IF($A$139="",NA(),Calc!$BT$3)</f>
        <v/>
      </c>
      <c r="U139" s="62">
        <f>IF($A$139="",NA(),Calc!$BT$4)</f>
        <v/>
      </c>
      <c r="V139" s="62">
        <f>IF($A$139="",NA(),IF(COUNTIFS(Data!$AK$2:$AK$1105,1,Data!$AW$2:$AW$1105,$A$139)&lt;Controls!$B$19,NA(),IFERROR(COUNTIFS(Data!$AK$2:$AK$1105,1,Data!$AW$2:$AW$1105,$A$139,Data!$AH$2:$AH$1105,1)/COUNTIFS(Data!$AK$2:$AK$1105,1,Data!$AW$2:$AW$1105,$A$139),NA())))</f>
        <v/>
      </c>
      <c r="W139" s="61">
        <f>IF($A$139="","",$A$139&amp;" ("&amp;$J$139&amp;")")</f>
        <v/>
      </c>
      <c r="X139" s="61" t="n"/>
      <c r="Y139" s="61" t="n"/>
      <c r="Z139" s="61" t="n"/>
      <c r="AA139" s="61" t="n"/>
      <c r="AB139" s="61" t="n"/>
      <c r="AC139" s="61" t="n"/>
      <c r="AD139" s="61" t="n"/>
      <c r="AE139" s="61" t="n"/>
      <c r="AF139" s="61" t="n"/>
      <c r="AG139" s="61" t="n"/>
      <c r="AH139" s="61" t="n"/>
      <c r="AI139" s="61" t="n"/>
      <c r="AJ139" s="61" t="n"/>
      <c r="AK139" s="61" t="n"/>
      <c r="AL139" s="61" t="n"/>
      <c r="AM139" s="61" t="n"/>
      <c r="AN139" s="61" t="n"/>
      <c r="AO139" s="61" t="n"/>
      <c r="AP139" s="57" t="n"/>
      <c r="AQ139" s="56" t="n"/>
      <c r="AR139" s="57" t="n"/>
      <c r="AS139" s="61" t="n"/>
      <c r="AT139" s="61" t="n"/>
      <c r="AU139" s="57" t="n"/>
      <c r="AV139" s="61" t="n"/>
      <c r="AW139" s="61" t="n"/>
      <c r="AX139" s="61" t="n"/>
      <c r="AY139" s="61" t="n"/>
      <c r="AZ139" s="61" t="n"/>
      <c r="BA139" s="61" t="n"/>
      <c r="BB139" s="61">
        <f>Controls!$G$104</f>
        <v/>
      </c>
      <c r="BC139" s="61">
        <f>COUNTIFS(Data!$AK$2:$AK$1105,1,Data!$M$2:$M$1105,$BB$139)</f>
        <v/>
      </c>
      <c r="BD139" s="57">
        <f>SUMIFS(Data!$P$2:$P$1105,Data!$AK$2:$AK$1105,1,Data!$M$2:$M$1105,$BB$139)</f>
        <v/>
      </c>
      <c r="BE139" s="56">
        <f>IF(COUNTIFS(Data!$AK$2:$AK$1105,1,Data!$M$2:$M$1105,$BB$139)&lt;Controls!$B$19,"",IFERROR(SUMIFS(Data!$AN$2:$AN$1105,Data!$AK$2:$AK$1105,1,Data!$M$2:$M$1105,$BB$139)/$BD$139,""))</f>
        <v/>
      </c>
      <c r="BF139" s="56">
        <f>IF(COUNTIFS(Data!$AK$2:$AK$1105,1,Data!$M$2:$M$1105,$BB$139)&lt;Controls!$B$19,"",IFERROR(SUMIFS(Data!$AM$2:$AM$1105,Data!$AK$2:$AK$1105,1,Data!$M$2:$M$1105,$BB$139)/SUMIFS(Data!$P$2:$P$1105,Data!$AK$2:$AK$1105,1,Data!$M$2:$M$1105,$BB$139),""))</f>
        <v/>
      </c>
      <c r="BG139" s="57">
        <f>SUMIFS(Data!$AN$2:$AN$1105,Data!$AK$2:$AK$1105,1,Data!$M$2:$M$1105,$BB$139)</f>
        <v/>
      </c>
      <c r="BH139" s="61" t="n"/>
      <c r="BI139" s="61">
        <f>IF(AND($BC$139&gt;=Controls!$B$22,$BD$139&gt;=LARGE($BD$75:$BD$230,MIN(Controls!$B$18,COUNT($BD$75:$BD$230)))),$BE$139,"")</f>
        <v/>
      </c>
      <c r="BJ139" s="61" t="n"/>
      <c r="BK139" s="61">
        <f>IF($BC$139&lt;Controls!$B$22,"",$BE$139)</f>
        <v/>
      </c>
      <c r="BL139" s="61">
        <f>IF($BC$139&lt;Controls!$B$22,"",$BF$139)</f>
        <v/>
      </c>
      <c r="BM139" s="61">
        <f>IF($BC$139&lt;Controls!$B$22,"",$BG$139)</f>
        <v/>
      </c>
      <c r="BN139" s="61" t="n"/>
      <c r="BO139" s="61" t="n"/>
      <c r="BP139" s="61" t="n"/>
      <c r="BQ139" s="61" t="n"/>
      <c r="BR139" s="61" t="n"/>
      <c r="BS139" s="61" t="n"/>
      <c r="BT139" s="61" t="n"/>
    </row>
    <row r="140" ht="15.75" customHeight="1" s="79">
      <c r="A140" s="61">
        <f>IF(COUNTIFS(Data!$AK$2:$AK$1105,1,Data!$AW$2:$AW$1105,"60-89")=0,"","60-89")</f>
        <v/>
      </c>
      <c r="B140" s="66">
        <f>IF($A$140="",NA(),IFERROR(SUMIFS(Data!$P$2:$P$1105,Data!$AK$2:$AK$1105,1,Data!$AW$2:$AW$1105,$A$140),NA()))</f>
        <v/>
      </c>
      <c r="C140" s="66">
        <f>IF($A$140="",NA(),IFERROR(SUMIFS(Data!$S$2:$S$1105,Data!$AK$2:$AK$1105,1,Data!$AW$2:$AW$1105,$A$140),NA()))</f>
        <v/>
      </c>
      <c r="D140" s="66">
        <f>IF(ISNA($B$140),NA(),$C$140-$B$140)</f>
        <v/>
      </c>
      <c r="E140" s="66">
        <f>IF($A$140="",NA(),IFERROR(SUMIFS(Data!$Q$2:$Q$1105,Data!$AK$2:$AK$1105,1,Data!$AW$2:$AW$1105,$A$140),NA()))</f>
        <v/>
      </c>
      <c r="F140" s="66">
        <f>IF($A$140="",NA(),IFERROR(SUMIFS(Data!$AN$2:$AN$1105,Data!$AK$2:$AK$1105,1,Data!$AW$2:$AW$1105,$A$140),NA()))</f>
        <v/>
      </c>
      <c r="G140" s="62">
        <f>IF($A$140="",NA(),IF(COUNTIFS(Data!$AK$2:$AK$1105,1,Data!$AW$2:$AW$1105,$A$140)&lt;Controls!$B$19,NA(),IFERROR(SUMIFS(Data!$AN$2:$AN$1105,Data!$AK$2:$AK$1105,1,Data!$AW$2:$AW$1105,$A$140)/$B$140,NA())))</f>
        <v/>
      </c>
      <c r="H140" s="62">
        <f>IF($A$140="",NA(),IF(COUNTIFS(Data!$AK$2:$AK$1105,1,Data!$AW$2:$AW$1105,$A$140)&lt;Controls!$B$19,NA(),IFERROR(SUMIFS(Data!$S$2:$S$1105,Data!$AK$2:$AK$1105,1,Data!$AW$2:$AW$1105,$A$140,Data!$AH$2:$AH$1105,1)/SUMIFS(Data!$P$2:$P$1105,Data!$AK$2:$AK$1105,1,Data!$AW$2:$AW$1105,$A$140,Data!$AH$2:$AH$1105,1),NA())))</f>
        <v/>
      </c>
      <c r="I140" s="62">
        <f>IF(ISNA($J$140),NA(),IF($J$140&lt;Controls!$B$19,NA(),IFERROR($D$140/$B$140,NA())))</f>
        <v/>
      </c>
      <c r="J140" s="67">
        <f>IF($A$140="",NA(),IFERROR(COUNTIFS(Data!$AK$2:$AK$1105,1,Data!$AW$2:$AW$1105,$A$140),NA()))</f>
        <v/>
      </c>
      <c r="K140" s="62">
        <f>IF(ISNA($B$140),NA(),IFERROR($B$140/Calc!$BT$6,NA()))</f>
        <v/>
      </c>
      <c r="L140" s="66">
        <f>IF(ISNA($J$140),NA(),IF($J$140&lt;Controls!$B$19,NA(),IFERROR($B$140/$J$140,NA())))</f>
        <v/>
      </c>
      <c r="M140" s="67">
        <f>IF($A$140="",NA(),IF(COUNTIFS(Data!$AK$2:$AK$1105,1,Data!$AW$2:$AW$1105,$A$140)&lt;Controls!$B$19,NA(),IFERROR(AVERAGEIFS(Data!$AE$2:$AE$1105,Data!$AK$2:$AK$1105,1,Data!$AW$2:$AW$1105,$A$140),NA())))</f>
        <v/>
      </c>
      <c r="N140" s="67">
        <f>IF($A$140="",NA(),IF(COUNTIFS(Data!$AK$2:$AK$1105,1,Data!$AW$2:$AW$1105,$A$140)&lt;Controls!$B$19,NA(),IFERROR(AVERAGEIFS(Data!$AD$2:$AD$1105,Data!$AK$2:$AK$1105,1,Data!$AW$2:$AW$1105,$A$140),NA())))</f>
        <v/>
      </c>
      <c r="O140" s="67">
        <f>IF($A$140="",NA(),IF(COUNTIFS(Data!$AK$2:$AK$1105,1,Data!$AW$2:$AW$1105,$A$140)&lt;Controls!$B$19,NA(),IFERROR(AVERAGEIFS(Data!$AS$2:$AS$1105,Data!$AK$2:$AK$1105,1,Data!$AW$2:$AW$1105,$A$140),NA())))</f>
        <v/>
      </c>
      <c r="P140" s="67">
        <f>IF($A$140="",NA(),IF(COUNTIFS(Data!$AK$2:$AK$1105,1,Data!$AW$2:$AW$1105,$A$140)&lt;Controls!$B$19,NA(),IFERROR(AVERAGEIFS(Data!$AT$2:$AT$1105,Data!$AK$2:$AK$1105,1,Data!$AW$2:$AW$1105,$A$140),NA())))</f>
        <v/>
      </c>
      <c r="Q140" s="62">
        <f>IF($A$140="",NA(),IF(COUNTIFS(Data!$AK$2:$AK$1105,1,Data!$AW$2:$AW$1105,$A$140)&lt;Controls!$B$19,NA(),IFERROR(COUNTIFS(Data!$AK$2:$AK$1105,1,Data!$AW$2:$AW$1105,$A$140,Data!$N$2:$N$1105,"Renewal")/COUNTIFS(Data!$AK$2:$AK$1105,1,Data!$AW$2:$AW$1105,$A$140),NA())))</f>
        <v/>
      </c>
      <c r="R140" s="62">
        <f>IF($A$140="",NA(),IF(COUNTIFS(Data!$AK$2:$AK$1105,1,Data!$AW$2:$AW$1105,$A$140)&lt;Controls!$B$19,NA(),IFERROR(SUMIFS(Data!$P$2:$P$1105,Data!$AK$2:$AK$1105,1,Data!$AW$2:$AW$1105,$A$140,Data!$N$2:$N$1105,"Renewal")/SUMIFS(Data!$P$2:$P$1105,Data!$AK$2:$AK$1105,1,Data!$AW$2:$AW$1105,$A$140),NA())))</f>
        <v/>
      </c>
      <c r="S140" s="62">
        <f>IF($A$140="",NA(),Calc!$BT$2)</f>
        <v/>
      </c>
      <c r="T140" s="62">
        <f>IF($A$140="",NA(),Calc!$BT$3)</f>
        <v/>
      </c>
      <c r="U140" s="62">
        <f>IF($A$140="",NA(),Calc!$BT$4)</f>
        <v/>
      </c>
      <c r="V140" s="62">
        <f>IF($A$140="",NA(),IF(COUNTIFS(Data!$AK$2:$AK$1105,1,Data!$AW$2:$AW$1105,$A$140)&lt;Controls!$B$19,NA(),IFERROR(COUNTIFS(Data!$AK$2:$AK$1105,1,Data!$AW$2:$AW$1105,$A$140,Data!$AH$2:$AH$1105,1)/COUNTIFS(Data!$AK$2:$AK$1105,1,Data!$AW$2:$AW$1105,$A$140),NA())))</f>
        <v/>
      </c>
      <c r="W140" s="61">
        <f>IF($A$140="","",$A$140&amp;" ("&amp;$J$140&amp;")")</f>
        <v/>
      </c>
      <c r="X140" s="61" t="n"/>
      <c r="Y140" s="61" t="n"/>
      <c r="Z140" s="61" t="n"/>
      <c r="AA140" s="61" t="n"/>
      <c r="AB140" s="61" t="n"/>
      <c r="AC140" s="61" t="n"/>
      <c r="AD140" s="61" t="n"/>
      <c r="AE140" s="61" t="n"/>
      <c r="AF140" s="61" t="n"/>
      <c r="AG140" s="61" t="n"/>
      <c r="AH140" s="61" t="n"/>
      <c r="AI140" s="61" t="n"/>
      <c r="AJ140" s="61" t="n"/>
      <c r="AK140" s="61" t="n"/>
      <c r="AL140" s="61" t="n"/>
      <c r="AM140" s="61" t="n"/>
      <c r="AN140" s="61" t="n"/>
      <c r="AO140" s="61" t="n"/>
      <c r="AP140" s="57" t="n"/>
      <c r="AQ140" s="56" t="n"/>
      <c r="AR140" s="57" t="n"/>
      <c r="AS140" s="61" t="n"/>
      <c r="AT140" s="61" t="n"/>
      <c r="AU140" s="57" t="n"/>
      <c r="AV140" s="61" t="n"/>
      <c r="AW140" s="61" t="n"/>
      <c r="AX140" s="61" t="n"/>
      <c r="AY140" s="61" t="n"/>
      <c r="AZ140" s="61" t="n"/>
      <c r="BA140" s="61" t="n"/>
      <c r="BB140" s="61">
        <f>Controls!$G$105</f>
        <v/>
      </c>
      <c r="BC140" s="61">
        <f>COUNTIFS(Data!$AK$2:$AK$1105,1,Data!$M$2:$M$1105,$BB$140)</f>
        <v/>
      </c>
      <c r="BD140" s="57">
        <f>SUMIFS(Data!$P$2:$P$1105,Data!$AK$2:$AK$1105,1,Data!$M$2:$M$1105,$BB$140)</f>
        <v/>
      </c>
      <c r="BE140" s="56">
        <f>IF(COUNTIFS(Data!$AK$2:$AK$1105,1,Data!$M$2:$M$1105,$BB$140)&lt;Controls!$B$19,"",IFERROR(SUMIFS(Data!$AN$2:$AN$1105,Data!$AK$2:$AK$1105,1,Data!$M$2:$M$1105,$BB$140)/$BD$140,""))</f>
        <v/>
      </c>
      <c r="BF140" s="56">
        <f>IF(COUNTIFS(Data!$AK$2:$AK$1105,1,Data!$M$2:$M$1105,$BB$140)&lt;Controls!$B$19,"",IFERROR(SUMIFS(Data!$AM$2:$AM$1105,Data!$AK$2:$AK$1105,1,Data!$M$2:$M$1105,$BB$140)/SUMIFS(Data!$P$2:$P$1105,Data!$AK$2:$AK$1105,1,Data!$M$2:$M$1105,$BB$140),""))</f>
        <v/>
      </c>
      <c r="BG140" s="57">
        <f>SUMIFS(Data!$AN$2:$AN$1105,Data!$AK$2:$AK$1105,1,Data!$M$2:$M$1105,$BB$140)</f>
        <v/>
      </c>
      <c r="BH140" s="61" t="n"/>
      <c r="BI140" s="61">
        <f>IF(AND($BC$140&gt;=Controls!$B$22,$BD$140&gt;=LARGE($BD$75:$BD$230,MIN(Controls!$B$18,COUNT($BD$75:$BD$230)))),$BE$140,"")</f>
        <v/>
      </c>
      <c r="BJ140" s="61" t="n"/>
      <c r="BK140" s="61">
        <f>IF($BC$140&lt;Controls!$B$22,"",$BE$140)</f>
        <v/>
      </c>
      <c r="BL140" s="61">
        <f>IF($BC$140&lt;Controls!$B$22,"",$BF$140)</f>
        <v/>
      </c>
      <c r="BM140" s="61">
        <f>IF($BC$140&lt;Controls!$B$22,"",$BG$140)</f>
        <v/>
      </c>
      <c r="BN140" s="61" t="n"/>
      <c r="BO140" s="61" t="n"/>
      <c r="BP140" s="61" t="n"/>
      <c r="BQ140" s="61" t="n"/>
      <c r="BR140" s="61" t="n"/>
      <c r="BS140" s="61" t="n"/>
      <c r="BT140" s="61" t="n"/>
    </row>
    <row r="141" ht="15.75" customHeight="1" s="79">
      <c r="A141" s="61">
        <f>IF(COUNTIFS(Data!$AK$2:$AK$1105,1,Data!$AW$2:$AW$1105,"90-119")=0,"","90-119")</f>
        <v/>
      </c>
      <c r="B141" s="66">
        <f>IF($A$141="",NA(),IFERROR(SUMIFS(Data!$P$2:$P$1105,Data!$AK$2:$AK$1105,1,Data!$AW$2:$AW$1105,$A$141),NA()))</f>
        <v/>
      </c>
      <c r="C141" s="66">
        <f>IF($A$141="",NA(),IFERROR(SUMIFS(Data!$S$2:$S$1105,Data!$AK$2:$AK$1105,1,Data!$AW$2:$AW$1105,$A$141),NA()))</f>
        <v/>
      </c>
      <c r="D141" s="66">
        <f>IF(ISNA($B$141),NA(),$C$141-$B$141)</f>
        <v/>
      </c>
      <c r="E141" s="66">
        <f>IF($A$141="",NA(),IFERROR(SUMIFS(Data!$Q$2:$Q$1105,Data!$AK$2:$AK$1105,1,Data!$AW$2:$AW$1105,$A$141),NA()))</f>
        <v/>
      </c>
      <c r="F141" s="66">
        <f>IF($A$141="",NA(),IFERROR(SUMIFS(Data!$AN$2:$AN$1105,Data!$AK$2:$AK$1105,1,Data!$AW$2:$AW$1105,$A$141),NA()))</f>
        <v/>
      </c>
      <c r="G141" s="62">
        <f>IF($A$141="",NA(),IF(COUNTIFS(Data!$AK$2:$AK$1105,1,Data!$AW$2:$AW$1105,$A$141)&lt;Controls!$B$19,NA(),IFERROR(SUMIFS(Data!$AN$2:$AN$1105,Data!$AK$2:$AK$1105,1,Data!$AW$2:$AW$1105,$A$141)/$B$141,NA())))</f>
        <v/>
      </c>
      <c r="H141" s="62">
        <f>IF($A$141="",NA(),IF(COUNTIFS(Data!$AK$2:$AK$1105,1,Data!$AW$2:$AW$1105,$A$141)&lt;Controls!$B$19,NA(),IFERROR(SUMIFS(Data!$S$2:$S$1105,Data!$AK$2:$AK$1105,1,Data!$AW$2:$AW$1105,$A$141,Data!$AH$2:$AH$1105,1)/SUMIFS(Data!$P$2:$P$1105,Data!$AK$2:$AK$1105,1,Data!$AW$2:$AW$1105,$A$141,Data!$AH$2:$AH$1105,1),NA())))</f>
        <v/>
      </c>
      <c r="I141" s="62">
        <f>IF(ISNA($J$141),NA(),IF($J$141&lt;Controls!$B$19,NA(),IFERROR($D$141/$B$141,NA())))</f>
        <v/>
      </c>
      <c r="J141" s="67">
        <f>IF($A$141="",NA(),IFERROR(COUNTIFS(Data!$AK$2:$AK$1105,1,Data!$AW$2:$AW$1105,$A$141),NA()))</f>
        <v/>
      </c>
      <c r="K141" s="62">
        <f>IF(ISNA($B$141),NA(),IFERROR($B$141/Calc!$BT$6,NA()))</f>
        <v/>
      </c>
      <c r="L141" s="66">
        <f>IF(ISNA($J$141),NA(),IF($J$141&lt;Controls!$B$19,NA(),IFERROR($B$141/$J$141,NA())))</f>
        <v/>
      </c>
      <c r="M141" s="67">
        <f>IF($A$141="",NA(),IF(COUNTIFS(Data!$AK$2:$AK$1105,1,Data!$AW$2:$AW$1105,$A$141)&lt;Controls!$B$19,NA(),IFERROR(AVERAGEIFS(Data!$AE$2:$AE$1105,Data!$AK$2:$AK$1105,1,Data!$AW$2:$AW$1105,$A$141),NA())))</f>
        <v/>
      </c>
      <c r="N141" s="67">
        <f>IF($A$141="",NA(),IF(COUNTIFS(Data!$AK$2:$AK$1105,1,Data!$AW$2:$AW$1105,$A$141)&lt;Controls!$B$19,NA(),IFERROR(AVERAGEIFS(Data!$AD$2:$AD$1105,Data!$AK$2:$AK$1105,1,Data!$AW$2:$AW$1105,$A$141),NA())))</f>
        <v/>
      </c>
      <c r="O141" s="67">
        <f>IF($A$141="",NA(),IF(COUNTIFS(Data!$AK$2:$AK$1105,1,Data!$AW$2:$AW$1105,$A$141)&lt;Controls!$B$19,NA(),IFERROR(AVERAGEIFS(Data!$AS$2:$AS$1105,Data!$AK$2:$AK$1105,1,Data!$AW$2:$AW$1105,$A$141),NA())))</f>
        <v/>
      </c>
      <c r="P141" s="67">
        <f>IF($A$141="",NA(),IF(COUNTIFS(Data!$AK$2:$AK$1105,1,Data!$AW$2:$AW$1105,$A$141)&lt;Controls!$B$19,NA(),IFERROR(AVERAGEIFS(Data!$AT$2:$AT$1105,Data!$AK$2:$AK$1105,1,Data!$AW$2:$AW$1105,$A$141),NA())))</f>
        <v/>
      </c>
      <c r="Q141" s="62">
        <f>IF($A$141="",NA(),IF(COUNTIFS(Data!$AK$2:$AK$1105,1,Data!$AW$2:$AW$1105,$A$141)&lt;Controls!$B$19,NA(),IFERROR(COUNTIFS(Data!$AK$2:$AK$1105,1,Data!$AW$2:$AW$1105,$A$141,Data!$N$2:$N$1105,"Renewal")/COUNTIFS(Data!$AK$2:$AK$1105,1,Data!$AW$2:$AW$1105,$A$141),NA())))</f>
        <v/>
      </c>
      <c r="R141" s="62">
        <f>IF($A$141="",NA(),IF(COUNTIFS(Data!$AK$2:$AK$1105,1,Data!$AW$2:$AW$1105,$A$141)&lt;Controls!$B$19,NA(),IFERROR(SUMIFS(Data!$P$2:$P$1105,Data!$AK$2:$AK$1105,1,Data!$AW$2:$AW$1105,$A$141,Data!$N$2:$N$1105,"Renewal")/SUMIFS(Data!$P$2:$P$1105,Data!$AK$2:$AK$1105,1,Data!$AW$2:$AW$1105,$A$141),NA())))</f>
        <v/>
      </c>
      <c r="S141" s="62">
        <f>IF($A$141="",NA(),Calc!$BT$2)</f>
        <v/>
      </c>
      <c r="T141" s="62">
        <f>IF($A$141="",NA(),Calc!$BT$3)</f>
        <v/>
      </c>
      <c r="U141" s="62">
        <f>IF($A$141="",NA(),Calc!$BT$4)</f>
        <v/>
      </c>
      <c r="V141" s="62">
        <f>IF($A$141="",NA(),IF(COUNTIFS(Data!$AK$2:$AK$1105,1,Data!$AW$2:$AW$1105,$A$141)&lt;Controls!$B$19,NA(),IFERROR(COUNTIFS(Data!$AK$2:$AK$1105,1,Data!$AW$2:$AW$1105,$A$141,Data!$AH$2:$AH$1105,1)/COUNTIFS(Data!$AK$2:$AK$1105,1,Data!$AW$2:$AW$1105,$A$141),NA())))</f>
        <v/>
      </c>
      <c r="W141" s="61">
        <f>IF($A$141="","",$A$141&amp;" ("&amp;$J$141&amp;")")</f>
        <v/>
      </c>
      <c r="X141" s="61" t="n"/>
      <c r="Y141" s="61" t="n"/>
      <c r="Z141" s="61" t="n"/>
      <c r="AA141" s="61" t="n"/>
      <c r="AB141" s="61" t="n"/>
      <c r="AC141" s="61" t="n"/>
      <c r="AD141" s="61" t="n"/>
      <c r="AE141" s="61" t="n"/>
      <c r="AF141" s="61" t="n"/>
      <c r="AG141" s="61" t="n"/>
      <c r="AH141" s="61" t="n"/>
      <c r="AI141" s="61" t="n"/>
      <c r="AJ141" s="61" t="n"/>
      <c r="AK141" s="61" t="n"/>
      <c r="AL141" s="61" t="n"/>
      <c r="AM141" s="61" t="n"/>
      <c r="AN141" s="61" t="n"/>
      <c r="AO141" s="61" t="n"/>
      <c r="AP141" s="57" t="n"/>
      <c r="AQ141" s="56" t="n"/>
      <c r="AR141" s="57" t="n"/>
      <c r="AS141" s="61" t="n"/>
      <c r="AT141" s="61" t="n"/>
      <c r="AU141" s="57" t="n"/>
      <c r="AV141" s="61" t="n"/>
      <c r="AW141" s="61" t="n"/>
      <c r="AX141" s="61" t="n"/>
      <c r="AY141" s="61" t="n"/>
      <c r="AZ141" s="61" t="n"/>
      <c r="BA141" s="61" t="n"/>
      <c r="BB141" s="61">
        <f>Controls!$G$106</f>
        <v/>
      </c>
      <c r="BC141" s="61">
        <f>COUNTIFS(Data!$AK$2:$AK$1105,1,Data!$M$2:$M$1105,$BB$141)</f>
        <v/>
      </c>
      <c r="BD141" s="57">
        <f>SUMIFS(Data!$P$2:$P$1105,Data!$AK$2:$AK$1105,1,Data!$M$2:$M$1105,$BB$141)</f>
        <v/>
      </c>
      <c r="BE141" s="56">
        <f>IF(COUNTIFS(Data!$AK$2:$AK$1105,1,Data!$M$2:$M$1105,$BB$141)&lt;Controls!$B$19,"",IFERROR(SUMIFS(Data!$AN$2:$AN$1105,Data!$AK$2:$AK$1105,1,Data!$M$2:$M$1105,$BB$141)/$BD$141,""))</f>
        <v/>
      </c>
      <c r="BF141" s="56">
        <f>IF(COUNTIFS(Data!$AK$2:$AK$1105,1,Data!$M$2:$M$1105,$BB$141)&lt;Controls!$B$19,"",IFERROR(SUMIFS(Data!$AM$2:$AM$1105,Data!$AK$2:$AK$1105,1,Data!$M$2:$M$1105,$BB$141)/SUMIFS(Data!$P$2:$P$1105,Data!$AK$2:$AK$1105,1,Data!$M$2:$M$1105,$BB$141),""))</f>
        <v/>
      </c>
      <c r="BG141" s="57">
        <f>SUMIFS(Data!$AN$2:$AN$1105,Data!$AK$2:$AK$1105,1,Data!$M$2:$M$1105,$BB$141)</f>
        <v/>
      </c>
      <c r="BH141" s="61" t="n"/>
      <c r="BI141" s="61">
        <f>IF(AND($BC$141&gt;=Controls!$B$22,$BD$141&gt;=LARGE($BD$75:$BD$230,MIN(Controls!$B$18,COUNT($BD$75:$BD$230)))),$BE$141,"")</f>
        <v/>
      </c>
      <c r="BJ141" s="61" t="n"/>
      <c r="BK141" s="61">
        <f>IF($BC$141&lt;Controls!$B$22,"",$BE$141)</f>
        <v/>
      </c>
      <c r="BL141" s="61">
        <f>IF($BC$141&lt;Controls!$B$22,"",$BF$141)</f>
        <v/>
      </c>
      <c r="BM141" s="61">
        <f>IF($BC$141&lt;Controls!$B$22,"",$BG$141)</f>
        <v/>
      </c>
      <c r="BN141" s="61" t="n"/>
      <c r="BO141" s="61" t="n"/>
      <c r="BP141" s="61" t="n"/>
      <c r="BQ141" s="61" t="n"/>
      <c r="BR141" s="61" t="n"/>
      <c r="BS141" s="61" t="n"/>
      <c r="BT141" s="61" t="n"/>
    </row>
    <row r="142" ht="15.75" customHeight="1" s="79">
      <c r="A142" s="61">
        <f>IF(COUNTIFS(Data!$AK$2:$AK$1105,1,Data!$AW$2:$AW$1105,"120-149")=0,"","120-149")</f>
        <v/>
      </c>
      <c r="B142" s="66">
        <f>IF($A$142="",NA(),IFERROR(SUMIFS(Data!$P$2:$P$1105,Data!$AK$2:$AK$1105,1,Data!$AW$2:$AW$1105,$A$142),NA()))</f>
        <v/>
      </c>
      <c r="C142" s="66">
        <f>IF($A$142="",NA(),IFERROR(SUMIFS(Data!$S$2:$S$1105,Data!$AK$2:$AK$1105,1,Data!$AW$2:$AW$1105,$A$142),NA()))</f>
        <v/>
      </c>
      <c r="D142" s="66">
        <f>IF(ISNA($B$142),NA(),$C$142-$B$142)</f>
        <v/>
      </c>
      <c r="E142" s="66">
        <f>IF($A$142="",NA(),IFERROR(SUMIFS(Data!$Q$2:$Q$1105,Data!$AK$2:$AK$1105,1,Data!$AW$2:$AW$1105,$A$142),NA()))</f>
        <v/>
      </c>
      <c r="F142" s="66">
        <f>IF($A$142="",NA(),IFERROR(SUMIFS(Data!$AN$2:$AN$1105,Data!$AK$2:$AK$1105,1,Data!$AW$2:$AW$1105,$A$142),NA()))</f>
        <v/>
      </c>
      <c r="G142" s="62">
        <f>IF($A$142="",NA(),IF(COUNTIFS(Data!$AK$2:$AK$1105,1,Data!$AW$2:$AW$1105,$A$142)&lt;Controls!$B$19,NA(),IFERROR(SUMIFS(Data!$AN$2:$AN$1105,Data!$AK$2:$AK$1105,1,Data!$AW$2:$AW$1105,$A$142)/$B$142,NA())))</f>
        <v/>
      </c>
      <c r="H142" s="62">
        <f>IF($A$142="",NA(),IF(COUNTIFS(Data!$AK$2:$AK$1105,1,Data!$AW$2:$AW$1105,$A$142)&lt;Controls!$B$19,NA(),IFERROR(SUMIFS(Data!$S$2:$S$1105,Data!$AK$2:$AK$1105,1,Data!$AW$2:$AW$1105,$A$142,Data!$AH$2:$AH$1105,1)/SUMIFS(Data!$P$2:$P$1105,Data!$AK$2:$AK$1105,1,Data!$AW$2:$AW$1105,$A$142,Data!$AH$2:$AH$1105,1),NA())))</f>
        <v/>
      </c>
      <c r="I142" s="62">
        <f>IF(ISNA($J$142),NA(),IF($J$142&lt;Controls!$B$19,NA(),IFERROR($D$142/$B$142,NA())))</f>
        <v/>
      </c>
      <c r="J142" s="67">
        <f>IF($A$142="",NA(),IFERROR(COUNTIFS(Data!$AK$2:$AK$1105,1,Data!$AW$2:$AW$1105,$A$142),NA()))</f>
        <v/>
      </c>
      <c r="K142" s="62">
        <f>IF(ISNA($B$142),NA(),IFERROR($B$142/Calc!$BT$6,NA()))</f>
        <v/>
      </c>
      <c r="L142" s="66">
        <f>IF(ISNA($J$142),NA(),IF($J$142&lt;Controls!$B$19,NA(),IFERROR($B$142/$J$142,NA())))</f>
        <v/>
      </c>
      <c r="M142" s="67">
        <f>IF($A$142="",NA(),IF(COUNTIFS(Data!$AK$2:$AK$1105,1,Data!$AW$2:$AW$1105,$A$142)&lt;Controls!$B$19,NA(),IFERROR(AVERAGEIFS(Data!$AE$2:$AE$1105,Data!$AK$2:$AK$1105,1,Data!$AW$2:$AW$1105,$A$142),NA())))</f>
        <v/>
      </c>
      <c r="N142" s="67">
        <f>IF($A$142="",NA(),IF(COUNTIFS(Data!$AK$2:$AK$1105,1,Data!$AW$2:$AW$1105,$A$142)&lt;Controls!$B$19,NA(),IFERROR(AVERAGEIFS(Data!$AD$2:$AD$1105,Data!$AK$2:$AK$1105,1,Data!$AW$2:$AW$1105,$A$142),NA())))</f>
        <v/>
      </c>
      <c r="O142" s="67">
        <f>IF($A$142="",NA(),IF(COUNTIFS(Data!$AK$2:$AK$1105,1,Data!$AW$2:$AW$1105,$A$142)&lt;Controls!$B$19,NA(),IFERROR(AVERAGEIFS(Data!$AS$2:$AS$1105,Data!$AK$2:$AK$1105,1,Data!$AW$2:$AW$1105,$A$142),NA())))</f>
        <v/>
      </c>
      <c r="P142" s="67">
        <f>IF($A$142="",NA(),IF(COUNTIFS(Data!$AK$2:$AK$1105,1,Data!$AW$2:$AW$1105,$A$142)&lt;Controls!$B$19,NA(),IFERROR(AVERAGEIFS(Data!$AT$2:$AT$1105,Data!$AK$2:$AK$1105,1,Data!$AW$2:$AW$1105,$A$142),NA())))</f>
        <v/>
      </c>
      <c r="Q142" s="62">
        <f>IF($A$142="",NA(),IF(COUNTIFS(Data!$AK$2:$AK$1105,1,Data!$AW$2:$AW$1105,$A$142)&lt;Controls!$B$19,NA(),IFERROR(COUNTIFS(Data!$AK$2:$AK$1105,1,Data!$AW$2:$AW$1105,$A$142,Data!$N$2:$N$1105,"Renewal")/COUNTIFS(Data!$AK$2:$AK$1105,1,Data!$AW$2:$AW$1105,$A$142),NA())))</f>
        <v/>
      </c>
      <c r="R142" s="62">
        <f>IF($A$142="",NA(),IF(COUNTIFS(Data!$AK$2:$AK$1105,1,Data!$AW$2:$AW$1105,$A$142)&lt;Controls!$B$19,NA(),IFERROR(SUMIFS(Data!$P$2:$P$1105,Data!$AK$2:$AK$1105,1,Data!$AW$2:$AW$1105,$A$142,Data!$N$2:$N$1105,"Renewal")/SUMIFS(Data!$P$2:$P$1105,Data!$AK$2:$AK$1105,1,Data!$AW$2:$AW$1105,$A$142),NA())))</f>
        <v/>
      </c>
      <c r="S142" s="62">
        <f>IF($A$142="",NA(),Calc!$BT$2)</f>
        <v/>
      </c>
      <c r="T142" s="62">
        <f>IF($A$142="",NA(),Calc!$BT$3)</f>
        <v/>
      </c>
      <c r="U142" s="62">
        <f>IF($A$142="",NA(),Calc!$BT$4)</f>
        <v/>
      </c>
      <c r="V142" s="62">
        <f>IF($A$142="",NA(),IF(COUNTIFS(Data!$AK$2:$AK$1105,1,Data!$AW$2:$AW$1105,$A$142)&lt;Controls!$B$19,NA(),IFERROR(COUNTIFS(Data!$AK$2:$AK$1105,1,Data!$AW$2:$AW$1105,$A$142,Data!$AH$2:$AH$1105,1)/COUNTIFS(Data!$AK$2:$AK$1105,1,Data!$AW$2:$AW$1105,$A$142),NA())))</f>
        <v/>
      </c>
      <c r="W142" s="61">
        <f>IF($A$142="","",$A$142&amp;" ("&amp;$J$142&amp;")")</f>
        <v/>
      </c>
      <c r="X142" s="61" t="n"/>
      <c r="Y142" s="61" t="n"/>
      <c r="Z142" s="61" t="n"/>
      <c r="AA142" s="61" t="n"/>
      <c r="AB142" s="61" t="n"/>
      <c r="AC142" s="61" t="n"/>
      <c r="AD142" s="61" t="n"/>
      <c r="AE142" s="61" t="n"/>
      <c r="AF142" s="61" t="n"/>
      <c r="AG142" s="61" t="n"/>
      <c r="AH142" s="61" t="n"/>
      <c r="AI142" s="61" t="n"/>
      <c r="AJ142" s="61" t="n"/>
      <c r="AK142" s="61" t="n"/>
      <c r="AL142" s="61" t="n"/>
      <c r="AM142" s="61" t="n"/>
      <c r="AN142" s="61" t="inlineStr">
        <is>
          <t>iso helper  (rows 143 to 298)</t>
        </is>
      </c>
      <c r="AO142" s="61" t="inlineStr">
        <is>
          <t>Deals in scope</t>
        </is>
      </c>
      <c r="AP142" s="57" t="inlineStr">
        <is>
          <t>Funded $</t>
        </is>
      </c>
      <c r="AQ142" s="56" t="inlineStr">
        <is>
          <t>Principal lost rate</t>
        </is>
      </c>
      <c r="AR142" s="57" t="inlineStr">
        <is>
          <t>Principal lost $</t>
        </is>
      </c>
      <c r="AS142" s="61" t="inlineStr">
        <is>
          <t>Include? (from Controls)</t>
        </is>
      </c>
      <c r="AT142" s="61" t="inlineStr">
        <is>
          <t>Sort key: the metric named by the selection mode, +1/1,000,000 tie-breaker. -1e15 is the exclusion sentinel: no deals, fewer deals than Controls B20 (appear-at-all threshold), blank category with exclude=Y, not selected, or under the rate threshold B19 in a rate mode.</t>
        </is>
      </c>
      <c r="AU142" s="57" t="inlineStr">
        <is>
          <t>Net profit / loss $</t>
        </is>
      </c>
      <c r="AV142" s="61" t="n"/>
      <c r="AW142" s="61" t="n"/>
      <c r="AX142" s="61" t="n"/>
      <c r="AY142" s="61" t="n"/>
      <c r="AZ142" s="61" t="n"/>
      <c r="BA142" s="61" t="n"/>
      <c r="BB142" s="61">
        <f>Controls!$G$107</f>
        <v/>
      </c>
      <c r="BC142" s="61">
        <f>COUNTIFS(Data!$AK$2:$AK$1105,1,Data!$M$2:$M$1105,$BB$142)</f>
        <v/>
      </c>
      <c r="BD142" s="57">
        <f>SUMIFS(Data!$P$2:$P$1105,Data!$AK$2:$AK$1105,1,Data!$M$2:$M$1105,$BB$142)</f>
        <v/>
      </c>
      <c r="BE142" s="56">
        <f>IF(COUNTIFS(Data!$AK$2:$AK$1105,1,Data!$M$2:$M$1105,$BB$142)&lt;Controls!$B$19,"",IFERROR(SUMIFS(Data!$AN$2:$AN$1105,Data!$AK$2:$AK$1105,1,Data!$M$2:$M$1105,$BB$142)/$BD$142,""))</f>
        <v/>
      </c>
      <c r="BF142" s="56">
        <f>IF(COUNTIFS(Data!$AK$2:$AK$1105,1,Data!$M$2:$M$1105,$BB$142)&lt;Controls!$B$19,"",IFERROR(SUMIFS(Data!$AM$2:$AM$1105,Data!$AK$2:$AK$1105,1,Data!$M$2:$M$1105,$BB$142)/SUMIFS(Data!$P$2:$P$1105,Data!$AK$2:$AK$1105,1,Data!$M$2:$M$1105,$BB$142),""))</f>
        <v/>
      </c>
      <c r="BG142" s="57">
        <f>SUMIFS(Data!$AN$2:$AN$1105,Data!$AK$2:$AK$1105,1,Data!$M$2:$M$1105,$BB$142)</f>
        <v/>
      </c>
      <c r="BH142" s="61" t="n"/>
      <c r="BI142" s="61">
        <f>IF(AND($BC$142&gt;=Controls!$B$22,$BD$142&gt;=LARGE($BD$75:$BD$230,MIN(Controls!$B$18,COUNT($BD$75:$BD$230)))),$BE$142,"")</f>
        <v/>
      </c>
      <c r="BJ142" s="61" t="n"/>
      <c r="BK142" s="61">
        <f>IF($BC$142&lt;Controls!$B$22,"",$BE$142)</f>
        <v/>
      </c>
      <c r="BL142" s="61">
        <f>IF($BC$142&lt;Controls!$B$22,"",$BF$142)</f>
        <v/>
      </c>
      <c r="BM142" s="61">
        <f>IF($BC$142&lt;Controls!$B$22,"",$BG$142)</f>
        <v/>
      </c>
      <c r="BN142" s="61" t="n"/>
      <c r="BO142" s="61" t="n"/>
      <c r="BP142" s="61" t="n"/>
      <c r="BQ142" s="61" t="n"/>
      <c r="BR142" s="61" t="n"/>
      <c r="BS142" s="61" t="n"/>
      <c r="BT142" s="61" t="n"/>
    </row>
    <row r="143" ht="15.75" customHeight="1" s="79">
      <c r="A143" s="61">
        <f>IF(COUNTIFS(Data!$AK$2:$AK$1105,1,Data!$AW$2:$AW$1105,"150+")=0,"","150+")</f>
        <v/>
      </c>
      <c r="B143" s="66">
        <f>IF($A$143="",NA(),IFERROR(SUMIFS(Data!$P$2:$P$1105,Data!$AK$2:$AK$1105,1,Data!$AW$2:$AW$1105,$A$143),NA()))</f>
        <v/>
      </c>
      <c r="C143" s="66">
        <f>IF($A$143="",NA(),IFERROR(SUMIFS(Data!$S$2:$S$1105,Data!$AK$2:$AK$1105,1,Data!$AW$2:$AW$1105,$A$143),NA()))</f>
        <v/>
      </c>
      <c r="D143" s="66">
        <f>IF(ISNA($B$143),NA(),$C$143-$B$143)</f>
        <v/>
      </c>
      <c r="E143" s="66">
        <f>IF($A$143="",NA(),IFERROR(SUMIFS(Data!$Q$2:$Q$1105,Data!$AK$2:$AK$1105,1,Data!$AW$2:$AW$1105,$A$143),NA()))</f>
        <v/>
      </c>
      <c r="F143" s="66">
        <f>IF($A$143="",NA(),IFERROR(SUMIFS(Data!$AN$2:$AN$1105,Data!$AK$2:$AK$1105,1,Data!$AW$2:$AW$1105,$A$143),NA()))</f>
        <v/>
      </c>
      <c r="G143" s="62">
        <f>IF($A$143="",NA(),IF(COUNTIFS(Data!$AK$2:$AK$1105,1,Data!$AW$2:$AW$1105,$A$143)&lt;Controls!$B$19,NA(),IFERROR(SUMIFS(Data!$AN$2:$AN$1105,Data!$AK$2:$AK$1105,1,Data!$AW$2:$AW$1105,$A$143)/$B$143,NA())))</f>
        <v/>
      </c>
      <c r="H143" s="62">
        <f>IF($A$143="",NA(),IF(COUNTIFS(Data!$AK$2:$AK$1105,1,Data!$AW$2:$AW$1105,$A$143)&lt;Controls!$B$19,NA(),IFERROR(SUMIFS(Data!$S$2:$S$1105,Data!$AK$2:$AK$1105,1,Data!$AW$2:$AW$1105,$A$143,Data!$AH$2:$AH$1105,1)/SUMIFS(Data!$P$2:$P$1105,Data!$AK$2:$AK$1105,1,Data!$AW$2:$AW$1105,$A$143,Data!$AH$2:$AH$1105,1),NA())))</f>
        <v/>
      </c>
      <c r="I143" s="62">
        <f>IF(ISNA($J$143),NA(),IF($J$143&lt;Controls!$B$19,NA(),IFERROR($D$143/$B$143,NA())))</f>
        <v/>
      </c>
      <c r="J143" s="67">
        <f>IF($A$143="",NA(),IFERROR(COUNTIFS(Data!$AK$2:$AK$1105,1,Data!$AW$2:$AW$1105,$A$143),NA()))</f>
        <v/>
      </c>
      <c r="K143" s="62">
        <f>IF(ISNA($B$143),NA(),IFERROR($B$143/Calc!$BT$6,NA()))</f>
        <v/>
      </c>
      <c r="L143" s="66">
        <f>IF(ISNA($J$143),NA(),IF($J$143&lt;Controls!$B$19,NA(),IFERROR($B$143/$J$143,NA())))</f>
        <v/>
      </c>
      <c r="M143" s="67">
        <f>IF($A$143="",NA(),IF(COUNTIFS(Data!$AK$2:$AK$1105,1,Data!$AW$2:$AW$1105,$A$143)&lt;Controls!$B$19,NA(),IFERROR(AVERAGEIFS(Data!$AE$2:$AE$1105,Data!$AK$2:$AK$1105,1,Data!$AW$2:$AW$1105,$A$143),NA())))</f>
        <v/>
      </c>
      <c r="N143" s="67">
        <f>IF($A$143="",NA(),IF(COUNTIFS(Data!$AK$2:$AK$1105,1,Data!$AW$2:$AW$1105,$A$143)&lt;Controls!$B$19,NA(),IFERROR(AVERAGEIFS(Data!$AD$2:$AD$1105,Data!$AK$2:$AK$1105,1,Data!$AW$2:$AW$1105,$A$143),NA())))</f>
        <v/>
      </c>
      <c r="O143" s="67">
        <f>IF($A$143="",NA(),IF(COUNTIFS(Data!$AK$2:$AK$1105,1,Data!$AW$2:$AW$1105,$A$143)&lt;Controls!$B$19,NA(),IFERROR(AVERAGEIFS(Data!$AS$2:$AS$1105,Data!$AK$2:$AK$1105,1,Data!$AW$2:$AW$1105,$A$143),NA())))</f>
        <v/>
      </c>
      <c r="P143" s="67">
        <f>IF($A$143="",NA(),IF(COUNTIFS(Data!$AK$2:$AK$1105,1,Data!$AW$2:$AW$1105,$A$143)&lt;Controls!$B$19,NA(),IFERROR(AVERAGEIFS(Data!$AT$2:$AT$1105,Data!$AK$2:$AK$1105,1,Data!$AW$2:$AW$1105,$A$143),NA())))</f>
        <v/>
      </c>
      <c r="Q143" s="62">
        <f>IF($A$143="",NA(),IF(COUNTIFS(Data!$AK$2:$AK$1105,1,Data!$AW$2:$AW$1105,$A$143)&lt;Controls!$B$19,NA(),IFERROR(COUNTIFS(Data!$AK$2:$AK$1105,1,Data!$AW$2:$AW$1105,$A$143,Data!$N$2:$N$1105,"Renewal")/COUNTIFS(Data!$AK$2:$AK$1105,1,Data!$AW$2:$AW$1105,$A$143),NA())))</f>
        <v/>
      </c>
      <c r="R143" s="62">
        <f>IF($A$143="",NA(),IF(COUNTIFS(Data!$AK$2:$AK$1105,1,Data!$AW$2:$AW$1105,$A$143)&lt;Controls!$B$19,NA(),IFERROR(SUMIFS(Data!$P$2:$P$1105,Data!$AK$2:$AK$1105,1,Data!$AW$2:$AW$1105,$A$143,Data!$N$2:$N$1105,"Renewal")/SUMIFS(Data!$P$2:$P$1105,Data!$AK$2:$AK$1105,1,Data!$AW$2:$AW$1105,$A$143),NA())))</f>
        <v/>
      </c>
      <c r="S143" s="62">
        <f>IF($A$143="",NA(),Calc!$BT$2)</f>
        <v/>
      </c>
      <c r="T143" s="62">
        <f>IF($A$143="",NA(),Calc!$BT$3)</f>
        <v/>
      </c>
      <c r="U143" s="62">
        <f>IF($A$143="",NA(),Calc!$BT$4)</f>
        <v/>
      </c>
      <c r="V143" s="62">
        <f>IF($A$143="",NA(),IF(COUNTIFS(Data!$AK$2:$AK$1105,1,Data!$AW$2:$AW$1105,$A$143)&lt;Controls!$B$19,NA(),IFERROR(COUNTIFS(Data!$AK$2:$AK$1105,1,Data!$AW$2:$AW$1105,$A$143,Data!$AH$2:$AH$1105,1)/COUNTIFS(Data!$AK$2:$AK$1105,1,Data!$AW$2:$AW$1105,$A$143),NA())))</f>
        <v/>
      </c>
      <c r="W143" s="61">
        <f>IF($A$143="","",$A$143&amp;" ("&amp;$J$143&amp;")")</f>
        <v/>
      </c>
      <c r="X143" s="61" t="n"/>
      <c r="Y143" s="61" t="n"/>
      <c r="Z143" s="61" t="n"/>
      <c r="AA143" s="61" t="n"/>
      <c r="AB143" s="61" t="n"/>
      <c r="AC143" s="61" t="n"/>
      <c r="AD143" s="61" t="n"/>
      <c r="AE143" s="61" t="n"/>
      <c r="AF143" s="61" t="n"/>
      <c r="AG143" s="61" t="n"/>
      <c r="AH143" s="61" t="n"/>
      <c r="AI143" s="61" t="n"/>
      <c r="AJ143" s="61" t="n"/>
      <c r="AK143" s="61" t="n"/>
      <c r="AL143" s="61" t="n"/>
      <c r="AM143" s="61" t="n"/>
      <c r="AN143" s="61">
        <f>Controls!$G$40</f>
        <v/>
      </c>
      <c r="AO143" s="61">
        <f>COUNTIFS(Data!$AK$2:$AK$1105,1,Data!$M$2:$M$1105,$AN$143)</f>
        <v/>
      </c>
      <c r="AP143" s="57">
        <f>SUMIFS(Data!$P$2:$P$1105,Data!$AK$2:$AK$1105,1,Data!$M$2:$M$1105,$AN$143)</f>
        <v/>
      </c>
      <c r="AQ143" s="56">
        <f>IFERROR(SUMIFS(Data!$AN$2:$AN$1105,Data!$AK$2:$AK$1105,1,Data!$M$2:$M$1105,$AN$143)/$AP$143,0)</f>
        <v/>
      </c>
      <c r="AR143" s="57">
        <f>SUMIFS(Data!$AN$2:$AN$1105,Data!$AK$2:$AK$1105,1,Data!$M$2:$M$1105,$AN$143)</f>
        <v/>
      </c>
      <c r="AS143" s="61">
        <f>Controls!$H$40</f>
        <v/>
      </c>
      <c r="AT143" s="61">
        <f>IF(OR(AO143=0,AO143&lt;Controls!$B$20),-1000000000000000,IF(AND(Controls!$B$21="Y",$AN$143="No ISO"),-1000000000000000,IF(Controls!$B$17="Selected only",IF(AS143="Y",AP143,-1000000000000000),IF(Controls!$B$17="Top by funded $",AP143,IF(Controls!$B$17="Top by funded units",AO143,IF(Controls!$B$17="Largest principal lost $",AR143,IF(Controls!$B$17="Highest net profit $",AU143,IF(AO143&lt;Controls!$B$19,-1000000000000000,IF(Controls!$B$17="Highest principal lost rate %",AQ143,IF(Controls!$B$17="Lowest principal lost rate %",1-AQ143,AP143))))))))) +1/1000000)</f>
        <v/>
      </c>
      <c r="AU143" s="57">
        <f>SUMIFS(Data!$AM$2:$AM$1105,Data!$AK$2:$AK$1105,1,Data!$M$2:$M$1105,$AN$143)</f>
        <v/>
      </c>
      <c r="AV143" s="61" t="n"/>
      <c r="AW143" s="61" t="n"/>
      <c r="AX143" s="61" t="n"/>
      <c r="AY143" s="61" t="n"/>
      <c r="AZ143" s="61" t="n"/>
      <c r="BA143" s="61" t="n"/>
      <c r="BB143" s="61">
        <f>Controls!$G$108</f>
        <v/>
      </c>
      <c r="BC143" s="61">
        <f>COUNTIFS(Data!$AK$2:$AK$1105,1,Data!$M$2:$M$1105,$BB$143)</f>
        <v/>
      </c>
      <c r="BD143" s="57">
        <f>SUMIFS(Data!$P$2:$P$1105,Data!$AK$2:$AK$1105,1,Data!$M$2:$M$1105,$BB$143)</f>
        <v/>
      </c>
      <c r="BE143" s="56">
        <f>IF(COUNTIFS(Data!$AK$2:$AK$1105,1,Data!$M$2:$M$1105,$BB$143)&lt;Controls!$B$19,"",IFERROR(SUMIFS(Data!$AN$2:$AN$1105,Data!$AK$2:$AK$1105,1,Data!$M$2:$M$1105,$BB$143)/$BD$143,""))</f>
        <v/>
      </c>
      <c r="BF143" s="56">
        <f>IF(COUNTIFS(Data!$AK$2:$AK$1105,1,Data!$M$2:$M$1105,$BB$143)&lt;Controls!$B$19,"",IFERROR(SUMIFS(Data!$AM$2:$AM$1105,Data!$AK$2:$AK$1105,1,Data!$M$2:$M$1105,$BB$143)/SUMIFS(Data!$P$2:$P$1105,Data!$AK$2:$AK$1105,1,Data!$M$2:$M$1105,$BB$143),""))</f>
        <v/>
      </c>
      <c r="BG143" s="57">
        <f>SUMIFS(Data!$AN$2:$AN$1105,Data!$AK$2:$AK$1105,1,Data!$M$2:$M$1105,$BB$143)</f>
        <v/>
      </c>
      <c r="BH143" s="61" t="n"/>
      <c r="BI143" s="61">
        <f>IF(AND($BC$143&gt;=Controls!$B$22,$BD$143&gt;=LARGE($BD$75:$BD$230,MIN(Controls!$B$18,COUNT($BD$75:$BD$230)))),$BE$143,"")</f>
        <v/>
      </c>
      <c r="BJ143" s="61" t="n"/>
      <c r="BK143" s="61">
        <f>IF($BC$143&lt;Controls!$B$22,"",$BE$143)</f>
        <v/>
      </c>
      <c r="BL143" s="61">
        <f>IF($BC$143&lt;Controls!$B$22,"",$BF$143)</f>
        <v/>
      </c>
      <c r="BM143" s="61">
        <f>IF($BC$143&lt;Controls!$B$22,"",$BG$143)</f>
        <v/>
      </c>
      <c r="BN143" s="61" t="n"/>
      <c r="BO143" s="61" t="n"/>
      <c r="BP143" s="61" t="n"/>
      <c r="BQ143" s="61" t="n"/>
      <c r="BR143" s="61" t="n"/>
      <c r="BS143" s="61" t="n"/>
      <c r="BT143" s="61" t="n"/>
    </row>
    <row r="144" ht="15.75" customHeight="1" s="79">
      <c r="A144" s="61" t="n"/>
      <c r="B144" s="61" t="n"/>
      <c r="C144" s="61" t="n"/>
      <c r="D144" s="61" t="n"/>
      <c r="E144" s="61" t="n"/>
      <c r="F144" s="61" t="n"/>
      <c r="G144" s="61" t="n"/>
      <c r="H144" s="61" t="n"/>
      <c r="I144" s="61" t="n"/>
      <c r="J144" s="61" t="n"/>
      <c r="K144" s="61" t="n"/>
      <c r="L144" s="61" t="n"/>
      <c r="M144" s="61" t="n"/>
      <c r="N144" s="61" t="n"/>
      <c r="O144" s="61" t="n"/>
      <c r="P144" s="61" t="n"/>
      <c r="Q144" s="61" t="n"/>
      <c r="R144" s="61" t="n"/>
      <c r="S144" s="61" t="n"/>
      <c r="T144" s="61" t="n"/>
      <c r="U144" s="61" t="n"/>
      <c r="V144" s="61" t="n"/>
      <c r="W144" s="61" t="n"/>
      <c r="X144" s="61" t="n"/>
      <c r="Y144" s="61" t="n"/>
      <c r="Z144" s="61" t="n"/>
      <c r="AA144" s="61" t="n"/>
      <c r="AB144" s="61" t="n"/>
      <c r="AC144" s="61" t="n"/>
      <c r="AD144" s="61" t="n"/>
      <c r="AE144" s="61" t="n"/>
      <c r="AF144" s="61" t="n"/>
      <c r="AG144" s="61" t="n"/>
      <c r="AH144" s="61" t="n"/>
      <c r="AI144" s="61" t="n"/>
      <c r="AJ144" s="61" t="n"/>
      <c r="AK144" s="61" t="n"/>
      <c r="AL144" s="61" t="n"/>
      <c r="AM144" s="61" t="n"/>
      <c r="AN144" s="61">
        <f>Controls!$G$41</f>
        <v/>
      </c>
      <c r="AO144" s="61">
        <f>COUNTIFS(Data!$AK$2:$AK$1105,1,Data!$M$2:$M$1105,$AN$144)</f>
        <v/>
      </c>
      <c r="AP144" s="57">
        <f>SUMIFS(Data!$P$2:$P$1105,Data!$AK$2:$AK$1105,1,Data!$M$2:$M$1105,$AN$144)</f>
        <v/>
      </c>
      <c r="AQ144" s="56">
        <f>IFERROR(SUMIFS(Data!$AN$2:$AN$1105,Data!$AK$2:$AK$1105,1,Data!$M$2:$M$1105,$AN$144)/$AP$144,0)</f>
        <v/>
      </c>
      <c r="AR144" s="57">
        <f>SUMIFS(Data!$AN$2:$AN$1105,Data!$AK$2:$AK$1105,1,Data!$M$2:$M$1105,$AN$144)</f>
        <v/>
      </c>
      <c r="AS144" s="61">
        <f>Controls!$H$41</f>
        <v/>
      </c>
      <c r="AT144" s="61">
        <f>IF(OR(AO144=0,AO144&lt;Controls!$B$20),-1000000000000000,IF(AND(Controls!$B$21="Y",$AN$144="No ISO"),-1000000000000000,IF(Controls!$B$17="Selected only",IF(AS144="Y",AP144,-1000000000000000),IF(Controls!$B$17="Top by funded $",AP144,IF(Controls!$B$17="Top by funded units",AO144,IF(Controls!$B$17="Largest principal lost $",AR144,IF(Controls!$B$17="Highest net profit $",AU144,IF(AO144&lt;Controls!$B$19,-1000000000000000,IF(Controls!$B$17="Highest principal lost rate %",AQ144,IF(Controls!$B$17="Lowest principal lost rate %",1-AQ144,AP144))))))))) +2/1000000)</f>
        <v/>
      </c>
      <c r="AU144" s="57">
        <f>SUMIFS(Data!$AM$2:$AM$1105,Data!$AK$2:$AK$1105,1,Data!$M$2:$M$1105,$AN$144)</f>
        <v/>
      </c>
      <c r="AV144" s="61" t="n"/>
      <c r="AW144" s="61" t="n"/>
      <c r="AX144" s="61" t="n"/>
      <c r="AY144" s="61" t="n"/>
      <c r="AZ144" s="61" t="n"/>
      <c r="BA144" s="61" t="n"/>
      <c r="BB144" s="61">
        <f>Controls!$G$109</f>
        <v/>
      </c>
      <c r="BC144" s="61">
        <f>COUNTIFS(Data!$AK$2:$AK$1105,1,Data!$M$2:$M$1105,$BB$144)</f>
        <v/>
      </c>
      <c r="BD144" s="57">
        <f>SUMIFS(Data!$P$2:$P$1105,Data!$AK$2:$AK$1105,1,Data!$M$2:$M$1105,$BB$144)</f>
        <v/>
      </c>
      <c r="BE144" s="56">
        <f>IF(COUNTIFS(Data!$AK$2:$AK$1105,1,Data!$M$2:$M$1105,$BB$144)&lt;Controls!$B$19,"",IFERROR(SUMIFS(Data!$AN$2:$AN$1105,Data!$AK$2:$AK$1105,1,Data!$M$2:$M$1105,$BB$144)/$BD$144,""))</f>
        <v/>
      </c>
      <c r="BF144" s="56">
        <f>IF(COUNTIFS(Data!$AK$2:$AK$1105,1,Data!$M$2:$M$1105,$BB$144)&lt;Controls!$B$19,"",IFERROR(SUMIFS(Data!$AM$2:$AM$1105,Data!$AK$2:$AK$1105,1,Data!$M$2:$M$1105,$BB$144)/SUMIFS(Data!$P$2:$P$1105,Data!$AK$2:$AK$1105,1,Data!$M$2:$M$1105,$BB$144),""))</f>
        <v/>
      </c>
      <c r="BG144" s="57">
        <f>SUMIFS(Data!$AN$2:$AN$1105,Data!$AK$2:$AK$1105,1,Data!$M$2:$M$1105,$BB$144)</f>
        <v/>
      </c>
      <c r="BH144" s="61" t="n"/>
      <c r="BI144" s="61">
        <f>IF(AND($BC$144&gt;=Controls!$B$22,$BD$144&gt;=LARGE($BD$75:$BD$230,MIN(Controls!$B$18,COUNT($BD$75:$BD$230)))),$BE$144,"")</f>
        <v/>
      </c>
      <c r="BJ144" s="61" t="n"/>
      <c r="BK144" s="61">
        <f>IF($BC$144&lt;Controls!$B$22,"",$BE$144)</f>
        <v/>
      </c>
      <c r="BL144" s="61">
        <f>IF($BC$144&lt;Controls!$B$22,"",$BF$144)</f>
        <v/>
      </c>
      <c r="BM144" s="61">
        <f>IF($BC$144&lt;Controls!$B$22,"",$BG$144)</f>
        <v/>
      </c>
      <c r="BN144" s="61" t="n"/>
      <c r="BO144" s="61" t="n"/>
      <c r="BP144" s="61" t="n"/>
      <c r="BQ144" s="61" t="n"/>
      <c r="BR144" s="61" t="n"/>
      <c r="BS144" s="61" t="n"/>
      <c r="BT144" s="61" t="n"/>
    </row>
    <row r="145" ht="15.75" customHeight="1" s="79">
      <c r="A145" s="61" t="n"/>
      <c r="B145" s="61" t="n"/>
      <c r="C145" s="61" t="n"/>
      <c r="D145" s="61" t="n"/>
      <c r="E145" s="61" t="n"/>
      <c r="F145" s="61" t="n"/>
      <c r="G145" s="61" t="n"/>
      <c r="H145" s="61" t="n"/>
      <c r="I145" s="61" t="n"/>
      <c r="J145" s="61" t="n"/>
      <c r="K145" s="61" t="n"/>
      <c r="L145" s="61" t="n"/>
      <c r="M145" s="61" t="n"/>
      <c r="N145" s="61" t="n"/>
      <c r="O145" s="61" t="n"/>
      <c r="P145" s="61" t="n"/>
      <c r="Q145" s="61" t="n"/>
      <c r="R145" s="61" t="n"/>
      <c r="S145" s="61" t="n"/>
      <c r="T145" s="61" t="n"/>
      <c r="U145" s="61" t="n"/>
      <c r="V145" s="61" t="n"/>
      <c r="W145" s="61" t="n"/>
      <c r="X145" s="61" t="n"/>
      <c r="Y145" s="61" t="n"/>
      <c r="Z145" s="61" t="n"/>
      <c r="AA145" s="61" t="n"/>
      <c r="AB145" s="61" t="n"/>
      <c r="AC145" s="61" t="n"/>
      <c r="AD145" s="61" t="n"/>
      <c r="AE145" s="61" t="n"/>
      <c r="AF145" s="61" t="n"/>
      <c r="AG145" s="61" t="n"/>
      <c r="AH145" s="61" t="n"/>
      <c r="AI145" s="61" t="n"/>
      <c r="AJ145" s="61" t="n"/>
      <c r="AK145" s="61" t="n"/>
      <c r="AL145" s="61" t="n"/>
      <c r="AM145" s="61" t="n"/>
      <c r="AN145" s="61">
        <f>Controls!$G$42</f>
        <v/>
      </c>
      <c r="AO145" s="61">
        <f>COUNTIFS(Data!$AK$2:$AK$1105,1,Data!$M$2:$M$1105,$AN$145)</f>
        <v/>
      </c>
      <c r="AP145" s="57">
        <f>SUMIFS(Data!$P$2:$P$1105,Data!$AK$2:$AK$1105,1,Data!$M$2:$M$1105,$AN$145)</f>
        <v/>
      </c>
      <c r="AQ145" s="56">
        <f>IFERROR(SUMIFS(Data!$AN$2:$AN$1105,Data!$AK$2:$AK$1105,1,Data!$M$2:$M$1105,$AN$145)/$AP$145,0)</f>
        <v/>
      </c>
      <c r="AR145" s="57">
        <f>SUMIFS(Data!$AN$2:$AN$1105,Data!$AK$2:$AK$1105,1,Data!$M$2:$M$1105,$AN$145)</f>
        <v/>
      </c>
      <c r="AS145" s="61">
        <f>Controls!$H$42</f>
        <v/>
      </c>
      <c r="AT145" s="61">
        <f>IF(OR(AO145=0,AO145&lt;Controls!$B$20),-1000000000000000,IF(AND(Controls!$B$21="Y",$AN$145="No ISO"),-1000000000000000,IF(Controls!$B$17="Selected only",IF(AS145="Y",AP145,-1000000000000000),IF(Controls!$B$17="Top by funded $",AP145,IF(Controls!$B$17="Top by funded units",AO145,IF(Controls!$B$17="Largest principal lost $",AR145,IF(Controls!$B$17="Highest net profit $",AU145,IF(AO145&lt;Controls!$B$19,-1000000000000000,IF(Controls!$B$17="Highest principal lost rate %",AQ145,IF(Controls!$B$17="Lowest principal lost rate %",1-AQ145,AP145))))))))) +3/1000000)</f>
        <v/>
      </c>
      <c r="AU145" s="57">
        <f>SUMIFS(Data!$AM$2:$AM$1105,Data!$AK$2:$AK$1105,1,Data!$M$2:$M$1105,$AN$145)</f>
        <v/>
      </c>
      <c r="AV145" s="61" t="n"/>
      <c r="AW145" s="61" t="n"/>
      <c r="AX145" s="61" t="n"/>
      <c r="AY145" s="61" t="n"/>
      <c r="AZ145" s="61" t="n"/>
      <c r="BA145" s="61" t="n"/>
      <c r="BB145" s="61">
        <f>Controls!$G$110</f>
        <v/>
      </c>
      <c r="BC145" s="61">
        <f>COUNTIFS(Data!$AK$2:$AK$1105,1,Data!$M$2:$M$1105,$BB$145)</f>
        <v/>
      </c>
      <c r="BD145" s="57">
        <f>SUMIFS(Data!$P$2:$P$1105,Data!$AK$2:$AK$1105,1,Data!$M$2:$M$1105,$BB$145)</f>
        <v/>
      </c>
      <c r="BE145" s="56">
        <f>IF(COUNTIFS(Data!$AK$2:$AK$1105,1,Data!$M$2:$M$1105,$BB$145)&lt;Controls!$B$19,"",IFERROR(SUMIFS(Data!$AN$2:$AN$1105,Data!$AK$2:$AK$1105,1,Data!$M$2:$M$1105,$BB$145)/$BD$145,""))</f>
        <v/>
      </c>
      <c r="BF145" s="56">
        <f>IF(COUNTIFS(Data!$AK$2:$AK$1105,1,Data!$M$2:$M$1105,$BB$145)&lt;Controls!$B$19,"",IFERROR(SUMIFS(Data!$AM$2:$AM$1105,Data!$AK$2:$AK$1105,1,Data!$M$2:$M$1105,$BB$145)/SUMIFS(Data!$P$2:$P$1105,Data!$AK$2:$AK$1105,1,Data!$M$2:$M$1105,$BB$145),""))</f>
        <v/>
      </c>
      <c r="BG145" s="57">
        <f>SUMIFS(Data!$AN$2:$AN$1105,Data!$AK$2:$AK$1105,1,Data!$M$2:$M$1105,$BB$145)</f>
        <v/>
      </c>
      <c r="BH145" s="61" t="n"/>
      <c r="BI145" s="61">
        <f>IF(AND($BC$145&gt;=Controls!$B$22,$BD$145&gt;=LARGE($BD$75:$BD$230,MIN(Controls!$B$18,COUNT($BD$75:$BD$230)))),$BE$145,"")</f>
        <v/>
      </c>
      <c r="BJ145" s="61" t="n"/>
      <c r="BK145" s="61">
        <f>IF($BC$145&lt;Controls!$B$22,"",$BE$145)</f>
        <v/>
      </c>
      <c r="BL145" s="61">
        <f>IF($BC$145&lt;Controls!$B$22,"",$BF$145)</f>
        <v/>
      </c>
      <c r="BM145" s="61">
        <f>IF($BC$145&lt;Controls!$B$22,"",$BG$145)</f>
        <v/>
      </c>
      <c r="BN145" s="61" t="n"/>
      <c r="BO145" s="61" t="n"/>
      <c r="BP145" s="61" t="n"/>
      <c r="BQ145" s="61" t="n"/>
      <c r="BR145" s="61" t="n"/>
      <c r="BS145" s="61" t="n"/>
      <c r="BT145" s="61" t="n"/>
    </row>
    <row r="146" ht="15.75" customHeight="1" s="79">
      <c r="A146" s="61" t="inlineStr">
        <is>
          <t xml:space="preserve">Funding month - </t>
        </is>
      </c>
      <c r="B146" s="61" t="n"/>
      <c r="C146" s="61" t="n"/>
      <c r="D146" s="61" t="n"/>
      <c r="E146" s="61" t="n"/>
      <c r="F146" s="61" t="n"/>
      <c r="G146" s="61" t="n"/>
      <c r="H146" s="61" t="n"/>
      <c r="I146" s="61" t="n"/>
      <c r="J146" s="61" t="n"/>
      <c r="K146" s="61" t="n"/>
      <c r="L146" s="61" t="n"/>
      <c r="M146" s="61" t="n"/>
      <c r="N146" s="61" t="n"/>
      <c r="O146" s="61" t="n"/>
      <c r="P146" s="61" t="n"/>
      <c r="Q146" s="61" t="n"/>
      <c r="R146" s="61" t="n"/>
      <c r="S146" s="61" t="n"/>
      <c r="T146" s="61" t="n"/>
      <c r="U146" s="61" t="n"/>
      <c r="V146" s="61" t="n"/>
      <c r="W146" s="61" t="n"/>
      <c r="X146" s="61" t="n"/>
      <c r="Y146" s="61" t="n"/>
      <c r="Z146" s="61" t="n"/>
      <c r="AA146" s="61" t="n"/>
      <c r="AB146" s="61" t="n"/>
      <c r="AC146" s="61" t="n"/>
      <c r="AD146" s="61" t="n"/>
      <c r="AE146" s="61" t="n"/>
      <c r="AF146" s="61" t="n"/>
      <c r="AG146" s="61" t="n"/>
      <c r="AH146" s="61" t="n"/>
      <c r="AI146" s="61" t="n"/>
      <c r="AJ146" s="61" t="n"/>
      <c r="AK146" s="61" t="n"/>
      <c r="AL146" s="61" t="n"/>
      <c r="AM146" s="61" t="n"/>
      <c r="AN146" s="61">
        <f>Controls!$G$43</f>
        <v/>
      </c>
      <c r="AO146" s="61">
        <f>COUNTIFS(Data!$AK$2:$AK$1105,1,Data!$M$2:$M$1105,$AN$146)</f>
        <v/>
      </c>
      <c r="AP146" s="57">
        <f>SUMIFS(Data!$P$2:$P$1105,Data!$AK$2:$AK$1105,1,Data!$M$2:$M$1105,$AN$146)</f>
        <v/>
      </c>
      <c r="AQ146" s="56">
        <f>IFERROR(SUMIFS(Data!$AN$2:$AN$1105,Data!$AK$2:$AK$1105,1,Data!$M$2:$M$1105,$AN$146)/$AP$146,0)</f>
        <v/>
      </c>
      <c r="AR146" s="57">
        <f>SUMIFS(Data!$AN$2:$AN$1105,Data!$AK$2:$AK$1105,1,Data!$M$2:$M$1105,$AN$146)</f>
        <v/>
      </c>
      <c r="AS146" s="61">
        <f>Controls!$H$43</f>
        <v/>
      </c>
      <c r="AT146" s="61">
        <f>IF(OR(AO146=0,AO146&lt;Controls!$B$20),-1000000000000000,IF(AND(Controls!$B$21="Y",$AN$146="No ISO"),-1000000000000000,IF(Controls!$B$17="Selected only",IF(AS146="Y",AP146,-1000000000000000),IF(Controls!$B$17="Top by funded $",AP146,IF(Controls!$B$17="Top by funded units",AO146,IF(Controls!$B$17="Largest principal lost $",AR146,IF(Controls!$B$17="Highest net profit $",AU146,IF(AO146&lt;Controls!$B$19,-1000000000000000,IF(Controls!$B$17="Highest principal lost rate %",AQ146,IF(Controls!$B$17="Lowest principal lost rate %",1-AQ146,AP146))))))))) +4/1000000)</f>
        <v/>
      </c>
      <c r="AU146" s="57">
        <f>SUMIFS(Data!$AM$2:$AM$1105,Data!$AK$2:$AK$1105,1,Data!$M$2:$M$1105,$AN$146)</f>
        <v/>
      </c>
      <c r="AV146" s="61" t="n"/>
      <c r="AW146" s="61" t="n"/>
      <c r="AX146" s="61" t="n"/>
      <c r="AY146" s="61" t="n"/>
      <c r="AZ146" s="61" t="n"/>
      <c r="BA146" s="61" t="n"/>
      <c r="BB146" s="61">
        <f>Controls!$G$111</f>
        <v/>
      </c>
      <c r="BC146" s="61">
        <f>COUNTIFS(Data!$AK$2:$AK$1105,1,Data!$M$2:$M$1105,$BB$146)</f>
        <v/>
      </c>
      <c r="BD146" s="57">
        <f>SUMIFS(Data!$P$2:$P$1105,Data!$AK$2:$AK$1105,1,Data!$M$2:$M$1105,$BB$146)</f>
        <v/>
      </c>
      <c r="BE146" s="56">
        <f>IF(COUNTIFS(Data!$AK$2:$AK$1105,1,Data!$M$2:$M$1105,$BB$146)&lt;Controls!$B$19,"",IFERROR(SUMIFS(Data!$AN$2:$AN$1105,Data!$AK$2:$AK$1105,1,Data!$M$2:$M$1105,$BB$146)/$BD$146,""))</f>
        <v/>
      </c>
      <c r="BF146" s="56">
        <f>IF(COUNTIFS(Data!$AK$2:$AK$1105,1,Data!$M$2:$M$1105,$BB$146)&lt;Controls!$B$19,"",IFERROR(SUMIFS(Data!$AM$2:$AM$1105,Data!$AK$2:$AK$1105,1,Data!$M$2:$M$1105,$BB$146)/SUMIFS(Data!$P$2:$P$1105,Data!$AK$2:$AK$1105,1,Data!$M$2:$M$1105,$BB$146),""))</f>
        <v/>
      </c>
      <c r="BG146" s="57">
        <f>SUMIFS(Data!$AN$2:$AN$1105,Data!$AK$2:$AK$1105,1,Data!$M$2:$M$1105,$BB$146)</f>
        <v/>
      </c>
      <c r="BH146" s="61" t="n"/>
      <c r="BI146" s="61">
        <f>IF(AND($BC$146&gt;=Controls!$B$22,$BD$146&gt;=LARGE($BD$75:$BD$230,MIN(Controls!$B$18,COUNT($BD$75:$BD$230)))),$BE$146,"")</f>
        <v/>
      </c>
      <c r="BJ146" s="61" t="n"/>
      <c r="BK146" s="61">
        <f>IF($BC$146&lt;Controls!$B$22,"",$BE$146)</f>
        <v/>
      </c>
      <c r="BL146" s="61">
        <f>IF($BC$146&lt;Controls!$B$22,"",$BF$146)</f>
        <v/>
      </c>
      <c r="BM146" s="61">
        <f>IF($BC$146&lt;Controls!$B$22,"",$BG$146)</f>
        <v/>
      </c>
      <c r="BN146" s="61" t="n"/>
      <c r="BO146" s="61" t="n"/>
      <c r="BP146" s="61" t="n"/>
      <c r="BQ146" s="61" t="n"/>
      <c r="BR146" s="61" t="n"/>
      <c r="BS146" s="61" t="n"/>
      <c r="BT146" s="61" t="n"/>
    </row>
    <row r="147" ht="15.75" customHeight="1" s="79">
      <c r="A147" s="61" t="inlineStr">
        <is>
          <t>Label</t>
        </is>
      </c>
      <c r="B147" s="61" t="inlineStr">
        <is>
          <t>Funded $</t>
        </is>
      </c>
      <c r="C147" s="61" t="inlineStr">
        <is>
          <t>Collected $</t>
        </is>
      </c>
      <c r="D147" s="61" t="inlineStr">
        <is>
          <t>Net profit / loss $</t>
        </is>
      </c>
      <c r="E147" s="61" t="inlineStr">
        <is>
          <t>Commission $</t>
        </is>
      </c>
      <c r="F147" s="61" t="inlineStr">
        <is>
          <t>Principal lost $</t>
        </is>
      </c>
      <c r="G147" s="61" t="inlineStr">
        <is>
          <t>Principal lost rate</t>
        </is>
      </c>
      <c r="H147" s="61" t="inlineStr">
        <is>
          <t>Recovery rate</t>
        </is>
      </c>
      <c r="I147" s="61" t="inlineStr">
        <is>
          <t>Return on funded capital (%)</t>
        </is>
      </c>
      <c r="J147" s="61" t="inlineStr">
        <is>
          <t>Deals</t>
        </is>
      </c>
      <c r="K147" s="61" t="inlineStr">
        <is>
          <t>Share of funded dollars</t>
        </is>
      </c>
      <c r="L147" s="61" t="inlineStr">
        <is>
          <t>Avg deal size</t>
        </is>
      </c>
      <c r="M147" s="61" t="inlineStr">
        <is>
          <t>Avg expected term (business days)</t>
        </is>
      </c>
      <c r="N147" s="61" t="inlineStr">
        <is>
          <t>Avg expected term (payments)</t>
        </is>
      </c>
      <c r="O147" s="61" t="inlineStr">
        <is>
          <t>Avg days on book, defaulted</t>
        </is>
      </c>
      <c r="P147" s="61" t="inlineStr">
        <is>
          <t>Avg days to close</t>
        </is>
      </c>
      <c r="Q147" s="61" t="inlineStr">
        <is>
          <t>% of deals that were renewals</t>
        </is>
      </c>
      <c r="R147" s="61" t="inlineStr">
        <is>
          <t>% of funded dollars from renewals</t>
        </is>
      </c>
      <c r="S147" s="61" t="inlineStr">
        <is>
          <t>Book lost rate</t>
        </is>
      </c>
      <c r="T147" s="61" t="inlineStr">
        <is>
          <t>Book recovery</t>
        </is>
      </c>
      <c r="U147" s="61" t="inlineStr">
        <is>
          <t>Book return on funded capital</t>
        </is>
      </c>
      <c r="V147" s="61" t="inlineStr">
        <is>
          <t>Default rate (#)</t>
        </is>
      </c>
      <c r="W147" s="61" t="inlineStr">
        <is>
          <t>Chart label (name + deals)</t>
        </is>
      </c>
      <c r="X147" s="61" t="n"/>
      <c r="Y147" s="61" t="n"/>
      <c r="Z147" s="61" t="n"/>
      <c r="AA147" s="61" t="n"/>
      <c r="AB147" s="61" t="n"/>
      <c r="AC147" s="61" t="n"/>
      <c r="AD147" s="61" t="n"/>
      <c r="AE147" s="61" t="n"/>
      <c r="AF147" s="61" t="n"/>
      <c r="AG147" s="61" t="n"/>
      <c r="AH147" s="61" t="n"/>
      <c r="AI147" s="61" t="n"/>
      <c r="AJ147" s="61" t="n"/>
      <c r="AK147" s="61" t="n"/>
      <c r="AL147" s="61" t="n"/>
      <c r="AM147" s="61" t="n"/>
      <c r="AN147" s="61">
        <f>Controls!$G$44</f>
        <v/>
      </c>
      <c r="AO147" s="61">
        <f>COUNTIFS(Data!$AK$2:$AK$1105,1,Data!$M$2:$M$1105,$AN$147)</f>
        <v/>
      </c>
      <c r="AP147" s="57">
        <f>SUMIFS(Data!$P$2:$P$1105,Data!$AK$2:$AK$1105,1,Data!$M$2:$M$1105,$AN$147)</f>
        <v/>
      </c>
      <c r="AQ147" s="56">
        <f>IFERROR(SUMIFS(Data!$AN$2:$AN$1105,Data!$AK$2:$AK$1105,1,Data!$M$2:$M$1105,$AN$147)/$AP$147,0)</f>
        <v/>
      </c>
      <c r="AR147" s="57">
        <f>SUMIFS(Data!$AN$2:$AN$1105,Data!$AK$2:$AK$1105,1,Data!$M$2:$M$1105,$AN$147)</f>
        <v/>
      </c>
      <c r="AS147" s="61">
        <f>Controls!$H$44</f>
        <v/>
      </c>
      <c r="AT147" s="61">
        <f>IF(OR(AO147=0,AO147&lt;Controls!$B$20),-1000000000000000,IF(AND(Controls!$B$21="Y",$AN$147="No ISO"),-1000000000000000,IF(Controls!$B$17="Selected only",IF(AS147="Y",AP147,-1000000000000000),IF(Controls!$B$17="Top by funded $",AP147,IF(Controls!$B$17="Top by funded units",AO147,IF(Controls!$B$17="Largest principal lost $",AR147,IF(Controls!$B$17="Highest net profit $",AU147,IF(AO147&lt;Controls!$B$19,-1000000000000000,IF(Controls!$B$17="Highest principal lost rate %",AQ147,IF(Controls!$B$17="Lowest principal lost rate %",1-AQ147,AP147))))))))) +5/1000000)</f>
        <v/>
      </c>
      <c r="AU147" s="57">
        <f>SUMIFS(Data!$AM$2:$AM$1105,Data!$AK$2:$AK$1105,1,Data!$M$2:$M$1105,$AN$147)</f>
        <v/>
      </c>
      <c r="AV147" s="61" t="n"/>
      <c r="AW147" s="61" t="n"/>
      <c r="AX147" s="61" t="n"/>
      <c r="AY147" s="61" t="n"/>
      <c r="AZ147" s="61" t="n"/>
      <c r="BA147" s="61" t="n"/>
      <c r="BB147" s="61">
        <f>Controls!$G$112</f>
        <v/>
      </c>
      <c r="BC147" s="61">
        <f>COUNTIFS(Data!$AK$2:$AK$1105,1,Data!$M$2:$M$1105,$BB$147)</f>
        <v/>
      </c>
      <c r="BD147" s="57">
        <f>SUMIFS(Data!$P$2:$P$1105,Data!$AK$2:$AK$1105,1,Data!$M$2:$M$1105,$BB$147)</f>
        <v/>
      </c>
      <c r="BE147" s="56">
        <f>IF(COUNTIFS(Data!$AK$2:$AK$1105,1,Data!$M$2:$M$1105,$BB$147)&lt;Controls!$B$19,"",IFERROR(SUMIFS(Data!$AN$2:$AN$1105,Data!$AK$2:$AK$1105,1,Data!$M$2:$M$1105,$BB$147)/$BD$147,""))</f>
        <v/>
      </c>
      <c r="BF147" s="56">
        <f>IF(COUNTIFS(Data!$AK$2:$AK$1105,1,Data!$M$2:$M$1105,$BB$147)&lt;Controls!$B$19,"",IFERROR(SUMIFS(Data!$AM$2:$AM$1105,Data!$AK$2:$AK$1105,1,Data!$M$2:$M$1105,$BB$147)/SUMIFS(Data!$P$2:$P$1105,Data!$AK$2:$AK$1105,1,Data!$M$2:$M$1105,$BB$147),""))</f>
        <v/>
      </c>
      <c r="BG147" s="57">
        <f>SUMIFS(Data!$AN$2:$AN$1105,Data!$AK$2:$AK$1105,1,Data!$M$2:$M$1105,$BB$147)</f>
        <v/>
      </c>
      <c r="BH147" s="61" t="n"/>
      <c r="BI147" s="56">
        <f>IF(AND($BC$147&gt;=Controls!$B$22,$BD$147&gt;=LARGE($BD$75:$BD$230,MIN(Controls!$B$18,COUNT($BD$75:$BD$230)))),$BE$147,"")</f>
        <v/>
      </c>
      <c r="BJ147" s="61" t="n"/>
      <c r="BK147" s="56">
        <f>IF($BC$147&lt;Controls!$B$22,"",$BE$147)</f>
        <v/>
      </c>
      <c r="BL147" s="56">
        <f>IF($BC$147&lt;Controls!$B$22,"",$BF$147)</f>
        <v/>
      </c>
      <c r="BM147" s="57">
        <f>IF($BC$147&lt;Controls!$B$22,"",$BG$147)</f>
        <v/>
      </c>
      <c r="BN147" s="61" t="n"/>
      <c r="BO147" s="61" t="n"/>
      <c r="BP147" s="61" t="n"/>
      <c r="BQ147" s="61" t="n"/>
      <c r="BR147" s="61" t="n"/>
      <c r="BS147" s="61" t="n"/>
      <c r="BT147" s="61" t="n"/>
    </row>
    <row r="148" ht="15.75" customHeight="1" s="79">
      <c r="A148" s="61">
        <f>IF(EDATE(Controls!$B$5,0)&gt;Controls!$B$6,"",TEXT(EDATE(Controls!$B$5,0),"YYYY-MM"))</f>
        <v/>
      </c>
      <c r="B148" s="66">
        <f>IF($A$148="",NA(),IFERROR(SUMIFS(Data!$P$2:$P$1105,Data!$AK$2:$AK$1105,1,Data!$BA$2:$BA$1105,$A$148),NA()))</f>
        <v/>
      </c>
      <c r="C148" s="66">
        <f>IF($A$148="",NA(),IFERROR(SUMIFS(Data!$S$2:$S$1105,Data!$AK$2:$AK$1105,1,Data!$BA$2:$BA$1105,$A$148),NA()))</f>
        <v/>
      </c>
      <c r="D148" s="66">
        <f>IF(ISNA($B$148),NA(),$C$148-$B$148)</f>
        <v/>
      </c>
      <c r="E148" s="66">
        <f>IF($A$148="",NA(),IFERROR(SUMIFS(Data!$Q$2:$Q$1105,Data!$AK$2:$AK$1105,1,Data!$BA$2:$BA$1105,$A$148),NA()))</f>
        <v/>
      </c>
      <c r="F148" s="66">
        <f>IF($A$148="",NA(),IFERROR(SUMIFS(Data!$AN$2:$AN$1105,Data!$AK$2:$AK$1105,1,Data!$BA$2:$BA$1105,$A$148),NA()))</f>
        <v/>
      </c>
      <c r="G148" s="62">
        <f>IF($A$148="",NA(),IF(COUNTIFS(Data!$AK$2:$AK$1105,1,Data!$BA$2:$BA$1105,$A$148)&lt;Controls!$B$19,NA(),IFERROR(SUMIFS(Data!$AN$2:$AN$1105,Data!$AK$2:$AK$1105,1,Data!$BA$2:$BA$1105,$A$148)/$B$148,NA())))</f>
        <v/>
      </c>
      <c r="H148" s="62">
        <f>IF($A$148="",NA(),IF(COUNTIFS(Data!$AK$2:$AK$1105,1,Data!$BA$2:$BA$1105,$A$148)&lt;Controls!$B$19,NA(),IFERROR(SUMIFS(Data!$S$2:$S$1105,Data!$AK$2:$AK$1105,1,Data!$BA$2:$BA$1105,$A$148,Data!$AH$2:$AH$1105,1)/SUMIFS(Data!$P$2:$P$1105,Data!$AK$2:$AK$1105,1,Data!$BA$2:$BA$1105,$A$148,Data!$AH$2:$AH$1105,1),NA())))</f>
        <v/>
      </c>
      <c r="I148" s="62">
        <f>IF(ISNA($J$148),NA(),IF($J$148&lt;Controls!$B$19,NA(),IFERROR($D$148/$B$148,NA())))</f>
        <v/>
      </c>
      <c r="J148" s="67">
        <f>IF($A$148="",NA(),IFERROR(COUNTIFS(Data!$AK$2:$AK$1105,1,Data!$BA$2:$BA$1105,$A$148),NA()))</f>
        <v/>
      </c>
      <c r="K148" s="62">
        <f>IF(ISNA($B$148),NA(),IFERROR($B$148/Calc!$BT$6,NA()))</f>
        <v/>
      </c>
      <c r="L148" s="66">
        <f>IF(ISNA($J$148),NA(),IF($J$148&lt;Controls!$B$19,NA(),IFERROR($B$148/$J$148,NA())))</f>
        <v/>
      </c>
      <c r="M148" s="67">
        <f>IF($A$148="",NA(),IF(COUNTIFS(Data!$AK$2:$AK$1105,1,Data!$BA$2:$BA$1105,$A$148)&lt;Controls!$B$19,NA(),IFERROR(AVERAGEIFS(Data!$AE$2:$AE$1105,Data!$AK$2:$AK$1105,1,Data!$BA$2:$BA$1105,$A$148),NA())))</f>
        <v/>
      </c>
      <c r="N148" s="67">
        <f>IF($A$148="",NA(),IF(COUNTIFS(Data!$AK$2:$AK$1105,1,Data!$BA$2:$BA$1105,$A$148)&lt;Controls!$B$19,NA(),IFERROR(AVERAGEIFS(Data!$AD$2:$AD$1105,Data!$AK$2:$AK$1105,1,Data!$BA$2:$BA$1105,$A$148),NA())))</f>
        <v/>
      </c>
      <c r="O148" s="67">
        <f>IF($A$148="",NA(),IF(COUNTIFS(Data!$AK$2:$AK$1105,1,Data!$BA$2:$BA$1105,$A$148)&lt;Controls!$B$19,NA(),IFERROR(AVERAGEIFS(Data!$AS$2:$AS$1105,Data!$AK$2:$AK$1105,1,Data!$BA$2:$BA$1105,$A$148),NA())))</f>
        <v/>
      </c>
      <c r="P148" s="67">
        <f>IF($A$148="",NA(),IF(COUNTIFS(Data!$AK$2:$AK$1105,1,Data!$BA$2:$BA$1105,$A$148)&lt;Controls!$B$19,NA(),IFERROR(AVERAGEIFS(Data!$AT$2:$AT$1105,Data!$AK$2:$AK$1105,1,Data!$BA$2:$BA$1105,$A$148),NA())))</f>
        <v/>
      </c>
      <c r="Q148" s="62">
        <f>IF($A$148="",NA(),IF(COUNTIFS(Data!$AK$2:$AK$1105,1,Data!$BA$2:$BA$1105,$A$148)&lt;Controls!$B$19,NA(),IFERROR(COUNTIFS(Data!$AK$2:$AK$1105,1,Data!$BA$2:$BA$1105,$A$148,Data!$N$2:$N$1105,"Renewal")/COUNTIFS(Data!$AK$2:$AK$1105,1,Data!$BA$2:$BA$1105,$A$148),NA())))</f>
        <v/>
      </c>
      <c r="R148" s="62">
        <f>IF($A$148="",NA(),IF(COUNTIFS(Data!$AK$2:$AK$1105,1,Data!$BA$2:$BA$1105,$A$148)&lt;Controls!$B$19,NA(),IFERROR(SUMIFS(Data!$P$2:$P$1105,Data!$AK$2:$AK$1105,1,Data!$BA$2:$BA$1105,$A$148,Data!$N$2:$N$1105,"Renewal")/SUMIFS(Data!$P$2:$P$1105,Data!$AK$2:$AK$1105,1,Data!$BA$2:$BA$1105,$A$148),NA())))</f>
        <v/>
      </c>
      <c r="S148" s="62">
        <f>IF($A$148="",NA(),Calc!$BT$2)</f>
        <v/>
      </c>
      <c r="T148" s="62">
        <f>IF($A$148="",NA(),Calc!$BT$3)</f>
        <v/>
      </c>
      <c r="U148" s="62">
        <f>IF($A$148="",NA(),Calc!$BT$4)</f>
        <v/>
      </c>
      <c r="V148" s="62">
        <f>IF($A$148="",NA(),IF(COUNTIFS(Data!$AK$2:$AK$1105,1,Data!$BA$2:$BA$1105,$A$148)&lt;Controls!$B$19,NA(),IFERROR(COUNTIFS(Data!$AK$2:$AK$1105,1,Data!$BA$2:$BA$1105,$A$148,Data!$AH$2:$AH$1105,1)/COUNTIFS(Data!$AK$2:$AK$1105,1,Data!$BA$2:$BA$1105,$A$148),NA())))</f>
        <v/>
      </c>
      <c r="W148" s="61">
        <f>IF($A$148="","",$A$148&amp;" ("&amp;$J$148&amp;")")</f>
        <v/>
      </c>
      <c r="X148" s="61" t="n"/>
      <c r="Y148" s="61" t="n"/>
      <c r="Z148" s="61" t="n"/>
      <c r="AA148" s="61" t="n"/>
      <c r="AB148" s="61" t="n"/>
      <c r="AC148" s="61" t="n"/>
      <c r="AD148" s="61" t="n"/>
      <c r="AE148" s="61" t="n"/>
      <c r="AF148" s="61" t="n"/>
      <c r="AG148" s="61" t="n"/>
      <c r="AH148" s="61" t="n"/>
      <c r="AI148" s="61" t="n"/>
      <c r="AJ148" s="61" t="n"/>
      <c r="AK148" s="61" t="n"/>
      <c r="AL148" s="61" t="n"/>
      <c r="AM148" s="61" t="n"/>
      <c r="AN148" s="61">
        <f>Controls!$G$45</f>
        <v/>
      </c>
      <c r="AO148" s="61">
        <f>COUNTIFS(Data!$AK$2:$AK$1105,1,Data!$M$2:$M$1105,$AN$148)</f>
        <v/>
      </c>
      <c r="AP148" s="57">
        <f>SUMIFS(Data!$P$2:$P$1105,Data!$AK$2:$AK$1105,1,Data!$M$2:$M$1105,$AN$148)</f>
        <v/>
      </c>
      <c r="AQ148" s="56">
        <f>IFERROR(SUMIFS(Data!$AN$2:$AN$1105,Data!$AK$2:$AK$1105,1,Data!$M$2:$M$1105,$AN$148)/$AP$148,0)</f>
        <v/>
      </c>
      <c r="AR148" s="57">
        <f>SUMIFS(Data!$AN$2:$AN$1105,Data!$AK$2:$AK$1105,1,Data!$M$2:$M$1105,$AN$148)</f>
        <v/>
      </c>
      <c r="AS148" s="61">
        <f>Controls!$H$45</f>
        <v/>
      </c>
      <c r="AT148" s="61">
        <f>IF(OR(AO148=0,AO148&lt;Controls!$B$20),-1000000000000000,IF(AND(Controls!$B$21="Y",$AN$148="No ISO"),-1000000000000000,IF(Controls!$B$17="Selected only",IF(AS148="Y",AP148,-1000000000000000),IF(Controls!$B$17="Top by funded $",AP148,IF(Controls!$B$17="Top by funded units",AO148,IF(Controls!$B$17="Largest principal lost $",AR148,IF(Controls!$B$17="Highest net profit $",AU148,IF(AO148&lt;Controls!$B$19,-1000000000000000,IF(Controls!$B$17="Highest principal lost rate %",AQ148,IF(Controls!$B$17="Lowest principal lost rate %",1-AQ148,AP148))))))))) +6/1000000)</f>
        <v/>
      </c>
      <c r="AU148" s="57">
        <f>SUMIFS(Data!$AM$2:$AM$1105,Data!$AK$2:$AK$1105,1,Data!$M$2:$M$1105,$AN$148)</f>
        <v/>
      </c>
      <c r="AV148" s="61" t="n"/>
      <c r="AW148" s="61" t="n"/>
      <c r="AX148" s="61" t="n"/>
      <c r="AY148" s="61" t="n"/>
      <c r="AZ148" s="61" t="n"/>
      <c r="BA148" s="61" t="n"/>
      <c r="BB148" s="61">
        <f>Controls!$G$113</f>
        <v/>
      </c>
      <c r="BC148" s="61">
        <f>COUNTIFS(Data!$AK$2:$AK$1105,1,Data!$M$2:$M$1105,$BB$148)</f>
        <v/>
      </c>
      <c r="BD148" s="57">
        <f>SUMIFS(Data!$P$2:$P$1105,Data!$AK$2:$AK$1105,1,Data!$M$2:$M$1105,$BB$148)</f>
        <v/>
      </c>
      <c r="BE148" s="56">
        <f>IF(COUNTIFS(Data!$AK$2:$AK$1105,1,Data!$M$2:$M$1105,$BB$148)&lt;Controls!$B$19,"",IFERROR(SUMIFS(Data!$AN$2:$AN$1105,Data!$AK$2:$AK$1105,1,Data!$M$2:$M$1105,$BB$148)/$BD$148,""))</f>
        <v/>
      </c>
      <c r="BF148" s="56">
        <f>IF(COUNTIFS(Data!$AK$2:$AK$1105,1,Data!$M$2:$M$1105,$BB$148)&lt;Controls!$B$19,"",IFERROR(SUMIFS(Data!$AM$2:$AM$1105,Data!$AK$2:$AK$1105,1,Data!$M$2:$M$1105,$BB$148)/SUMIFS(Data!$P$2:$P$1105,Data!$AK$2:$AK$1105,1,Data!$M$2:$M$1105,$BB$148),""))</f>
        <v/>
      </c>
      <c r="BG148" s="57">
        <f>SUMIFS(Data!$AN$2:$AN$1105,Data!$AK$2:$AK$1105,1,Data!$M$2:$M$1105,$BB$148)</f>
        <v/>
      </c>
      <c r="BH148" s="61" t="n"/>
      <c r="BI148" s="61">
        <f>IF(AND($BC$148&gt;=Controls!$B$22,$BD$148&gt;=LARGE($BD$75:$BD$230,MIN(Controls!$B$18,COUNT($BD$75:$BD$230)))),$BE$148,"")</f>
        <v/>
      </c>
      <c r="BJ148" s="61" t="n"/>
      <c r="BK148" s="61">
        <f>IF($BC$148&lt;Controls!$B$22,"",$BE$148)</f>
        <v/>
      </c>
      <c r="BL148" s="61">
        <f>IF($BC$148&lt;Controls!$B$22,"",$BF$148)</f>
        <v/>
      </c>
      <c r="BM148" s="61">
        <f>IF($BC$148&lt;Controls!$B$22,"",$BG$148)</f>
        <v/>
      </c>
      <c r="BN148" s="61" t="n"/>
      <c r="BO148" s="61" t="n"/>
      <c r="BP148" s="61" t="n"/>
      <c r="BQ148" s="61" t="n"/>
      <c r="BR148" s="61" t="n"/>
      <c r="BS148" s="61" t="n"/>
      <c r="BT148" s="61" t="n"/>
    </row>
    <row r="149" ht="15.75" customHeight="1" s="79">
      <c r="A149" s="61">
        <f>IF(EDATE(Controls!$B$5,1)&gt;Controls!$B$6,"",TEXT(EDATE(Controls!$B$5,1),"YYYY-MM"))</f>
        <v/>
      </c>
      <c r="B149" s="66">
        <f>IF($A$149="",NA(),IFERROR(SUMIFS(Data!$P$2:$P$1105,Data!$AK$2:$AK$1105,1,Data!$BA$2:$BA$1105,$A$149),NA()))</f>
        <v/>
      </c>
      <c r="C149" s="66">
        <f>IF($A$149="",NA(),IFERROR(SUMIFS(Data!$S$2:$S$1105,Data!$AK$2:$AK$1105,1,Data!$BA$2:$BA$1105,$A$149),NA()))</f>
        <v/>
      </c>
      <c r="D149" s="66">
        <f>IF(ISNA($B$149),NA(),$C$149-$B$149)</f>
        <v/>
      </c>
      <c r="E149" s="66">
        <f>IF($A$149="",NA(),IFERROR(SUMIFS(Data!$Q$2:$Q$1105,Data!$AK$2:$AK$1105,1,Data!$BA$2:$BA$1105,$A$149),NA()))</f>
        <v/>
      </c>
      <c r="F149" s="66">
        <f>IF($A$149="",NA(),IFERROR(SUMIFS(Data!$AN$2:$AN$1105,Data!$AK$2:$AK$1105,1,Data!$BA$2:$BA$1105,$A$149),NA()))</f>
        <v/>
      </c>
      <c r="G149" s="62">
        <f>IF($A$149="",NA(),IF(COUNTIFS(Data!$AK$2:$AK$1105,1,Data!$BA$2:$BA$1105,$A$149)&lt;Controls!$B$19,NA(),IFERROR(SUMIFS(Data!$AN$2:$AN$1105,Data!$AK$2:$AK$1105,1,Data!$BA$2:$BA$1105,$A$149)/$B$149,NA())))</f>
        <v/>
      </c>
      <c r="H149" s="62">
        <f>IF($A$149="",NA(),IF(COUNTIFS(Data!$AK$2:$AK$1105,1,Data!$BA$2:$BA$1105,$A$149)&lt;Controls!$B$19,NA(),IFERROR(SUMIFS(Data!$S$2:$S$1105,Data!$AK$2:$AK$1105,1,Data!$BA$2:$BA$1105,$A$149,Data!$AH$2:$AH$1105,1)/SUMIFS(Data!$P$2:$P$1105,Data!$AK$2:$AK$1105,1,Data!$BA$2:$BA$1105,$A$149,Data!$AH$2:$AH$1105,1),NA())))</f>
        <v/>
      </c>
      <c r="I149" s="62">
        <f>IF(ISNA($J$149),NA(),IF($J$149&lt;Controls!$B$19,NA(),IFERROR($D$149/$B$149,NA())))</f>
        <v/>
      </c>
      <c r="J149" s="67">
        <f>IF($A$149="",NA(),IFERROR(COUNTIFS(Data!$AK$2:$AK$1105,1,Data!$BA$2:$BA$1105,$A$149),NA()))</f>
        <v/>
      </c>
      <c r="K149" s="62">
        <f>IF(ISNA($B$149),NA(),IFERROR($B$149/Calc!$BT$6,NA()))</f>
        <v/>
      </c>
      <c r="L149" s="66">
        <f>IF(ISNA($J$149),NA(),IF($J$149&lt;Controls!$B$19,NA(),IFERROR($B$149/$J$149,NA())))</f>
        <v/>
      </c>
      <c r="M149" s="67">
        <f>IF($A$149="",NA(),IF(COUNTIFS(Data!$AK$2:$AK$1105,1,Data!$BA$2:$BA$1105,$A$149)&lt;Controls!$B$19,NA(),IFERROR(AVERAGEIFS(Data!$AE$2:$AE$1105,Data!$AK$2:$AK$1105,1,Data!$BA$2:$BA$1105,$A$149),NA())))</f>
        <v/>
      </c>
      <c r="N149" s="67">
        <f>IF($A$149="",NA(),IF(COUNTIFS(Data!$AK$2:$AK$1105,1,Data!$BA$2:$BA$1105,$A$149)&lt;Controls!$B$19,NA(),IFERROR(AVERAGEIFS(Data!$AD$2:$AD$1105,Data!$AK$2:$AK$1105,1,Data!$BA$2:$BA$1105,$A$149),NA())))</f>
        <v/>
      </c>
      <c r="O149" s="67">
        <f>IF($A$149="",NA(),IF(COUNTIFS(Data!$AK$2:$AK$1105,1,Data!$BA$2:$BA$1105,$A$149)&lt;Controls!$B$19,NA(),IFERROR(AVERAGEIFS(Data!$AS$2:$AS$1105,Data!$AK$2:$AK$1105,1,Data!$BA$2:$BA$1105,$A$149),NA())))</f>
        <v/>
      </c>
      <c r="P149" s="67">
        <f>IF($A$149="",NA(),IF(COUNTIFS(Data!$AK$2:$AK$1105,1,Data!$BA$2:$BA$1105,$A$149)&lt;Controls!$B$19,NA(),IFERROR(AVERAGEIFS(Data!$AT$2:$AT$1105,Data!$AK$2:$AK$1105,1,Data!$BA$2:$BA$1105,$A$149),NA())))</f>
        <v/>
      </c>
      <c r="Q149" s="62">
        <f>IF($A$149="",NA(),IF(COUNTIFS(Data!$AK$2:$AK$1105,1,Data!$BA$2:$BA$1105,$A$149)&lt;Controls!$B$19,NA(),IFERROR(COUNTIFS(Data!$AK$2:$AK$1105,1,Data!$BA$2:$BA$1105,$A$149,Data!$N$2:$N$1105,"Renewal")/COUNTIFS(Data!$AK$2:$AK$1105,1,Data!$BA$2:$BA$1105,$A$149),NA())))</f>
        <v/>
      </c>
      <c r="R149" s="62">
        <f>IF($A$149="",NA(),IF(COUNTIFS(Data!$AK$2:$AK$1105,1,Data!$BA$2:$BA$1105,$A$149)&lt;Controls!$B$19,NA(),IFERROR(SUMIFS(Data!$P$2:$P$1105,Data!$AK$2:$AK$1105,1,Data!$BA$2:$BA$1105,$A$149,Data!$N$2:$N$1105,"Renewal")/SUMIFS(Data!$P$2:$P$1105,Data!$AK$2:$AK$1105,1,Data!$BA$2:$BA$1105,$A$149),NA())))</f>
        <v/>
      </c>
      <c r="S149" s="62">
        <f>IF($A$149="",NA(),Calc!$BT$2)</f>
        <v/>
      </c>
      <c r="T149" s="62">
        <f>IF($A$149="",NA(),Calc!$BT$3)</f>
        <v/>
      </c>
      <c r="U149" s="62">
        <f>IF($A$149="",NA(),Calc!$BT$4)</f>
        <v/>
      </c>
      <c r="V149" s="62">
        <f>IF($A$149="",NA(),IF(COUNTIFS(Data!$AK$2:$AK$1105,1,Data!$BA$2:$BA$1105,$A$149)&lt;Controls!$B$19,NA(),IFERROR(COUNTIFS(Data!$AK$2:$AK$1105,1,Data!$BA$2:$BA$1105,$A$149,Data!$AH$2:$AH$1105,1)/COUNTIFS(Data!$AK$2:$AK$1105,1,Data!$BA$2:$BA$1105,$A$149),NA())))</f>
        <v/>
      </c>
      <c r="W149" s="61">
        <f>IF($A$149="","",$A$149&amp;" ("&amp;$J$149&amp;")")</f>
        <v/>
      </c>
      <c r="X149" s="61" t="n"/>
      <c r="Y149" s="61" t="n"/>
      <c r="Z149" s="61" t="n"/>
      <c r="AA149" s="61" t="n"/>
      <c r="AB149" s="61" t="n"/>
      <c r="AC149" s="61" t="n"/>
      <c r="AD149" s="61" t="n"/>
      <c r="AE149" s="61" t="n"/>
      <c r="AF149" s="61" t="n"/>
      <c r="AG149" s="61" t="n"/>
      <c r="AH149" s="61" t="n"/>
      <c r="AI149" s="61" t="n"/>
      <c r="AJ149" s="61" t="n"/>
      <c r="AK149" s="61" t="n"/>
      <c r="AL149" s="61" t="n"/>
      <c r="AM149" s="61" t="n"/>
      <c r="AN149" s="61">
        <f>Controls!$G$46</f>
        <v/>
      </c>
      <c r="AO149" s="61">
        <f>COUNTIFS(Data!$AK$2:$AK$1105,1,Data!$M$2:$M$1105,$AN$149)</f>
        <v/>
      </c>
      <c r="AP149" s="57">
        <f>SUMIFS(Data!$P$2:$P$1105,Data!$AK$2:$AK$1105,1,Data!$M$2:$M$1105,$AN$149)</f>
        <v/>
      </c>
      <c r="AQ149" s="56">
        <f>IFERROR(SUMIFS(Data!$AN$2:$AN$1105,Data!$AK$2:$AK$1105,1,Data!$M$2:$M$1105,$AN$149)/$AP$149,0)</f>
        <v/>
      </c>
      <c r="AR149" s="57">
        <f>SUMIFS(Data!$AN$2:$AN$1105,Data!$AK$2:$AK$1105,1,Data!$M$2:$M$1105,$AN$149)</f>
        <v/>
      </c>
      <c r="AS149" s="61">
        <f>Controls!$H$46</f>
        <v/>
      </c>
      <c r="AT149" s="61">
        <f>IF(OR(AO149=0,AO149&lt;Controls!$B$20),-1000000000000000,IF(AND(Controls!$B$21="Y",$AN$149="No ISO"),-1000000000000000,IF(Controls!$B$17="Selected only",IF(AS149="Y",AP149,-1000000000000000),IF(Controls!$B$17="Top by funded $",AP149,IF(Controls!$B$17="Top by funded units",AO149,IF(Controls!$B$17="Largest principal lost $",AR149,IF(Controls!$B$17="Highest net profit $",AU149,IF(AO149&lt;Controls!$B$19,-1000000000000000,IF(Controls!$B$17="Highest principal lost rate %",AQ149,IF(Controls!$B$17="Lowest principal lost rate %",1-AQ149,AP149))))))))) +7/1000000)</f>
        <v/>
      </c>
      <c r="AU149" s="57">
        <f>SUMIFS(Data!$AM$2:$AM$1105,Data!$AK$2:$AK$1105,1,Data!$M$2:$M$1105,$AN$149)</f>
        <v/>
      </c>
      <c r="AV149" s="61" t="n"/>
      <c r="AW149" s="61" t="n"/>
      <c r="AX149" s="61" t="n"/>
      <c r="AY149" s="61" t="n"/>
      <c r="AZ149" s="61" t="n"/>
      <c r="BA149" s="61" t="n"/>
      <c r="BB149" s="61">
        <f>Controls!$G$114</f>
        <v/>
      </c>
      <c r="BC149" s="61">
        <f>COUNTIFS(Data!$AK$2:$AK$1105,1,Data!$M$2:$M$1105,$BB$149)</f>
        <v/>
      </c>
      <c r="BD149" s="57">
        <f>SUMIFS(Data!$P$2:$P$1105,Data!$AK$2:$AK$1105,1,Data!$M$2:$M$1105,$BB$149)</f>
        <v/>
      </c>
      <c r="BE149" s="56">
        <f>IF(COUNTIFS(Data!$AK$2:$AK$1105,1,Data!$M$2:$M$1105,$BB$149)&lt;Controls!$B$19,"",IFERROR(SUMIFS(Data!$AN$2:$AN$1105,Data!$AK$2:$AK$1105,1,Data!$M$2:$M$1105,$BB$149)/$BD$149,""))</f>
        <v/>
      </c>
      <c r="BF149" s="56">
        <f>IF(COUNTIFS(Data!$AK$2:$AK$1105,1,Data!$M$2:$M$1105,$BB$149)&lt;Controls!$B$19,"",IFERROR(SUMIFS(Data!$AM$2:$AM$1105,Data!$AK$2:$AK$1105,1,Data!$M$2:$M$1105,$BB$149)/SUMIFS(Data!$P$2:$P$1105,Data!$AK$2:$AK$1105,1,Data!$M$2:$M$1105,$BB$149),""))</f>
        <v/>
      </c>
      <c r="BG149" s="57">
        <f>SUMIFS(Data!$AN$2:$AN$1105,Data!$AK$2:$AK$1105,1,Data!$M$2:$M$1105,$BB$149)</f>
        <v/>
      </c>
      <c r="BH149" s="61" t="n"/>
      <c r="BI149" s="61">
        <f>IF(AND($BC$149&gt;=Controls!$B$22,$BD$149&gt;=LARGE($BD$75:$BD$230,MIN(Controls!$B$18,COUNT($BD$75:$BD$230)))),$BE$149,"")</f>
        <v/>
      </c>
      <c r="BJ149" s="61" t="n"/>
      <c r="BK149" s="61">
        <f>IF($BC$149&lt;Controls!$B$22,"",$BE$149)</f>
        <v/>
      </c>
      <c r="BL149" s="61">
        <f>IF($BC$149&lt;Controls!$B$22,"",$BF$149)</f>
        <v/>
      </c>
      <c r="BM149" s="61">
        <f>IF($BC$149&lt;Controls!$B$22,"",$BG$149)</f>
        <v/>
      </c>
      <c r="BN149" s="61" t="n"/>
      <c r="BO149" s="61" t="n"/>
      <c r="BP149" s="61" t="n"/>
      <c r="BQ149" s="61" t="n"/>
      <c r="BR149" s="61" t="n"/>
      <c r="BS149" s="61" t="n"/>
      <c r="BT149" s="61" t="n"/>
    </row>
    <row r="150" ht="15.75" customHeight="1" s="79">
      <c r="A150" s="61">
        <f>IF(EDATE(Controls!$B$5,2)&gt;Controls!$B$6,"",TEXT(EDATE(Controls!$B$5,2),"YYYY-MM"))</f>
        <v/>
      </c>
      <c r="B150" s="66">
        <f>IF($A$150="",NA(),IFERROR(SUMIFS(Data!$P$2:$P$1105,Data!$AK$2:$AK$1105,1,Data!$BA$2:$BA$1105,$A$150),NA()))</f>
        <v/>
      </c>
      <c r="C150" s="66">
        <f>IF($A$150="",NA(),IFERROR(SUMIFS(Data!$S$2:$S$1105,Data!$AK$2:$AK$1105,1,Data!$BA$2:$BA$1105,$A$150),NA()))</f>
        <v/>
      </c>
      <c r="D150" s="66">
        <f>IF(ISNA($B$150),NA(),$C$150-$B$150)</f>
        <v/>
      </c>
      <c r="E150" s="66">
        <f>IF($A$150="",NA(),IFERROR(SUMIFS(Data!$Q$2:$Q$1105,Data!$AK$2:$AK$1105,1,Data!$BA$2:$BA$1105,$A$150),NA()))</f>
        <v/>
      </c>
      <c r="F150" s="66">
        <f>IF($A$150="",NA(),IFERROR(SUMIFS(Data!$AN$2:$AN$1105,Data!$AK$2:$AK$1105,1,Data!$BA$2:$BA$1105,$A$150),NA()))</f>
        <v/>
      </c>
      <c r="G150" s="62">
        <f>IF($A$150="",NA(),IF(COUNTIFS(Data!$AK$2:$AK$1105,1,Data!$BA$2:$BA$1105,$A$150)&lt;Controls!$B$19,NA(),IFERROR(SUMIFS(Data!$AN$2:$AN$1105,Data!$AK$2:$AK$1105,1,Data!$BA$2:$BA$1105,$A$150)/$B$150,NA())))</f>
        <v/>
      </c>
      <c r="H150" s="62">
        <f>IF($A$150="",NA(),IF(COUNTIFS(Data!$AK$2:$AK$1105,1,Data!$BA$2:$BA$1105,$A$150)&lt;Controls!$B$19,NA(),IFERROR(SUMIFS(Data!$S$2:$S$1105,Data!$AK$2:$AK$1105,1,Data!$BA$2:$BA$1105,$A$150,Data!$AH$2:$AH$1105,1)/SUMIFS(Data!$P$2:$P$1105,Data!$AK$2:$AK$1105,1,Data!$BA$2:$BA$1105,$A$150,Data!$AH$2:$AH$1105,1),NA())))</f>
        <v/>
      </c>
      <c r="I150" s="62">
        <f>IF(ISNA($J$150),NA(),IF($J$150&lt;Controls!$B$19,NA(),IFERROR($D$150/$B$150,NA())))</f>
        <v/>
      </c>
      <c r="J150" s="67">
        <f>IF($A$150="",NA(),IFERROR(COUNTIFS(Data!$AK$2:$AK$1105,1,Data!$BA$2:$BA$1105,$A$150),NA()))</f>
        <v/>
      </c>
      <c r="K150" s="62">
        <f>IF(ISNA($B$150),NA(),IFERROR($B$150/Calc!$BT$6,NA()))</f>
        <v/>
      </c>
      <c r="L150" s="66">
        <f>IF(ISNA($J$150),NA(),IF($J$150&lt;Controls!$B$19,NA(),IFERROR($B$150/$J$150,NA())))</f>
        <v/>
      </c>
      <c r="M150" s="67">
        <f>IF($A$150="",NA(),IF(COUNTIFS(Data!$AK$2:$AK$1105,1,Data!$BA$2:$BA$1105,$A$150)&lt;Controls!$B$19,NA(),IFERROR(AVERAGEIFS(Data!$AE$2:$AE$1105,Data!$AK$2:$AK$1105,1,Data!$BA$2:$BA$1105,$A$150),NA())))</f>
        <v/>
      </c>
      <c r="N150" s="67">
        <f>IF($A$150="",NA(),IF(COUNTIFS(Data!$AK$2:$AK$1105,1,Data!$BA$2:$BA$1105,$A$150)&lt;Controls!$B$19,NA(),IFERROR(AVERAGEIFS(Data!$AD$2:$AD$1105,Data!$AK$2:$AK$1105,1,Data!$BA$2:$BA$1105,$A$150),NA())))</f>
        <v/>
      </c>
      <c r="O150" s="67">
        <f>IF($A$150="",NA(),IF(COUNTIFS(Data!$AK$2:$AK$1105,1,Data!$BA$2:$BA$1105,$A$150)&lt;Controls!$B$19,NA(),IFERROR(AVERAGEIFS(Data!$AS$2:$AS$1105,Data!$AK$2:$AK$1105,1,Data!$BA$2:$BA$1105,$A$150),NA())))</f>
        <v/>
      </c>
      <c r="P150" s="67">
        <f>IF($A$150="",NA(),IF(COUNTIFS(Data!$AK$2:$AK$1105,1,Data!$BA$2:$BA$1105,$A$150)&lt;Controls!$B$19,NA(),IFERROR(AVERAGEIFS(Data!$AT$2:$AT$1105,Data!$AK$2:$AK$1105,1,Data!$BA$2:$BA$1105,$A$150),NA())))</f>
        <v/>
      </c>
      <c r="Q150" s="62">
        <f>IF($A$150="",NA(),IF(COUNTIFS(Data!$AK$2:$AK$1105,1,Data!$BA$2:$BA$1105,$A$150)&lt;Controls!$B$19,NA(),IFERROR(COUNTIFS(Data!$AK$2:$AK$1105,1,Data!$BA$2:$BA$1105,$A$150,Data!$N$2:$N$1105,"Renewal")/COUNTIFS(Data!$AK$2:$AK$1105,1,Data!$BA$2:$BA$1105,$A$150),NA())))</f>
        <v/>
      </c>
      <c r="R150" s="62">
        <f>IF($A$150="",NA(),IF(COUNTIFS(Data!$AK$2:$AK$1105,1,Data!$BA$2:$BA$1105,$A$150)&lt;Controls!$B$19,NA(),IFERROR(SUMIFS(Data!$P$2:$P$1105,Data!$AK$2:$AK$1105,1,Data!$BA$2:$BA$1105,$A$150,Data!$N$2:$N$1105,"Renewal")/SUMIFS(Data!$P$2:$P$1105,Data!$AK$2:$AK$1105,1,Data!$BA$2:$BA$1105,$A$150),NA())))</f>
        <v/>
      </c>
      <c r="S150" s="62">
        <f>IF($A$150="",NA(),Calc!$BT$2)</f>
        <v/>
      </c>
      <c r="T150" s="62">
        <f>IF($A$150="",NA(),Calc!$BT$3)</f>
        <v/>
      </c>
      <c r="U150" s="62">
        <f>IF($A$150="",NA(),Calc!$BT$4)</f>
        <v/>
      </c>
      <c r="V150" s="62">
        <f>IF($A$150="",NA(),IF(COUNTIFS(Data!$AK$2:$AK$1105,1,Data!$BA$2:$BA$1105,$A$150)&lt;Controls!$B$19,NA(),IFERROR(COUNTIFS(Data!$AK$2:$AK$1105,1,Data!$BA$2:$BA$1105,$A$150,Data!$AH$2:$AH$1105,1)/COUNTIFS(Data!$AK$2:$AK$1105,1,Data!$BA$2:$BA$1105,$A$150),NA())))</f>
        <v/>
      </c>
      <c r="W150" s="61">
        <f>IF($A$150="","",$A$150&amp;" ("&amp;$J$150&amp;")")</f>
        <v/>
      </c>
      <c r="X150" s="61" t="n"/>
      <c r="Y150" s="61" t="n"/>
      <c r="Z150" s="61" t="n"/>
      <c r="AA150" s="61" t="n"/>
      <c r="AB150" s="61" t="n"/>
      <c r="AC150" s="61" t="n"/>
      <c r="AD150" s="61" t="n"/>
      <c r="AE150" s="61" t="n"/>
      <c r="AF150" s="61" t="n"/>
      <c r="AG150" s="61" t="n"/>
      <c r="AH150" s="61" t="n"/>
      <c r="AI150" s="61" t="n"/>
      <c r="AJ150" s="61" t="n"/>
      <c r="AK150" s="61" t="n"/>
      <c r="AL150" s="61" t="n"/>
      <c r="AM150" s="61" t="n"/>
      <c r="AN150" s="61">
        <f>Controls!$G$47</f>
        <v/>
      </c>
      <c r="AO150" s="61">
        <f>COUNTIFS(Data!$AK$2:$AK$1105,1,Data!$M$2:$M$1105,$AN$150)</f>
        <v/>
      </c>
      <c r="AP150" s="57">
        <f>SUMIFS(Data!$P$2:$P$1105,Data!$AK$2:$AK$1105,1,Data!$M$2:$M$1105,$AN$150)</f>
        <v/>
      </c>
      <c r="AQ150" s="56">
        <f>IFERROR(SUMIFS(Data!$AN$2:$AN$1105,Data!$AK$2:$AK$1105,1,Data!$M$2:$M$1105,$AN$150)/$AP$150,0)</f>
        <v/>
      </c>
      <c r="AR150" s="57">
        <f>SUMIFS(Data!$AN$2:$AN$1105,Data!$AK$2:$AK$1105,1,Data!$M$2:$M$1105,$AN$150)</f>
        <v/>
      </c>
      <c r="AS150" s="61">
        <f>Controls!$H$47</f>
        <v/>
      </c>
      <c r="AT150" s="61">
        <f>IF(OR(AO150=0,AO150&lt;Controls!$B$20),-1000000000000000,IF(AND(Controls!$B$21="Y",$AN$150="No ISO"),-1000000000000000,IF(Controls!$B$17="Selected only",IF(AS150="Y",AP150,-1000000000000000),IF(Controls!$B$17="Top by funded $",AP150,IF(Controls!$B$17="Top by funded units",AO150,IF(Controls!$B$17="Largest principal lost $",AR150,IF(Controls!$B$17="Highest net profit $",AU150,IF(AO150&lt;Controls!$B$19,-1000000000000000,IF(Controls!$B$17="Highest principal lost rate %",AQ150,IF(Controls!$B$17="Lowest principal lost rate %",1-AQ150,AP150))))))))) +8/1000000)</f>
        <v/>
      </c>
      <c r="AU150" s="57">
        <f>SUMIFS(Data!$AM$2:$AM$1105,Data!$AK$2:$AK$1105,1,Data!$M$2:$M$1105,$AN$150)</f>
        <v/>
      </c>
      <c r="AV150" s="61" t="n"/>
      <c r="AW150" s="61" t="n"/>
      <c r="AX150" s="61" t="n"/>
      <c r="AY150" s="61" t="n"/>
      <c r="AZ150" s="61" t="n"/>
      <c r="BA150" s="61" t="n"/>
      <c r="BB150" s="61">
        <f>Controls!$G$115</f>
        <v/>
      </c>
      <c r="BC150" s="61">
        <f>COUNTIFS(Data!$AK$2:$AK$1105,1,Data!$M$2:$M$1105,$BB$150)</f>
        <v/>
      </c>
      <c r="BD150" s="57">
        <f>SUMIFS(Data!$P$2:$P$1105,Data!$AK$2:$AK$1105,1,Data!$M$2:$M$1105,$BB$150)</f>
        <v/>
      </c>
      <c r="BE150" s="56">
        <f>IF(COUNTIFS(Data!$AK$2:$AK$1105,1,Data!$M$2:$M$1105,$BB$150)&lt;Controls!$B$19,"",IFERROR(SUMIFS(Data!$AN$2:$AN$1105,Data!$AK$2:$AK$1105,1,Data!$M$2:$M$1105,$BB$150)/$BD$150,""))</f>
        <v/>
      </c>
      <c r="BF150" s="56">
        <f>IF(COUNTIFS(Data!$AK$2:$AK$1105,1,Data!$M$2:$M$1105,$BB$150)&lt;Controls!$B$19,"",IFERROR(SUMIFS(Data!$AM$2:$AM$1105,Data!$AK$2:$AK$1105,1,Data!$M$2:$M$1105,$BB$150)/SUMIFS(Data!$P$2:$P$1105,Data!$AK$2:$AK$1105,1,Data!$M$2:$M$1105,$BB$150),""))</f>
        <v/>
      </c>
      <c r="BG150" s="57">
        <f>SUMIFS(Data!$AN$2:$AN$1105,Data!$AK$2:$AK$1105,1,Data!$M$2:$M$1105,$BB$150)</f>
        <v/>
      </c>
      <c r="BH150" s="61" t="n"/>
      <c r="BI150" s="61">
        <f>IF(AND($BC$150&gt;=Controls!$B$22,$BD$150&gt;=LARGE($BD$75:$BD$230,MIN(Controls!$B$18,COUNT($BD$75:$BD$230)))),$BE$150,"")</f>
        <v/>
      </c>
      <c r="BJ150" s="61" t="n"/>
      <c r="BK150" s="61">
        <f>IF($BC$150&lt;Controls!$B$22,"",$BE$150)</f>
        <v/>
      </c>
      <c r="BL150" s="61">
        <f>IF($BC$150&lt;Controls!$B$22,"",$BF$150)</f>
        <v/>
      </c>
      <c r="BM150" s="61">
        <f>IF($BC$150&lt;Controls!$B$22,"",$BG$150)</f>
        <v/>
      </c>
      <c r="BN150" s="61" t="n"/>
      <c r="BO150" s="61" t="n"/>
      <c r="BP150" s="61" t="n"/>
      <c r="BQ150" s="61" t="n"/>
      <c r="BR150" s="61" t="n"/>
      <c r="BS150" s="61" t="n"/>
      <c r="BT150" s="61" t="n"/>
    </row>
    <row r="151" ht="15.75" customHeight="1" s="79">
      <c r="A151" s="61">
        <f>IF(EDATE(Controls!$B$5,3)&gt;Controls!$B$6,"",TEXT(EDATE(Controls!$B$5,3),"YYYY-MM"))</f>
        <v/>
      </c>
      <c r="B151" s="66">
        <f>IF($A$151="",NA(),IFERROR(SUMIFS(Data!$P$2:$P$1105,Data!$AK$2:$AK$1105,1,Data!$BA$2:$BA$1105,$A$151),NA()))</f>
        <v/>
      </c>
      <c r="C151" s="66">
        <f>IF($A$151="",NA(),IFERROR(SUMIFS(Data!$S$2:$S$1105,Data!$AK$2:$AK$1105,1,Data!$BA$2:$BA$1105,$A$151),NA()))</f>
        <v/>
      </c>
      <c r="D151" s="66">
        <f>IF(ISNA($B$151),NA(),$C$151-$B$151)</f>
        <v/>
      </c>
      <c r="E151" s="66">
        <f>IF($A$151="",NA(),IFERROR(SUMIFS(Data!$Q$2:$Q$1105,Data!$AK$2:$AK$1105,1,Data!$BA$2:$BA$1105,$A$151),NA()))</f>
        <v/>
      </c>
      <c r="F151" s="66">
        <f>IF($A$151="",NA(),IFERROR(SUMIFS(Data!$AN$2:$AN$1105,Data!$AK$2:$AK$1105,1,Data!$BA$2:$BA$1105,$A$151),NA()))</f>
        <v/>
      </c>
      <c r="G151" s="62">
        <f>IF($A$151="",NA(),IF(COUNTIFS(Data!$AK$2:$AK$1105,1,Data!$BA$2:$BA$1105,$A$151)&lt;Controls!$B$19,NA(),IFERROR(SUMIFS(Data!$AN$2:$AN$1105,Data!$AK$2:$AK$1105,1,Data!$BA$2:$BA$1105,$A$151)/$B$151,NA())))</f>
        <v/>
      </c>
      <c r="H151" s="62">
        <f>IF($A$151="",NA(),IF(COUNTIFS(Data!$AK$2:$AK$1105,1,Data!$BA$2:$BA$1105,$A$151)&lt;Controls!$B$19,NA(),IFERROR(SUMIFS(Data!$S$2:$S$1105,Data!$AK$2:$AK$1105,1,Data!$BA$2:$BA$1105,$A$151,Data!$AH$2:$AH$1105,1)/SUMIFS(Data!$P$2:$P$1105,Data!$AK$2:$AK$1105,1,Data!$BA$2:$BA$1105,$A$151,Data!$AH$2:$AH$1105,1),NA())))</f>
        <v/>
      </c>
      <c r="I151" s="62">
        <f>IF(ISNA($J$151),NA(),IF($J$151&lt;Controls!$B$19,NA(),IFERROR($D$151/$B$151,NA())))</f>
        <v/>
      </c>
      <c r="J151" s="67">
        <f>IF($A$151="",NA(),IFERROR(COUNTIFS(Data!$AK$2:$AK$1105,1,Data!$BA$2:$BA$1105,$A$151),NA()))</f>
        <v/>
      </c>
      <c r="K151" s="62">
        <f>IF(ISNA($B$151),NA(),IFERROR($B$151/Calc!$BT$6,NA()))</f>
        <v/>
      </c>
      <c r="L151" s="66">
        <f>IF(ISNA($J$151),NA(),IF($J$151&lt;Controls!$B$19,NA(),IFERROR($B$151/$J$151,NA())))</f>
        <v/>
      </c>
      <c r="M151" s="67">
        <f>IF($A$151="",NA(),IF(COUNTIFS(Data!$AK$2:$AK$1105,1,Data!$BA$2:$BA$1105,$A$151)&lt;Controls!$B$19,NA(),IFERROR(AVERAGEIFS(Data!$AE$2:$AE$1105,Data!$AK$2:$AK$1105,1,Data!$BA$2:$BA$1105,$A$151),NA())))</f>
        <v/>
      </c>
      <c r="N151" s="67">
        <f>IF($A$151="",NA(),IF(COUNTIFS(Data!$AK$2:$AK$1105,1,Data!$BA$2:$BA$1105,$A$151)&lt;Controls!$B$19,NA(),IFERROR(AVERAGEIFS(Data!$AD$2:$AD$1105,Data!$AK$2:$AK$1105,1,Data!$BA$2:$BA$1105,$A$151),NA())))</f>
        <v/>
      </c>
      <c r="O151" s="67">
        <f>IF($A$151="",NA(),IF(COUNTIFS(Data!$AK$2:$AK$1105,1,Data!$BA$2:$BA$1105,$A$151)&lt;Controls!$B$19,NA(),IFERROR(AVERAGEIFS(Data!$AS$2:$AS$1105,Data!$AK$2:$AK$1105,1,Data!$BA$2:$BA$1105,$A$151),NA())))</f>
        <v/>
      </c>
      <c r="P151" s="67">
        <f>IF($A$151="",NA(),IF(COUNTIFS(Data!$AK$2:$AK$1105,1,Data!$BA$2:$BA$1105,$A$151)&lt;Controls!$B$19,NA(),IFERROR(AVERAGEIFS(Data!$AT$2:$AT$1105,Data!$AK$2:$AK$1105,1,Data!$BA$2:$BA$1105,$A$151),NA())))</f>
        <v/>
      </c>
      <c r="Q151" s="62">
        <f>IF($A$151="",NA(),IF(COUNTIFS(Data!$AK$2:$AK$1105,1,Data!$BA$2:$BA$1105,$A$151)&lt;Controls!$B$19,NA(),IFERROR(COUNTIFS(Data!$AK$2:$AK$1105,1,Data!$BA$2:$BA$1105,$A$151,Data!$N$2:$N$1105,"Renewal")/COUNTIFS(Data!$AK$2:$AK$1105,1,Data!$BA$2:$BA$1105,$A$151),NA())))</f>
        <v/>
      </c>
      <c r="R151" s="62">
        <f>IF($A$151="",NA(),IF(COUNTIFS(Data!$AK$2:$AK$1105,1,Data!$BA$2:$BA$1105,$A$151)&lt;Controls!$B$19,NA(),IFERROR(SUMIFS(Data!$P$2:$P$1105,Data!$AK$2:$AK$1105,1,Data!$BA$2:$BA$1105,$A$151,Data!$N$2:$N$1105,"Renewal")/SUMIFS(Data!$P$2:$P$1105,Data!$AK$2:$AK$1105,1,Data!$BA$2:$BA$1105,$A$151),NA())))</f>
        <v/>
      </c>
      <c r="S151" s="62">
        <f>IF($A$151="",NA(),Calc!$BT$2)</f>
        <v/>
      </c>
      <c r="T151" s="62">
        <f>IF($A$151="",NA(),Calc!$BT$3)</f>
        <v/>
      </c>
      <c r="U151" s="62">
        <f>IF($A$151="",NA(),Calc!$BT$4)</f>
        <v/>
      </c>
      <c r="V151" s="62">
        <f>IF($A$151="",NA(),IF(COUNTIFS(Data!$AK$2:$AK$1105,1,Data!$BA$2:$BA$1105,$A$151)&lt;Controls!$B$19,NA(),IFERROR(COUNTIFS(Data!$AK$2:$AK$1105,1,Data!$BA$2:$BA$1105,$A$151,Data!$AH$2:$AH$1105,1)/COUNTIFS(Data!$AK$2:$AK$1105,1,Data!$BA$2:$BA$1105,$A$151),NA())))</f>
        <v/>
      </c>
      <c r="W151" s="61">
        <f>IF($A$151="","",$A$151&amp;" ("&amp;$J$151&amp;")")</f>
        <v/>
      </c>
      <c r="X151" s="61" t="n"/>
      <c r="Y151" s="61" t="n"/>
      <c r="Z151" s="61" t="n"/>
      <c r="AA151" s="61" t="n"/>
      <c r="AB151" s="61" t="n"/>
      <c r="AC151" s="61" t="n"/>
      <c r="AD151" s="61" t="n"/>
      <c r="AE151" s="61" t="n"/>
      <c r="AF151" s="61" t="n"/>
      <c r="AG151" s="61" t="n"/>
      <c r="AH151" s="61" t="n"/>
      <c r="AI151" s="61" t="n"/>
      <c r="AJ151" s="61" t="n"/>
      <c r="AK151" s="61" t="n"/>
      <c r="AL151" s="61" t="n"/>
      <c r="AM151" s="61" t="n"/>
      <c r="AN151" s="61">
        <f>Controls!$G$48</f>
        <v/>
      </c>
      <c r="AO151" s="61">
        <f>COUNTIFS(Data!$AK$2:$AK$1105,1,Data!$M$2:$M$1105,$AN$151)</f>
        <v/>
      </c>
      <c r="AP151" s="57">
        <f>SUMIFS(Data!$P$2:$P$1105,Data!$AK$2:$AK$1105,1,Data!$M$2:$M$1105,$AN$151)</f>
        <v/>
      </c>
      <c r="AQ151" s="56">
        <f>IFERROR(SUMIFS(Data!$AN$2:$AN$1105,Data!$AK$2:$AK$1105,1,Data!$M$2:$M$1105,$AN$151)/$AP$151,0)</f>
        <v/>
      </c>
      <c r="AR151" s="57">
        <f>SUMIFS(Data!$AN$2:$AN$1105,Data!$AK$2:$AK$1105,1,Data!$M$2:$M$1105,$AN$151)</f>
        <v/>
      </c>
      <c r="AS151" s="61">
        <f>Controls!$H$48</f>
        <v/>
      </c>
      <c r="AT151" s="61">
        <f>IF(OR(AO151=0,AO151&lt;Controls!$B$20),-1000000000000000,IF(AND(Controls!$B$21="Y",$AN$151="No ISO"),-1000000000000000,IF(Controls!$B$17="Selected only",IF(AS151="Y",AP151,-1000000000000000),IF(Controls!$B$17="Top by funded $",AP151,IF(Controls!$B$17="Top by funded units",AO151,IF(Controls!$B$17="Largest principal lost $",AR151,IF(Controls!$B$17="Highest net profit $",AU151,IF(AO151&lt;Controls!$B$19,-1000000000000000,IF(Controls!$B$17="Highest principal lost rate %",AQ151,IF(Controls!$B$17="Lowest principal lost rate %",1-AQ151,AP151))))))))) +9/1000000)</f>
        <v/>
      </c>
      <c r="AU151" s="57">
        <f>SUMIFS(Data!$AM$2:$AM$1105,Data!$AK$2:$AK$1105,1,Data!$M$2:$M$1105,$AN$151)</f>
        <v/>
      </c>
      <c r="AV151" s="61" t="n"/>
      <c r="AW151" s="61" t="n"/>
      <c r="AX151" s="61" t="n"/>
      <c r="AY151" s="61" t="n"/>
      <c r="AZ151" s="61" t="n"/>
      <c r="BA151" s="61" t="n"/>
      <c r="BB151" s="61">
        <f>Controls!$G$116</f>
        <v/>
      </c>
      <c r="BC151" s="61">
        <f>COUNTIFS(Data!$AK$2:$AK$1105,1,Data!$M$2:$M$1105,$BB$151)</f>
        <v/>
      </c>
      <c r="BD151" s="57">
        <f>SUMIFS(Data!$P$2:$P$1105,Data!$AK$2:$AK$1105,1,Data!$M$2:$M$1105,$BB$151)</f>
        <v/>
      </c>
      <c r="BE151" s="56">
        <f>IF(COUNTIFS(Data!$AK$2:$AK$1105,1,Data!$M$2:$M$1105,$BB$151)&lt;Controls!$B$19,"",IFERROR(SUMIFS(Data!$AN$2:$AN$1105,Data!$AK$2:$AK$1105,1,Data!$M$2:$M$1105,$BB$151)/$BD$151,""))</f>
        <v/>
      </c>
      <c r="BF151" s="56">
        <f>IF(COUNTIFS(Data!$AK$2:$AK$1105,1,Data!$M$2:$M$1105,$BB$151)&lt;Controls!$B$19,"",IFERROR(SUMIFS(Data!$AM$2:$AM$1105,Data!$AK$2:$AK$1105,1,Data!$M$2:$M$1105,$BB$151)/SUMIFS(Data!$P$2:$P$1105,Data!$AK$2:$AK$1105,1,Data!$M$2:$M$1105,$BB$151),""))</f>
        <v/>
      </c>
      <c r="BG151" s="57">
        <f>SUMIFS(Data!$AN$2:$AN$1105,Data!$AK$2:$AK$1105,1,Data!$M$2:$M$1105,$BB$151)</f>
        <v/>
      </c>
      <c r="BH151" s="61" t="n"/>
      <c r="BI151" s="61">
        <f>IF(AND($BC$151&gt;=Controls!$B$22,$BD$151&gt;=LARGE($BD$75:$BD$230,MIN(Controls!$B$18,COUNT($BD$75:$BD$230)))),$BE$151,"")</f>
        <v/>
      </c>
      <c r="BJ151" s="61" t="n"/>
      <c r="BK151" s="61">
        <f>IF($BC$151&lt;Controls!$B$22,"",$BE$151)</f>
        <v/>
      </c>
      <c r="BL151" s="61">
        <f>IF($BC$151&lt;Controls!$B$22,"",$BF$151)</f>
        <v/>
      </c>
      <c r="BM151" s="61">
        <f>IF($BC$151&lt;Controls!$B$22,"",$BG$151)</f>
        <v/>
      </c>
      <c r="BN151" s="61" t="n"/>
      <c r="BO151" s="61" t="n"/>
      <c r="BP151" s="61" t="n"/>
      <c r="BQ151" s="61" t="n"/>
      <c r="BR151" s="61" t="n"/>
      <c r="BS151" s="61" t="n"/>
      <c r="BT151" s="61" t="n"/>
    </row>
    <row r="152" ht="15.75" customHeight="1" s="79">
      <c r="A152" s="61">
        <f>IF(EDATE(Controls!$B$5,4)&gt;Controls!$B$6,"",TEXT(EDATE(Controls!$B$5,4),"YYYY-MM"))</f>
        <v/>
      </c>
      <c r="B152" s="66">
        <f>IF($A$152="",NA(),IFERROR(SUMIFS(Data!$P$2:$P$1105,Data!$AK$2:$AK$1105,1,Data!$BA$2:$BA$1105,$A$152),NA()))</f>
        <v/>
      </c>
      <c r="C152" s="66">
        <f>IF($A$152="",NA(),IFERROR(SUMIFS(Data!$S$2:$S$1105,Data!$AK$2:$AK$1105,1,Data!$BA$2:$BA$1105,$A$152),NA()))</f>
        <v/>
      </c>
      <c r="D152" s="66">
        <f>IF(ISNA($B$152),NA(),$C$152-$B$152)</f>
        <v/>
      </c>
      <c r="E152" s="66">
        <f>IF($A$152="",NA(),IFERROR(SUMIFS(Data!$Q$2:$Q$1105,Data!$AK$2:$AK$1105,1,Data!$BA$2:$BA$1105,$A$152),NA()))</f>
        <v/>
      </c>
      <c r="F152" s="66">
        <f>IF($A$152="",NA(),IFERROR(SUMIFS(Data!$AN$2:$AN$1105,Data!$AK$2:$AK$1105,1,Data!$BA$2:$BA$1105,$A$152),NA()))</f>
        <v/>
      </c>
      <c r="G152" s="62">
        <f>IF($A$152="",NA(),IF(COUNTIFS(Data!$AK$2:$AK$1105,1,Data!$BA$2:$BA$1105,$A$152)&lt;Controls!$B$19,NA(),IFERROR(SUMIFS(Data!$AN$2:$AN$1105,Data!$AK$2:$AK$1105,1,Data!$BA$2:$BA$1105,$A$152)/$B$152,NA())))</f>
        <v/>
      </c>
      <c r="H152" s="62">
        <f>IF($A$152="",NA(),IF(COUNTIFS(Data!$AK$2:$AK$1105,1,Data!$BA$2:$BA$1105,$A$152)&lt;Controls!$B$19,NA(),IFERROR(SUMIFS(Data!$S$2:$S$1105,Data!$AK$2:$AK$1105,1,Data!$BA$2:$BA$1105,$A$152,Data!$AH$2:$AH$1105,1)/SUMIFS(Data!$P$2:$P$1105,Data!$AK$2:$AK$1105,1,Data!$BA$2:$BA$1105,$A$152,Data!$AH$2:$AH$1105,1),NA())))</f>
        <v/>
      </c>
      <c r="I152" s="62">
        <f>IF(ISNA($J$152),NA(),IF($J$152&lt;Controls!$B$19,NA(),IFERROR($D$152/$B$152,NA())))</f>
        <v/>
      </c>
      <c r="J152" s="67">
        <f>IF($A$152="",NA(),IFERROR(COUNTIFS(Data!$AK$2:$AK$1105,1,Data!$BA$2:$BA$1105,$A$152),NA()))</f>
        <v/>
      </c>
      <c r="K152" s="62">
        <f>IF(ISNA($B$152),NA(),IFERROR($B$152/Calc!$BT$6,NA()))</f>
        <v/>
      </c>
      <c r="L152" s="66">
        <f>IF(ISNA($J$152),NA(),IF($J$152&lt;Controls!$B$19,NA(),IFERROR($B$152/$J$152,NA())))</f>
        <v/>
      </c>
      <c r="M152" s="67">
        <f>IF($A$152="",NA(),IF(COUNTIFS(Data!$AK$2:$AK$1105,1,Data!$BA$2:$BA$1105,$A$152)&lt;Controls!$B$19,NA(),IFERROR(AVERAGEIFS(Data!$AE$2:$AE$1105,Data!$AK$2:$AK$1105,1,Data!$BA$2:$BA$1105,$A$152),NA())))</f>
        <v/>
      </c>
      <c r="N152" s="67">
        <f>IF($A$152="",NA(),IF(COUNTIFS(Data!$AK$2:$AK$1105,1,Data!$BA$2:$BA$1105,$A$152)&lt;Controls!$B$19,NA(),IFERROR(AVERAGEIFS(Data!$AD$2:$AD$1105,Data!$AK$2:$AK$1105,1,Data!$BA$2:$BA$1105,$A$152),NA())))</f>
        <v/>
      </c>
      <c r="O152" s="67">
        <f>IF($A$152="",NA(),IF(COUNTIFS(Data!$AK$2:$AK$1105,1,Data!$BA$2:$BA$1105,$A$152)&lt;Controls!$B$19,NA(),IFERROR(AVERAGEIFS(Data!$AS$2:$AS$1105,Data!$AK$2:$AK$1105,1,Data!$BA$2:$BA$1105,$A$152),NA())))</f>
        <v/>
      </c>
      <c r="P152" s="67">
        <f>IF($A$152="",NA(),IF(COUNTIFS(Data!$AK$2:$AK$1105,1,Data!$BA$2:$BA$1105,$A$152)&lt;Controls!$B$19,NA(),IFERROR(AVERAGEIFS(Data!$AT$2:$AT$1105,Data!$AK$2:$AK$1105,1,Data!$BA$2:$BA$1105,$A$152),NA())))</f>
        <v/>
      </c>
      <c r="Q152" s="62">
        <f>IF($A$152="",NA(),IF(COUNTIFS(Data!$AK$2:$AK$1105,1,Data!$BA$2:$BA$1105,$A$152)&lt;Controls!$B$19,NA(),IFERROR(COUNTIFS(Data!$AK$2:$AK$1105,1,Data!$BA$2:$BA$1105,$A$152,Data!$N$2:$N$1105,"Renewal")/COUNTIFS(Data!$AK$2:$AK$1105,1,Data!$BA$2:$BA$1105,$A$152),NA())))</f>
        <v/>
      </c>
      <c r="R152" s="62">
        <f>IF($A$152="",NA(),IF(COUNTIFS(Data!$AK$2:$AK$1105,1,Data!$BA$2:$BA$1105,$A$152)&lt;Controls!$B$19,NA(),IFERROR(SUMIFS(Data!$P$2:$P$1105,Data!$AK$2:$AK$1105,1,Data!$BA$2:$BA$1105,$A$152,Data!$N$2:$N$1105,"Renewal")/SUMIFS(Data!$P$2:$P$1105,Data!$AK$2:$AK$1105,1,Data!$BA$2:$BA$1105,$A$152),NA())))</f>
        <v/>
      </c>
      <c r="S152" s="62">
        <f>IF($A$152="",NA(),Calc!$BT$2)</f>
        <v/>
      </c>
      <c r="T152" s="62">
        <f>IF($A$152="",NA(),Calc!$BT$3)</f>
        <v/>
      </c>
      <c r="U152" s="62">
        <f>IF($A$152="",NA(),Calc!$BT$4)</f>
        <v/>
      </c>
      <c r="V152" s="62">
        <f>IF($A$152="",NA(),IF(COUNTIFS(Data!$AK$2:$AK$1105,1,Data!$BA$2:$BA$1105,$A$152)&lt;Controls!$B$19,NA(),IFERROR(COUNTIFS(Data!$AK$2:$AK$1105,1,Data!$BA$2:$BA$1105,$A$152,Data!$AH$2:$AH$1105,1)/COUNTIFS(Data!$AK$2:$AK$1105,1,Data!$BA$2:$BA$1105,$A$152),NA())))</f>
        <v/>
      </c>
      <c r="W152" s="61">
        <f>IF($A$152="","",$A$152&amp;" ("&amp;$J$152&amp;")")</f>
        <v/>
      </c>
      <c r="X152" s="61" t="n"/>
      <c r="Y152" s="61" t="n"/>
      <c r="Z152" s="61" t="n"/>
      <c r="AA152" s="61" t="n"/>
      <c r="AB152" s="61" t="n"/>
      <c r="AC152" s="61" t="n"/>
      <c r="AD152" s="61" t="n"/>
      <c r="AE152" s="61" t="n"/>
      <c r="AF152" s="61" t="n"/>
      <c r="AG152" s="61" t="n"/>
      <c r="AH152" s="61" t="n"/>
      <c r="AI152" s="61" t="n"/>
      <c r="AJ152" s="61" t="n"/>
      <c r="AK152" s="61" t="n"/>
      <c r="AL152" s="61" t="n"/>
      <c r="AM152" s="61" t="n"/>
      <c r="AN152" s="61">
        <f>Controls!$G$49</f>
        <v/>
      </c>
      <c r="AO152" s="61">
        <f>COUNTIFS(Data!$AK$2:$AK$1105,1,Data!$M$2:$M$1105,$AN$152)</f>
        <v/>
      </c>
      <c r="AP152" s="57">
        <f>SUMIFS(Data!$P$2:$P$1105,Data!$AK$2:$AK$1105,1,Data!$M$2:$M$1105,$AN$152)</f>
        <v/>
      </c>
      <c r="AQ152" s="56">
        <f>IFERROR(SUMIFS(Data!$AN$2:$AN$1105,Data!$AK$2:$AK$1105,1,Data!$M$2:$M$1105,$AN$152)/$AP$152,0)</f>
        <v/>
      </c>
      <c r="AR152" s="57">
        <f>SUMIFS(Data!$AN$2:$AN$1105,Data!$AK$2:$AK$1105,1,Data!$M$2:$M$1105,$AN$152)</f>
        <v/>
      </c>
      <c r="AS152" s="61">
        <f>Controls!$H$49</f>
        <v/>
      </c>
      <c r="AT152" s="61">
        <f>IF(OR(AO152=0,AO152&lt;Controls!$B$20),-1000000000000000,IF(AND(Controls!$B$21="Y",$AN$152="No ISO"),-1000000000000000,IF(Controls!$B$17="Selected only",IF(AS152="Y",AP152,-1000000000000000),IF(Controls!$B$17="Top by funded $",AP152,IF(Controls!$B$17="Top by funded units",AO152,IF(Controls!$B$17="Largest principal lost $",AR152,IF(Controls!$B$17="Highest net profit $",AU152,IF(AO152&lt;Controls!$B$19,-1000000000000000,IF(Controls!$B$17="Highest principal lost rate %",AQ152,IF(Controls!$B$17="Lowest principal lost rate %",1-AQ152,AP152))))))))) +10/1000000)</f>
        <v/>
      </c>
      <c r="AU152" s="57">
        <f>SUMIFS(Data!$AM$2:$AM$1105,Data!$AK$2:$AK$1105,1,Data!$M$2:$M$1105,$AN$152)</f>
        <v/>
      </c>
      <c r="AV152" s="61" t="n"/>
      <c r="AW152" s="61" t="n"/>
      <c r="AX152" s="61" t="n"/>
      <c r="AY152" s="61" t="n"/>
      <c r="AZ152" s="61" t="n"/>
      <c r="BA152" s="61" t="n"/>
      <c r="BB152" s="61">
        <f>Controls!$G$117</f>
        <v/>
      </c>
      <c r="BC152" s="61">
        <f>COUNTIFS(Data!$AK$2:$AK$1105,1,Data!$M$2:$M$1105,$BB$152)</f>
        <v/>
      </c>
      <c r="BD152" s="57">
        <f>SUMIFS(Data!$P$2:$P$1105,Data!$AK$2:$AK$1105,1,Data!$M$2:$M$1105,$BB$152)</f>
        <v/>
      </c>
      <c r="BE152" s="56">
        <f>IF(COUNTIFS(Data!$AK$2:$AK$1105,1,Data!$M$2:$M$1105,$BB$152)&lt;Controls!$B$19,"",IFERROR(SUMIFS(Data!$AN$2:$AN$1105,Data!$AK$2:$AK$1105,1,Data!$M$2:$M$1105,$BB$152)/$BD$152,""))</f>
        <v/>
      </c>
      <c r="BF152" s="56">
        <f>IF(COUNTIFS(Data!$AK$2:$AK$1105,1,Data!$M$2:$M$1105,$BB$152)&lt;Controls!$B$19,"",IFERROR(SUMIFS(Data!$AM$2:$AM$1105,Data!$AK$2:$AK$1105,1,Data!$M$2:$M$1105,$BB$152)/SUMIFS(Data!$P$2:$P$1105,Data!$AK$2:$AK$1105,1,Data!$M$2:$M$1105,$BB$152),""))</f>
        <v/>
      </c>
      <c r="BG152" s="57">
        <f>SUMIFS(Data!$AN$2:$AN$1105,Data!$AK$2:$AK$1105,1,Data!$M$2:$M$1105,$BB$152)</f>
        <v/>
      </c>
      <c r="BH152" s="61" t="n"/>
      <c r="BI152" s="61">
        <f>IF(AND($BC$152&gt;=Controls!$B$22,$BD$152&gt;=LARGE($BD$75:$BD$230,MIN(Controls!$B$18,COUNT($BD$75:$BD$230)))),$BE$152,"")</f>
        <v/>
      </c>
      <c r="BJ152" s="61" t="n"/>
      <c r="BK152" s="61">
        <f>IF($BC$152&lt;Controls!$B$22,"",$BE$152)</f>
        <v/>
      </c>
      <c r="BL152" s="61">
        <f>IF($BC$152&lt;Controls!$B$22,"",$BF$152)</f>
        <v/>
      </c>
      <c r="BM152" s="61">
        <f>IF($BC$152&lt;Controls!$B$22,"",$BG$152)</f>
        <v/>
      </c>
      <c r="BN152" s="61" t="n"/>
      <c r="BO152" s="61" t="n"/>
      <c r="BP152" s="61" t="n"/>
      <c r="BQ152" s="61" t="n"/>
      <c r="BR152" s="61" t="n"/>
      <c r="BS152" s="61" t="n"/>
      <c r="BT152" s="61" t="n"/>
    </row>
    <row r="153" ht="15.75" customHeight="1" s="79">
      <c r="A153" s="61">
        <f>IF(EDATE(Controls!$B$5,5)&gt;Controls!$B$6,"",TEXT(EDATE(Controls!$B$5,5),"YYYY-MM"))</f>
        <v/>
      </c>
      <c r="B153" s="66">
        <f>IF($A$153="",NA(),IFERROR(SUMIFS(Data!$P$2:$P$1105,Data!$AK$2:$AK$1105,1,Data!$BA$2:$BA$1105,$A$153),NA()))</f>
        <v/>
      </c>
      <c r="C153" s="66">
        <f>IF($A$153="",NA(),IFERROR(SUMIFS(Data!$S$2:$S$1105,Data!$AK$2:$AK$1105,1,Data!$BA$2:$BA$1105,$A$153),NA()))</f>
        <v/>
      </c>
      <c r="D153" s="66">
        <f>IF(ISNA($B$153),NA(),$C$153-$B$153)</f>
        <v/>
      </c>
      <c r="E153" s="66">
        <f>IF($A$153="",NA(),IFERROR(SUMIFS(Data!$Q$2:$Q$1105,Data!$AK$2:$AK$1105,1,Data!$BA$2:$BA$1105,$A$153),NA()))</f>
        <v/>
      </c>
      <c r="F153" s="66">
        <f>IF($A$153="",NA(),IFERROR(SUMIFS(Data!$AN$2:$AN$1105,Data!$AK$2:$AK$1105,1,Data!$BA$2:$BA$1105,$A$153),NA()))</f>
        <v/>
      </c>
      <c r="G153" s="62">
        <f>IF($A$153="",NA(),IF(COUNTIFS(Data!$AK$2:$AK$1105,1,Data!$BA$2:$BA$1105,$A$153)&lt;Controls!$B$19,NA(),IFERROR(SUMIFS(Data!$AN$2:$AN$1105,Data!$AK$2:$AK$1105,1,Data!$BA$2:$BA$1105,$A$153)/$B$153,NA())))</f>
        <v/>
      </c>
      <c r="H153" s="62">
        <f>IF($A$153="",NA(),IF(COUNTIFS(Data!$AK$2:$AK$1105,1,Data!$BA$2:$BA$1105,$A$153)&lt;Controls!$B$19,NA(),IFERROR(SUMIFS(Data!$S$2:$S$1105,Data!$AK$2:$AK$1105,1,Data!$BA$2:$BA$1105,$A$153,Data!$AH$2:$AH$1105,1)/SUMIFS(Data!$P$2:$P$1105,Data!$AK$2:$AK$1105,1,Data!$BA$2:$BA$1105,$A$153,Data!$AH$2:$AH$1105,1),NA())))</f>
        <v/>
      </c>
      <c r="I153" s="62">
        <f>IF(ISNA($J$153),NA(),IF($J$153&lt;Controls!$B$19,NA(),IFERROR($D$153/$B$153,NA())))</f>
        <v/>
      </c>
      <c r="J153" s="67">
        <f>IF($A$153="",NA(),IFERROR(COUNTIFS(Data!$AK$2:$AK$1105,1,Data!$BA$2:$BA$1105,$A$153),NA()))</f>
        <v/>
      </c>
      <c r="K153" s="62">
        <f>IF(ISNA($B$153),NA(),IFERROR($B$153/Calc!$BT$6,NA()))</f>
        <v/>
      </c>
      <c r="L153" s="66">
        <f>IF(ISNA($J$153),NA(),IF($J$153&lt;Controls!$B$19,NA(),IFERROR($B$153/$J$153,NA())))</f>
        <v/>
      </c>
      <c r="M153" s="67">
        <f>IF($A$153="",NA(),IF(COUNTIFS(Data!$AK$2:$AK$1105,1,Data!$BA$2:$BA$1105,$A$153)&lt;Controls!$B$19,NA(),IFERROR(AVERAGEIFS(Data!$AE$2:$AE$1105,Data!$AK$2:$AK$1105,1,Data!$BA$2:$BA$1105,$A$153),NA())))</f>
        <v/>
      </c>
      <c r="N153" s="67">
        <f>IF($A$153="",NA(),IF(COUNTIFS(Data!$AK$2:$AK$1105,1,Data!$BA$2:$BA$1105,$A$153)&lt;Controls!$B$19,NA(),IFERROR(AVERAGEIFS(Data!$AD$2:$AD$1105,Data!$AK$2:$AK$1105,1,Data!$BA$2:$BA$1105,$A$153),NA())))</f>
        <v/>
      </c>
      <c r="O153" s="67">
        <f>IF($A$153="",NA(),IF(COUNTIFS(Data!$AK$2:$AK$1105,1,Data!$BA$2:$BA$1105,$A$153)&lt;Controls!$B$19,NA(),IFERROR(AVERAGEIFS(Data!$AS$2:$AS$1105,Data!$AK$2:$AK$1105,1,Data!$BA$2:$BA$1105,$A$153),NA())))</f>
        <v/>
      </c>
      <c r="P153" s="67">
        <f>IF($A$153="",NA(),IF(COUNTIFS(Data!$AK$2:$AK$1105,1,Data!$BA$2:$BA$1105,$A$153)&lt;Controls!$B$19,NA(),IFERROR(AVERAGEIFS(Data!$AT$2:$AT$1105,Data!$AK$2:$AK$1105,1,Data!$BA$2:$BA$1105,$A$153),NA())))</f>
        <v/>
      </c>
      <c r="Q153" s="62">
        <f>IF($A$153="",NA(),IF(COUNTIFS(Data!$AK$2:$AK$1105,1,Data!$BA$2:$BA$1105,$A$153)&lt;Controls!$B$19,NA(),IFERROR(COUNTIFS(Data!$AK$2:$AK$1105,1,Data!$BA$2:$BA$1105,$A$153,Data!$N$2:$N$1105,"Renewal")/COUNTIFS(Data!$AK$2:$AK$1105,1,Data!$BA$2:$BA$1105,$A$153),NA())))</f>
        <v/>
      </c>
      <c r="R153" s="62">
        <f>IF($A$153="",NA(),IF(COUNTIFS(Data!$AK$2:$AK$1105,1,Data!$BA$2:$BA$1105,$A$153)&lt;Controls!$B$19,NA(),IFERROR(SUMIFS(Data!$P$2:$P$1105,Data!$AK$2:$AK$1105,1,Data!$BA$2:$BA$1105,$A$153,Data!$N$2:$N$1105,"Renewal")/SUMIFS(Data!$P$2:$P$1105,Data!$AK$2:$AK$1105,1,Data!$BA$2:$BA$1105,$A$153),NA())))</f>
        <v/>
      </c>
      <c r="S153" s="62">
        <f>IF($A$153="",NA(),Calc!$BT$2)</f>
        <v/>
      </c>
      <c r="T153" s="62">
        <f>IF($A$153="",NA(),Calc!$BT$3)</f>
        <v/>
      </c>
      <c r="U153" s="62">
        <f>IF($A$153="",NA(),Calc!$BT$4)</f>
        <v/>
      </c>
      <c r="V153" s="62">
        <f>IF($A$153="",NA(),IF(COUNTIFS(Data!$AK$2:$AK$1105,1,Data!$BA$2:$BA$1105,$A$153)&lt;Controls!$B$19,NA(),IFERROR(COUNTIFS(Data!$AK$2:$AK$1105,1,Data!$BA$2:$BA$1105,$A$153,Data!$AH$2:$AH$1105,1)/COUNTIFS(Data!$AK$2:$AK$1105,1,Data!$BA$2:$BA$1105,$A$153),NA())))</f>
        <v/>
      </c>
      <c r="W153" s="61">
        <f>IF($A$153="","",$A$153&amp;" ("&amp;$J$153&amp;")")</f>
        <v/>
      </c>
      <c r="X153" s="61" t="n"/>
      <c r="Y153" s="61" t="n"/>
      <c r="Z153" s="61" t="n"/>
      <c r="AA153" s="61" t="n"/>
      <c r="AB153" s="61" t="n"/>
      <c r="AC153" s="61" t="n"/>
      <c r="AD153" s="61" t="n"/>
      <c r="AE153" s="61" t="n"/>
      <c r="AF153" s="61" t="n"/>
      <c r="AG153" s="61" t="n"/>
      <c r="AH153" s="61" t="n"/>
      <c r="AI153" s="61" t="n"/>
      <c r="AJ153" s="61" t="n"/>
      <c r="AK153" s="61" t="n"/>
      <c r="AL153" s="61" t="n"/>
      <c r="AM153" s="61" t="n"/>
      <c r="AN153" s="61">
        <f>Controls!$G$50</f>
        <v/>
      </c>
      <c r="AO153" s="61">
        <f>COUNTIFS(Data!$AK$2:$AK$1105,1,Data!$M$2:$M$1105,$AN$153)</f>
        <v/>
      </c>
      <c r="AP153" s="57">
        <f>SUMIFS(Data!$P$2:$P$1105,Data!$AK$2:$AK$1105,1,Data!$M$2:$M$1105,$AN$153)</f>
        <v/>
      </c>
      <c r="AQ153" s="56">
        <f>IFERROR(SUMIFS(Data!$AN$2:$AN$1105,Data!$AK$2:$AK$1105,1,Data!$M$2:$M$1105,$AN$153)/$AP$153,0)</f>
        <v/>
      </c>
      <c r="AR153" s="57">
        <f>SUMIFS(Data!$AN$2:$AN$1105,Data!$AK$2:$AK$1105,1,Data!$M$2:$M$1105,$AN$153)</f>
        <v/>
      </c>
      <c r="AS153" s="61">
        <f>Controls!$H$50</f>
        <v/>
      </c>
      <c r="AT153" s="61">
        <f>IF(OR(AO153=0,AO153&lt;Controls!$B$20),-1000000000000000,IF(AND(Controls!$B$21="Y",$AN$153="No ISO"),-1000000000000000,IF(Controls!$B$17="Selected only",IF(AS153="Y",AP153,-1000000000000000),IF(Controls!$B$17="Top by funded $",AP153,IF(Controls!$B$17="Top by funded units",AO153,IF(Controls!$B$17="Largest principal lost $",AR153,IF(Controls!$B$17="Highest net profit $",AU153,IF(AO153&lt;Controls!$B$19,-1000000000000000,IF(Controls!$B$17="Highest principal lost rate %",AQ153,IF(Controls!$B$17="Lowest principal lost rate %",1-AQ153,AP153))))))))) +11/1000000)</f>
        <v/>
      </c>
      <c r="AU153" s="57">
        <f>SUMIFS(Data!$AM$2:$AM$1105,Data!$AK$2:$AK$1105,1,Data!$M$2:$M$1105,$AN$153)</f>
        <v/>
      </c>
      <c r="AV153" s="61" t="n"/>
      <c r="AW153" s="61" t="n"/>
      <c r="AX153" s="61" t="n"/>
      <c r="AY153" s="61" t="n"/>
      <c r="AZ153" s="61" t="n"/>
      <c r="BA153" s="61" t="n"/>
      <c r="BB153" s="61">
        <f>Controls!$G$118</f>
        <v/>
      </c>
      <c r="BC153" s="61">
        <f>COUNTIFS(Data!$AK$2:$AK$1105,1,Data!$M$2:$M$1105,$BB$153)</f>
        <v/>
      </c>
      <c r="BD153" s="57">
        <f>SUMIFS(Data!$P$2:$P$1105,Data!$AK$2:$AK$1105,1,Data!$M$2:$M$1105,$BB$153)</f>
        <v/>
      </c>
      <c r="BE153" s="56">
        <f>IF(COUNTIFS(Data!$AK$2:$AK$1105,1,Data!$M$2:$M$1105,$BB$153)&lt;Controls!$B$19,"",IFERROR(SUMIFS(Data!$AN$2:$AN$1105,Data!$AK$2:$AK$1105,1,Data!$M$2:$M$1105,$BB$153)/$BD$153,""))</f>
        <v/>
      </c>
      <c r="BF153" s="56">
        <f>IF(COUNTIFS(Data!$AK$2:$AK$1105,1,Data!$M$2:$M$1105,$BB$153)&lt;Controls!$B$19,"",IFERROR(SUMIFS(Data!$AM$2:$AM$1105,Data!$AK$2:$AK$1105,1,Data!$M$2:$M$1105,$BB$153)/SUMIFS(Data!$P$2:$P$1105,Data!$AK$2:$AK$1105,1,Data!$M$2:$M$1105,$BB$153),""))</f>
        <v/>
      </c>
      <c r="BG153" s="57">
        <f>SUMIFS(Data!$AN$2:$AN$1105,Data!$AK$2:$AK$1105,1,Data!$M$2:$M$1105,$BB$153)</f>
        <v/>
      </c>
      <c r="BH153" s="61" t="n"/>
      <c r="BI153" s="61">
        <f>IF(AND($BC$153&gt;=Controls!$B$22,$BD$153&gt;=LARGE($BD$75:$BD$230,MIN(Controls!$B$18,COUNT($BD$75:$BD$230)))),$BE$153,"")</f>
        <v/>
      </c>
      <c r="BJ153" s="61" t="n"/>
      <c r="BK153" s="61">
        <f>IF($BC$153&lt;Controls!$B$22,"",$BE$153)</f>
        <v/>
      </c>
      <c r="BL153" s="61">
        <f>IF($BC$153&lt;Controls!$B$22,"",$BF$153)</f>
        <v/>
      </c>
      <c r="BM153" s="61">
        <f>IF($BC$153&lt;Controls!$B$22,"",$BG$153)</f>
        <v/>
      </c>
      <c r="BN153" s="61" t="n"/>
      <c r="BO153" s="61" t="n"/>
      <c r="BP153" s="61" t="n"/>
      <c r="BQ153" s="61" t="n"/>
      <c r="BR153" s="61" t="n"/>
      <c r="BS153" s="61" t="n"/>
      <c r="BT153" s="61" t="n"/>
    </row>
    <row r="154" ht="15.75" customHeight="1" s="79">
      <c r="A154" s="61">
        <f>IF(EDATE(Controls!$B$5,6)&gt;Controls!$B$6,"",TEXT(EDATE(Controls!$B$5,6),"YYYY-MM"))</f>
        <v/>
      </c>
      <c r="B154" s="66">
        <f>IF($A$154="",NA(),IFERROR(SUMIFS(Data!$P$2:$P$1105,Data!$AK$2:$AK$1105,1,Data!$BA$2:$BA$1105,$A$154),NA()))</f>
        <v/>
      </c>
      <c r="C154" s="66">
        <f>IF($A$154="",NA(),IFERROR(SUMIFS(Data!$S$2:$S$1105,Data!$AK$2:$AK$1105,1,Data!$BA$2:$BA$1105,$A$154),NA()))</f>
        <v/>
      </c>
      <c r="D154" s="66">
        <f>IF(ISNA($B$154),NA(),$C$154-$B$154)</f>
        <v/>
      </c>
      <c r="E154" s="66">
        <f>IF($A$154="",NA(),IFERROR(SUMIFS(Data!$Q$2:$Q$1105,Data!$AK$2:$AK$1105,1,Data!$BA$2:$BA$1105,$A$154),NA()))</f>
        <v/>
      </c>
      <c r="F154" s="66">
        <f>IF($A$154="",NA(),IFERROR(SUMIFS(Data!$AN$2:$AN$1105,Data!$AK$2:$AK$1105,1,Data!$BA$2:$BA$1105,$A$154),NA()))</f>
        <v/>
      </c>
      <c r="G154" s="62">
        <f>IF($A$154="",NA(),IF(COUNTIFS(Data!$AK$2:$AK$1105,1,Data!$BA$2:$BA$1105,$A$154)&lt;Controls!$B$19,NA(),IFERROR(SUMIFS(Data!$AN$2:$AN$1105,Data!$AK$2:$AK$1105,1,Data!$BA$2:$BA$1105,$A$154)/$B$154,NA())))</f>
        <v/>
      </c>
      <c r="H154" s="62">
        <f>IF($A$154="",NA(),IF(COUNTIFS(Data!$AK$2:$AK$1105,1,Data!$BA$2:$BA$1105,$A$154)&lt;Controls!$B$19,NA(),IFERROR(SUMIFS(Data!$S$2:$S$1105,Data!$AK$2:$AK$1105,1,Data!$BA$2:$BA$1105,$A$154,Data!$AH$2:$AH$1105,1)/SUMIFS(Data!$P$2:$P$1105,Data!$AK$2:$AK$1105,1,Data!$BA$2:$BA$1105,$A$154,Data!$AH$2:$AH$1105,1),NA())))</f>
        <v/>
      </c>
      <c r="I154" s="62">
        <f>IF(ISNA($J$154),NA(),IF($J$154&lt;Controls!$B$19,NA(),IFERROR($D$154/$B$154,NA())))</f>
        <v/>
      </c>
      <c r="J154" s="67">
        <f>IF($A$154="",NA(),IFERROR(COUNTIFS(Data!$AK$2:$AK$1105,1,Data!$BA$2:$BA$1105,$A$154),NA()))</f>
        <v/>
      </c>
      <c r="K154" s="62">
        <f>IF(ISNA($B$154),NA(),IFERROR($B$154/Calc!$BT$6,NA()))</f>
        <v/>
      </c>
      <c r="L154" s="66">
        <f>IF(ISNA($J$154),NA(),IF($J$154&lt;Controls!$B$19,NA(),IFERROR($B$154/$J$154,NA())))</f>
        <v/>
      </c>
      <c r="M154" s="67">
        <f>IF($A$154="",NA(),IF(COUNTIFS(Data!$AK$2:$AK$1105,1,Data!$BA$2:$BA$1105,$A$154)&lt;Controls!$B$19,NA(),IFERROR(AVERAGEIFS(Data!$AE$2:$AE$1105,Data!$AK$2:$AK$1105,1,Data!$BA$2:$BA$1105,$A$154),NA())))</f>
        <v/>
      </c>
      <c r="N154" s="67">
        <f>IF($A$154="",NA(),IF(COUNTIFS(Data!$AK$2:$AK$1105,1,Data!$BA$2:$BA$1105,$A$154)&lt;Controls!$B$19,NA(),IFERROR(AVERAGEIFS(Data!$AD$2:$AD$1105,Data!$AK$2:$AK$1105,1,Data!$BA$2:$BA$1105,$A$154),NA())))</f>
        <v/>
      </c>
      <c r="O154" s="67">
        <f>IF($A$154="",NA(),IF(COUNTIFS(Data!$AK$2:$AK$1105,1,Data!$BA$2:$BA$1105,$A$154)&lt;Controls!$B$19,NA(),IFERROR(AVERAGEIFS(Data!$AS$2:$AS$1105,Data!$AK$2:$AK$1105,1,Data!$BA$2:$BA$1105,$A$154),NA())))</f>
        <v/>
      </c>
      <c r="P154" s="67">
        <f>IF($A$154="",NA(),IF(COUNTIFS(Data!$AK$2:$AK$1105,1,Data!$BA$2:$BA$1105,$A$154)&lt;Controls!$B$19,NA(),IFERROR(AVERAGEIFS(Data!$AT$2:$AT$1105,Data!$AK$2:$AK$1105,1,Data!$BA$2:$BA$1105,$A$154),NA())))</f>
        <v/>
      </c>
      <c r="Q154" s="62">
        <f>IF($A$154="",NA(),IF(COUNTIFS(Data!$AK$2:$AK$1105,1,Data!$BA$2:$BA$1105,$A$154)&lt;Controls!$B$19,NA(),IFERROR(COUNTIFS(Data!$AK$2:$AK$1105,1,Data!$BA$2:$BA$1105,$A$154,Data!$N$2:$N$1105,"Renewal")/COUNTIFS(Data!$AK$2:$AK$1105,1,Data!$BA$2:$BA$1105,$A$154),NA())))</f>
        <v/>
      </c>
      <c r="R154" s="62">
        <f>IF($A$154="",NA(),IF(COUNTIFS(Data!$AK$2:$AK$1105,1,Data!$BA$2:$BA$1105,$A$154)&lt;Controls!$B$19,NA(),IFERROR(SUMIFS(Data!$P$2:$P$1105,Data!$AK$2:$AK$1105,1,Data!$BA$2:$BA$1105,$A$154,Data!$N$2:$N$1105,"Renewal")/SUMIFS(Data!$P$2:$P$1105,Data!$AK$2:$AK$1105,1,Data!$BA$2:$BA$1105,$A$154),NA())))</f>
        <v/>
      </c>
      <c r="S154" s="62">
        <f>IF($A$154="",NA(),Calc!$BT$2)</f>
        <v/>
      </c>
      <c r="T154" s="62">
        <f>IF($A$154="",NA(),Calc!$BT$3)</f>
        <v/>
      </c>
      <c r="U154" s="62">
        <f>IF($A$154="",NA(),Calc!$BT$4)</f>
        <v/>
      </c>
      <c r="V154" s="62">
        <f>IF($A$154="",NA(),IF(COUNTIFS(Data!$AK$2:$AK$1105,1,Data!$BA$2:$BA$1105,$A$154)&lt;Controls!$B$19,NA(),IFERROR(COUNTIFS(Data!$AK$2:$AK$1105,1,Data!$BA$2:$BA$1105,$A$154,Data!$AH$2:$AH$1105,1)/COUNTIFS(Data!$AK$2:$AK$1105,1,Data!$BA$2:$BA$1105,$A$154),NA())))</f>
        <v/>
      </c>
      <c r="W154" s="61">
        <f>IF($A$154="","",$A$154&amp;" ("&amp;$J$154&amp;")")</f>
        <v/>
      </c>
      <c r="X154" s="61" t="n"/>
      <c r="Y154" s="61" t="n"/>
      <c r="Z154" s="61" t="n"/>
      <c r="AA154" s="61" t="n"/>
      <c r="AB154" s="61" t="n"/>
      <c r="AC154" s="61" t="n"/>
      <c r="AD154" s="61" t="n"/>
      <c r="AE154" s="61" t="n"/>
      <c r="AF154" s="61" t="n"/>
      <c r="AG154" s="61" t="n"/>
      <c r="AH154" s="61" t="n"/>
      <c r="AI154" s="61" t="n"/>
      <c r="AJ154" s="61" t="n"/>
      <c r="AK154" s="61" t="n"/>
      <c r="AL154" s="61" t="n"/>
      <c r="AM154" s="61" t="n"/>
      <c r="AN154" s="61">
        <f>Controls!$G$51</f>
        <v/>
      </c>
      <c r="AO154" s="61">
        <f>COUNTIFS(Data!$AK$2:$AK$1105,1,Data!$M$2:$M$1105,$AN$154)</f>
        <v/>
      </c>
      <c r="AP154" s="57">
        <f>SUMIFS(Data!$P$2:$P$1105,Data!$AK$2:$AK$1105,1,Data!$M$2:$M$1105,$AN$154)</f>
        <v/>
      </c>
      <c r="AQ154" s="56">
        <f>IFERROR(SUMIFS(Data!$AN$2:$AN$1105,Data!$AK$2:$AK$1105,1,Data!$M$2:$M$1105,$AN$154)/$AP$154,0)</f>
        <v/>
      </c>
      <c r="AR154" s="57">
        <f>SUMIFS(Data!$AN$2:$AN$1105,Data!$AK$2:$AK$1105,1,Data!$M$2:$M$1105,$AN$154)</f>
        <v/>
      </c>
      <c r="AS154" s="61">
        <f>Controls!$H$51</f>
        <v/>
      </c>
      <c r="AT154" s="61">
        <f>IF(OR(AO154=0,AO154&lt;Controls!$B$20),-1000000000000000,IF(AND(Controls!$B$21="Y",$AN$154="No ISO"),-1000000000000000,IF(Controls!$B$17="Selected only",IF(AS154="Y",AP154,-1000000000000000),IF(Controls!$B$17="Top by funded $",AP154,IF(Controls!$B$17="Top by funded units",AO154,IF(Controls!$B$17="Largest principal lost $",AR154,IF(Controls!$B$17="Highest net profit $",AU154,IF(AO154&lt;Controls!$B$19,-1000000000000000,IF(Controls!$B$17="Highest principal lost rate %",AQ154,IF(Controls!$B$17="Lowest principal lost rate %",1-AQ154,AP154))))))))) +12/1000000)</f>
        <v/>
      </c>
      <c r="AU154" s="57">
        <f>SUMIFS(Data!$AM$2:$AM$1105,Data!$AK$2:$AK$1105,1,Data!$M$2:$M$1105,$AN$154)</f>
        <v/>
      </c>
      <c r="AV154" s="61" t="n"/>
      <c r="AW154" s="61" t="n"/>
      <c r="AX154" s="61" t="n"/>
      <c r="AY154" s="61" t="n"/>
      <c r="AZ154" s="61" t="n"/>
      <c r="BA154" s="61" t="n"/>
      <c r="BB154" s="61">
        <f>Controls!$G$119</f>
        <v/>
      </c>
      <c r="BC154" s="61">
        <f>COUNTIFS(Data!$AK$2:$AK$1105,1,Data!$M$2:$M$1105,$BB$154)</f>
        <v/>
      </c>
      <c r="BD154" s="57">
        <f>SUMIFS(Data!$P$2:$P$1105,Data!$AK$2:$AK$1105,1,Data!$M$2:$M$1105,$BB$154)</f>
        <v/>
      </c>
      <c r="BE154" s="56">
        <f>IF(COUNTIFS(Data!$AK$2:$AK$1105,1,Data!$M$2:$M$1105,$BB$154)&lt;Controls!$B$19,"",IFERROR(SUMIFS(Data!$AN$2:$AN$1105,Data!$AK$2:$AK$1105,1,Data!$M$2:$M$1105,$BB$154)/$BD$154,""))</f>
        <v/>
      </c>
      <c r="BF154" s="56">
        <f>IF(COUNTIFS(Data!$AK$2:$AK$1105,1,Data!$M$2:$M$1105,$BB$154)&lt;Controls!$B$19,"",IFERROR(SUMIFS(Data!$AM$2:$AM$1105,Data!$AK$2:$AK$1105,1,Data!$M$2:$M$1105,$BB$154)/SUMIFS(Data!$P$2:$P$1105,Data!$AK$2:$AK$1105,1,Data!$M$2:$M$1105,$BB$154),""))</f>
        <v/>
      </c>
      <c r="BG154" s="57">
        <f>SUMIFS(Data!$AN$2:$AN$1105,Data!$AK$2:$AK$1105,1,Data!$M$2:$M$1105,$BB$154)</f>
        <v/>
      </c>
      <c r="BH154" s="61" t="n"/>
      <c r="BI154" s="61">
        <f>IF(AND($BC$154&gt;=Controls!$B$22,$BD$154&gt;=LARGE($BD$75:$BD$230,MIN(Controls!$B$18,COUNT($BD$75:$BD$230)))),$BE$154,"")</f>
        <v/>
      </c>
      <c r="BJ154" s="61" t="n"/>
      <c r="BK154" s="61">
        <f>IF($BC$154&lt;Controls!$B$22,"",$BE$154)</f>
        <v/>
      </c>
      <c r="BL154" s="61">
        <f>IF($BC$154&lt;Controls!$B$22,"",$BF$154)</f>
        <v/>
      </c>
      <c r="BM154" s="61">
        <f>IF($BC$154&lt;Controls!$B$22,"",$BG$154)</f>
        <v/>
      </c>
      <c r="BN154" s="61" t="n"/>
      <c r="BO154" s="61" t="n"/>
      <c r="BP154" s="61" t="n"/>
      <c r="BQ154" s="61" t="n"/>
      <c r="BR154" s="61" t="n"/>
      <c r="BS154" s="61" t="n"/>
      <c r="BT154" s="61" t="n"/>
    </row>
    <row r="155" ht="15.75" customHeight="1" s="79">
      <c r="A155" s="61">
        <f>IF(EDATE(Controls!$B$5,7)&gt;Controls!$B$6,"",TEXT(EDATE(Controls!$B$5,7),"YYYY-MM"))</f>
        <v/>
      </c>
      <c r="B155" s="66">
        <f>IF($A$155="",NA(),IFERROR(SUMIFS(Data!$P$2:$P$1105,Data!$AK$2:$AK$1105,1,Data!$BA$2:$BA$1105,$A$155),NA()))</f>
        <v/>
      </c>
      <c r="C155" s="66">
        <f>IF($A$155="",NA(),IFERROR(SUMIFS(Data!$S$2:$S$1105,Data!$AK$2:$AK$1105,1,Data!$BA$2:$BA$1105,$A$155),NA()))</f>
        <v/>
      </c>
      <c r="D155" s="66">
        <f>IF(ISNA($B$155),NA(),$C$155-$B$155)</f>
        <v/>
      </c>
      <c r="E155" s="66">
        <f>IF($A$155="",NA(),IFERROR(SUMIFS(Data!$Q$2:$Q$1105,Data!$AK$2:$AK$1105,1,Data!$BA$2:$BA$1105,$A$155),NA()))</f>
        <v/>
      </c>
      <c r="F155" s="66">
        <f>IF($A$155="",NA(),IFERROR(SUMIFS(Data!$AN$2:$AN$1105,Data!$AK$2:$AK$1105,1,Data!$BA$2:$BA$1105,$A$155),NA()))</f>
        <v/>
      </c>
      <c r="G155" s="62">
        <f>IF($A$155="",NA(),IF(COUNTIFS(Data!$AK$2:$AK$1105,1,Data!$BA$2:$BA$1105,$A$155)&lt;Controls!$B$19,NA(),IFERROR(SUMIFS(Data!$AN$2:$AN$1105,Data!$AK$2:$AK$1105,1,Data!$BA$2:$BA$1105,$A$155)/$B$155,NA())))</f>
        <v/>
      </c>
      <c r="H155" s="62">
        <f>IF($A$155="",NA(),IF(COUNTIFS(Data!$AK$2:$AK$1105,1,Data!$BA$2:$BA$1105,$A$155)&lt;Controls!$B$19,NA(),IFERROR(SUMIFS(Data!$S$2:$S$1105,Data!$AK$2:$AK$1105,1,Data!$BA$2:$BA$1105,$A$155,Data!$AH$2:$AH$1105,1)/SUMIFS(Data!$P$2:$P$1105,Data!$AK$2:$AK$1105,1,Data!$BA$2:$BA$1105,$A$155,Data!$AH$2:$AH$1105,1),NA())))</f>
        <v/>
      </c>
      <c r="I155" s="62">
        <f>IF(ISNA($J$155),NA(),IF($J$155&lt;Controls!$B$19,NA(),IFERROR($D$155/$B$155,NA())))</f>
        <v/>
      </c>
      <c r="J155" s="67">
        <f>IF($A$155="",NA(),IFERROR(COUNTIFS(Data!$AK$2:$AK$1105,1,Data!$BA$2:$BA$1105,$A$155),NA()))</f>
        <v/>
      </c>
      <c r="K155" s="62">
        <f>IF(ISNA($B$155),NA(),IFERROR($B$155/Calc!$BT$6,NA()))</f>
        <v/>
      </c>
      <c r="L155" s="66">
        <f>IF(ISNA($J$155),NA(),IF($J$155&lt;Controls!$B$19,NA(),IFERROR($B$155/$J$155,NA())))</f>
        <v/>
      </c>
      <c r="M155" s="67">
        <f>IF($A$155="",NA(),IF(COUNTIFS(Data!$AK$2:$AK$1105,1,Data!$BA$2:$BA$1105,$A$155)&lt;Controls!$B$19,NA(),IFERROR(AVERAGEIFS(Data!$AE$2:$AE$1105,Data!$AK$2:$AK$1105,1,Data!$BA$2:$BA$1105,$A$155),NA())))</f>
        <v/>
      </c>
      <c r="N155" s="67">
        <f>IF($A$155="",NA(),IF(COUNTIFS(Data!$AK$2:$AK$1105,1,Data!$BA$2:$BA$1105,$A$155)&lt;Controls!$B$19,NA(),IFERROR(AVERAGEIFS(Data!$AD$2:$AD$1105,Data!$AK$2:$AK$1105,1,Data!$BA$2:$BA$1105,$A$155),NA())))</f>
        <v/>
      </c>
      <c r="O155" s="67">
        <f>IF($A$155="",NA(),IF(COUNTIFS(Data!$AK$2:$AK$1105,1,Data!$BA$2:$BA$1105,$A$155)&lt;Controls!$B$19,NA(),IFERROR(AVERAGEIFS(Data!$AS$2:$AS$1105,Data!$AK$2:$AK$1105,1,Data!$BA$2:$BA$1105,$A$155),NA())))</f>
        <v/>
      </c>
      <c r="P155" s="67">
        <f>IF($A$155="",NA(),IF(COUNTIFS(Data!$AK$2:$AK$1105,1,Data!$BA$2:$BA$1105,$A$155)&lt;Controls!$B$19,NA(),IFERROR(AVERAGEIFS(Data!$AT$2:$AT$1105,Data!$AK$2:$AK$1105,1,Data!$BA$2:$BA$1105,$A$155),NA())))</f>
        <v/>
      </c>
      <c r="Q155" s="62">
        <f>IF($A$155="",NA(),IF(COUNTIFS(Data!$AK$2:$AK$1105,1,Data!$BA$2:$BA$1105,$A$155)&lt;Controls!$B$19,NA(),IFERROR(COUNTIFS(Data!$AK$2:$AK$1105,1,Data!$BA$2:$BA$1105,$A$155,Data!$N$2:$N$1105,"Renewal")/COUNTIFS(Data!$AK$2:$AK$1105,1,Data!$BA$2:$BA$1105,$A$155),NA())))</f>
        <v/>
      </c>
      <c r="R155" s="62">
        <f>IF($A$155="",NA(),IF(COUNTIFS(Data!$AK$2:$AK$1105,1,Data!$BA$2:$BA$1105,$A$155)&lt;Controls!$B$19,NA(),IFERROR(SUMIFS(Data!$P$2:$P$1105,Data!$AK$2:$AK$1105,1,Data!$BA$2:$BA$1105,$A$155,Data!$N$2:$N$1105,"Renewal")/SUMIFS(Data!$P$2:$P$1105,Data!$AK$2:$AK$1105,1,Data!$BA$2:$BA$1105,$A$155),NA())))</f>
        <v/>
      </c>
      <c r="S155" s="62">
        <f>IF($A$155="",NA(),Calc!$BT$2)</f>
        <v/>
      </c>
      <c r="T155" s="62">
        <f>IF($A$155="",NA(),Calc!$BT$3)</f>
        <v/>
      </c>
      <c r="U155" s="62">
        <f>IF($A$155="",NA(),Calc!$BT$4)</f>
        <v/>
      </c>
      <c r="V155" s="62">
        <f>IF($A$155="",NA(),IF(COUNTIFS(Data!$AK$2:$AK$1105,1,Data!$BA$2:$BA$1105,$A$155)&lt;Controls!$B$19,NA(),IFERROR(COUNTIFS(Data!$AK$2:$AK$1105,1,Data!$BA$2:$BA$1105,$A$155,Data!$AH$2:$AH$1105,1)/COUNTIFS(Data!$AK$2:$AK$1105,1,Data!$BA$2:$BA$1105,$A$155),NA())))</f>
        <v/>
      </c>
      <c r="W155" s="61">
        <f>IF($A$155="","",$A$155&amp;" ("&amp;$J$155&amp;")")</f>
        <v/>
      </c>
      <c r="X155" s="61" t="n"/>
      <c r="Y155" s="61" t="n"/>
      <c r="Z155" s="61" t="n"/>
      <c r="AA155" s="61" t="n"/>
      <c r="AB155" s="61" t="n"/>
      <c r="AC155" s="61" t="n"/>
      <c r="AD155" s="61" t="n"/>
      <c r="AE155" s="61" t="n"/>
      <c r="AF155" s="61" t="n"/>
      <c r="AG155" s="61" t="n"/>
      <c r="AH155" s="61" t="n"/>
      <c r="AI155" s="61" t="n"/>
      <c r="AJ155" s="61" t="n"/>
      <c r="AK155" s="61" t="n"/>
      <c r="AL155" s="61" t="n"/>
      <c r="AM155" s="61" t="n"/>
      <c r="AN155" s="61">
        <f>Controls!$G$52</f>
        <v/>
      </c>
      <c r="AO155" s="61">
        <f>COUNTIFS(Data!$AK$2:$AK$1105,1,Data!$M$2:$M$1105,$AN$155)</f>
        <v/>
      </c>
      <c r="AP155" s="57">
        <f>SUMIFS(Data!$P$2:$P$1105,Data!$AK$2:$AK$1105,1,Data!$M$2:$M$1105,$AN$155)</f>
        <v/>
      </c>
      <c r="AQ155" s="56">
        <f>IFERROR(SUMIFS(Data!$AN$2:$AN$1105,Data!$AK$2:$AK$1105,1,Data!$M$2:$M$1105,$AN$155)/$AP$155,0)</f>
        <v/>
      </c>
      <c r="AR155" s="57">
        <f>SUMIFS(Data!$AN$2:$AN$1105,Data!$AK$2:$AK$1105,1,Data!$M$2:$M$1105,$AN$155)</f>
        <v/>
      </c>
      <c r="AS155" s="61">
        <f>Controls!$H$52</f>
        <v/>
      </c>
      <c r="AT155" s="61">
        <f>IF(OR(AO155=0,AO155&lt;Controls!$B$20),-1000000000000000,IF(AND(Controls!$B$21="Y",$AN$155="No ISO"),-1000000000000000,IF(Controls!$B$17="Selected only",IF(AS155="Y",AP155,-1000000000000000),IF(Controls!$B$17="Top by funded $",AP155,IF(Controls!$B$17="Top by funded units",AO155,IF(Controls!$B$17="Largest principal lost $",AR155,IF(Controls!$B$17="Highest net profit $",AU155,IF(AO155&lt;Controls!$B$19,-1000000000000000,IF(Controls!$B$17="Highest principal lost rate %",AQ155,IF(Controls!$B$17="Lowest principal lost rate %",1-AQ155,AP155))))))))) +13/1000000)</f>
        <v/>
      </c>
      <c r="AU155" s="57">
        <f>SUMIFS(Data!$AM$2:$AM$1105,Data!$AK$2:$AK$1105,1,Data!$M$2:$M$1105,$AN$155)</f>
        <v/>
      </c>
      <c r="AV155" s="61" t="n"/>
      <c r="AW155" s="61" t="n"/>
      <c r="AX155" s="61" t="n"/>
      <c r="AY155" s="61" t="n"/>
      <c r="AZ155" s="61" t="n"/>
      <c r="BA155" s="61" t="n"/>
      <c r="BB155" s="61">
        <f>Controls!$G$120</f>
        <v/>
      </c>
      <c r="BC155" s="61">
        <f>COUNTIFS(Data!$AK$2:$AK$1105,1,Data!$M$2:$M$1105,$BB$155)</f>
        <v/>
      </c>
      <c r="BD155" s="57">
        <f>SUMIFS(Data!$P$2:$P$1105,Data!$AK$2:$AK$1105,1,Data!$M$2:$M$1105,$BB$155)</f>
        <v/>
      </c>
      <c r="BE155" s="56">
        <f>IF(COUNTIFS(Data!$AK$2:$AK$1105,1,Data!$M$2:$M$1105,$BB$155)&lt;Controls!$B$19,"",IFERROR(SUMIFS(Data!$AN$2:$AN$1105,Data!$AK$2:$AK$1105,1,Data!$M$2:$M$1105,$BB$155)/$BD$155,""))</f>
        <v/>
      </c>
      <c r="BF155" s="56">
        <f>IF(COUNTIFS(Data!$AK$2:$AK$1105,1,Data!$M$2:$M$1105,$BB$155)&lt;Controls!$B$19,"",IFERROR(SUMIFS(Data!$AM$2:$AM$1105,Data!$AK$2:$AK$1105,1,Data!$M$2:$M$1105,$BB$155)/SUMIFS(Data!$P$2:$P$1105,Data!$AK$2:$AK$1105,1,Data!$M$2:$M$1105,$BB$155),""))</f>
        <v/>
      </c>
      <c r="BG155" s="57">
        <f>SUMIFS(Data!$AN$2:$AN$1105,Data!$AK$2:$AK$1105,1,Data!$M$2:$M$1105,$BB$155)</f>
        <v/>
      </c>
      <c r="BH155" s="61" t="n"/>
      <c r="BI155" s="61">
        <f>IF(AND($BC$155&gt;=Controls!$B$22,$BD$155&gt;=LARGE($BD$75:$BD$230,MIN(Controls!$B$18,COUNT($BD$75:$BD$230)))),$BE$155,"")</f>
        <v/>
      </c>
      <c r="BJ155" s="61" t="n"/>
      <c r="BK155" s="61">
        <f>IF($BC$155&lt;Controls!$B$22,"",$BE$155)</f>
        <v/>
      </c>
      <c r="BL155" s="61">
        <f>IF($BC$155&lt;Controls!$B$22,"",$BF$155)</f>
        <v/>
      </c>
      <c r="BM155" s="61">
        <f>IF($BC$155&lt;Controls!$B$22,"",$BG$155)</f>
        <v/>
      </c>
      <c r="BN155" s="61" t="n"/>
      <c r="BO155" s="61" t="n"/>
      <c r="BP155" s="61" t="n"/>
      <c r="BQ155" s="61" t="n"/>
      <c r="BR155" s="61" t="n"/>
      <c r="BS155" s="61" t="n"/>
      <c r="BT155" s="61" t="n"/>
    </row>
    <row r="156" ht="15.75" customHeight="1" s="79">
      <c r="A156" s="61">
        <f>IF(EDATE(Controls!$B$5,8)&gt;Controls!$B$6,"",TEXT(EDATE(Controls!$B$5,8),"YYYY-MM"))</f>
        <v/>
      </c>
      <c r="B156" s="66">
        <f>IF($A$156="",NA(),IFERROR(SUMIFS(Data!$P$2:$P$1105,Data!$AK$2:$AK$1105,1,Data!$BA$2:$BA$1105,$A$156),NA()))</f>
        <v/>
      </c>
      <c r="C156" s="66">
        <f>IF($A$156="",NA(),IFERROR(SUMIFS(Data!$S$2:$S$1105,Data!$AK$2:$AK$1105,1,Data!$BA$2:$BA$1105,$A$156),NA()))</f>
        <v/>
      </c>
      <c r="D156" s="66">
        <f>IF(ISNA($B$156),NA(),$C$156-$B$156)</f>
        <v/>
      </c>
      <c r="E156" s="66">
        <f>IF($A$156="",NA(),IFERROR(SUMIFS(Data!$Q$2:$Q$1105,Data!$AK$2:$AK$1105,1,Data!$BA$2:$BA$1105,$A$156),NA()))</f>
        <v/>
      </c>
      <c r="F156" s="66">
        <f>IF($A$156="",NA(),IFERROR(SUMIFS(Data!$AN$2:$AN$1105,Data!$AK$2:$AK$1105,1,Data!$BA$2:$BA$1105,$A$156),NA()))</f>
        <v/>
      </c>
      <c r="G156" s="62">
        <f>IF($A$156="",NA(),IF(COUNTIFS(Data!$AK$2:$AK$1105,1,Data!$BA$2:$BA$1105,$A$156)&lt;Controls!$B$19,NA(),IFERROR(SUMIFS(Data!$AN$2:$AN$1105,Data!$AK$2:$AK$1105,1,Data!$BA$2:$BA$1105,$A$156)/$B$156,NA())))</f>
        <v/>
      </c>
      <c r="H156" s="62">
        <f>IF($A$156="",NA(),IF(COUNTIFS(Data!$AK$2:$AK$1105,1,Data!$BA$2:$BA$1105,$A$156)&lt;Controls!$B$19,NA(),IFERROR(SUMIFS(Data!$S$2:$S$1105,Data!$AK$2:$AK$1105,1,Data!$BA$2:$BA$1105,$A$156,Data!$AH$2:$AH$1105,1)/SUMIFS(Data!$P$2:$P$1105,Data!$AK$2:$AK$1105,1,Data!$BA$2:$BA$1105,$A$156,Data!$AH$2:$AH$1105,1),NA())))</f>
        <v/>
      </c>
      <c r="I156" s="62">
        <f>IF(ISNA($J$156),NA(),IF($J$156&lt;Controls!$B$19,NA(),IFERROR($D$156/$B$156,NA())))</f>
        <v/>
      </c>
      <c r="J156" s="67">
        <f>IF($A$156="",NA(),IFERROR(COUNTIFS(Data!$AK$2:$AK$1105,1,Data!$BA$2:$BA$1105,$A$156),NA()))</f>
        <v/>
      </c>
      <c r="K156" s="62">
        <f>IF(ISNA($B$156),NA(),IFERROR($B$156/Calc!$BT$6,NA()))</f>
        <v/>
      </c>
      <c r="L156" s="66">
        <f>IF(ISNA($J$156),NA(),IF($J$156&lt;Controls!$B$19,NA(),IFERROR($B$156/$J$156,NA())))</f>
        <v/>
      </c>
      <c r="M156" s="67">
        <f>IF($A$156="",NA(),IF(COUNTIFS(Data!$AK$2:$AK$1105,1,Data!$BA$2:$BA$1105,$A$156)&lt;Controls!$B$19,NA(),IFERROR(AVERAGEIFS(Data!$AE$2:$AE$1105,Data!$AK$2:$AK$1105,1,Data!$BA$2:$BA$1105,$A$156),NA())))</f>
        <v/>
      </c>
      <c r="N156" s="67">
        <f>IF($A$156="",NA(),IF(COUNTIFS(Data!$AK$2:$AK$1105,1,Data!$BA$2:$BA$1105,$A$156)&lt;Controls!$B$19,NA(),IFERROR(AVERAGEIFS(Data!$AD$2:$AD$1105,Data!$AK$2:$AK$1105,1,Data!$BA$2:$BA$1105,$A$156),NA())))</f>
        <v/>
      </c>
      <c r="O156" s="67">
        <f>IF($A$156="",NA(),IF(COUNTIFS(Data!$AK$2:$AK$1105,1,Data!$BA$2:$BA$1105,$A$156)&lt;Controls!$B$19,NA(),IFERROR(AVERAGEIFS(Data!$AS$2:$AS$1105,Data!$AK$2:$AK$1105,1,Data!$BA$2:$BA$1105,$A$156),NA())))</f>
        <v/>
      </c>
      <c r="P156" s="67">
        <f>IF($A$156="",NA(),IF(COUNTIFS(Data!$AK$2:$AK$1105,1,Data!$BA$2:$BA$1105,$A$156)&lt;Controls!$B$19,NA(),IFERROR(AVERAGEIFS(Data!$AT$2:$AT$1105,Data!$AK$2:$AK$1105,1,Data!$BA$2:$BA$1105,$A$156),NA())))</f>
        <v/>
      </c>
      <c r="Q156" s="62">
        <f>IF($A$156="",NA(),IF(COUNTIFS(Data!$AK$2:$AK$1105,1,Data!$BA$2:$BA$1105,$A$156)&lt;Controls!$B$19,NA(),IFERROR(COUNTIFS(Data!$AK$2:$AK$1105,1,Data!$BA$2:$BA$1105,$A$156,Data!$N$2:$N$1105,"Renewal")/COUNTIFS(Data!$AK$2:$AK$1105,1,Data!$BA$2:$BA$1105,$A$156),NA())))</f>
        <v/>
      </c>
      <c r="R156" s="62">
        <f>IF($A$156="",NA(),IF(COUNTIFS(Data!$AK$2:$AK$1105,1,Data!$BA$2:$BA$1105,$A$156)&lt;Controls!$B$19,NA(),IFERROR(SUMIFS(Data!$P$2:$P$1105,Data!$AK$2:$AK$1105,1,Data!$BA$2:$BA$1105,$A$156,Data!$N$2:$N$1105,"Renewal")/SUMIFS(Data!$P$2:$P$1105,Data!$AK$2:$AK$1105,1,Data!$BA$2:$BA$1105,$A$156),NA())))</f>
        <v/>
      </c>
      <c r="S156" s="62">
        <f>IF($A$156="",NA(),Calc!$BT$2)</f>
        <v/>
      </c>
      <c r="T156" s="62">
        <f>IF($A$156="",NA(),Calc!$BT$3)</f>
        <v/>
      </c>
      <c r="U156" s="62">
        <f>IF($A$156="",NA(),Calc!$BT$4)</f>
        <v/>
      </c>
      <c r="V156" s="62">
        <f>IF($A$156="",NA(),IF(COUNTIFS(Data!$AK$2:$AK$1105,1,Data!$BA$2:$BA$1105,$A$156)&lt;Controls!$B$19,NA(),IFERROR(COUNTIFS(Data!$AK$2:$AK$1105,1,Data!$BA$2:$BA$1105,$A$156,Data!$AH$2:$AH$1105,1)/COUNTIFS(Data!$AK$2:$AK$1105,1,Data!$BA$2:$BA$1105,$A$156),NA())))</f>
        <v/>
      </c>
      <c r="W156" s="61">
        <f>IF($A$156="","",$A$156&amp;" ("&amp;$J$156&amp;")")</f>
        <v/>
      </c>
      <c r="X156" s="61" t="n"/>
      <c r="Y156" s="61" t="n"/>
      <c r="Z156" s="61" t="n"/>
      <c r="AA156" s="61" t="n"/>
      <c r="AB156" s="61" t="n"/>
      <c r="AC156" s="61" t="n"/>
      <c r="AD156" s="61" t="n"/>
      <c r="AE156" s="61" t="n"/>
      <c r="AF156" s="61" t="n"/>
      <c r="AG156" s="61" t="n"/>
      <c r="AH156" s="61" t="n"/>
      <c r="AI156" s="61" t="n"/>
      <c r="AJ156" s="61" t="n"/>
      <c r="AK156" s="61" t="n"/>
      <c r="AL156" s="61" t="n"/>
      <c r="AM156" s="61" t="n"/>
      <c r="AN156" s="61">
        <f>Controls!$G$53</f>
        <v/>
      </c>
      <c r="AO156" s="61">
        <f>COUNTIFS(Data!$AK$2:$AK$1105,1,Data!$M$2:$M$1105,$AN$156)</f>
        <v/>
      </c>
      <c r="AP156" s="57">
        <f>SUMIFS(Data!$P$2:$P$1105,Data!$AK$2:$AK$1105,1,Data!$M$2:$M$1105,$AN$156)</f>
        <v/>
      </c>
      <c r="AQ156" s="56">
        <f>IFERROR(SUMIFS(Data!$AN$2:$AN$1105,Data!$AK$2:$AK$1105,1,Data!$M$2:$M$1105,$AN$156)/$AP$156,0)</f>
        <v/>
      </c>
      <c r="AR156" s="57">
        <f>SUMIFS(Data!$AN$2:$AN$1105,Data!$AK$2:$AK$1105,1,Data!$M$2:$M$1105,$AN$156)</f>
        <v/>
      </c>
      <c r="AS156" s="61">
        <f>Controls!$H$53</f>
        <v/>
      </c>
      <c r="AT156" s="61">
        <f>IF(OR(AO156=0,AO156&lt;Controls!$B$20),-1000000000000000,IF(AND(Controls!$B$21="Y",$AN$156="No ISO"),-1000000000000000,IF(Controls!$B$17="Selected only",IF(AS156="Y",AP156,-1000000000000000),IF(Controls!$B$17="Top by funded $",AP156,IF(Controls!$B$17="Top by funded units",AO156,IF(Controls!$B$17="Largest principal lost $",AR156,IF(Controls!$B$17="Highest net profit $",AU156,IF(AO156&lt;Controls!$B$19,-1000000000000000,IF(Controls!$B$17="Highest principal lost rate %",AQ156,IF(Controls!$B$17="Lowest principal lost rate %",1-AQ156,AP156))))))))) +14/1000000)</f>
        <v/>
      </c>
      <c r="AU156" s="57">
        <f>SUMIFS(Data!$AM$2:$AM$1105,Data!$AK$2:$AK$1105,1,Data!$M$2:$M$1105,$AN$156)</f>
        <v/>
      </c>
      <c r="AV156" s="61" t="n"/>
      <c r="AW156" s="61" t="n"/>
      <c r="AX156" s="61" t="n"/>
      <c r="AY156" s="61" t="n"/>
      <c r="AZ156" s="61" t="n"/>
      <c r="BA156" s="61" t="n"/>
      <c r="BB156" s="61">
        <f>Controls!$G$121</f>
        <v/>
      </c>
      <c r="BC156" s="61">
        <f>COUNTIFS(Data!$AK$2:$AK$1105,1,Data!$M$2:$M$1105,$BB$156)</f>
        <v/>
      </c>
      <c r="BD156" s="57">
        <f>SUMIFS(Data!$P$2:$P$1105,Data!$AK$2:$AK$1105,1,Data!$M$2:$M$1105,$BB$156)</f>
        <v/>
      </c>
      <c r="BE156" s="56">
        <f>IF(COUNTIFS(Data!$AK$2:$AK$1105,1,Data!$M$2:$M$1105,$BB$156)&lt;Controls!$B$19,"",IFERROR(SUMIFS(Data!$AN$2:$AN$1105,Data!$AK$2:$AK$1105,1,Data!$M$2:$M$1105,$BB$156)/$BD$156,""))</f>
        <v/>
      </c>
      <c r="BF156" s="56">
        <f>IF(COUNTIFS(Data!$AK$2:$AK$1105,1,Data!$M$2:$M$1105,$BB$156)&lt;Controls!$B$19,"",IFERROR(SUMIFS(Data!$AM$2:$AM$1105,Data!$AK$2:$AK$1105,1,Data!$M$2:$M$1105,$BB$156)/SUMIFS(Data!$P$2:$P$1105,Data!$AK$2:$AK$1105,1,Data!$M$2:$M$1105,$BB$156),""))</f>
        <v/>
      </c>
      <c r="BG156" s="57">
        <f>SUMIFS(Data!$AN$2:$AN$1105,Data!$AK$2:$AK$1105,1,Data!$M$2:$M$1105,$BB$156)</f>
        <v/>
      </c>
      <c r="BH156" s="61" t="n"/>
      <c r="BI156" s="61">
        <f>IF(AND($BC$156&gt;=Controls!$B$22,$BD$156&gt;=LARGE($BD$75:$BD$230,MIN(Controls!$B$18,COUNT($BD$75:$BD$230)))),$BE$156,"")</f>
        <v/>
      </c>
      <c r="BJ156" s="61" t="n"/>
      <c r="BK156" s="61">
        <f>IF($BC$156&lt;Controls!$B$22,"",$BE$156)</f>
        <v/>
      </c>
      <c r="BL156" s="61">
        <f>IF($BC$156&lt;Controls!$B$22,"",$BF$156)</f>
        <v/>
      </c>
      <c r="BM156" s="61">
        <f>IF($BC$156&lt;Controls!$B$22,"",$BG$156)</f>
        <v/>
      </c>
      <c r="BN156" s="61" t="n"/>
      <c r="BO156" s="61" t="n"/>
      <c r="BP156" s="61" t="n"/>
      <c r="BQ156" s="61" t="n"/>
      <c r="BR156" s="61" t="n"/>
      <c r="BS156" s="61" t="n"/>
      <c r="BT156" s="61" t="n"/>
    </row>
    <row r="157" ht="15.75" customHeight="1" s="79">
      <c r="A157" s="61">
        <f>IF(EDATE(Controls!$B$5,9)&gt;Controls!$B$6,"",TEXT(EDATE(Controls!$B$5,9),"YYYY-MM"))</f>
        <v/>
      </c>
      <c r="B157" s="66">
        <f>IF($A$157="",NA(),IFERROR(SUMIFS(Data!$P$2:$P$1105,Data!$AK$2:$AK$1105,1,Data!$BA$2:$BA$1105,$A$157),NA()))</f>
        <v/>
      </c>
      <c r="C157" s="66">
        <f>IF($A$157="",NA(),IFERROR(SUMIFS(Data!$S$2:$S$1105,Data!$AK$2:$AK$1105,1,Data!$BA$2:$BA$1105,$A$157),NA()))</f>
        <v/>
      </c>
      <c r="D157" s="66">
        <f>IF(ISNA($B$157),NA(),$C$157-$B$157)</f>
        <v/>
      </c>
      <c r="E157" s="66">
        <f>IF($A$157="",NA(),IFERROR(SUMIFS(Data!$Q$2:$Q$1105,Data!$AK$2:$AK$1105,1,Data!$BA$2:$BA$1105,$A$157),NA()))</f>
        <v/>
      </c>
      <c r="F157" s="66">
        <f>IF($A$157="",NA(),IFERROR(SUMIFS(Data!$AN$2:$AN$1105,Data!$AK$2:$AK$1105,1,Data!$BA$2:$BA$1105,$A$157),NA()))</f>
        <v/>
      </c>
      <c r="G157" s="62">
        <f>IF($A$157="",NA(),IF(COUNTIFS(Data!$AK$2:$AK$1105,1,Data!$BA$2:$BA$1105,$A$157)&lt;Controls!$B$19,NA(),IFERROR(SUMIFS(Data!$AN$2:$AN$1105,Data!$AK$2:$AK$1105,1,Data!$BA$2:$BA$1105,$A$157)/$B$157,NA())))</f>
        <v/>
      </c>
      <c r="H157" s="62">
        <f>IF($A$157="",NA(),IF(COUNTIFS(Data!$AK$2:$AK$1105,1,Data!$BA$2:$BA$1105,$A$157)&lt;Controls!$B$19,NA(),IFERROR(SUMIFS(Data!$S$2:$S$1105,Data!$AK$2:$AK$1105,1,Data!$BA$2:$BA$1105,$A$157,Data!$AH$2:$AH$1105,1)/SUMIFS(Data!$P$2:$P$1105,Data!$AK$2:$AK$1105,1,Data!$BA$2:$BA$1105,$A$157,Data!$AH$2:$AH$1105,1),NA())))</f>
        <v/>
      </c>
      <c r="I157" s="62">
        <f>IF(ISNA($J$157),NA(),IF($J$157&lt;Controls!$B$19,NA(),IFERROR($D$157/$B$157,NA())))</f>
        <v/>
      </c>
      <c r="J157" s="67">
        <f>IF($A$157="",NA(),IFERROR(COUNTIFS(Data!$AK$2:$AK$1105,1,Data!$BA$2:$BA$1105,$A$157),NA()))</f>
        <v/>
      </c>
      <c r="K157" s="62">
        <f>IF(ISNA($B$157),NA(),IFERROR($B$157/Calc!$BT$6,NA()))</f>
        <v/>
      </c>
      <c r="L157" s="66">
        <f>IF(ISNA($J$157),NA(),IF($J$157&lt;Controls!$B$19,NA(),IFERROR($B$157/$J$157,NA())))</f>
        <v/>
      </c>
      <c r="M157" s="67">
        <f>IF($A$157="",NA(),IF(COUNTIFS(Data!$AK$2:$AK$1105,1,Data!$BA$2:$BA$1105,$A$157)&lt;Controls!$B$19,NA(),IFERROR(AVERAGEIFS(Data!$AE$2:$AE$1105,Data!$AK$2:$AK$1105,1,Data!$BA$2:$BA$1105,$A$157),NA())))</f>
        <v/>
      </c>
      <c r="N157" s="67">
        <f>IF($A$157="",NA(),IF(COUNTIFS(Data!$AK$2:$AK$1105,1,Data!$BA$2:$BA$1105,$A$157)&lt;Controls!$B$19,NA(),IFERROR(AVERAGEIFS(Data!$AD$2:$AD$1105,Data!$AK$2:$AK$1105,1,Data!$BA$2:$BA$1105,$A$157),NA())))</f>
        <v/>
      </c>
      <c r="O157" s="67">
        <f>IF($A$157="",NA(),IF(COUNTIFS(Data!$AK$2:$AK$1105,1,Data!$BA$2:$BA$1105,$A$157)&lt;Controls!$B$19,NA(),IFERROR(AVERAGEIFS(Data!$AS$2:$AS$1105,Data!$AK$2:$AK$1105,1,Data!$BA$2:$BA$1105,$A$157),NA())))</f>
        <v/>
      </c>
      <c r="P157" s="67">
        <f>IF($A$157="",NA(),IF(COUNTIFS(Data!$AK$2:$AK$1105,1,Data!$BA$2:$BA$1105,$A$157)&lt;Controls!$B$19,NA(),IFERROR(AVERAGEIFS(Data!$AT$2:$AT$1105,Data!$AK$2:$AK$1105,1,Data!$BA$2:$BA$1105,$A$157),NA())))</f>
        <v/>
      </c>
      <c r="Q157" s="62">
        <f>IF($A$157="",NA(),IF(COUNTIFS(Data!$AK$2:$AK$1105,1,Data!$BA$2:$BA$1105,$A$157)&lt;Controls!$B$19,NA(),IFERROR(COUNTIFS(Data!$AK$2:$AK$1105,1,Data!$BA$2:$BA$1105,$A$157,Data!$N$2:$N$1105,"Renewal")/COUNTIFS(Data!$AK$2:$AK$1105,1,Data!$BA$2:$BA$1105,$A$157),NA())))</f>
        <v/>
      </c>
      <c r="R157" s="62">
        <f>IF($A$157="",NA(),IF(COUNTIFS(Data!$AK$2:$AK$1105,1,Data!$BA$2:$BA$1105,$A$157)&lt;Controls!$B$19,NA(),IFERROR(SUMIFS(Data!$P$2:$P$1105,Data!$AK$2:$AK$1105,1,Data!$BA$2:$BA$1105,$A$157,Data!$N$2:$N$1105,"Renewal")/SUMIFS(Data!$P$2:$P$1105,Data!$AK$2:$AK$1105,1,Data!$BA$2:$BA$1105,$A$157),NA())))</f>
        <v/>
      </c>
      <c r="S157" s="62">
        <f>IF($A$157="",NA(),Calc!$BT$2)</f>
        <v/>
      </c>
      <c r="T157" s="62">
        <f>IF($A$157="",NA(),Calc!$BT$3)</f>
        <v/>
      </c>
      <c r="U157" s="62">
        <f>IF($A$157="",NA(),Calc!$BT$4)</f>
        <v/>
      </c>
      <c r="V157" s="62">
        <f>IF($A$157="",NA(),IF(COUNTIFS(Data!$AK$2:$AK$1105,1,Data!$BA$2:$BA$1105,$A$157)&lt;Controls!$B$19,NA(),IFERROR(COUNTIFS(Data!$AK$2:$AK$1105,1,Data!$BA$2:$BA$1105,$A$157,Data!$AH$2:$AH$1105,1)/COUNTIFS(Data!$AK$2:$AK$1105,1,Data!$BA$2:$BA$1105,$A$157),NA())))</f>
        <v/>
      </c>
      <c r="W157" s="61">
        <f>IF($A$157="","",$A$157&amp;" ("&amp;$J$157&amp;")")</f>
        <v/>
      </c>
      <c r="X157" s="61" t="n"/>
      <c r="Y157" s="61" t="n"/>
      <c r="Z157" s="61" t="n"/>
      <c r="AA157" s="61" t="n"/>
      <c r="AB157" s="61" t="n"/>
      <c r="AC157" s="61" t="n"/>
      <c r="AD157" s="61" t="n"/>
      <c r="AE157" s="61" t="n"/>
      <c r="AF157" s="61" t="n"/>
      <c r="AG157" s="61" t="n"/>
      <c r="AH157" s="61" t="n"/>
      <c r="AI157" s="61" t="n"/>
      <c r="AJ157" s="61" t="n"/>
      <c r="AK157" s="61" t="n"/>
      <c r="AL157" s="61" t="n"/>
      <c r="AM157" s="61" t="n"/>
      <c r="AN157" s="61">
        <f>Controls!$G$54</f>
        <v/>
      </c>
      <c r="AO157" s="61">
        <f>COUNTIFS(Data!$AK$2:$AK$1105,1,Data!$M$2:$M$1105,$AN$157)</f>
        <v/>
      </c>
      <c r="AP157" s="57">
        <f>SUMIFS(Data!$P$2:$P$1105,Data!$AK$2:$AK$1105,1,Data!$M$2:$M$1105,$AN$157)</f>
        <v/>
      </c>
      <c r="AQ157" s="56">
        <f>IFERROR(SUMIFS(Data!$AN$2:$AN$1105,Data!$AK$2:$AK$1105,1,Data!$M$2:$M$1105,$AN$157)/$AP$157,0)</f>
        <v/>
      </c>
      <c r="AR157" s="57">
        <f>SUMIFS(Data!$AN$2:$AN$1105,Data!$AK$2:$AK$1105,1,Data!$M$2:$M$1105,$AN$157)</f>
        <v/>
      </c>
      <c r="AS157" s="61">
        <f>Controls!$H$54</f>
        <v/>
      </c>
      <c r="AT157" s="61">
        <f>IF(OR(AO157=0,AO157&lt;Controls!$B$20),-1000000000000000,IF(AND(Controls!$B$21="Y",$AN$157="No ISO"),-1000000000000000,IF(Controls!$B$17="Selected only",IF(AS157="Y",AP157,-1000000000000000),IF(Controls!$B$17="Top by funded $",AP157,IF(Controls!$B$17="Top by funded units",AO157,IF(Controls!$B$17="Largest principal lost $",AR157,IF(Controls!$B$17="Highest net profit $",AU157,IF(AO157&lt;Controls!$B$19,-1000000000000000,IF(Controls!$B$17="Highest principal lost rate %",AQ157,IF(Controls!$B$17="Lowest principal lost rate %",1-AQ157,AP157))))))))) +15/1000000)</f>
        <v/>
      </c>
      <c r="AU157" s="57">
        <f>SUMIFS(Data!$AM$2:$AM$1105,Data!$AK$2:$AK$1105,1,Data!$M$2:$M$1105,$AN$157)</f>
        <v/>
      </c>
      <c r="AV157" s="61" t="n"/>
      <c r="AW157" s="61" t="n"/>
      <c r="AX157" s="61" t="n"/>
      <c r="AY157" s="61" t="n"/>
      <c r="AZ157" s="61" t="n"/>
      <c r="BA157" s="61" t="n"/>
      <c r="BB157" s="61">
        <f>Controls!$G$122</f>
        <v/>
      </c>
      <c r="BC157" s="61">
        <f>COUNTIFS(Data!$AK$2:$AK$1105,1,Data!$M$2:$M$1105,$BB$157)</f>
        <v/>
      </c>
      <c r="BD157" s="57">
        <f>SUMIFS(Data!$P$2:$P$1105,Data!$AK$2:$AK$1105,1,Data!$M$2:$M$1105,$BB$157)</f>
        <v/>
      </c>
      <c r="BE157" s="56">
        <f>IF(COUNTIFS(Data!$AK$2:$AK$1105,1,Data!$M$2:$M$1105,$BB$157)&lt;Controls!$B$19,"",IFERROR(SUMIFS(Data!$AN$2:$AN$1105,Data!$AK$2:$AK$1105,1,Data!$M$2:$M$1105,$BB$157)/$BD$157,""))</f>
        <v/>
      </c>
      <c r="BF157" s="56">
        <f>IF(COUNTIFS(Data!$AK$2:$AK$1105,1,Data!$M$2:$M$1105,$BB$157)&lt;Controls!$B$19,"",IFERROR(SUMIFS(Data!$AM$2:$AM$1105,Data!$AK$2:$AK$1105,1,Data!$M$2:$M$1105,$BB$157)/SUMIFS(Data!$P$2:$P$1105,Data!$AK$2:$AK$1105,1,Data!$M$2:$M$1105,$BB$157),""))</f>
        <v/>
      </c>
      <c r="BG157" s="57">
        <f>SUMIFS(Data!$AN$2:$AN$1105,Data!$AK$2:$AK$1105,1,Data!$M$2:$M$1105,$BB$157)</f>
        <v/>
      </c>
      <c r="BH157" s="61" t="n"/>
      <c r="BI157" s="61">
        <f>IF(AND($BC$157&gt;=Controls!$B$22,$BD$157&gt;=LARGE($BD$75:$BD$230,MIN(Controls!$B$18,COUNT($BD$75:$BD$230)))),$BE$157,"")</f>
        <v/>
      </c>
      <c r="BJ157" s="61" t="n"/>
      <c r="BK157" s="61">
        <f>IF($BC$157&lt;Controls!$B$22,"",$BE$157)</f>
        <v/>
      </c>
      <c r="BL157" s="61">
        <f>IF($BC$157&lt;Controls!$B$22,"",$BF$157)</f>
        <v/>
      </c>
      <c r="BM157" s="61">
        <f>IF($BC$157&lt;Controls!$B$22,"",$BG$157)</f>
        <v/>
      </c>
      <c r="BN157" s="61" t="n"/>
      <c r="BO157" s="61" t="n"/>
      <c r="BP157" s="61" t="n"/>
      <c r="BQ157" s="61" t="n"/>
      <c r="BR157" s="61" t="n"/>
      <c r="BS157" s="61" t="n"/>
      <c r="BT157" s="61" t="n"/>
    </row>
    <row r="158" ht="15.75" customHeight="1" s="79">
      <c r="A158" s="61">
        <f>IF(EDATE(Controls!$B$5,10)&gt;Controls!$B$6,"",TEXT(EDATE(Controls!$B$5,10),"YYYY-MM"))</f>
        <v/>
      </c>
      <c r="B158" s="66">
        <f>IF($A$158="",NA(),IFERROR(SUMIFS(Data!$P$2:$P$1105,Data!$AK$2:$AK$1105,1,Data!$BA$2:$BA$1105,$A$158),NA()))</f>
        <v/>
      </c>
      <c r="C158" s="66">
        <f>IF($A$158="",NA(),IFERROR(SUMIFS(Data!$S$2:$S$1105,Data!$AK$2:$AK$1105,1,Data!$BA$2:$BA$1105,$A$158),NA()))</f>
        <v/>
      </c>
      <c r="D158" s="66">
        <f>IF(ISNA($B$158),NA(),$C$158-$B$158)</f>
        <v/>
      </c>
      <c r="E158" s="66">
        <f>IF($A$158="",NA(),IFERROR(SUMIFS(Data!$Q$2:$Q$1105,Data!$AK$2:$AK$1105,1,Data!$BA$2:$BA$1105,$A$158),NA()))</f>
        <v/>
      </c>
      <c r="F158" s="66">
        <f>IF($A$158="",NA(),IFERROR(SUMIFS(Data!$AN$2:$AN$1105,Data!$AK$2:$AK$1105,1,Data!$BA$2:$BA$1105,$A$158),NA()))</f>
        <v/>
      </c>
      <c r="G158" s="62">
        <f>IF($A$158="",NA(),IF(COUNTIFS(Data!$AK$2:$AK$1105,1,Data!$BA$2:$BA$1105,$A$158)&lt;Controls!$B$19,NA(),IFERROR(SUMIFS(Data!$AN$2:$AN$1105,Data!$AK$2:$AK$1105,1,Data!$BA$2:$BA$1105,$A$158)/$B$158,NA())))</f>
        <v/>
      </c>
      <c r="H158" s="62">
        <f>IF($A$158="",NA(),IF(COUNTIFS(Data!$AK$2:$AK$1105,1,Data!$BA$2:$BA$1105,$A$158)&lt;Controls!$B$19,NA(),IFERROR(SUMIFS(Data!$S$2:$S$1105,Data!$AK$2:$AK$1105,1,Data!$BA$2:$BA$1105,$A$158,Data!$AH$2:$AH$1105,1)/SUMIFS(Data!$P$2:$P$1105,Data!$AK$2:$AK$1105,1,Data!$BA$2:$BA$1105,$A$158,Data!$AH$2:$AH$1105,1),NA())))</f>
        <v/>
      </c>
      <c r="I158" s="62">
        <f>IF(ISNA($J$158),NA(),IF($J$158&lt;Controls!$B$19,NA(),IFERROR($D$158/$B$158,NA())))</f>
        <v/>
      </c>
      <c r="J158" s="67">
        <f>IF($A$158="",NA(),IFERROR(COUNTIFS(Data!$AK$2:$AK$1105,1,Data!$BA$2:$BA$1105,$A$158),NA()))</f>
        <v/>
      </c>
      <c r="K158" s="62">
        <f>IF(ISNA($B$158),NA(),IFERROR($B$158/Calc!$BT$6,NA()))</f>
        <v/>
      </c>
      <c r="L158" s="66">
        <f>IF(ISNA($J$158),NA(),IF($J$158&lt;Controls!$B$19,NA(),IFERROR($B$158/$J$158,NA())))</f>
        <v/>
      </c>
      <c r="M158" s="67">
        <f>IF($A$158="",NA(),IF(COUNTIFS(Data!$AK$2:$AK$1105,1,Data!$BA$2:$BA$1105,$A$158)&lt;Controls!$B$19,NA(),IFERROR(AVERAGEIFS(Data!$AE$2:$AE$1105,Data!$AK$2:$AK$1105,1,Data!$BA$2:$BA$1105,$A$158),NA())))</f>
        <v/>
      </c>
      <c r="N158" s="67">
        <f>IF($A$158="",NA(),IF(COUNTIFS(Data!$AK$2:$AK$1105,1,Data!$BA$2:$BA$1105,$A$158)&lt;Controls!$B$19,NA(),IFERROR(AVERAGEIFS(Data!$AD$2:$AD$1105,Data!$AK$2:$AK$1105,1,Data!$BA$2:$BA$1105,$A$158),NA())))</f>
        <v/>
      </c>
      <c r="O158" s="67">
        <f>IF($A$158="",NA(),IF(COUNTIFS(Data!$AK$2:$AK$1105,1,Data!$BA$2:$BA$1105,$A$158)&lt;Controls!$B$19,NA(),IFERROR(AVERAGEIFS(Data!$AS$2:$AS$1105,Data!$AK$2:$AK$1105,1,Data!$BA$2:$BA$1105,$A$158),NA())))</f>
        <v/>
      </c>
      <c r="P158" s="67">
        <f>IF($A$158="",NA(),IF(COUNTIFS(Data!$AK$2:$AK$1105,1,Data!$BA$2:$BA$1105,$A$158)&lt;Controls!$B$19,NA(),IFERROR(AVERAGEIFS(Data!$AT$2:$AT$1105,Data!$AK$2:$AK$1105,1,Data!$BA$2:$BA$1105,$A$158),NA())))</f>
        <v/>
      </c>
      <c r="Q158" s="62">
        <f>IF($A$158="",NA(),IF(COUNTIFS(Data!$AK$2:$AK$1105,1,Data!$BA$2:$BA$1105,$A$158)&lt;Controls!$B$19,NA(),IFERROR(COUNTIFS(Data!$AK$2:$AK$1105,1,Data!$BA$2:$BA$1105,$A$158,Data!$N$2:$N$1105,"Renewal")/COUNTIFS(Data!$AK$2:$AK$1105,1,Data!$BA$2:$BA$1105,$A$158),NA())))</f>
        <v/>
      </c>
      <c r="R158" s="62">
        <f>IF($A$158="",NA(),IF(COUNTIFS(Data!$AK$2:$AK$1105,1,Data!$BA$2:$BA$1105,$A$158)&lt;Controls!$B$19,NA(),IFERROR(SUMIFS(Data!$P$2:$P$1105,Data!$AK$2:$AK$1105,1,Data!$BA$2:$BA$1105,$A$158,Data!$N$2:$N$1105,"Renewal")/SUMIFS(Data!$P$2:$P$1105,Data!$AK$2:$AK$1105,1,Data!$BA$2:$BA$1105,$A$158),NA())))</f>
        <v/>
      </c>
      <c r="S158" s="62">
        <f>IF($A$158="",NA(),Calc!$BT$2)</f>
        <v/>
      </c>
      <c r="T158" s="62">
        <f>IF($A$158="",NA(),Calc!$BT$3)</f>
        <v/>
      </c>
      <c r="U158" s="62">
        <f>IF($A$158="",NA(),Calc!$BT$4)</f>
        <v/>
      </c>
      <c r="V158" s="62">
        <f>IF($A$158="",NA(),IF(COUNTIFS(Data!$AK$2:$AK$1105,1,Data!$BA$2:$BA$1105,$A$158)&lt;Controls!$B$19,NA(),IFERROR(COUNTIFS(Data!$AK$2:$AK$1105,1,Data!$BA$2:$BA$1105,$A$158,Data!$AH$2:$AH$1105,1)/COUNTIFS(Data!$AK$2:$AK$1105,1,Data!$BA$2:$BA$1105,$A$158),NA())))</f>
        <v/>
      </c>
      <c r="W158" s="61">
        <f>IF($A$158="","",$A$158&amp;" ("&amp;$J$158&amp;")")</f>
        <v/>
      </c>
      <c r="X158" s="61" t="n"/>
      <c r="Y158" s="61" t="n"/>
      <c r="Z158" s="61" t="n"/>
      <c r="AA158" s="61" t="n"/>
      <c r="AB158" s="61" t="n"/>
      <c r="AC158" s="61" t="n"/>
      <c r="AD158" s="61" t="n"/>
      <c r="AE158" s="61" t="n"/>
      <c r="AF158" s="61" t="n"/>
      <c r="AG158" s="61" t="n"/>
      <c r="AH158" s="61" t="n"/>
      <c r="AI158" s="61" t="n"/>
      <c r="AJ158" s="61" t="n"/>
      <c r="AK158" s="61" t="n"/>
      <c r="AL158" s="61" t="n"/>
      <c r="AM158" s="61" t="n"/>
      <c r="AN158" s="61">
        <f>Controls!$G$55</f>
        <v/>
      </c>
      <c r="AO158" s="61">
        <f>COUNTIFS(Data!$AK$2:$AK$1105,1,Data!$M$2:$M$1105,$AN$158)</f>
        <v/>
      </c>
      <c r="AP158" s="57">
        <f>SUMIFS(Data!$P$2:$P$1105,Data!$AK$2:$AK$1105,1,Data!$M$2:$M$1105,$AN$158)</f>
        <v/>
      </c>
      <c r="AQ158" s="56">
        <f>IFERROR(SUMIFS(Data!$AN$2:$AN$1105,Data!$AK$2:$AK$1105,1,Data!$M$2:$M$1105,$AN$158)/$AP$158,0)</f>
        <v/>
      </c>
      <c r="AR158" s="57">
        <f>SUMIFS(Data!$AN$2:$AN$1105,Data!$AK$2:$AK$1105,1,Data!$M$2:$M$1105,$AN$158)</f>
        <v/>
      </c>
      <c r="AS158" s="61">
        <f>Controls!$H$55</f>
        <v/>
      </c>
      <c r="AT158" s="61">
        <f>IF(OR(AO158=0,AO158&lt;Controls!$B$20),-1000000000000000,IF(AND(Controls!$B$21="Y",$AN$158="No ISO"),-1000000000000000,IF(Controls!$B$17="Selected only",IF(AS158="Y",AP158,-1000000000000000),IF(Controls!$B$17="Top by funded $",AP158,IF(Controls!$B$17="Top by funded units",AO158,IF(Controls!$B$17="Largest principal lost $",AR158,IF(Controls!$B$17="Highest net profit $",AU158,IF(AO158&lt;Controls!$B$19,-1000000000000000,IF(Controls!$B$17="Highest principal lost rate %",AQ158,IF(Controls!$B$17="Lowest principal lost rate %",1-AQ158,AP158))))))))) +16/1000000)</f>
        <v/>
      </c>
      <c r="AU158" s="57">
        <f>SUMIFS(Data!$AM$2:$AM$1105,Data!$AK$2:$AK$1105,1,Data!$M$2:$M$1105,$AN$158)</f>
        <v/>
      </c>
      <c r="AV158" s="61" t="n"/>
      <c r="AW158" s="61" t="n"/>
      <c r="AX158" s="61" t="n"/>
      <c r="AY158" s="61" t="n"/>
      <c r="AZ158" s="61" t="n"/>
      <c r="BA158" s="61" t="n"/>
      <c r="BB158" s="61">
        <f>Controls!$G$123</f>
        <v/>
      </c>
      <c r="BC158" s="61">
        <f>COUNTIFS(Data!$AK$2:$AK$1105,1,Data!$M$2:$M$1105,$BB$158)</f>
        <v/>
      </c>
      <c r="BD158" s="57">
        <f>SUMIFS(Data!$P$2:$P$1105,Data!$AK$2:$AK$1105,1,Data!$M$2:$M$1105,$BB$158)</f>
        <v/>
      </c>
      <c r="BE158" s="56">
        <f>IF(COUNTIFS(Data!$AK$2:$AK$1105,1,Data!$M$2:$M$1105,$BB$158)&lt;Controls!$B$19,"",IFERROR(SUMIFS(Data!$AN$2:$AN$1105,Data!$AK$2:$AK$1105,1,Data!$M$2:$M$1105,$BB$158)/$BD$158,""))</f>
        <v/>
      </c>
      <c r="BF158" s="56">
        <f>IF(COUNTIFS(Data!$AK$2:$AK$1105,1,Data!$M$2:$M$1105,$BB$158)&lt;Controls!$B$19,"",IFERROR(SUMIFS(Data!$AM$2:$AM$1105,Data!$AK$2:$AK$1105,1,Data!$M$2:$M$1105,$BB$158)/SUMIFS(Data!$P$2:$P$1105,Data!$AK$2:$AK$1105,1,Data!$M$2:$M$1105,$BB$158),""))</f>
        <v/>
      </c>
      <c r="BG158" s="57">
        <f>SUMIFS(Data!$AN$2:$AN$1105,Data!$AK$2:$AK$1105,1,Data!$M$2:$M$1105,$BB$158)</f>
        <v/>
      </c>
      <c r="BH158" s="61" t="n"/>
      <c r="BI158" s="56">
        <f>IF(AND($BC$158&gt;=Controls!$B$22,$BD$158&gt;=LARGE($BD$75:$BD$230,MIN(Controls!$B$18,COUNT($BD$75:$BD$230)))),$BE$158,"")</f>
        <v/>
      </c>
      <c r="BJ158" s="61" t="n"/>
      <c r="BK158" s="56">
        <f>IF($BC$158&lt;Controls!$B$22,"",$BE$158)</f>
        <v/>
      </c>
      <c r="BL158" s="56">
        <f>IF($BC$158&lt;Controls!$B$22,"",$BF$158)</f>
        <v/>
      </c>
      <c r="BM158" s="57">
        <f>IF($BC$158&lt;Controls!$B$22,"",$BG$158)</f>
        <v/>
      </c>
      <c r="BN158" s="61" t="n"/>
      <c r="BO158" s="61" t="n"/>
      <c r="BP158" s="61" t="n"/>
      <c r="BQ158" s="61" t="n"/>
      <c r="BR158" s="61" t="n"/>
      <c r="BS158" s="61" t="n"/>
      <c r="BT158" s="61" t="n"/>
    </row>
    <row r="159" ht="15.75" customHeight="1" s="79">
      <c r="A159" s="61">
        <f>IF(EDATE(Controls!$B$5,11)&gt;Controls!$B$6,"",TEXT(EDATE(Controls!$B$5,11),"YYYY-MM"))</f>
        <v/>
      </c>
      <c r="B159" s="66">
        <f>IF($A$159="",NA(),IFERROR(SUMIFS(Data!$P$2:$P$1105,Data!$AK$2:$AK$1105,1,Data!$BA$2:$BA$1105,$A$159),NA()))</f>
        <v/>
      </c>
      <c r="C159" s="66">
        <f>IF($A$159="",NA(),IFERROR(SUMIFS(Data!$S$2:$S$1105,Data!$AK$2:$AK$1105,1,Data!$BA$2:$BA$1105,$A$159),NA()))</f>
        <v/>
      </c>
      <c r="D159" s="66">
        <f>IF(ISNA($B$159),NA(),$C$159-$B$159)</f>
        <v/>
      </c>
      <c r="E159" s="66">
        <f>IF($A$159="",NA(),IFERROR(SUMIFS(Data!$Q$2:$Q$1105,Data!$AK$2:$AK$1105,1,Data!$BA$2:$BA$1105,$A$159),NA()))</f>
        <v/>
      </c>
      <c r="F159" s="66">
        <f>IF($A$159="",NA(),IFERROR(SUMIFS(Data!$AN$2:$AN$1105,Data!$AK$2:$AK$1105,1,Data!$BA$2:$BA$1105,$A$159),NA()))</f>
        <v/>
      </c>
      <c r="G159" s="62">
        <f>IF($A$159="",NA(),IF(COUNTIFS(Data!$AK$2:$AK$1105,1,Data!$BA$2:$BA$1105,$A$159)&lt;Controls!$B$19,NA(),IFERROR(SUMIFS(Data!$AN$2:$AN$1105,Data!$AK$2:$AK$1105,1,Data!$BA$2:$BA$1105,$A$159)/$B$159,NA())))</f>
        <v/>
      </c>
      <c r="H159" s="62">
        <f>IF($A$159="",NA(),IF(COUNTIFS(Data!$AK$2:$AK$1105,1,Data!$BA$2:$BA$1105,$A$159)&lt;Controls!$B$19,NA(),IFERROR(SUMIFS(Data!$S$2:$S$1105,Data!$AK$2:$AK$1105,1,Data!$BA$2:$BA$1105,$A$159,Data!$AH$2:$AH$1105,1)/SUMIFS(Data!$P$2:$P$1105,Data!$AK$2:$AK$1105,1,Data!$BA$2:$BA$1105,$A$159,Data!$AH$2:$AH$1105,1),NA())))</f>
        <v/>
      </c>
      <c r="I159" s="62">
        <f>IF(ISNA($J$159),NA(),IF($J$159&lt;Controls!$B$19,NA(),IFERROR($D$159/$B$159,NA())))</f>
        <v/>
      </c>
      <c r="J159" s="67">
        <f>IF($A$159="",NA(),IFERROR(COUNTIFS(Data!$AK$2:$AK$1105,1,Data!$BA$2:$BA$1105,$A$159),NA()))</f>
        <v/>
      </c>
      <c r="K159" s="62">
        <f>IF(ISNA($B$159),NA(),IFERROR($B$159/Calc!$BT$6,NA()))</f>
        <v/>
      </c>
      <c r="L159" s="66">
        <f>IF(ISNA($J$159),NA(),IF($J$159&lt;Controls!$B$19,NA(),IFERROR($B$159/$J$159,NA())))</f>
        <v/>
      </c>
      <c r="M159" s="67">
        <f>IF($A$159="",NA(),IF(COUNTIFS(Data!$AK$2:$AK$1105,1,Data!$BA$2:$BA$1105,$A$159)&lt;Controls!$B$19,NA(),IFERROR(AVERAGEIFS(Data!$AE$2:$AE$1105,Data!$AK$2:$AK$1105,1,Data!$BA$2:$BA$1105,$A$159),NA())))</f>
        <v/>
      </c>
      <c r="N159" s="67">
        <f>IF($A$159="",NA(),IF(COUNTIFS(Data!$AK$2:$AK$1105,1,Data!$BA$2:$BA$1105,$A$159)&lt;Controls!$B$19,NA(),IFERROR(AVERAGEIFS(Data!$AD$2:$AD$1105,Data!$AK$2:$AK$1105,1,Data!$BA$2:$BA$1105,$A$159),NA())))</f>
        <v/>
      </c>
      <c r="O159" s="67">
        <f>IF($A$159="",NA(),IF(COUNTIFS(Data!$AK$2:$AK$1105,1,Data!$BA$2:$BA$1105,$A$159)&lt;Controls!$B$19,NA(),IFERROR(AVERAGEIFS(Data!$AS$2:$AS$1105,Data!$AK$2:$AK$1105,1,Data!$BA$2:$BA$1105,$A$159),NA())))</f>
        <v/>
      </c>
      <c r="P159" s="67">
        <f>IF($A$159="",NA(),IF(COUNTIFS(Data!$AK$2:$AK$1105,1,Data!$BA$2:$BA$1105,$A$159)&lt;Controls!$B$19,NA(),IFERROR(AVERAGEIFS(Data!$AT$2:$AT$1105,Data!$AK$2:$AK$1105,1,Data!$BA$2:$BA$1105,$A$159),NA())))</f>
        <v/>
      </c>
      <c r="Q159" s="62">
        <f>IF($A$159="",NA(),IF(COUNTIFS(Data!$AK$2:$AK$1105,1,Data!$BA$2:$BA$1105,$A$159)&lt;Controls!$B$19,NA(),IFERROR(COUNTIFS(Data!$AK$2:$AK$1105,1,Data!$BA$2:$BA$1105,$A$159,Data!$N$2:$N$1105,"Renewal")/COUNTIFS(Data!$AK$2:$AK$1105,1,Data!$BA$2:$BA$1105,$A$159),NA())))</f>
        <v/>
      </c>
      <c r="R159" s="62">
        <f>IF($A$159="",NA(),IF(COUNTIFS(Data!$AK$2:$AK$1105,1,Data!$BA$2:$BA$1105,$A$159)&lt;Controls!$B$19,NA(),IFERROR(SUMIFS(Data!$P$2:$P$1105,Data!$AK$2:$AK$1105,1,Data!$BA$2:$BA$1105,$A$159,Data!$N$2:$N$1105,"Renewal")/SUMIFS(Data!$P$2:$P$1105,Data!$AK$2:$AK$1105,1,Data!$BA$2:$BA$1105,$A$159),NA())))</f>
        <v/>
      </c>
      <c r="S159" s="62">
        <f>IF($A$159="",NA(),Calc!$BT$2)</f>
        <v/>
      </c>
      <c r="T159" s="62">
        <f>IF($A$159="",NA(),Calc!$BT$3)</f>
        <v/>
      </c>
      <c r="U159" s="62">
        <f>IF($A$159="",NA(),Calc!$BT$4)</f>
        <v/>
      </c>
      <c r="V159" s="62">
        <f>IF($A$159="",NA(),IF(COUNTIFS(Data!$AK$2:$AK$1105,1,Data!$BA$2:$BA$1105,$A$159)&lt;Controls!$B$19,NA(),IFERROR(COUNTIFS(Data!$AK$2:$AK$1105,1,Data!$BA$2:$BA$1105,$A$159,Data!$AH$2:$AH$1105,1)/COUNTIFS(Data!$AK$2:$AK$1105,1,Data!$BA$2:$BA$1105,$A$159),NA())))</f>
        <v/>
      </c>
      <c r="W159" s="61">
        <f>IF($A$159="","",$A$159&amp;" ("&amp;$J$159&amp;")")</f>
        <v/>
      </c>
      <c r="X159" s="61" t="n"/>
      <c r="Y159" s="61" t="n"/>
      <c r="Z159" s="61" t="n"/>
      <c r="AA159" s="61" t="n"/>
      <c r="AB159" s="61" t="n"/>
      <c r="AC159" s="61" t="n"/>
      <c r="AD159" s="61" t="n"/>
      <c r="AE159" s="61" t="n"/>
      <c r="AF159" s="61" t="n"/>
      <c r="AG159" s="61" t="n"/>
      <c r="AH159" s="61" t="n"/>
      <c r="AI159" s="61" t="n"/>
      <c r="AJ159" s="61" t="n"/>
      <c r="AK159" s="61" t="n"/>
      <c r="AL159" s="61" t="n"/>
      <c r="AM159" s="61" t="n"/>
      <c r="AN159" s="61">
        <f>Controls!$G$56</f>
        <v/>
      </c>
      <c r="AO159" s="61">
        <f>COUNTIFS(Data!$AK$2:$AK$1105,1,Data!$M$2:$M$1105,$AN$159)</f>
        <v/>
      </c>
      <c r="AP159" s="57">
        <f>SUMIFS(Data!$P$2:$P$1105,Data!$AK$2:$AK$1105,1,Data!$M$2:$M$1105,$AN$159)</f>
        <v/>
      </c>
      <c r="AQ159" s="56">
        <f>IFERROR(SUMIFS(Data!$AN$2:$AN$1105,Data!$AK$2:$AK$1105,1,Data!$M$2:$M$1105,$AN$159)/$AP$159,0)</f>
        <v/>
      </c>
      <c r="AR159" s="57">
        <f>SUMIFS(Data!$AN$2:$AN$1105,Data!$AK$2:$AK$1105,1,Data!$M$2:$M$1105,$AN$159)</f>
        <v/>
      </c>
      <c r="AS159" s="61">
        <f>Controls!$H$56</f>
        <v/>
      </c>
      <c r="AT159" s="61">
        <f>IF(OR(AO159=0,AO159&lt;Controls!$B$20),-1000000000000000,IF(AND(Controls!$B$21="Y",$AN$159="No ISO"),-1000000000000000,IF(Controls!$B$17="Selected only",IF(AS159="Y",AP159,-1000000000000000),IF(Controls!$B$17="Top by funded $",AP159,IF(Controls!$B$17="Top by funded units",AO159,IF(Controls!$B$17="Largest principal lost $",AR159,IF(Controls!$B$17="Highest net profit $",AU159,IF(AO159&lt;Controls!$B$19,-1000000000000000,IF(Controls!$B$17="Highest principal lost rate %",AQ159,IF(Controls!$B$17="Lowest principal lost rate %",1-AQ159,AP159))))))))) +17/1000000)</f>
        <v/>
      </c>
      <c r="AU159" s="57">
        <f>SUMIFS(Data!$AM$2:$AM$1105,Data!$AK$2:$AK$1105,1,Data!$M$2:$M$1105,$AN$159)</f>
        <v/>
      </c>
      <c r="AV159" s="61" t="n"/>
      <c r="AW159" s="61" t="n"/>
      <c r="AX159" s="61" t="n"/>
      <c r="AY159" s="61" t="n"/>
      <c r="AZ159" s="61" t="n"/>
      <c r="BA159" s="61" t="n"/>
      <c r="BB159" s="61">
        <f>Controls!$G$124</f>
        <v/>
      </c>
      <c r="BC159" s="61">
        <f>COUNTIFS(Data!$AK$2:$AK$1105,1,Data!$M$2:$M$1105,$BB$159)</f>
        <v/>
      </c>
      <c r="BD159" s="57">
        <f>SUMIFS(Data!$P$2:$P$1105,Data!$AK$2:$AK$1105,1,Data!$M$2:$M$1105,$BB$159)</f>
        <v/>
      </c>
      <c r="BE159" s="56">
        <f>IF(COUNTIFS(Data!$AK$2:$AK$1105,1,Data!$M$2:$M$1105,$BB$159)&lt;Controls!$B$19,"",IFERROR(SUMIFS(Data!$AN$2:$AN$1105,Data!$AK$2:$AK$1105,1,Data!$M$2:$M$1105,$BB$159)/$BD$159,""))</f>
        <v/>
      </c>
      <c r="BF159" s="56">
        <f>IF(COUNTIFS(Data!$AK$2:$AK$1105,1,Data!$M$2:$M$1105,$BB$159)&lt;Controls!$B$19,"",IFERROR(SUMIFS(Data!$AM$2:$AM$1105,Data!$AK$2:$AK$1105,1,Data!$M$2:$M$1105,$BB$159)/SUMIFS(Data!$P$2:$P$1105,Data!$AK$2:$AK$1105,1,Data!$M$2:$M$1105,$BB$159),""))</f>
        <v/>
      </c>
      <c r="BG159" s="57">
        <f>SUMIFS(Data!$AN$2:$AN$1105,Data!$AK$2:$AK$1105,1,Data!$M$2:$M$1105,$BB$159)</f>
        <v/>
      </c>
      <c r="BH159" s="61" t="n"/>
      <c r="BI159" s="61">
        <f>IF(AND($BC$159&gt;=Controls!$B$22,$BD$159&gt;=LARGE($BD$75:$BD$230,MIN(Controls!$B$18,COUNT($BD$75:$BD$230)))),$BE$159,"")</f>
        <v/>
      </c>
      <c r="BJ159" s="61" t="n"/>
      <c r="BK159" s="61">
        <f>IF($BC$159&lt;Controls!$B$22,"",$BE$159)</f>
        <v/>
      </c>
      <c r="BL159" s="61">
        <f>IF($BC$159&lt;Controls!$B$22,"",$BF$159)</f>
        <v/>
      </c>
      <c r="BM159" s="61">
        <f>IF($BC$159&lt;Controls!$B$22,"",$BG$159)</f>
        <v/>
      </c>
      <c r="BN159" s="61" t="n"/>
      <c r="BO159" s="61" t="n"/>
      <c r="BP159" s="61" t="n"/>
      <c r="BQ159" s="61" t="n"/>
      <c r="BR159" s="61" t="n"/>
      <c r="BS159" s="61" t="n"/>
      <c r="BT159" s="61" t="n"/>
    </row>
    <row r="160" ht="15.75" customHeight="1" s="79">
      <c r="A160" s="61">
        <f>IF(EDATE(Controls!$B$5,12)&gt;Controls!$B$6,"",TEXT(EDATE(Controls!$B$5,12),"YYYY-MM"))</f>
        <v/>
      </c>
      <c r="B160" s="66">
        <f>IF($A$160="",NA(),IFERROR(SUMIFS(Data!$P$2:$P$1105,Data!$AK$2:$AK$1105,1,Data!$BA$2:$BA$1105,$A$160),NA()))</f>
        <v/>
      </c>
      <c r="C160" s="66">
        <f>IF($A$160="",NA(),IFERROR(SUMIFS(Data!$S$2:$S$1105,Data!$AK$2:$AK$1105,1,Data!$BA$2:$BA$1105,$A$160),NA()))</f>
        <v/>
      </c>
      <c r="D160" s="66">
        <f>IF(ISNA($B$160),NA(),$C$160-$B$160)</f>
        <v/>
      </c>
      <c r="E160" s="66">
        <f>IF($A$160="",NA(),IFERROR(SUMIFS(Data!$Q$2:$Q$1105,Data!$AK$2:$AK$1105,1,Data!$BA$2:$BA$1105,$A$160),NA()))</f>
        <v/>
      </c>
      <c r="F160" s="66">
        <f>IF($A$160="",NA(),IFERROR(SUMIFS(Data!$AN$2:$AN$1105,Data!$AK$2:$AK$1105,1,Data!$BA$2:$BA$1105,$A$160),NA()))</f>
        <v/>
      </c>
      <c r="G160" s="62">
        <f>IF($A$160="",NA(),IF(COUNTIFS(Data!$AK$2:$AK$1105,1,Data!$BA$2:$BA$1105,$A$160)&lt;Controls!$B$19,NA(),IFERROR(SUMIFS(Data!$AN$2:$AN$1105,Data!$AK$2:$AK$1105,1,Data!$BA$2:$BA$1105,$A$160)/$B$160,NA())))</f>
        <v/>
      </c>
      <c r="H160" s="62">
        <f>IF($A$160="",NA(),IF(COUNTIFS(Data!$AK$2:$AK$1105,1,Data!$BA$2:$BA$1105,$A$160)&lt;Controls!$B$19,NA(),IFERROR(SUMIFS(Data!$S$2:$S$1105,Data!$AK$2:$AK$1105,1,Data!$BA$2:$BA$1105,$A$160,Data!$AH$2:$AH$1105,1)/SUMIFS(Data!$P$2:$P$1105,Data!$AK$2:$AK$1105,1,Data!$BA$2:$BA$1105,$A$160,Data!$AH$2:$AH$1105,1),NA())))</f>
        <v/>
      </c>
      <c r="I160" s="62">
        <f>IF(ISNA($J$160),NA(),IF($J$160&lt;Controls!$B$19,NA(),IFERROR($D$160/$B$160,NA())))</f>
        <v/>
      </c>
      <c r="J160" s="67">
        <f>IF($A$160="",NA(),IFERROR(COUNTIFS(Data!$AK$2:$AK$1105,1,Data!$BA$2:$BA$1105,$A$160),NA()))</f>
        <v/>
      </c>
      <c r="K160" s="62">
        <f>IF(ISNA($B$160),NA(),IFERROR($B$160/Calc!$BT$6,NA()))</f>
        <v/>
      </c>
      <c r="L160" s="66">
        <f>IF(ISNA($J$160),NA(),IF($J$160&lt;Controls!$B$19,NA(),IFERROR($B$160/$J$160,NA())))</f>
        <v/>
      </c>
      <c r="M160" s="67">
        <f>IF($A$160="",NA(),IF(COUNTIFS(Data!$AK$2:$AK$1105,1,Data!$BA$2:$BA$1105,$A$160)&lt;Controls!$B$19,NA(),IFERROR(AVERAGEIFS(Data!$AE$2:$AE$1105,Data!$AK$2:$AK$1105,1,Data!$BA$2:$BA$1105,$A$160),NA())))</f>
        <v/>
      </c>
      <c r="N160" s="67">
        <f>IF($A$160="",NA(),IF(COUNTIFS(Data!$AK$2:$AK$1105,1,Data!$BA$2:$BA$1105,$A$160)&lt;Controls!$B$19,NA(),IFERROR(AVERAGEIFS(Data!$AD$2:$AD$1105,Data!$AK$2:$AK$1105,1,Data!$BA$2:$BA$1105,$A$160),NA())))</f>
        <v/>
      </c>
      <c r="O160" s="67">
        <f>IF($A$160="",NA(),IF(COUNTIFS(Data!$AK$2:$AK$1105,1,Data!$BA$2:$BA$1105,$A$160)&lt;Controls!$B$19,NA(),IFERROR(AVERAGEIFS(Data!$AS$2:$AS$1105,Data!$AK$2:$AK$1105,1,Data!$BA$2:$BA$1105,$A$160),NA())))</f>
        <v/>
      </c>
      <c r="P160" s="67">
        <f>IF($A$160="",NA(),IF(COUNTIFS(Data!$AK$2:$AK$1105,1,Data!$BA$2:$BA$1105,$A$160)&lt;Controls!$B$19,NA(),IFERROR(AVERAGEIFS(Data!$AT$2:$AT$1105,Data!$AK$2:$AK$1105,1,Data!$BA$2:$BA$1105,$A$160),NA())))</f>
        <v/>
      </c>
      <c r="Q160" s="62">
        <f>IF($A$160="",NA(),IF(COUNTIFS(Data!$AK$2:$AK$1105,1,Data!$BA$2:$BA$1105,$A$160)&lt;Controls!$B$19,NA(),IFERROR(COUNTIFS(Data!$AK$2:$AK$1105,1,Data!$BA$2:$BA$1105,$A$160,Data!$N$2:$N$1105,"Renewal")/COUNTIFS(Data!$AK$2:$AK$1105,1,Data!$BA$2:$BA$1105,$A$160),NA())))</f>
        <v/>
      </c>
      <c r="R160" s="62">
        <f>IF($A$160="",NA(),IF(COUNTIFS(Data!$AK$2:$AK$1105,1,Data!$BA$2:$BA$1105,$A$160)&lt;Controls!$B$19,NA(),IFERROR(SUMIFS(Data!$P$2:$P$1105,Data!$AK$2:$AK$1105,1,Data!$BA$2:$BA$1105,$A$160,Data!$N$2:$N$1105,"Renewal")/SUMIFS(Data!$P$2:$P$1105,Data!$AK$2:$AK$1105,1,Data!$BA$2:$BA$1105,$A$160),NA())))</f>
        <v/>
      </c>
      <c r="S160" s="62">
        <f>IF($A$160="",NA(),Calc!$BT$2)</f>
        <v/>
      </c>
      <c r="T160" s="62">
        <f>IF($A$160="",NA(),Calc!$BT$3)</f>
        <v/>
      </c>
      <c r="U160" s="62">
        <f>IF($A$160="",NA(),Calc!$BT$4)</f>
        <v/>
      </c>
      <c r="V160" s="62">
        <f>IF($A$160="",NA(),IF(COUNTIFS(Data!$AK$2:$AK$1105,1,Data!$BA$2:$BA$1105,$A$160)&lt;Controls!$B$19,NA(),IFERROR(COUNTIFS(Data!$AK$2:$AK$1105,1,Data!$BA$2:$BA$1105,$A$160,Data!$AH$2:$AH$1105,1)/COUNTIFS(Data!$AK$2:$AK$1105,1,Data!$BA$2:$BA$1105,$A$160),NA())))</f>
        <v/>
      </c>
      <c r="W160" s="61">
        <f>IF($A$160="","",$A$160&amp;" ("&amp;$J$160&amp;")")</f>
        <v/>
      </c>
      <c r="X160" s="61" t="n"/>
      <c r="Y160" s="61" t="n"/>
      <c r="Z160" s="61" t="n"/>
      <c r="AA160" s="61" t="n"/>
      <c r="AB160" s="61" t="n"/>
      <c r="AC160" s="61" t="n"/>
      <c r="AD160" s="61" t="n"/>
      <c r="AE160" s="61" t="n"/>
      <c r="AF160" s="61" t="n"/>
      <c r="AG160" s="61" t="n"/>
      <c r="AH160" s="61" t="n"/>
      <c r="AI160" s="61" t="n"/>
      <c r="AJ160" s="61" t="n"/>
      <c r="AK160" s="61" t="n"/>
      <c r="AL160" s="61" t="n"/>
      <c r="AM160" s="61" t="n"/>
      <c r="AN160" s="61">
        <f>Controls!$G$57</f>
        <v/>
      </c>
      <c r="AO160" s="61">
        <f>COUNTIFS(Data!$AK$2:$AK$1105,1,Data!$M$2:$M$1105,$AN$160)</f>
        <v/>
      </c>
      <c r="AP160" s="57">
        <f>SUMIFS(Data!$P$2:$P$1105,Data!$AK$2:$AK$1105,1,Data!$M$2:$M$1105,$AN$160)</f>
        <v/>
      </c>
      <c r="AQ160" s="56">
        <f>IFERROR(SUMIFS(Data!$AN$2:$AN$1105,Data!$AK$2:$AK$1105,1,Data!$M$2:$M$1105,$AN$160)/$AP$160,0)</f>
        <v/>
      </c>
      <c r="AR160" s="57">
        <f>SUMIFS(Data!$AN$2:$AN$1105,Data!$AK$2:$AK$1105,1,Data!$M$2:$M$1105,$AN$160)</f>
        <v/>
      </c>
      <c r="AS160" s="61">
        <f>Controls!$H$57</f>
        <v/>
      </c>
      <c r="AT160" s="61">
        <f>IF(OR(AO160=0,AO160&lt;Controls!$B$20),-1000000000000000,IF(AND(Controls!$B$21="Y",$AN$160="No ISO"),-1000000000000000,IF(Controls!$B$17="Selected only",IF(AS160="Y",AP160,-1000000000000000),IF(Controls!$B$17="Top by funded $",AP160,IF(Controls!$B$17="Top by funded units",AO160,IF(Controls!$B$17="Largest principal lost $",AR160,IF(Controls!$B$17="Highest net profit $",AU160,IF(AO160&lt;Controls!$B$19,-1000000000000000,IF(Controls!$B$17="Highest principal lost rate %",AQ160,IF(Controls!$B$17="Lowest principal lost rate %",1-AQ160,AP160))))))))) +18/1000000)</f>
        <v/>
      </c>
      <c r="AU160" s="57">
        <f>SUMIFS(Data!$AM$2:$AM$1105,Data!$AK$2:$AK$1105,1,Data!$M$2:$M$1105,$AN$160)</f>
        <v/>
      </c>
      <c r="AV160" s="61" t="n"/>
      <c r="AW160" s="61" t="n"/>
      <c r="AX160" s="61" t="n"/>
      <c r="AY160" s="61" t="n"/>
      <c r="AZ160" s="61" t="n"/>
      <c r="BA160" s="61" t="n"/>
      <c r="BB160" s="61">
        <f>Controls!$G$125</f>
        <v/>
      </c>
      <c r="BC160" s="61">
        <f>COUNTIFS(Data!$AK$2:$AK$1105,1,Data!$M$2:$M$1105,$BB$160)</f>
        <v/>
      </c>
      <c r="BD160" s="57">
        <f>SUMIFS(Data!$P$2:$P$1105,Data!$AK$2:$AK$1105,1,Data!$M$2:$M$1105,$BB$160)</f>
        <v/>
      </c>
      <c r="BE160" s="56">
        <f>IF(COUNTIFS(Data!$AK$2:$AK$1105,1,Data!$M$2:$M$1105,$BB$160)&lt;Controls!$B$19,"",IFERROR(SUMIFS(Data!$AN$2:$AN$1105,Data!$AK$2:$AK$1105,1,Data!$M$2:$M$1105,$BB$160)/$BD$160,""))</f>
        <v/>
      </c>
      <c r="BF160" s="56">
        <f>IF(COUNTIFS(Data!$AK$2:$AK$1105,1,Data!$M$2:$M$1105,$BB$160)&lt;Controls!$B$19,"",IFERROR(SUMIFS(Data!$AM$2:$AM$1105,Data!$AK$2:$AK$1105,1,Data!$M$2:$M$1105,$BB$160)/SUMIFS(Data!$P$2:$P$1105,Data!$AK$2:$AK$1105,1,Data!$M$2:$M$1105,$BB$160),""))</f>
        <v/>
      </c>
      <c r="BG160" s="57">
        <f>SUMIFS(Data!$AN$2:$AN$1105,Data!$AK$2:$AK$1105,1,Data!$M$2:$M$1105,$BB$160)</f>
        <v/>
      </c>
      <c r="BH160" s="61" t="n"/>
      <c r="BI160" s="61">
        <f>IF(AND($BC$160&gt;=Controls!$B$22,$BD$160&gt;=LARGE($BD$75:$BD$230,MIN(Controls!$B$18,COUNT($BD$75:$BD$230)))),$BE$160,"")</f>
        <v/>
      </c>
      <c r="BJ160" s="61" t="n"/>
      <c r="BK160" s="61">
        <f>IF($BC$160&lt;Controls!$B$22,"",$BE$160)</f>
        <v/>
      </c>
      <c r="BL160" s="61">
        <f>IF($BC$160&lt;Controls!$B$22,"",$BF$160)</f>
        <v/>
      </c>
      <c r="BM160" s="61">
        <f>IF($BC$160&lt;Controls!$B$22,"",$BG$160)</f>
        <v/>
      </c>
      <c r="BN160" s="61" t="n"/>
      <c r="BO160" s="61" t="n"/>
      <c r="BP160" s="61" t="n"/>
      <c r="BQ160" s="61" t="n"/>
      <c r="BR160" s="61" t="n"/>
      <c r="BS160" s="61" t="n"/>
      <c r="BT160" s="61" t="n"/>
    </row>
    <row r="161" ht="15.75" customHeight="1" s="79">
      <c r="A161" s="61">
        <f>IF(EDATE(Controls!$B$5,13)&gt;Controls!$B$6,"",TEXT(EDATE(Controls!$B$5,13),"YYYY-MM"))</f>
        <v/>
      </c>
      <c r="B161" s="66">
        <f>IF($A$161="",NA(),IFERROR(SUMIFS(Data!$P$2:$P$1105,Data!$AK$2:$AK$1105,1,Data!$BA$2:$BA$1105,$A$161),NA()))</f>
        <v/>
      </c>
      <c r="C161" s="66">
        <f>IF($A$161="",NA(),IFERROR(SUMIFS(Data!$S$2:$S$1105,Data!$AK$2:$AK$1105,1,Data!$BA$2:$BA$1105,$A$161),NA()))</f>
        <v/>
      </c>
      <c r="D161" s="66">
        <f>IF(ISNA($B$161),NA(),$C$161-$B$161)</f>
        <v/>
      </c>
      <c r="E161" s="66">
        <f>IF($A$161="",NA(),IFERROR(SUMIFS(Data!$Q$2:$Q$1105,Data!$AK$2:$AK$1105,1,Data!$BA$2:$BA$1105,$A$161),NA()))</f>
        <v/>
      </c>
      <c r="F161" s="66">
        <f>IF($A$161="",NA(),IFERROR(SUMIFS(Data!$AN$2:$AN$1105,Data!$AK$2:$AK$1105,1,Data!$BA$2:$BA$1105,$A$161),NA()))</f>
        <v/>
      </c>
      <c r="G161" s="62">
        <f>IF($A$161="",NA(),IF(COUNTIFS(Data!$AK$2:$AK$1105,1,Data!$BA$2:$BA$1105,$A$161)&lt;Controls!$B$19,NA(),IFERROR(SUMIFS(Data!$AN$2:$AN$1105,Data!$AK$2:$AK$1105,1,Data!$BA$2:$BA$1105,$A$161)/$B$161,NA())))</f>
        <v/>
      </c>
      <c r="H161" s="62">
        <f>IF($A$161="",NA(),IF(COUNTIFS(Data!$AK$2:$AK$1105,1,Data!$BA$2:$BA$1105,$A$161)&lt;Controls!$B$19,NA(),IFERROR(SUMIFS(Data!$S$2:$S$1105,Data!$AK$2:$AK$1105,1,Data!$BA$2:$BA$1105,$A$161,Data!$AH$2:$AH$1105,1)/SUMIFS(Data!$P$2:$P$1105,Data!$AK$2:$AK$1105,1,Data!$BA$2:$BA$1105,$A$161,Data!$AH$2:$AH$1105,1),NA())))</f>
        <v/>
      </c>
      <c r="I161" s="62">
        <f>IF(ISNA($J$161),NA(),IF($J$161&lt;Controls!$B$19,NA(),IFERROR($D$161/$B$161,NA())))</f>
        <v/>
      </c>
      <c r="J161" s="67">
        <f>IF($A$161="",NA(),IFERROR(COUNTIFS(Data!$AK$2:$AK$1105,1,Data!$BA$2:$BA$1105,$A$161),NA()))</f>
        <v/>
      </c>
      <c r="K161" s="62">
        <f>IF(ISNA($B$161),NA(),IFERROR($B$161/Calc!$BT$6,NA()))</f>
        <v/>
      </c>
      <c r="L161" s="66">
        <f>IF(ISNA($J$161),NA(),IF($J$161&lt;Controls!$B$19,NA(),IFERROR($B$161/$J$161,NA())))</f>
        <v/>
      </c>
      <c r="M161" s="67">
        <f>IF($A$161="",NA(),IF(COUNTIFS(Data!$AK$2:$AK$1105,1,Data!$BA$2:$BA$1105,$A$161)&lt;Controls!$B$19,NA(),IFERROR(AVERAGEIFS(Data!$AE$2:$AE$1105,Data!$AK$2:$AK$1105,1,Data!$BA$2:$BA$1105,$A$161),NA())))</f>
        <v/>
      </c>
      <c r="N161" s="67">
        <f>IF($A$161="",NA(),IF(COUNTIFS(Data!$AK$2:$AK$1105,1,Data!$BA$2:$BA$1105,$A$161)&lt;Controls!$B$19,NA(),IFERROR(AVERAGEIFS(Data!$AD$2:$AD$1105,Data!$AK$2:$AK$1105,1,Data!$BA$2:$BA$1105,$A$161),NA())))</f>
        <v/>
      </c>
      <c r="O161" s="67">
        <f>IF($A$161="",NA(),IF(COUNTIFS(Data!$AK$2:$AK$1105,1,Data!$BA$2:$BA$1105,$A$161)&lt;Controls!$B$19,NA(),IFERROR(AVERAGEIFS(Data!$AS$2:$AS$1105,Data!$AK$2:$AK$1105,1,Data!$BA$2:$BA$1105,$A$161),NA())))</f>
        <v/>
      </c>
      <c r="P161" s="67">
        <f>IF($A$161="",NA(),IF(COUNTIFS(Data!$AK$2:$AK$1105,1,Data!$BA$2:$BA$1105,$A$161)&lt;Controls!$B$19,NA(),IFERROR(AVERAGEIFS(Data!$AT$2:$AT$1105,Data!$AK$2:$AK$1105,1,Data!$BA$2:$BA$1105,$A$161),NA())))</f>
        <v/>
      </c>
      <c r="Q161" s="62">
        <f>IF($A$161="",NA(),IF(COUNTIFS(Data!$AK$2:$AK$1105,1,Data!$BA$2:$BA$1105,$A$161)&lt;Controls!$B$19,NA(),IFERROR(COUNTIFS(Data!$AK$2:$AK$1105,1,Data!$BA$2:$BA$1105,$A$161,Data!$N$2:$N$1105,"Renewal")/COUNTIFS(Data!$AK$2:$AK$1105,1,Data!$BA$2:$BA$1105,$A$161),NA())))</f>
        <v/>
      </c>
      <c r="R161" s="62">
        <f>IF($A$161="",NA(),IF(COUNTIFS(Data!$AK$2:$AK$1105,1,Data!$BA$2:$BA$1105,$A$161)&lt;Controls!$B$19,NA(),IFERROR(SUMIFS(Data!$P$2:$P$1105,Data!$AK$2:$AK$1105,1,Data!$BA$2:$BA$1105,$A$161,Data!$N$2:$N$1105,"Renewal")/SUMIFS(Data!$P$2:$P$1105,Data!$AK$2:$AK$1105,1,Data!$BA$2:$BA$1105,$A$161),NA())))</f>
        <v/>
      </c>
      <c r="S161" s="62">
        <f>IF($A$161="",NA(),Calc!$BT$2)</f>
        <v/>
      </c>
      <c r="T161" s="62">
        <f>IF($A$161="",NA(),Calc!$BT$3)</f>
        <v/>
      </c>
      <c r="U161" s="62">
        <f>IF($A$161="",NA(),Calc!$BT$4)</f>
        <v/>
      </c>
      <c r="V161" s="62">
        <f>IF($A$161="",NA(),IF(COUNTIFS(Data!$AK$2:$AK$1105,1,Data!$BA$2:$BA$1105,$A$161)&lt;Controls!$B$19,NA(),IFERROR(COUNTIFS(Data!$AK$2:$AK$1105,1,Data!$BA$2:$BA$1105,$A$161,Data!$AH$2:$AH$1105,1)/COUNTIFS(Data!$AK$2:$AK$1105,1,Data!$BA$2:$BA$1105,$A$161),NA())))</f>
        <v/>
      </c>
      <c r="W161" s="61">
        <f>IF($A$161="","",$A$161&amp;" ("&amp;$J$161&amp;")")</f>
        <v/>
      </c>
      <c r="X161" s="61" t="n"/>
      <c r="Y161" s="61" t="n"/>
      <c r="Z161" s="61" t="n"/>
      <c r="AA161" s="61" t="n"/>
      <c r="AB161" s="61" t="n"/>
      <c r="AC161" s="61" t="n"/>
      <c r="AD161" s="61" t="n"/>
      <c r="AE161" s="61" t="n"/>
      <c r="AF161" s="61" t="n"/>
      <c r="AG161" s="61" t="n"/>
      <c r="AH161" s="61" t="n"/>
      <c r="AI161" s="61" t="n"/>
      <c r="AJ161" s="61" t="n"/>
      <c r="AK161" s="61" t="n"/>
      <c r="AL161" s="61" t="n"/>
      <c r="AM161" s="61" t="n"/>
      <c r="AN161" s="61">
        <f>Controls!$G$58</f>
        <v/>
      </c>
      <c r="AO161" s="61">
        <f>COUNTIFS(Data!$AK$2:$AK$1105,1,Data!$M$2:$M$1105,$AN$161)</f>
        <v/>
      </c>
      <c r="AP161" s="57">
        <f>SUMIFS(Data!$P$2:$P$1105,Data!$AK$2:$AK$1105,1,Data!$M$2:$M$1105,$AN$161)</f>
        <v/>
      </c>
      <c r="AQ161" s="56">
        <f>IFERROR(SUMIFS(Data!$AN$2:$AN$1105,Data!$AK$2:$AK$1105,1,Data!$M$2:$M$1105,$AN$161)/$AP$161,0)</f>
        <v/>
      </c>
      <c r="AR161" s="57">
        <f>SUMIFS(Data!$AN$2:$AN$1105,Data!$AK$2:$AK$1105,1,Data!$M$2:$M$1105,$AN$161)</f>
        <v/>
      </c>
      <c r="AS161" s="61">
        <f>Controls!$H$58</f>
        <v/>
      </c>
      <c r="AT161" s="61">
        <f>IF(OR(AO161=0,AO161&lt;Controls!$B$20),-1000000000000000,IF(AND(Controls!$B$21="Y",$AN$161="No ISO"),-1000000000000000,IF(Controls!$B$17="Selected only",IF(AS161="Y",AP161,-1000000000000000),IF(Controls!$B$17="Top by funded $",AP161,IF(Controls!$B$17="Top by funded units",AO161,IF(Controls!$B$17="Largest principal lost $",AR161,IF(Controls!$B$17="Highest net profit $",AU161,IF(AO161&lt;Controls!$B$19,-1000000000000000,IF(Controls!$B$17="Highest principal lost rate %",AQ161,IF(Controls!$B$17="Lowest principal lost rate %",1-AQ161,AP161))))))))) +19/1000000)</f>
        <v/>
      </c>
      <c r="AU161" s="57">
        <f>SUMIFS(Data!$AM$2:$AM$1105,Data!$AK$2:$AK$1105,1,Data!$M$2:$M$1105,$AN$161)</f>
        <v/>
      </c>
      <c r="AV161" s="61" t="n"/>
      <c r="AW161" s="61" t="n"/>
      <c r="AX161" s="61" t="n"/>
      <c r="AY161" s="61" t="n"/>
      <c r="AZ161" s="61" t="n"/>
      <c r="BA161" s="61" t="n"/>
      <c r="BB161" s="61">
        <f>Controls!$G$126</f>
        <v/>
      </c>
      <c r="BC161" s="61">
        <f>COUNTIFS(Data!$AK$2:$AK$1105,1,Data!$M$2:$M$1105,$BB$161)</f>
        <v/>
      </c>
      <c r="BD161" s="57">
        <f>SUMIFS(Data!$P$2:$P$1105,Data!$AK$2:$AK$1105,1,Data!$M$2:$M$1105,$BB$161)</f>
        <v/>
      </c>
      <c r="BE161" s="56">
        <f>IF(COUNTIFS(Data!$AK$2:$AK$1105,1,Data!$M$2:$M$1105,$BB$161)&lt;Controls!$B$19,"",IFERROR(SUMIFS(Data!$AN$2:$AN$1105,Data!$AK$2:$AK$1105,1,Data!$M$2:$M$1105,$BB$161)/$BD$161,""))</f>
        <v/>
      </c>
      <c r="BF161" s="56">
        <f>IF(COUNTIFS(Data!$AK$2:$AK$1105,1,Data!$M$2:$M$1105,$BB$161)&lt;Controls!$B$19,"",IFERROR(SUMIFS(Data!$AM$2:$AM$1105,Data!$AK$2:$AK$1105,1,Data!$M$2:$M$1105,$BB$161)/SUMIFS(Data!$P$2:$P$1105,Data!$AK$2:$AK$1105,1,Data!$M$2:$M$1105,$BB$161),""))</f>
        <v/>
      </c>
      <c r="BG161" s="57">
        <f>SUMIFS(Data!$AN$2:$AN$1105,Data!$AK$2:$AK$1105,1,Data!$M$2:$M$1105,$BB$161)</f>
        <v/>
      </c>
      <c r="BH161" s="61" t="n"/>
      <c r="BI161" s="56">
        <f>IF(AND($BC$161&gt;=Controls!$B$22,$BD$161&gt;=LARGE($BD$75:$BD$230,MIN(Controls!$B$18,COUNT($BD$75:$BD$230)))),$BE$161,"")</f>
        <v/>
      </c>
      <c r="BJ161" s="61" t="n"/>
      <c r="BK161" s="56">
        <f>IF($BC$161&lt;Controls!$B$22,"",$BE$161)</f>
        <v/>
      </c>
      <c r="BL161" s="56">
        <f>IF($BC$161&lt;Controls!$B$22,"",$BF$161)</f>
        <v/>
      </c>
      <c r="BM161" s="57">
        <f>IF($BC$161&lt;Controls!$B$22,"",$BG$161)</f>
        <v/>
      </c>
      <c r="BN161" s="61" t="n"/>
      <c r="BO161" s="61" t="n"/>
      <c r="BP161" s="61" t="n"/>
      <c r="BQ161" s="61" t="n"/>
      <c r="BR161" s="61" t="n"/>
      <c r="BS161" s="61" t="n"/>
      <c r="BT161" s="61" t="n"/>
    </row>
    <row r="162" ht="15.75" customHeight="1" s="79">
      <c r="A162" s="61">
        <f>IF(EDATE(Controls!$B$5,14)&gt;Controls!$B$6,"",TEXT(EDATE(Controls!$B$5,14),"YYYY-MM"))</f>
        <v/>
      </c>
      <c r="B162" s="66">
        <f>IF($A$162="",NA(),IFERROR(SUMIFS(Data!$P$2:$P$1105,Data!$AK$2:$AK$1105,1,Data!$BA$2:$BA$1105,$A$162),NA()))</f>
        <v/>
      </c>
      <c r="C162" s="66">
        <f>IF($A$162="",NA(),IFERROR(SUMIFS(Data!$S$2:$S$1105,Data!$AK$2:$AK$1105,1,Data!$BA$2:$BA$1105,$A$162),NA()))</f>
        <v/>
      </c>
      <c r="D162" s="66">
        <f>IF(ISNA($B$162),NA(),$C$162-$B$162)</f>
        <v/>
      </c>
      <c r="E162" s="66">
        <f>IF($A$162="",NA(),IFERROR(SUMIFS(Data!$Q$2:$Q$1105,Data!$AK$2:$AK$1105,1,Data!$BA$2:$BA$1105,$A$162),NA()))</f>
        <v/>
      </c>
      <c r="F162" s="66">
        <f>IF($A$162="",NA(),IFERROR(SUMIFS(Data!$AN$2:$AN$1105,Data!$AK$2:$AK$1105,1,Data!$BA$2:$BA$1105,$A$162),NA()))</f>
        <v/>
      </c>
      <c r="G162" s="62">
        <f>IF($A$162="",NA(),IF(COUNTIFS(Data!$AK$2:$AK$1105,1,Data!$BA$2:$BA$1105,$A$162)&lt;Controls!$B$19,NA(),IFERROR(SUMIFS(Data!$AN$2:$AN$1105,Data!$AK$2:$AK$1105,1,Data!$BA$2:$BA$1105,$A$162)/$B$162,NA())))</f>
        <v/>
      </c>
      <c r="H162" s="62">
        <f>IF($A$162="",NA(),IF(COUNTIFS(Data!$AK$2:$AK$1105,1,Data!$BA$2:$BA$1105,$A$162)&lt;Controls!$B$19,NA(),IFERROR(SUMIFS(Data!$S$2:$S$1105,Data!$AK$2:$AK$1105,1,Data!$BA$2:$BA$1105,$A$162,Data!$AH$2:$AH$1105,1)/SUMIFS(Data!$P$2:$P$1105,Data!$AK$2:$AK$1105,1,Data!$BA$2:$BA$1105,$A$162,Data!$AH$2:$AH$1105,1),NA())))</f>
        <v/>
      </c>
      <c r="I162" s="62">
        <f>IF(ISNA($J$162),NA(),IF($J$162&lt;Controls!$B$19,NA(),IFERROR($D$162/$B$162,NA())))</f>
        <v/>
      </c>
      <c r="J162" s="67">
        <f>IF($A$162="",NA(),IFERROR(COUNTIFS(Data!$AK$2:$AK$1105,1,Data!$BA$2:$BA$1105,$A$162),NA()))</f>
        <v/>
      </c>
      <c r="K162" s="62">
        <f>IF(ISNA($B$162),NA(),IFERROR($B$162/Calc!$BT$6,NA()))</f>
        <v/>
      </c>
      <c r="L162" s="66">
        <f>IF(ISNA($J$162),NA(),IF($J$162&lt;Controls!$B$19,NA(),IFERROR($B$162/$J$162,NA())))</f>
        <v/>
      </c>
      <c r="M162" s="67">
        <f>IF($A$162="",NA(),IF(COUNTIFS(Data!$AK$2:$AK$1105,1,Data!$BA$2:$BA$1105,$A$162)&lt;Controls!$B$19,NA(),IFERROR(AVERAGEIFS(Data!$AE$2:$AE$1105,Data!$AK$2:$AK$1105,1,Data!$BA$2:$BA$1105,$A$162),NA())))</f>
        <v/>
      </c>
      <c r="N162" s="67">
        <f>IF($A$162="",NA(),IF(COUNTIFS(Data!$AK$2:$AK$1105,1,Data!$BA$2:$BA$1105,$A$162)&lt;Controls!$B$19,NA(),IFERROR(AVERAGEIFS(Data!$AD$2:$AD$1105,Data!$AK$2:$AK$1105,1,Data!$BA$2:$BA$1105,$A$162),NA())))</f>
        <v/>
      </c>
      <c r="O162" s="67">
        <f>IF($A$162="",NA(),IF(COUNTIFS(Data!$AK$2:$AK$1105,1,Data!$BA$2:$BA$1105,$A$162)&lt;Controls!$B$19,NA(),IFERROR(AVERAGEIFS(Data!$AS$2:$AS$1105,Data!$AK$2:$AK$1105,1,Data!$BA$2:$BA$1105,$A$162),NA())))</f>
        <v/>
      </c>
      <c r="P162" s="67">
        <f>IF($A$162="",NA(),IF(COUNTIFS(Data!$AK$2:$AK$1105,1,Data!$BA$2:$BA$1105,$A$162)&lt;Controls!$B$19,NA(),IFERROR(AVERAGEIFS(Data!$AT$2:$AT$1105,Data!$AK$2:$AK$1105,1,Data!$BA$2:$BA$1105,$A$162),NA())))</f>
        <v/>
      </c>
      <c r="Q162" s="62">
        <f>IF($A$162="",NA(),IF(COUNTIFS(Data!$AK$2:$AK$1105,1,Data!$BA$2:$BA$1105,$A$162)&lt;Controls!$B$19,NA(),IFERROR(COUNTIFS(Data!$AK$2:$AK$1105,1,Data!$BA$2:$BA$1105,$A$162,Data!$N$2:$N$1105,"Renewal")/COUNTIFS(Data!$AK$2:$AK$1105,1,Data!$BA$2:$BA$1105,$A$162),NA())))</f>
        <v/>
      </c>
      <c r="R162" s="62">
        <f>IF($A$162="",NA(),IF(COUNTIFS(Data!$AK$2:$AK$1105,1,Data!$BA$2:$BA$1105,$A$162)&lt;Controls!$B$19,NA(),IFERROR(SUMIFS(Data!$P$2:$P$1105,Data!$AK$2:$AK$1105,1,Data!$BA$2:$BA$1105,$A$162,Data!$N$2:$N$1105,"Renewal")/SUMIFS(Data!$P$2:$P$1105,Data!$AK$2:$AK$1105,1,Data!$BA$2:$BA$1105,$A$162),NA())))</f>
        <v/>
      </c>
      <c r="S162" s="62">
        <f>IF($A$162="",NA(),Calc!$BT$2)</f>
        <v/>
      </c>
      <c r="T162" s="62">
        <f>IF($A$162="",NA(),Calc!$BT$3)</f>
        <v/>
      </c>
      <c r="U162" s="62">
        <f>IF($A$162="",NA(),Calc!$BT$4)</f>
        <v/>
      </c>
      <c r="V162" s="62">
        <f>IF($A$162="",NA(),IF(COUNTIFS(Data!$AK$2:$AK$1105,1,Data!$BA$2:$BA$1105,$A$162)&lt;Controls!$B$19,NA(),IFERROR(COUNTIFS(Data!$AK$2:$AK$1105,1,Data!$BA$2:$BA$1105,$A$162,Data!$AH$2:$AH$1105,1)/COUNTIFS(Data!$AK$2:$AK$1105,1,Data!$BA$2:$BA$1105,$A$162),NA())))</f>
        <v/>
      </c>
      <c r="W162" s="61">
        <f>IF($A$162="","",$A$162&amp;" ("&amp;$J$162&amp;")")</f>
        <v/>
      </c>
      <c r="X162" s="61" t="n"/>
      <c r="Y162" s="61" t="n"/>
      <c r="Z162" s="61" t="n"/>
      <c r="AA162" s="61" t="n"/>
      <c r="AB162" s="61" t="n"/>
      <c r="AC162" s="61" t="n"/>
      <c r="AD162" s="61" t="n"/>
      <c r="AE162" s="61" t="n"/>
      <c r="AF162" s="61" t="n"/>
      <c r="AG162" s="61" t="n"/>
      <c r="AH162" s="61" t="n"/>
      <c r="AI162" s="61" t="n"/>
      <c r="AJ162" s="61" t="n"/>
      <c r="AK162" s="61" t="n"/>
      <c r="AL162" s="61" t="n"/>
      <c r="AM162" s="61" t="n"/>
      <c r="AN162" s="61">
        <f>Controls!$G$59</f>
        <v/>
      </c>
      <c r="AO162" s="61">
        <f>COUNTIFS(Data!$AK$2:$AK$1105,1,Data!$M$2:$M$1105,$AN$162)</f>
        <v/>
      </c>
      <c r="AP162" s="57">
        <f>SUMIFS(Data!$P$2:$P$1105,Data!$AK$2:$AK$1105,1,Data!$M$2:$M$1105,$AN$162)</f>
        <v/>
      </c>
      <c r="AQ162" s="56">
        <f>IFERROR(SUMIFS(Data!$AN$2:$AN$1105,Data!$AK$2:$AK$1105,1,Data!$M$2:$M$1105,$AN$162)/$AP$162,0)</f>
        <v/>
      </c>
      <c r="AR162" s="57">
        <f>SUMIFS(Data!$AN$2:$AN$1105,Data!$AK$2:$AK$1105,1,Data!$M$2:$M$1105,$AN$162)</f>
        <v/>
      </c>
      <c r="AS162" s="61">
        <f>Controls!$H$59</f>
        <v/>
      </c>
      <c r="AT162" s="61">
        <f>IF(OR(AO162=0,AO162&lt;Controls!$B$20),-1000000000000000,IF(AND(Controls!$B$21="Y",$AN$162="No ISO"),-1000000000000000,IF(Controls!$B$17="Selected only",IF(AS162="Y",AP162,-1000000000000000),IF(Controls!$B$17="Top by funded $",AP162,IF(Controls!$B$17="Top by funded units",AO162,IF(Controls!$B$17="Largest principal lost $",AR162,IF(Controls!$B$17="Highest net profit $",AU162,IF(AO162&lt;Controls!$B$19,-1000000000000000,IF(Controls!$B$17="Highest principal lost rate %",AQ162,IF(Controls!$B$17="Lowest principal lost rate %",1-AQ162,AP162))))))))) +20/1000000)</f>
        <v/>
      </c>
      <c r="AU162" s="57">
        <f>SUMIFS(Data!$AM$2:$AM$1105,Data!$AK$2:$AK$1105,1,Data!$M$2:$M$1105,$AN$162)</f>
        <v/>
      </c>
      <c r="AV162" s="61" t="n"/>
      <c r="AW162" s="61" t="n"/>
      <c r="AX162" s="61" t="n"/>
      <c r="AY162" s="61" t="n"/>
      <c r="AZ162" s="61" t="n"/>
      <c r="BA162" s="61" t="n"/>
      <c r="BB162" s="61">
        <f>Controls!$G$127</f>
        <v/>
      </c>
      <c r="BC162" s="61">
        <f>COUNTIFS(Data!$AK$2:$AK$1105,1,Data!$M$2:$M$1105,$BB$162)</f>
        <v/>
      </c>
      <c r="BD162" s="57">
        <f>SUMIFS(Data!$P$2:$P$1105,Data!$AK$2:$AK$1105,1,Data!$M$2:$M$1105,$BB$162)</f>
        <v/>
      </c>
      <c r="BE162" s="56">
        <f>IF(COUNTIFS(Data!$AK$2:$AK$1105,1,Data!$M$2:$M$1105,$BB$162)&lt;Controls!$B$19,"",IFERROR(SUMIFS(Data!$AN$2:$AN$1105,Data!$AK$2:$AK$1105,1,Data!$M$2:$M$1105,$BB$162)/$BD$162,""))</f>
        <v/>
      </c>
      <c r="BF162" s="56">
        <f>IF(COUNTIFS(Data!$AK$2:$AK$1105,1,Data!$M$2:$M$1105,$BB$162)&lt;Controls!$B$19,"",IFERROR(SUMIFS(Data!$AM$2:$AM$1105,Data!$AK$2:$AK$1105,1,Data!$M$2:$M$1105,$BB$162)/SUMIFS(Data!$P$2:$P$1105,Data!$AK$2:$AK$1105,1,Data!$M$2:$M$1105,$BB$162),""))</f>
        <v/>
      </c>
      <c r="BG162" s="57">
        <f>SUMIFS(Data!$AN$2:$AN$1105,Data!$AK$2:$AK$1105,1,Data!$M$2:$M$1105,$BB$162)</f>
        <v/>
      </c>
      <c r="BH162" s="61" t="n"/>
      <c r="BI162" s="61">
        <f>IF(AND($BC$162&gt;=Controls!$B$22,$BD$162&gt;=LARGE($BD$75:$BD$230,MIN(Controls!$B$18,COUNT($BD$75:$BD$230)))),$BE$162,"")</f>
        <v/>
      </c>
      <c r="BJ162" s="61" t="n"/>
      <c r="BK162" s="61">
        <f>IF($BC$162&lt;Controls!$B$22,"",$BE$162)</f>
        <v/>
      </c>
      <c r="BL162" s="61">
        <f>IF($BC$162&lt;Controls!$B$22,"",$BF$162)</f>
        <v/>
      </c>
      <c r="BM162" s="61">
        <f>IF($BC$162&lt;Controls!$B$22,"",$BG$162)</f>
        <v/>
      </c>
      <c r="BN162" s="61" t="n"/>
      <c r="BO162" s="61" t="n"/>
      <c r="BP162" s="61" t="n"/>
      <c r="BQ162" s="61" t="n"/>
      <c r="BR162" s="61" t="n"/>
      <c r="BS162" s="61" t="n"/>
      <c r="BT162" s="61" t="n"/>
    </row>
    <row r="163" ht="15.75" customHeight="1" s="79">
      <c r="A163" s="61">
        <f>IF(EDATE(Controls!$B$5,15)&gt;Controls!$B$6,"",TEXT(EDATE(Controls!$B$5,15),"YYYY-MM"))</f>
        <v/>
      </c>
      <c r="B163" s="66">
        <f>IF($A$163="",NA(),IFERROR(SUMIFS(Data!$P$2:$P$1105,Data!$AK$2:$AK$1105,1,Data!$BA$2:$BA$1105,$A$163),NA()))</f>
        <v/>
      </c>
      <c r="C163" s="66">
        <f>IF($A$163="",NA(),IFERROR(SUMIFS(Data!$S$2:$S$1105,Data!$AK$2:$AK$1105,1,Data!$BA$2:$BA$1105,$A$163),NA()))</f>
        <v/>
      </c>
      <c r="D163" s="66">
        <f>IF(ISNA($B$163),NA(),$C$163-$B$163)</f>
        <v/>
      </c>
      <c r="E163" s="66">
        <f>IF($A$163="",NA(),IFERROR(SUMIFS(Data!$Q$2:$Q$1105,Data!$AK$2:$AK$1105,1,Data!$BA$2:$BA$1105,$A$163),NA()))</f>
        <v/>
      </c>
      <c r="F163" s="66">
        <f>IF($A$163="",NA(),IFERROR(SUMIFS(Data!$AN$2:$AN$1105,Data!$AK$2:$AK$1105,1,Data!$BA$2:$BA$1105,$A$163),NA()))</f>
        <v/>
      </c>
      <c r="G163" s="62">
        <f>IF($A$163="",NA(),IF(COUNTIFS(Data!$AK$2:$AK$1105,1,Data!$BA$2:$BA$1105,$A$163)&lt;Controls!$B$19,NA(),IFERROR(SUMIFS(Data!$AN$2:$AN$1105,Data!$AK$2:$AK$1105,1,Data!$BA$2:$BA$1105,$A$163)/$B$163,NA())))</f>
        <v/>
      </c>
      <c r="H163" s="62">
        <f>IF($A$163="",NA(),IF(COUNTIFS(Data!$AK$2:$AK$1105,1,Data!$BA$2:$BA$1105,$A$163)&lt;Controls!$B$19,NA(),IFERROR(SUMIFS(Data!$S$2:$S$1105,Data!$AK$2:$AK$1105,1,Data!$BA$2:$BA$1105,$A$163,Data!$AH$2:$AH$1105,1)/SUMIFS(Data!$P$2:$P$1105,Data!$AK$2:$AK$1105,1,Data!$BA$2:$BA$1105,$A$163,Data!$AH$2:$AH$1105,1),NA())))</f>
        <v/>
      </c>
      <c r="I163" s="62">
        <f>IF(ISNA($J$163),NA(),IF($J$163&lt;Controls!$B$19,NA(),IFERROR($D$163/$B$163,NA())))</f>
        <v/>
      </c>
      <c r="J163" s="67">
        <f>IF($A$163="",NA(),IFERROR(COUNTIFS(Data!$AK$2:$AK$1105,1,Data!$BA$2:$BA$1105,$A$163),NA()))</f>
        <v/>
      </c>
      <c r="K163" s="62">
        <f>IF(ISNA($B$163),NA(),IFERROR($B$163/Calc!$BT$6,NA()))</f>
        <v/>
      </c>
      <c r="L163" s="66">
        <f>IF(ISNA($J$163),NA(),IF($J$163&lt;Controls!$B$19,NA(),IFERROR($B$163/$J$163,NA())))</f>
        <v/>
      </c>
      <c r="M163" s="67">
        <f>IF($A$163="",NA(),IF(COUNTIFS(Data!$AK$2:$AK$1105,1,Data!$BA$2:$BA$1105,$A$163)&lt;Controls!$B$19,NA(),IFERROR(AVERAGEIFS(Data!$AE$2:$AE$1105,Data!$AK$2:$AK$1105,1,Data!$BA$2:$BA$1105,$A$163),NA())))</f>
        <v/>
      </c>
      <c r="N163" s="67">
        <f>IF($A$163="",NA(),IF(COUNTIFS(Data!$AK$2:$AK$1105,1,Data!$BA$2:$BA$1105,$A$163)&lt;Controls!$B$19,NA(),IFERROR(AVERAGEIFS(Data!$AD$2:$AD$1105,Data!$AK$2:$AK$1105,1,Data!$BA$2:$BA$1105,$A$163),NA())))</f>
        <v/>
      </c>
      <c r="O163" s="67">
        <f>IF($A$163="",NA(),IF(COUNTIFS(Data!$AK$2:$AK$1105,1,Data!$BA$2:$BA$1105,$A$163)&lt;Controls!$B$19,NA(),IFERROR(AVERAGEIFS(Data!$AS$2:$AS$1105,Data!$AK$2:$AK$1105,1,Data!$BA$2:$BA$1105,$A$163),NA())))</f>
        <v/>
      </c>
      <c r="P163" s="67">
        <f>IF($A$163="",NA(),IF(COUNTIFS(Data!$AK$2:$AK$1105,1,Data!$BA$2:$BA$1105,$A$163)&lt;Controls!$B$19,NA(),IFERROR(AVERAGEIFS(Data!$AT$2:$AT$1105,Data!$AK$2:$AK$1105,1,Data!$BA$2:$BA$1105,$A$163),NA())))</f>
        <v/>
      </c>
      <c r="Q163" s="62">
        <f>IF($A$163="",NA(),IF(COUNTIFS(Data!$AK$2:$AK$1105,1,Data!$BA$2:$BA$1105,$A$163)&lt;Controls!$B$19,NA(),IFERROR(COUNTIFS(Data!$AK$2:$AK$1105,1,Data!$BA$2:$BA$1105,$A$163,Data!$N$2:$N$1105,"Renewal")/COUNTIFS(Data!$AK$2:$AK$1105,1,Data!$BA$2:$BA$1105,$A$163),NA())))</f>
        <v/>
      </c>
      <c r="R163" s="62">
        <f>IF($A$163="",NA(),IF(COUNTIFS(Data!$AK$2:$AK$1105,1,Data!$BA$2:$BA$1105,$A$163)&lt;Controls!$B$19,NA(),IFERROR(SUMIFS(Data!$P$2:$P$1105,Data!$AK$2:$AK$1105,1,Data!$BA$2:$BA$1105,$A$163,Data!$N$2:$N$1105,"Renewal")/SUMIFS(Data!$P$2:$P$1105,Data!$AK$2:$AK$1105,1,Data!$BA$2:$BA$1105,$A$163),NA())))</f>
        <v/>
      </c>
      <c r="S163" s="62">
        <f>IF($A$163="",NA(),Calc!$BT$2)</f>
        <v/>
      </c>
      <c r="T163" s="62">
        <f>IF($A$163="",NA(),Calc!$BT$3)</f>
        <v/>
      </c>
      <c r="U163" s="62">
        <f>IF($A$163="",NA(),Calc!$BT$4)</f>
        <v/>
      </c>
      <c r="V163" s="62">
        <f>IF($A$163="",NA(),IF(COUNTIFS(Data!$AK$2:$AK$1105,1,Data!$BA$2:$BA$1105,$A$163)&lt;Controls!$B$19,NA(),IFERROR(COUNTIFS(Data!$AK$2:$AK$1105,1,Data!$BA$2:$BA$1105,$A$163,Data!$AH$2:$AH$1105,1)/COUNTIFS(Data!$AK$2:$AK$1105,1,Data!$BA$2:$BA$1105,$A$163),NA())))</f>
        <v/>
      </c>
      <c r="W163" s="61">
        <f>IF($A$163="","",$A$163&amp;" ("&amp;$J$163&amp;")")</f>
        <v/>
      </c>
      <c r="X163" s="61" t="n"/>
      <c r="Y163" s="61" t="n"/>
      <c r="Z163" s="61" t="n"/>
      <c r="AA163" s="61" t="n"/>
      <c r="AB163" s="61" t="n"/>
      <c r="AC163" s="61" t="n"/>
      <c r="AD163" s="61" t="n"/>
      <c r="AE163" s="61" t="n"/>
      <c r="AF163" s="61" t="n"/>
      <c r="AG163" s="61" t="n"/>
      <c r="AH163" s="61" t="n"/>
      <c r="AI163" s="61" t="n"/>
      <c r="AJ163" s="61" t="n"/>
      <c r="AK163" s="61" t="n"/>
      <c r="AL163" s="61" t="n"/>
      <c r="AM163" s="61" t="n"/>
      <c r="AN163" s="61">
        <f>Controls!$G$60</f>
        <v/>
      </c>
      <c r="AO163" s="61">
        <f>COUNTIFS(Data!$AK$2:$AK$1105,1,Data!$M$2:$M$1105,$AN$163)</f>
        <v/>
      </c>
      <c r="AP163" s="57">
        <f>SUMIFS(Data!$P$2:$P$1105,Data!$AK$2:$AK$1105,1,Data!$M$2:$M$1105,$AN$163)</f>
        <v/>
      </c>
      <c r="AQ163" s="56">
        <f>IFERROR(SUMIFS(Data!$AN$2:$AN$1105,Data!$AK$2:$AK$1105,1,Data!$M$2:$M$1105,$AN$163)/$AP$163,0)</f>
        <v/>
      </c>
      <c r="AR163" s="57">
        <f>SUMIFS(Data!$AN$2:$AN$1105,Data!$AK$2:$AK$1105,1,Data!$M$2:$M$1105,$AN$163)</f>
        <v/>
      </c>
      <c r="AS163" s="61">
        <f>Controls!$H$60</f>
        <v/>
      </c>
      <c r="AT163" s="61">
        <f>IF(OR(AO163=0,AO163&lt;Controls!$B$20),-1000000000000000,IF(AND(Controls!$B$21="Y",$AN$163="No ISO"),-1000000000000000,IF(Controls!$B$17="Selected only",IF(AS163="Y",AP163,-1000000000000000),IF(Controls!$B$17="Top by funded $",AP163,IF(Controls!$B$17="Top by funded units",AO163,IF(Controls!$B$17="Largest principal lost $",AR163,IF(Controls!$B$17="Highest net profit $",AU163,IF(AO163&lt;Controls!$B$19,-1000000000000000,IF(Controls!$B$17="Highest principal lost rate %",AQ163,IF(Controls!$B$17="Lowest principal lost rate %",1-AQ163,AP163))))))))) +21/1000000)</f>
        <v/>
      </c>
      <c r="AU163" s="57">
        <f>SUMIFS(Data!$AM$2:$AM$1105,Data!$AK$2:$AK$1105,1,Data!$M$2:$M$1105,$AN$163)</f>
        <v/>
      </c>
      <c r="AV163" s="61" t="n"/>
      <c r="AW163" s="61" t="n"/>
      <c r="AX163" s="61" t="n"/>
      <c r="AY163" s="61" t="n"/>
      <c r="AZ163" s="61" t="n"/>
      <c r="BA163" s="61" t="n"/>
      <c r="BB163" s="61">
        <f>Controls!$G$128</f>
        <v/>
      </c>
      <c r="BC163" s="61">
        <f>COUNTIFS(Data!$AK$2:$AK$1105,1,Data!$M$2:$M$1105,$BB$163)</f>
        <v/>
      </c>
      <c r="BD163" s="57">
        <f>SUMIFS(Data!$P$2:$P$1105,Data!$AK$2:$AK$1105,1,Data!$M$2:$M$1105,$BB$163)</f>
        <v/>
      </c>
      <c r="BE163" s="56">
        <f>IF(COUNTIFS(Data!$AK$2:$AK$1105,1,Data!$M$2:$M$1105,$BB$163)&lt;Controls!$B$19,"",IFERROR(SUMIFS(Data!$AN$2:$AN$1105,Data!$AK$2:$AK$1105,1,Data!$M$2:$M$1105,$BB$163)/$BD$163,""))</f>
        <v/>
      </c>
      <c r="BF163" s="56">
        <f>IF(COUNTIFS(Data!$AK$2:$AK$1105,1,Data!$M$2:$M$1105,$BB$163)&lt;Controls!$B$19,"",IFERROR(SUMIFS(Data!$AM$2:$AM$1105,Data!$AK$2:$AK$1105,1,Data!$M$2:$M$1105,$BB$163)/SUMIFS(Data!$P$2:$P$1105,Data!$AK$2:$AK$1105,1,Data!$M$2:$M$1105,$BB$163),""))</f>
        <v/>
      </c>
      <c r="BG163" s="57">
        <f>SUMIFS(Data!$AN$2:$AN$1105,Data!$AK$2:$AK$1105,1,Data!$M$2:$M$1105,$BB$163)</f>
        <v/>
      </c>
      <c r="BH163" s="61" t="n"/>
      <c r="BI163" s="61">
        <f>IF(AND($BC$163&gt;=Controls!$B$22,$BD$163&gt;=LARGE($BD$75:$BD$230,MIN(Controls!$B$18,COUNT($BD$75:$BD$230)))),$BE$163,"")</f>
        <v/>
      </c>
      <c r="BJ163" s="61" t="n"/>
      <c r="BK163" s="61">
        <f>IF($BC$163&lt;Controls!$B$22,"",$BE$163)</f>
        <v/>
      </c>
      <c r="BL163" s="61">
        <f>IF($BC$163&lt;Controls!$B$22,"",$BF$163)</f>
        <v/>
      </c>
      <c r="BM163" s="61">
        <f>IF($BC$163&lt;Controls!$B$22,"",$BG$163)</f>
        <v/>
      </c>
      <c r="BN163" s="61" t="n"/>
      <c r="BO163" s="61" t="n"/>
      <c r="BP163" s="61" t="n"/>
      <c r="BQ163" s="61" t="n"/>
      <c r="BR163" s="61" t="n"/>
      <c r="BS163" s="61" t="n"/>
      <c r="BT163" s="61" t="n"/>
    </row>
    <row r="164" ht="15.75" customHeight="1" s="79">
      <c r="A164" s="61">
        <f>IF(EDATE(Controls!$B$5,16)&gt;Controls!$B$6,"",TEXT(EDATE(Controls!$B$5,16),"YYYY-MM"))</f>
        <v/>
      </c>
      <c r="B164" s="66">
        <f>IF($A$164="",NA(),IFERROR(SUMIFS(Data!$P$2:$P$1105,Data!$AK$2:$AK$1105,1,Data!$BA$2:$BA$1105,$A$164),NA()))</f>
        <v/>
      </c>
      <c r="C164" s="66">
        <f>IF($A$164="",NA(),IFERROR(SUMIFS(Data!$S$2:$S$1105,Data!$AK$2:$AK$1105,1,Data!$BA$2:$BA$1105,$A$164),NA()))</f>
        <v/>
      </c>
      <c r="D164" s="66">
        <f>IF(ISNA($B$164),NA(),$C$164-$B$164)</f>
        <v/>
      </c>
      <c r="E164" s="66">
        <f>IF($A$164="",NA(),IFERROR(SUMIFS(Data!$Q$2:$Q$1105,Data!$AK$2:$AK$1105,1,Data!$BA$2:$BA$1105,$A$164),NA()))</f>
        <v/>
      </c>
      <c r="F164" s="66">
        <f>IF($A$164="",NA(),IFERROR(SUMIFS(Data!$AN$2:$AN$1105,Data!$AK$2:$AK$1105,1,Data!$BA$2:$BA$1105,$A$164),NA()))</f>
        <v/>
      </c>
      <c r="G164" s="62">
        <f>IF($A$164="",NA(),IF(COUNTIFS(Data!$AK$2:$AK$1105,1,Data!$BA$2:$BA$1105,$A$164)&lt;Controls!$B$19,NA(),IFERROR(SUMIFS(Data!$AN$2:$AN$1105,Data!$AK$2:$AK$1105,1,Data!$BA$2:$BA$1105,$A$164)/$B$164,NA())))</f>
        <v/>
      </c>
      <c r="H164" s="62">
        <f>IF($A$164="",NA(),IF(COUNTIFS(Data!$AK$2:$AK$1105,1,Data!$BA$2:$BA$1105,$A$164)&lt;Controls!$B$19,NA(),IFERROR(SUMIFS(Data!$S$2:$S$1105,Data!$AK$2:$AK$1105,1,Data!$BA$2:$BA$1105,$A$164,Data!$AH$2:$AH$1105,1)/SUMIFS(Data!$P$2:$P$1105,Data!$AK$2:$AK$1105,1,Data!$BA$2:$BA$1105,$A$164,Data!$AH$2:$AH$1105,1),NA())))</f>
        <v/>
      </c>
      <c r="I164" s="62">
        <f>IF(ISNA($J$164),NA(),IF($J$164&lt;Controls!$B$19,NA(),IFERROR($D$164/$B$164,NA())))</f>
        <v/>
      </c>
      <c r="J164" s="67">
        <f>IF($A$164="",NA(),IFERROR(COUNTIFS(Data!$AK$2:$AK$1105,1,Data!$BA$2:$BA$1105,$A$164),NA()))</f>
        <v/>
      </c>
      <c r="K164" s="62">
        <f>IF(ISNA($B$164),NA(),IFERROR($B$164/Calc!$BT$6,NA()))</f>
        <v/>
      </c>
      <c r="L164" s="66">
        <f>IF(ISNA($J$164),NA(),IF($J$164&lt;Controls!$B$19,NA(),IFERROR($B$164/$J$164,NA())))</f>
        <v/>
      </c>
      <c r="M164" s="67">
        <f>IF($A$164="",NA(),IF(COUNTIFS(Data!$AK$2:$AK$1105,1,Data!$BA$2:$BA$1105,$A$164)&lt;Controls!$B$19,NA(),IFERROR(AVERAGEIFS(Data!$AE$2:$AE$1105,Data!$AK$2:$AK$1105,1,Data!$BA$2:$BA$1105,$A$164),NA())))</f>
        <v/>
      </c>
      <c r="N164" s="67">
        <f>IF($A$164="",NA(),IF(COUNTIFS(Data!$AK$2:$AK$1105,1,Data!$BA$2:$BA$1105,$A$164)&lt;Controls!$B$19,NA(),IFERROR(AVERAGEIFS(Data!$AD$2:$AD$1105,Data!$AK$2:$AK$1105,1,Data!$BA$2:$BA$1105,$A$164),NA())))</f>
        <v/>
      </c>
      <c r="O164" s="67">
        <f>IF($A$164="",NA(),IF(COUNTIFS(Data!$AK$2:$AK$1105,1,Data!$BA$2:$BA$1105,$A$164)&lt;Controls!$B$19,NA(),IFERROR(AVERAGEIFS(Data!$AS$2:$AS$1105,Data!$AK$2:$AK$1105,1,Data!$BA$2:$BA$1105,$A$164),NA())))</f>
        <v/>
      </c>
      <c r="P164" s="67">
        <f>IF($A$164="",NA(),IF(COUNTIFS(Data!$AK$2:$AK$1105,1,Data!$BA$2:$BA$1105,$A$164)&lt;Controls!$B$19,NA(),IFERROR(AVERAGEIFS(Data!$AT$2:$AT$1105,Data!$AK$2:$AK$1105,1,Data!$BA$2:$BA$1105,$A$164),NA())))</f>
        <v/>
      </c>
      <c r="Q164" s="62">
        <f>IF($A$164="",NA(),IF(COUNTIFS(Data!$AK$2:$AK$1105,1,Data!$BA$2:$BA$1105,$A$164)&lt;Controls!$B$19,NA(),IFERROR(COUNTIFS(Data!$AK$2:$AK$1105,1,Data!$BA$2:$BA$1105,$A$164,Data!$N$2:$N$1105,"Renewal")/COUNTIFS(Data!$AK$2:$AK$1105,1,Data!$BA$2:$BA$1105,$A$164),NA())))</f>
        <v/>
      </c>
      <c r="R164" s="62">
        <f>IF($A$164="",NA(),IF(COUNTIFS(Data!$AK$2:$AK$1105,1,Data!$BA$2:$BA$1105,$A$164)&lt;Controls!$B$19,NA(),IFERROR(SUMIFS(Data!$P$2:$P$1105,Data!$AK$2:$AK$1105,1,Data!$BA$2:$BA$1105,$A$164,Data!$N$2:$N$1105,"Renewal")/SUMIFS(Data!$P$2:$P$1105,Data!$AK$2:$AK$1105,1,Data!$BA$2:$BA$1105,$A$164),NA())))</f>
        <v/>
      </c>
      <c r="S164" s="62">
        <f>IF($A$164="",NA(),Calc!$BT$2)</f>
        <v/>
      </c>
      <c r="T164" s="62">
        <f>IF($A$164="",NA(),Calc!$BT$3)</f>
        <v/>
      </c>
      <c r="U164" s="62">
        <f>IF($A$164="",NA(),Calc!$BT$4)</f>
        <v/>
      </c>
      <c r="V164" s="62">
        <f>IF($A$164="",NA(),IF(COUNTIFS(Data!$AK$2:$AK$1105,1,Data!$BA$2:$BA$1105,$A$164)&lt;Controls!$B$19,NA(),IFERROR(COUNTIFS(Data!$AK$2:$AK$1105,1,Data!$BA$2:$BA$1105,$A$164,Data!$AH$2:$AH$1105,1)/COUNTIFS(Data!$AK$2:$AK$1105,1,Data!$BA$2:$BA$1105,$A$164),NA())))</f>
        <v/>
      </c>
      <c r="W164" s="61">
        <f>IF($A$164="","",$A$164&amp;" ("&amp;$J$164&amp;")")</f>
        <v/>
      </c>
      <c r="X164" s="61" t="n"/>
      <c r="Y164" s="61" t="n"/>
      <c r="Z164" s="61" t="n"/>
      <c r="AA164" s="61" t="n"/>
      <c r="AB164" s="61" t="n"/>
      <c r="AC164" s="61" t="n"/>
      <c r="AD164" s="61" t="n"/>
      <c r="AE164" s="61" t="n"/>
      <c r="AF164" s="61" t="n"/>
      <c r="AG164" s="61" t="n"/>
      <c r="AH164" s="61" t="n"/>
      <c r="AI164" s="61" t="n"/>
      <c r="AJ164" s="61" t="n"/>
      <c r="AK164" s="61" t="n"/>
      <c r="AL164" s="61" t="n"/>
      <c r="AM164" s="61" t="n"/>
      <c r="AN164" s="61">
        <f>Controls!$G$61</f>
        <v/>
      </c>
      <c r="AO164" s="61">
        <f>COUNTIFS(Data!$AK$2:$AK$1105,1,Data!$M$2:$M$1105,$AN$164)</f>
        <v/>
      </c>
      <c r="AP164" s="57">
        <f>SUMIFS(Data!$P$2:$P$1105,Data!$AK$2:$AK$1105,1,Data!$M$2:$M$1105,$AN$164)</f>
        <v/>
      </c>
      <c r="AQ164" s="56">
        <f>IFERROR(SUMIFS(Data!$AN$2:$AN$1105,Data!$AK$2:$AK$1105,1,Data!$M$2:$M$1105,$AN$164)/$AP$164,0)</f>
        <v/>
      </c>
      <c r="AR164" s="57">
        <f>SUMIFS(Data!$AN$2:$AN$1105,Data!$AK$2:$AK$1105,1,Data!$M$2:$M$1105,$AN$164)</f>
        <v/>
      </c>
      <c r="AS164" s="61">
        <f>Controls!$H$61</f>
        <v/>
      </c>
      <c r="AT164" s="61">
        <f>IF(OR(AO164=0,AO164&lt;Controls!$B$20),-1000000000000000,IF(AND(Controls!$B$21="Y",$AN$164="No ISO"),-1000000000000000,IF(Controls!$B$17="Selected only",IF(AS164="Y",AP164,-1000000000000000),IF(Controls!$B$17="Top by funded $",AP164,IF(Controls!$B$17="Top by funded units",AO164,IF(Controls!$B$17="Largest principal lost $",AR164,IF(Controls!$B$17="Highest net profit $",AU164,IF(AO164&lt;Controls!$B$19,-1000000000000000,IF(Controls!$B$17="Highest principal lost rate %",AQ164,IF(Controls!$B$17="Lowest principal lost rate %",1-AQ164,AP164))))))))) +22/1000000)</f>
        <v/>
      </c>
      <c r="AU164" s="57">
        <f>SUMIFS(Data!$AM$2:$AM$1105,Data!$AK$2:$AK$1105,1,Data!$M$2:$M$1105,$AN$164)</f>
        <v/>
      </c>
      <c r="AV164" s="61" t="n"/>
      <c r="AW164" s="61" t="n"/>
      <c r="AX164" s="61" t="n"/>
      <c r="AY164" s="61" t="n"/>
      <c r="AZ164" s="61" t="n"/>
      <c r="BA164" s="61" t="n"/>
      <c r="BB164" s="61">
        <f>Controls!$G$129</f>
        <v/>
      </c>
      <c r="BC164" s="61">
        <f>COUNTIFS(Data!$AK$2:$AK$1105,1,Data!$M$2:$M$1105,$BB$164)</f>
        <v/>
      </c>
      <c r="BD164" s="57">
        <f>SUMIFS(Data!$P$2:$P$1105,Data!$AK$2:$AK$1105,1,Data!$M$2:$M$1105,$BB$164)</f>
        <v/>
      </c>
      <c r="BE164" s="56">
        <f>IF(COUNTIFS(Data!$AK$2:$AK$1105,1,Data!$M$2:$M$1105,$BB$164)&lt;Controls!$B$19,"",IFERROR(SUMIFS(Data!$AN$2:$AN$1105,Data!$AK$2:$AK$1105,1,Data!$M$2:$M$1105,$BB$164)/$BD$164,""))</f>
        <v/>
      </c>
      <c r="BF164" s="56">
        <f>IF(COUNTIFS(Data!$AK$2:$AK$1105,1,Data!$M$2:$M$1105,$BB$164)&lt;Controls!$B$19,"",IFERROR(SUMIFS(Data!$AM$2:$AM$1105,Data!$AK$2:$AK$1105,1,Data!$M$2:$M$1105,$BB$164)/SUMIFS(Data!$P$2:$P$1105,Data!$AK$2:$AK$1105,1,Data!$M$2:$M$1105,$BB$164),""))</f>
        <v/>
      </c>
      <c r="BG164" s="57">
        <f>SUMIFS(Data!$AN$2:$AN$1105,Data!$AK$2:$AK$1105,1,Data!$M$2:$M$1105,$BB$164)</f>
        <v/>
      </c>
      <c r="BH164" s="61" t="n"/>
      <c r="BI164" s="56">
        <f>IF(AND($BC$164&gt;=Controls!$B$22,$BD$164&gt;=LARGE($BD$75:$BD$230,MIN(Controls!$B$18,COUNT($BD$75:$BD$230)))),$BE$164,"")</f>
        <v/>
      </c>
      <c r="BJ164" s="61" t="n"/>
      <c r="BK164" s="56">
        <f>IF($BC$164&lt;Controls!$B$22,"",$BE$164)</f>
        <v/>
      </c>
      <c r="BL164" s="56">
        <f>IF($BC$164&lt;Controls!$B$22,"",$BF$164)</f>
        <v/>
      </c>
      <c r="BM164" s="57">
        <f>IF($BC$164&lt;Controls!$B$22,"",$BG$164)</f>
        <v/>
      </c>
      <c r="BN164" s="61" t="n"/>
      <c r="BO164" s="61" t="n"/>
      <c r="BP164" s="61" t="n"/>
      <c r="BQ164" s="61" t="n"/>
      <c r="BR164" s="61" t="n"/>
      <c r="BS164" s="61" t="n"/>
      <c r="BT164" s="61" t="n"/>
    </row>
    <row r="165" ht="15.75" customHeight="1" s="79">
      <c r="A165" s="61">
        <f>IF(EDATE(Controls!$B$5,17)&gt;Controls!$B$6,"",TEXT(EDATE(Controls!$B$5,17),"YYYY-MM"))</f>
        <v/>
      </c>
      <c r="B165" s="66">
        <f>IF($A$165="",NA(),IFERROR(SUMIFS(Data!$P$2:$P$1105,Data!$AK$2:$AK$1105,1,Data!$BA$2:$BA$1105,$A$165),NA()))</f>
        <v/>
      </c>
      <c r="C165" s="66">
        <f>IF($A$165="",NA(),IFERROR(SUMIFS(Data!$S$2:$S$1105,Data!$AK$2:$AK$1105,1,Data!$BA$2:$BA$1105,$A$165),NA()))</f>
        <v/>
      </c>
      <c r="D165" s="66">
        <f>IF(ISNA($B$165),NA(),$C$165-$B$165)</f>
        <v/>
      </c>
      <c r="E165" s="66">
        <f>IF($A$165="",NA(),IFERROR(SUMIFS(Data!$Q$2:$Q$1105,Data!$AK$2:$AK$1105,1,Data!$BA$2:$BA$1105,$A$165),NA()))</f>
        <v/>
      </c>
      <c r="F165" s="66">
        <f>IF($A$165="",NA(),IFERROR(SUMIFS(Data!$AN$2:$AN$1105,Data!$AK$2:$AK$1105,1,Data!$BA$2:$BA$1105,$A$165),NA()))</f>
        <v/>
      </c>
      <c r="G165" s="62">
        <f>IF($A$165="",NA(),IF(COUNTIFS(Data!$AK$2:$AK$1105,1,Data!$BA$2:$BA$1105,$A$165)&lt;Controls!$B$19,NA(),IFERROR(SUMIFS(Data!$AN$2:$AN$1105,Data!$AK$2:$AK$1105,1,Data!$BA$2:$BA$1105,$A$165)/$B$165,NA())))</f>
        <v/>
      </c>
      <c r="H165" s="62">
        <f>IF($A$165="",NA(),IF(COUNTIFS(Data!$AK$2:$AK$1105,1,Data!$BA$2:$BA$1105,$A$165)&lt;Controls!$B$19,NA(),IFERROR(SUMIFS(Data!$S$2:$S$1105,Data!$AK$2:$AK$1105,1,Data!$BA$2:$BA$1105,$A$165,Data!$AH$2:$AH$1105,1)/SUMIFS(Data!$P$2:$P$1105,Data!$AK$2:$AK$1105,1,Data!$BA$2:$BA$1105,$A$165,Data!$AH$2:$AH$1105,1),NA())))</f>
        <v/>
      </c>
      <c r="I165" s="62">
        <f>IF(ISNA($J$165),NA(),IF($J$165&lt;Controls!$B$19,NA(),IFERROR($D$165/$B$165,NA())))</f>
        <v/>
      </c>
      <c r="J165" s="67">
        <f>IF($A$165="",NA(),IFERROR(COUNTIFS(Data!$AK$2:$AK$1105,1,Data!$BA$2:$BA$1105,$A$165),NA()))</f>
        <v/>
      </c>
      <c r="K165" s="62">
        <f>IF(ISNA($B$165),NA(),IFERROR($B$165/Calc!$BT$6,NA()))</f>
        <v/>
      </c>
      <c r="L165" s="66">
        <f>IF(ISNA($J$165),NA(),IF($J$165&lt;Controls!$B$19,NA(),IFERROR($B$165/$J$165,NA())))</f>
        <v/>
      </c>
      <c r="M165" s="67">
        <f>IF($A$165="",NA(),IF(COUNTIFS(Data!$AK$2:$AK$1105,1,Data!$BA$2:$BA$1105,$A$165)&lt;Controls!$B$19,NA(),IFERROR(AVERAGEIFS(Data!$AE$2:$AE$1105,Data!$AK$2:$AK$1105,1,Data!$BA$2:$BA$1105,$A$165),NA())))</f>
        <v/>
      </c>
      <c r="N165" s="67">
        <f>IF($A$165="",NA(),IF(COUNTIFS(Data!$AK$2:$AK$1105,1,Data!$BA$2:$BA$1105,$A$165)&lt;Controls!$B$19,NA(),IFERROR(AVERAGEIFS(Data!$AD$2:$AD$1105,Data!$AK$2:$AK$1105,1,Data!$BA$2:$BA$1105,$A$165),NA())))</f>
        <v/>
      </c>
      <c r="O165" s="67">
        <f>IF($A$165="",NA(),IF(COUNTIFS(Data!$AK$2:$AK$1105,1,Data!$BA$2:$BA$1105,$A$165)&lt;Controls!$B$19,NA(),IFERROR(AVERAGEIFS(Data!$AS$2:$AS$1105,Data!$AK$2:$AK$1105,1,Data!$BA$2:$BA$1105,$A$165),NA())))</f>
        <v/>
      </c>
      <c r="P165" s="67">
        <f>IF($A$165="",NA(),IF(COUNTIFS(Data!$AK$2:$AK$1105,1,Data!$BA$2:$BA$1105,$A$165)&lt;Controls!$B$19,NA(),IFERROR(AVERAGEIFS(Data!$AT$2:$AT$1105,Data!$AK$2:$AK$1105,1,Data!$BA$2:$BA$1105,$A$165),NA())))</f>
        <v/>
      </c>
      <c r="Q165" s="62">
        <f>IF($A$165="",NA(),IF(COUNTIFS(Data!$AK$2:$AK$1105,1,Data!$BA$2:$BA$1105,$A$165)&lt;Controls!$B$19,NA(),IFERROR(COUNTIFS(Data!$AK$2:$AK$1105,1,Data!$BA$2:$BA$1105,$A$165,Data!$N$2:$N$1105,"Renewal")/COUNTIFS(Data!$AK$2:$AK$1105,1,Data!$BA$2:$BA$1105,$A$165),NA())))</f>
        <v/>
      </c>
      <c r="R165" s="62">
        <f>IF($A$165="",NA(),IF(COUNTIFS(Data!$AK$2:$AK$1105,1,Data!$BA$2:$BA$1105,$A$165)&lt;Controls!$B$19,NA(),IFERROR(SUMIFS(Data!$P$2:$P$1105,Data!$AK$2:$AK$1105,1,Data!$BA$2:$BA$1105,$A$165,Data!$N$2:$N$1105,"Renewal")/SUMIFS(Data!$P$2:$P$1105,Data!$AK$2:$AK$1105,1,Data!$BA$2:$BA$1105,$A$165),NA())))</f>
        <v/>
      </c>
      <c r="S165" s="62">
        <f>IF($A$165="",NA(),Calc!$BT$2)</f>
        <v/>
      </c>
      <c r="T165" s="62">
        <f>IF($A$165="",NA(),Calc!$BT$3)</f>
        <v/>
      </c>
      <c r="U165" s="62">
        <f>IF($A$165="",NA(),Calc!$BT$4)</f>
        <v/>
      </c>
      <c r="V165" s="62">
        <f>IF($A$165="",NA(),IF(COUNTIFS(Data!$AK$2:$AK$1105,1,Data!$BA$2:$BA$1105,$A$165)&lt;Controls!$B$19,NA(),IFERROR(COUNTIFS(Data!$AK$2:$AK$1105,1,Data!$BA$2:$BA$1105,$A$165,Data!$AH$2:$AH$1105,1)/COUNTIFS(Data!$AK$2:$AK$1105,1,Data!$BA$2:$BA$1105,$A$165),NA())))</f>
        <v/>
      </c>
      <c r="W165" s="61">
        <f>IF($A$165="","",$A$165&amp;" ("&amp;$J$165&amp;")")</f>
        <v/>
      </c>
      <c r="X165" s="61" t="n"/>
      <c r="Y165" s="61" t="n"/>
      <c r="Z165" s="61" t="n"/>
      <c r="AA165" s="61" t="n"/>
      <c r="AB165" s="61" t="n"/>
      <c r="AC165" s="61" t="n"/>
      <c r="AD165" s="61" t="n"/>
      <c r="AE165" s="61" t="n"/>
      <c r="AF165" s="61" t="n"/>
      <c r="AG165" s="61" t="n"/>
      <c r="AH165" s="61" t="n"/>
      <c r="AI165" s="61" t="n"/>
      <c r="AJ165" s="61" t="n"/>
      <c r="AK165" s="61" t="n"/>
      <c r="AL165" s="61" t="n"/>
      <c r="AM165" s="61" t="n"/>
      <c r="AN165" s="61">
        <f>Controls!$G$62</f>
        <v/>
      </c>
      <c r="AO165" s="61">
        <f>COUNTIFS(Data!$AK$2:$AK$1105,1,Data!$M$2:$M$1105,$AN$165)</f>
        <v/>
      </c>
      <c r="AP165" s="57">
        <f>SUMIFS(Data!$P$2:$P$1105,Data!$AK$2:$AK$1105,1,Data!$M$2:$M$1105,$AN$165)</f>
        <v/>
      </c>
      <c r="AQ165" s="56">
        <f>IFERROR(SUMIFS(Data!$AN$2:$AN$1105,Data!$AK$2:$AK$1105,1,Data!$M$2:$M$1105,$AN$165)/$AP$165,0)</f>
        <v/>
      </c>
      <c r="AR165" s="57">
        <f>SUMIFS(Data!$AN$2:$AN$1105,Data!$AK$2:$AK$1105,1,Data!$M$2:$M$1105,$AN$165)</f>
        <v/>
      </c>
      <c r="AS165" s="61">
        <f>Controls!$H$62</f>
        <v/>
      </c>
      <c r="AT165" s="61">
        <f>IF(OR(AO165=0,AO165&lt;Controls!$B$20),-1000000000000000,IF(AND(Controls!$B$21="Y",$AN$165="No ISO"),-1000000000000000,IF(Controls!$B$17="Selected only",IF(AS165="Y",AP165,-1000000000000000),IF(Controls!$B$17="Top by funded $",AP165,IF(Controls!$B$17="Top by funded units",AO165,IF(Controls!$B$17="Largest principal lost $",AR165,IF(Controls!$B$17="Highest net profit $",AU165,IF(AO165&lt;Controls!$B$19,-1000000000000000,IF(Controls!$B$17="Highest principal lost rate %",AQ165,IF(Controls!$B$17="Lowest principal lost rate %",1-AQ165,AP165))))))))) +23/1000000)</f>
        <v/>
      </c>
      <c r="AU165" s="57">
        <f>SUMIFS(Data!$AM$2:$AM$1105,Data!$AK$2:$AK$1105,1,Data!$M$2:$M$1105,$AN$165)</f>
        <v/>
      </c>
      <c r="AV165" s="61" t="n"/>
      <c r="AW165" s="61" t="n"/>
      <c r="AX165" s="61" t="n"/>
      <c r="AY165" s="61" t="n"/>
      <c r="AZ165" s="61" t="n"/>
      <c r="BA165" s="61" t="n"/>
      <c r="BB165" s="61">
        <f>Controls!$G$130</f>
        <v/>
      </c>
      <c r="BC165" s="61">
        <f>COUNTIFS(Data!$AK$2:$AK$1105,1,Data!$M$2:$M$1105,$BB$165)</f>
        <v/>
      </c>
      <c r="BD165" s="57">
        <f>SUMIFS(Data!$P$2:$P$1105,Data!$AK$2:$AK$1105,1,Data!$M$2:$M$1105,$BB$165)</f>
        <v/>
      </c>
      <c r="BE165" s="56">
        <f>IF(COUNTIFS(Data!$AK$2:$AK$1105,1,Data!$M$2:$M$1105,$BB$165)&lt;Controls!$B$19,"",IFERROR(SUMIFS(Data!$AN$2:$AN$1105,Data!$AK$2:$AK$1105,1,Data!$M$2:$M$1105,$BB$165)/$BD$165,""))</f>
        <v/>
      </c>
      <c r="BF165" s="56">
        <f>IF(COUNTIFS(Data!$AK$2:$AK$1105,1,Data!$M$2:$M$1105,$BB$165)&lt;Controls!$B$19,"",IFERROR(SUMIFS(Data!$AM$2:$AM$1105,Data!$AK$2:$AK$1105,1,Data!$M$2:$M$1105,$BB$165)/SUMIFS(Data!$P$2:$P$1105,Data!$AK$2:$AK$1105,1,Data!$M$2:$M$1105,$BB$165),""))</f>
        <v/>
      </c>
      <c r="BG165" s="57">
        <f>SUMIFS(Data!$AN$2:$AN$1105,Data!$AK$2:$AK$1105,1,Data!$M$2:$M$1105,$BB$165)</f>
        <v/>
      </c>
      <c r="BH165" s="61" t="n"/>
      <c r="BI165" s="56">
        <f>IF(AND($BC$165&gt;=Controls!$B$22,$BD$165&gt;=LARGE($BD$75:$BD$230,MIN(Controls!$B$18,COUNT($BD$75:$BD$230)))),$BE$165,"")</f>
        <v/>
      </c>
      <c r="BJ165" s="61" t="n"/>
      <c r="BK165" s="56">
        <f>IF($BC$165&lt;Controls!$B$22,"",$BE$165)</f>
        <v/>
      </c>
      <c r="BL165" s="56">
        <f>IF($BC$165&lt;Controls!$B$22,"",$BF$165)</f>
        <v/>
      </c>
      <c r="BM165" s="57">
        <f>IF($BC$165&lt;Controls!$B$22,"",$BG$165)</f>
        <v/>
      </c>
      <c r="BN165" s="61" t="n"/>
      <c r="BO165" s="61" t="n"/>
      <c r="BP165" s="61" t="n"/>
      <c r="BQ165" s="61" t="n"/>
      <c r="BR165" s="61" t="n"/>
      <c r="BS165" s="61" t="n"/>
      <c r="BT165" s="61" t="n"/>
    </row>
    <row r="166" ht="15.75" customHeight="1" s="79">
      <c r="A166" s="61">
        <f>IF(EDATE(Controls!$B$5,18)&gt;Controls!$B$6,"",TEXT(EDATE(Controls!$B$5,18),"YYYY-MM"))</f>
        <v/>
      </c>
      <c r="B166" s="66">
        <f>IF($A$166="",NA(),IFERROR(SUMIFS(Data!$P$2:$P$1105,Data!$AK$2:$AK$1105,1,Data!$BA$2:$BA$1105,$A$166),NA()))</f>
        <v/>
      </c>
      <c r="C166" s="66">
        <f>IF($A$166="",NA(),IFERROR(SUMIFS(Data!$S$2:$S$1105,Data!$AK$2:$AK$1105,1,Data!$BA$2:$BA$1105,$A$166),NA()))</f>
        <v/>
      </c>
      <c r="D166" s="66">
        <f>IF(ISNA($B$166),NA(),$C$166-$B$166)</f>
        <v/>
      </c>
      <c r="E166" s="66">
        <f>IF($A$166="",NA(),IFERROR(SUMIFS(Data!$Q$2:$Q$1105,Data!$AK$2:$AK$1105,1,Data!$BA$2:$BA$1105,$A$166),NA()))</f>
        <v/>
      </c>
      <c r="F166" s="66">
        <f>IF($A$166="",NA(),IFERROR(SUMIFS(Data!$AN$2:$AN$1105,Data!$AK$2:$AK$1105,1,Data!$BA$2:$BA$1105,$A$166),NA()))</f>
        <v/>
      </c>
      <c r="G166" s="62">
        <f>IF($A$166="",NA(),IF(COUNTIFS(Data!$AK$2:$AK$1105,1,Data!$BA$2:$BA$1105,$A$166)&lt;Controls!$B$19,NA(),IFERROR(SUMIFS(Data!$AN$2:$AN$1105,Data!$AK$2:$AK$1105,1,Data!$BA$2:$BA$1105,$A$166)/$B$166,NA())))</f>
        <v/>
      </c>
      <c r="H166" s="62">
        <f>IF($A$166="",NA(),IF(COUNTIFS(Data!$AK$2:$AK$1105,1,Data!$BA$2:$BA$1105,$A$166)&lt;Controls!$B$19,NA(),IFERROR(SUMIFS(Data!$S$2:$S$1105,Data!$AK$2:$AK$1105,1,Data!$BA$2:$BA$1105,$A$166,Data!$AH$2:$AH$1105,1)/SUMIFS(Data!$P$2:$P$1105,Data!$AK$2:$AK$1105,1,Data!$BA$2:$BA$1105,$A$166,Data!$AH$2:$AH$1105,1),NA())))</f>
        <v/>
      </c>
      <c r="I166" s="62">
        <f>IF(ISNA($J$166),NA(),IF($J$166&lt;Controls!$B$19,NA(),IFERROR($D$166/$B$166,NA())))</f>
        <v/>
      </c>
      <c r="J166" s="67">
        <f>IF($A$166="",NA(),IFERROR(COUNTIFS(Data!$AK$2:$AK$1105,1,Data!$BA$2:$BA$1105,$A$166),NA()))</f>
        <v/>
      </c>
      <c r="K166" s="62">
        <f>IF(ISNA($B$166),NA(),IFERROR($B$166/Calc!$BT$6,NA()))</f>
        <v/>
      </c>
      <c r="L166" s="66">
        <f>IF(ISNA($J$166),NA(),IF($J$166&lt;Controls!$B$19,NA(),IFERROR($B$166/$J$166,NA())))</f>
        <v/>
      </c>
      <c r="M166" s="67">
        <f>IF($A$166="",NA(),IF(COUNTIFS(Data!$AK$2:$AK$1105,1,Data!$BA$2:$BA$1105,$A$166)&lt;Controls!$B$19,NA(),IFERROR(AVERAGEIFS(Data!$AE$2:$AE$1105,Data!$AK$2:$AK$1105,1,Data!$BA$2:$BA$1105,$A$166),NA())))</f>
        <v/>
      </c>
      <c r="N166" s="67">
        <f>IF($A$166="",NA(),IF(COUNTIFS(Data!$AK$2:$AK$1105,1,Data!$BA$2:$BA$1105,$A$166)&lt;Controls!$B$19,NA(),IFERROR(AVERAGEIFS(Data!$AD$2:$AD$1105,Data!$AK$2:$AK$1105,1,Data!$BA$2:$BA$1105,$A$166),NA())))</f>
        <v/>
      </c>
      <c r="O166" s="67">
        <f>IF($A$166="",NA(),IF(COUNTIFS(Data!$AK$2:$AK$1105,1,Data!$BA$2:$BA$1105,$A$166)&lt;Controls!$B$19,NA(),IFERROR(AVERAGEIFS(Data!$AS$2:$AS$1105,Data!$AK$2:$AK$1105,1,Data!$BA$2:$BA$1105,$A$166),NA())))</f>
        <v/>
      </c>
      <c r="P166" s="67">
        <f>IF($A$166="",NA(),IF(COUNTIFS(Data!$AK$2:$AK$1105,1,Data!$BA$2:$BA$1105,$A$166)&lt;Controls!$B$19,NA(),IFERROR(AVERAGEIFS(Data!$AT$2:$AT$1105,Data!$AK$2:$AK$1105,1,Data!$BA$2:$BA$1105,$A$166),NA())))</f>
        <v/>
      </c>
      <c r="Q166" s="62">
        <f>IF($A$166="",NA(),IF(COUNTIFS(Data!$AK$2:$AK$1105,1,Data!$BA$2:$BA$1105,$A$166)&lt;Controls!$B$19,NA(),IFERROR(COUNTIFS(Data!$AK$2:$AK$1105,1,Data!$BA$2:$BA$1105,$A$166,Data!$N$2:$N$1105,"Renewal")/COUNTIFS(Data!$AK$2:$AK$1105,1,Data!$BA$2:$BA$1105,$A$166),NA())))</f>
        <v/>
      </c>
      <c r="R166" s="62">
        <f>IF($A$166="",NA(),IF(COUNTIFS(Data!$AK$2:$AK$1105,1,Data!$BA$2:$BA$1105,$A$166)&lt;Controls!$B$19,NA(),IFERROR(SUMIFS(Data!$P$2:$P$1105,Data!$AK$2:$AK$1105,1,Data!$BA$2:$BA$1105,$A$166,Data!$N$2:$N$1105,"Renewal")/SUMIFS(Data!$P$2:$P$1105,Data!$AK$2:$AK$1105,1,Data!$BA$2:$BA$1105,$A$166),NA())))</f>
        <v/>
      </c>
      <c r="S166" s="62">
        <f>IF($A$166="",NA(),Calc!$BT$2)</f>
        <v/>
      </c>
      <c r="T166" s="62">
        <f>IF($A$166="",NA(),Calc!$BT$3)</f>
        <v/>
      </c>
      <c r="U166" s="62">
        <f>IF($A$166="",NA(),Calc!$BT$4)</f>
        <v/>
      </c>
      <c r="V166" s="62">
        <f>IF($A$166="",NA(),IF(COUNTIFS(Data!$AK$2:$AK$1105,1,Data!$BA$2:$BA$1105,$A$166)&lt;Controls!$B$19,NA(),IFERROR(COUNTIFS(Data!$AK$2:$AK$1105,1,Data!$BA$2:$BA$1105,$A$166,Data!$AH$2:$AH$1105,1)/COUNTIFS(Data!$AK$2:$AK$1105,1,Data!$BA$2:$BA$1105,$A$166),NA())))</f>
        <v/>
      </c>
      <c r="W166" s="61">
        <f>IF($A$166="","",$A$166&amp;" ("&amp;$J$166&amp;")")</f>
        <v/>
      </c>
      <c r="X166" s="61" t="n"/>
      <c r="Y166" s="61" t="n"/>
      <c r="Z166" s="61" t="n"/>
      <c r="AA166" s="61" t="n"/>
      <c r="AB166" s="61" t="n"/>
      <c r="AC166" s="61" t="n"/>
      <c r="AD166" s="61" t="n"/>
      <c r="AE166" s="61" t="n"/>
      <c r="AF166" s="61" t="n"/>
      <c r="AG166" s="61" t="n"/>
      <c r="AH166" s="61" t="n"/>
      <c r="AI166" s="61" t="n"/>
      <c r="AJ166" s="61" t="n"/>
      <c r="AK166" s="61" t="n"/>
      <c r="AL166" s="61" t="n"/>
      <c r="AM166" s="61" t="n"/>
      <c r="AN166" s="61">
        <f>Controls!$G$63</f>
        <v/>
      </c>
      <c r="AO166" s="61">
        <f>COUNTIFS(Data!$AK$2:$AK$1105,1,Data!$M$2:$M$1105,$AN$166)</f>
        <v/>
      </c>
      <c r="AP166" s="57">
        <f>SUMIFS(Data!$P$2:$P$1105,Data!$AK$2:$AK$1105,1,Data!$M$2:$M$1105,$AN$166)</f>
        <v/>
      </c>
      <c r="AQ166" s="56">
        <f>IFERROR(SUMIFS(Data!$AN$2:$AN$1105,Data!$AK$2:$AK$1105,1,Data!$M$2:$M$1105,$AN$166)/$AP$166,0)</f>
        <v/>
      </c>
      <c r="AR166" s="57">
        <f>SUMIFS(Data!$AN$2:$AN$1105,Data!$AK$2:$AK$1105,1,Data!$M$2:$M$1105,$AN$166)</f>
        <v/>
      </c>
      <c r="AS166" s="61">
        <f>Controls!$H$63</f>
        <v/>
      </c>
      <c r="AT166" s="61">
        <f>IF(OR(AO166=0,AO166&lt;Controls!$B$20),-1000000000000000,IF(AND(Controls!$B$21="Y",$AN$166="No ISO"),-1000000000000000,IF(Controls!$B$17="Selected only",IF(AS166="Y",AP166,-1000000000000000),IF(Controls!$B$17="Top by funded $",AP166,IF(Controls!$B$17="Top by funded units",AO166,IF(Controls!$B$17="Largest principal lost $",AR166,IF(Controls!$B$17="Highest net profit $",AU166,IF(AO166&lt;Controls!$B$19,-1000000000000000,IF(Controls!$B$17="Highest principal lost rate %",AQ166,IF(Controls!$B$17="Lowest principal lost rate %",1-AQ166,AP166))))))))) +24/1000000)</f>
        <v/>
      </c>
      <c r="AU166" s="57">
        <f>SUMIFS(Data!$AM$2:$AM$1105,Data!$AK$2:$AK$1105,1,Data!$M$2:$M$1105,$AN$166)</f>
        <v/>
      </c>
      <c r="AV166" s="61" t="n"/>
      <c r="AW166" s="61" t="n"/>
      <c r="AX166" s="61" t="n"/>
      <c r="AY166" s="61" t="n"/>
      <c r="AZ166" s="61" t="n"/>
      <c r="BA166" s="61" t="n"/>
      <c r="BB166" s="61">
        <f>Controls!$G$131</f>
        <v/>
      </c>
      <c r="BC166" s="61">
        <f>COUNTIFS(Data!$AK$2:$AK$1105,1,Data!$M$2:$M$1105,$BB$166)</f>
        <v/>
      </c>
      <c r="BD166" s="57">
        <f>SUMIFS(Data!$P$2:$P$1105,Data!$AK$2:$AK$1105,1,Data!$M$2:$M$1105,$BB$166)</f>
        <v/>
      </c>
      <c r="BE166" s="56">
        <f>IF(COUNTIFS(Data!$AK$2:$AK$1105,1,Data!$M$2:$M$1105,$BB$166)&lt;Controls!$B$19,"",IFERROR(SUMIFS(Data!$AN$2:$AN$1105,Data!$AK$2:$AK$1105,1,Data!$M$2:$M$1105,$BB$166)/$BD$166,""))</f>
        <v/>
      </c>
      <c r="BF166" s="56">
        <f>IF(COUNTIFS(Data!$AK$2:$AK$1105,1,Data!$M$2:$M$1105,$BB$166)&lt;Controls!$B$19,"",IFERROR(SUMIFS(Data!$AM$2:$AM$1105,Data!$AK$2:$AK$1105,1,Data!$M$2:$M$1105,$BB$166)/SUMIFS(Data!$P$2:$P$1105,Data!$AK$2:$AK$1105,1,Data!$M$2:$M$1105,$BB$166),""))</f>
        <v/>
      </c>
      <c r="BG166" s="57">
        <f>SUMIFS(Data!$AN$2:$AN$1105,Data!$AK$2:$AK$1105,1,Data!$M$2:$M$1105,$BB$166)</f>
        <v/>
      </c>
      <c r="BH166" s="61" t="n"/>
      <c r="BI166" s="61">
        <f>IF(AND($BC$166&gt;=Controls!$B$22,$BD$166&gt;=LARGE($BD$75:$BD$230,MIN(Controls!$B$18,COUNT($BD$75:$BD$230)))),$BE$166,"")</f>
        <v/>
      </c>
      <c r="BJ166" s="61" t="n"/>
      <c r="BK166" s="61">
        <f>IF($BC$166&lt;Controls!$B$22,"",$BE$166)</f>
        <v/>
      </c>
      <c r="BL166" s="61">
        <f>IF($BC$166&lt;Controls!$B$22,"",$BF$166)</f>
        <v/>
      </c>
      <c r="BM166" s="61">
        <f>IF($BC$166&lt;Controls!$B$22,"",$BG$166)</f>
        <v/>
      </c>
      <c r="BN166" s="61" t="n"/>
      <c r="BO166" s="61" t="n"/>
      <c r="BP166" s="61" t="n"/>
      <c r="BQ166" s="61" t="n"/>
      <c r="BR166" s="61" t="n"/>
      <c r="BS166" s="61" t="n"/>
      <c r="BT166" s="61" t="n"/>
    </row>
    <row r="167" ht="15.75" customHeight="1" s="79">
      <c r="A167" s="61">
        <f>IF(EDATE(Controls!$B$5,19)&gt;Controls!$B$6,"",TEXT(EDATE(Controls!$B$5,19),"YYYY-MM"))</f>
        <v/>
      </c>
      <c r="B167" s="66">
        <f>IF($A$167="",NA(),IFERROR(SUMIFS(Data!$P$2:$P$1105,Data!$AK$2:$AK$1105,1,Data!$BA$2:$BA$1105,$A$167),NA()))</f>
        <v/>
      </c>
      <c r="C167" s="66">
        <f>IF($A$167="",NA(),IFERROR(SUMIFS(Data!$S$2:$S$1105,Data!$AK$2:$AK$1105,1,Data!$BA$2:$BA$1105,$A$167),NA()))</f>
        <v/>
      </c>
      <c r="D167" s="66">
        <f>IF(ISNA($B$167),NA(),$C$167-$B$167)</f>
        <v/>
      </c>
      <c r="E167" s="66">
        <f>IF($A$167="",NA(),IFERROR(SUMIFS(Data!$Q$2:$Q$1105,Data!$AK$2:$AK$1105,1,Data!$BA$2:$BA$1105,$A$167),NA()))</f>
        <v/>
      </c>
      <c r="F167" s="66">
        <f>IF($A$167="",NA(),IFERROR(SUMIFS(Data!$AN$2:$AN$1105,Data!$AK$2:$AK$1105,1,Data!$BA$2:$BA$1105,$A$167),NA()))</f>
        <v/>
      </c>
      <c r="G167" s="62">
        <f>IF($A$167="",NA(),IF(COUNTIFS(Data!$AK$2:$AK$1105,1,Data!$BA$2:$BA$1105,$A$167)&lt;Controls!$B$19,NA(),IFERROR(SUMIFS(Data!$AN$2:$AN$1105,Data!$AK$2:$AK$1105,1,Data!$BA$2:$BA$1105,$A$167)/$B$167,NA())))</f>
        <v/>
      </c>
      <c r="H167" s="62">
        <f>IF($A$167="",NA(),IF(COUNTIFS(Data!$AK$2:$AK$1105,1,Data!$BA$2:$BA$1105,$A$167)&lt;Controls!$B$19,NA(),IFERROR(SUMIFS(Data!$S$2:$S$1105,Data!$AK$2:$AK$1105,1,Data!$BA$2:$BA$1105,$A$167,Data!$AH$2:$AH$1105,1)/SUMIFS(Data!$P$2:$P$1105,Data!$AK$2:$AK$1105,1,Data!$BA$2:$BA$1105,$A$167,Data!$AH$2:$AH$1105,1),NA())))</f>
        <v/>
      </c>
      <c r="I167" s="62">
        <f>IF(ISNA($J$167),NA(),IF($J$167&lt;Controls!$B$19,NA(),IFERROR($D$167/$B$167,NA())))</f>
        <v/>
      </c>
      <c r="J167" s="67">
        <f>IF($A$167="",NA(),IFERROR(COUNTIFS(Data!$AK$2:$AK$1105,1,Data!$BA$2:$BA$1105,$A$167),NA()))</f>
        <v/>
      </c>
      <c r="K167" s="62">
        <f>IF(ISNA($B$167),NA(),IFERROR($B$167/Calc!$BT$6,NA()))</f>
        <v/>
      </c>
      <c r="L167" s="66">
        <f>IF(ISNA($J$167),NA(),IF($J$167&lt;Controls!$B$19,NA(),IFERROR($B$167/$J$167,NA())))</f>
        <v/>
      </c>
      <c r="M167" s="67">
        <f>IF($A$167="",NA(),IF(COUNTIFS(Data!$AK$2:$AK$1105,1,Data!$BA$2:$BA$1105,$A$167)&lt;Controls!$B$19,NA(),IFERROR(AVERAGEIFS(Data!$AE$2:$AE$1105,Data!$AK$2:$AK$1105,1,Data!$BA$2:$BA$1105,$A$167),NA())))</f>
        <v/>
      </c>
      <c r="N167" s="67">
        <f>IF($A$167="",NA(),IF(COUNTIFS(Data!$AK$2:$AK$1105,1,Data!$BA$2:$BA$1105,$A$167)&lt;Controls!$B$19,NA(),IFERROR(AVERAGEIFS(Data!$AD$2:$AD$1105,Data!$AK$2:$AK$1105,1,Data!$BA$2:$BA$1105,$A$167),NA())))</f>
        <v/>
      </c>
      <c r="O167" s="67">
        <f>IF($A$167="",NA(),IF(COUNTIFS(Data!$AK$2:$AK$1105,1,Data!$BA$2:$BA$1105,$A$167)&lt;Controls!$B$19,NA(),IFERROR(AVERAGEIFS(Data!$AS$2:$AS$1105,Data!$AK$2:$AK$1105,1,Data!$BA$2:$BA$1105,$A$167),NA())))</f>
        <v/>
      </c>
      <c r="P167" s="67">
        <f>IF($A$167="",NA(),IF(COUNTIFS(Data!$AK$2:$AK$1105,1,Data!$BA$2:$BA$1105,$A$167)&lt;Controls!$B$19,NA(),IFERROR(AVERAGEIFS(Data!$AT$2:$AT$1105,Data!$AK$2:$AK$1105,1,Data!$BA$2:$BA$1105,$A$167),NA())))</f>
        <v/>
      </c>
      <c r="Q167" s="62">
        <f>IF($A$167="",NA(),IF(COUNTIFS(Data!$AK$2:$AK$1105,1,Data!$BA$2:$BA$1105,$A$167)&lt;Controls!$B$19,NA(),IFERROR(COUNTIFS(Data!$AK$2:$AK$1105,1,Data!$BA$2:$BA$1105,$A$167,Data!$N$2:$N$1105,"Renewal")/COUNTIFS(Data!$AK$2:$AK$1105,1,Data!$BA$2:$BA$1105,$A$167),NA())))</f>
        <v/>
      </c>
      <c r="R167" s="62">
        <f>IF($A$167="",NA(),IF(COUNTIFS(Data!$AK$2:$AK$1105,1,Data!$BA$2:$BA$1105,$A$167)&lt;Controls!$B$19,NA(),IFERROR(SUMIFS(Data!$P$2:$P$1105,Data!$AK$2:$AK$1105,1,Data!$BA$2:$BA$1105,$A$167,Data!$N$2:$N$1105,"Renewal")/SUMIFS(Data!$P$2:$P$1105,Data!$AK$2:$AK$1105,1,Data!$BA$2:$BA$1105,$A$167),NA())))</f>
        <v/>
      </c>
      <c r="S167" s="62">
        <f>IF($A$167="",NA(),Calc!$BT$2)</f>
        <v/>
      </c>
      <c r="T167" s="62">
        <f>IF($A$167="",NA(),Calc!$BT$3)</f>
        <v/>
      </c>
      <c r="U167" s="62">
        <f>IF($A$167="",NA(),Calc!$BT$4)</f>
        <v/>
      </c>
      <c r="V167" s="62">
        <f>IF($A$167="",NA(),IF(COUNTIFS(Data!$AK$2:$AK$1105,1,Data!$BA$2:$BA$1105,$A$167)&lt;Controls!$B$19,NA(),IFERROR(COUNTIFS(Data!$AK$2:$AK$1105,1,Data!$BA$2:$BA$1105,$A$167,Data!$AH$2:$AH$1105,1)/COUNTIFS(Data!$AK$2:$AK$1105,1,Data!$BA$2:$BA$1105,$A$167),NA())))</f>
        <v/>
      </c>
      <c r="W167" s="61">
        <f>IF($A$167="","",$A$167&amp;" ("&amp;$J$167&amp;")")</f>
        <v/>
      </c>
      <c r="X167" s="61" t="n"/>
      <c r="Y167" s="61" t="n"/>
      <c r="Z167" s="61" t="n"/>
      <c r="AA167" s="61" t="n"/>
      <c r="AB167" s="61" t="n"/>
      <c r="AC167" s="61" t="n"/>
      <c r="AD167" s="61" t="n"/>
      <c r="AE167" s="61" t="n"/>
      <c r="AF167" s="61" t="n"/>
      <c r="AG167" s="61" t="n"/>
      <c r="AH167" s="61" t="n"/>
      <c r="AI167" s="61" t="n"/>
      <c r="AJ167" s="61" t="n"/>
      <c r="AK167" s="61" t="n"/>
      <c r="AL167" s="61" t="n"/>
      <c r="AM167" s="61" t="n"/>
      <c r="AN167" s="61">
        <f>Controls!$G$64</f>
        <v/>
      </c>
      <c r="AO167" s="61">
        <f>COUNTIFS(Data!$AK$2:$AK$1105,1,Data!$M$2:$M$1105,$AN$167)</f>
        <v/>
      </c>
      <c r="AP167" s="57">
        <f>SUMIFS(Data!$P$2:$P$1105,Data!$AK$2:$AK$1105,1,Data!$M$2:$M$1105,$AN$167)</f>
        <v/>
      </c>
      <c r="AQ167" s="56">
        <f>IFERROR(SUMIFS(Data!$AN$2:$AN$1105,Data!$AK$2:$AK$1105,1,Data!$M$2:$M$1105,$AN$167)/$AP$167,0)</f>
        <v/>
      </c>
      <c r="AR167" s="57">
        <f>SUMIFS(Data!$AN$2:$AN$1105,Data!$AK$2:$AK$1105,1,Data!$M$2:$M$1105,$AN$167)</f>
        <v/>
      </c>
      <c r="AS167" s="61">
        <f>Controls!$H$64</f>
        <v/>
      </c>
      <c r="AT167" s="61">
        <f>IF(OR(AO167=0,AO167&lt;Controls!$B$20),-1000000000000000,IF(AND(Controls!$B$21="Y",$AN$167="No ISO"),-1000000000000000,IF(Controls!$B$17="Selected only",IF(AS167="Y",AP167,-1000000000000000),IF(Controls!$B$17="Top by funded $",AP167,IF(Controls!$B$17="Top by funded units",AO167,IF(Controls!$B$17="Largest principal lost $",AR167,IF(Controls!$B$17="Highest net profit $",AU167,IF(AO167&lt;Controls!$B$19,-1000000000000000,IF(Controls!$B$17="Highest principal lost rate %",AQ167,IF(Controls!$B$17="Lowest principal lost rate %",1-AQ167,AP167))))))))) +25/1000000)</f>
        <v/>
      </c>
      <c r="AU167" s="57">
        <f>SUMIFS(Data!$AM$2:$AM$1105,Data!$AK$2:$AK$1105,1,Data!$M$2:$M$1105,$AN$167)</f>
        <v/>
      </c>
      <c r="AV167" s="61" t="n"/>
      <c r="AW167" s="61" t="n"/>
      <c r="AX167" s="61" t="n"/>
      <c r="AY167" s="61" t="n"/>
      <c r="AZ167" s="61" t="n"/>
      <c r="BA167" s="61" t="n"/>
      <c r="BB167" s="61">
        <f>Controls!$G$132</f>
        <v/>
      </c>
      <c r="BC167" s="61">
        <f>COUNTIFS(Data!$AK$2:$AK$1105,1,Data!$M$2:$M$1105,$BB$167)</f>
        <v/>
      </c>
      <c r="BD167" s="57">
        <f>SUMIFS(Data!$P$2:$P$1105,Data!$AK$2:$AK$1105,1,Data!$M$2:$M$1105,$BB$167)</f>
        <v/>
      </c>
      <c r="BE167" s="56">
        <f>IF(COUNTIFS(Data!$AK$2:$AK$1105,1,Data!$M$2:$M$1105,$BB$167)&lt;Controls!$B$19,"",IFERROR(SUMIFS(Data!$AN$2:$AN$1105,Data!$AK$2:$AK$1105,1,Data!$M$2:$M$1105,$BB$167)/$BD$167,""))</f>
        <v/>
      </c>
      <c r="BF167" s="56">
        <f>IF(COUNTIFS(Data!$AK$2:$AK$1105,1,Data!$M$2:$M$1105,$BB$167)&lt;Controls!$B$19,"",IFERROR(SUMIFS(Data!$AM$2:$AM$1105,Data!$AK$2:$AK$1105,1,Data!$M$2:$M$1105,$BB$167)/SUMIFS(Data!$P$2:$P$1105,Data!$AK$2:$AK$1105,1,Data!$M$2:$M$1105,$BB$167),""))</f>
        <v/>
      </c>
      <c r="BG167" s="57">
        <f>SUMIFS(Data!$AN$2:$AN$1105,Data!$AK$2:$AK$1105,1,Data!$M$2:$M$1105,$BB$167)</f>
        <v/>
      </c>
      <c r="BH167" s="61" t="n"/>
      <c r="BI167" s="61">
        <f>IF(AND($BC$167&gt;=Controls!$B$22,$BD$167&gt;=LARGE($BD$75:$BD$230,MIN(Controls!$B$18,COUNT($BD$75:$BD$230)))),$BE$167,"")</f>
        <v/>
      </c>
      <c r="BJ167" s="61" t="n"/>
      <c r="BK167" s="61">
        <f>IF($BC$167&lt;Controls!$B$22,"",$BE$167)</f>
        <v/>
      </c>
      <c r="BL167" s="61">
        <f>IF($BC$167&lt;Controls!$B$22,"",$BF$167)</f>
        <v/>
      </c>
      <c r="BM167" s="61">
        <f>IF($BC$167&lt;Controls!$B$22,"",$BG$167)</f>
        <v/>
      </c>
      <c r="BN167" s="61" t="n"/>
      <c r="BO167" s="61" t="n"/>
      <c r="BP167" s="61" t="n"/>
      <c r="BQ167" s="61" t="n"/>
      <c r="BR167" s="61" t="n"/>
      <c r="BS167" s="61" t="n"/>
      <c r="BT167" s="61" t="n"/>
    </row>
    <row r="168" ht="15.75" customHeight="1" s="79">
      <c r="A168" s="61">
        <f>IF(EDATE(Controls!$B$5,20)&gt;Controls!$B$6,"",TEXT(EDATE(Controls!$B$5,20),"YYYY-MM"))</f>
        <v/>
      </c>
      <c r="B168" s="66">
        <f>IF($A$168="",NA(),IFERROR(SUMIFS(Data!$P$2:$P$1105,Data!$AK$2:$AK$1105,1,Data!$BA$2:$BA$1105,$A$168),NA()))</f>
        <v/>
      </c>
      <c r="C168" s="66">
        <f>IF($A$168="",NA(),IFERROR(SUMIFS(Data!$S$2:$S$1105,Data!$AK$2:$AK$1105,1,Data!$BA$2:$BA$1105,$A$168),NA()))</f>
        <v/>
      </c>
      <c r="D168" s="66">
        <f>IF(ISNA($B$168),NA(),$C$168-$B$168)</f>
        <v/>
      </c>
      <c r="E168" s="66">
        <f>IF($A$168="",NA(),IFERROR(SUMIFS(Data!$Q$2:$Q$1105,Data!$AK$2:$AK$1105,1,Data!$BA$2:$BA$1105,$A$168),NA()))</f>
        <v/>
      </c>
      <c r="F168" s="66">
        <f>IF($A$168="",NA(),IFERROR(SUMIFS(Data!$AN$2:$AN$1105,Data!$AK$2:$AK$1105,1,Data!$BA$2:$BA$1105,$A$168),NA()))</f>
        <v/>
      </c>
      <c r="G168" s="62">
        <f>IF($A$168="",NA(),IF(COUNTIFS(Data!$AK$2:$AK$1105,1,Data!$BA$2:$BA$1105,$A$168)&lt;Controls!$B$19,NA(),IFERROR(SUMIFS(Data!$AN$2:$AN$1105,Data!$AK$2:$AK$1105,1,Data!$BA$2:$BA$1105,$A$168)/$B$168,NA())))</f>
        <v/>
      </c>
      <c r="H168" s="62">
        <f>IF($A$168="",NA(),IF(COUNTIFS(Data!$AK$2:$AK$1105,1,Data!$BA$2:$BA$1105,$A$168)&lt;Controls!$B$19,NA(),IFERROR(SUMIFS(Data!$S$2:$S$1105,Data!$AK$2:$AK$1105,1,Data!$BA$2:$BA$1105,$A$168,Data!$AH$2:$AH$1105,1)/SUMIFS(Data!$P$2:$P$1105,Data!$AK$2:$AK$1105,1,Data!$BA$2:$BA$1105,$A$168,Data!$AH$2:$AH$1105,1),NA())))</f>
        <v/>
      </c>
      <c r="I168" s="62">
        <f>IF(ISNA($J$168),NA(),IF($J$168&lt;Controls!$B$19,NA(),IFERROR($D$168/$B$168,NA())))</f>
        <v/>
      </c>
      <c r="J168" s="67">
        <f>IF($A$168="",NA(),IFERROR(COUNTIFS(Data!$AK$2:$AK$1105,1,Data!$BA$2:$BA$1105,$A$168),NA()))</f>
        <v/>
      </c>
      <c r="K168" s="62">
        <f>IF(ISNA($B$168),NA(),IFERROR($B$168/Calc!$BT$6,NA()))</f>
        <v/>
      </c>
      <c r="L168" s="66">
        <f>IF(ISNA($J$168),NA(),IF($J$168&lt;Controls!$B$19,NA(),IFERROR($B$168/$J$168,NA())))</f>
        <v/>
      </c>
      <c r="M168" s="67">
        <f>IF($A$168="",NA(),IF(COUNTIFS(Data!$AK$2:$AK$1105,1,Data!$BA$2:$BA$1105,$A$168)&lt;Controls!$B$19,NA(),IFERROR(AVERAGEIFS(Data!$AE$2:$AE$1105,Data!$AK$2:$AK$1105,1,Data!$BA$2:$BA$1105,$A$168),NA())))</f>
        <v/>
      </c>
      <c r="N168" s="67">
        <f>IF($A$168="",NA(),IF(COUNTIFS(Data!$AK$2:$AK$1105,1,Data!$BA$2:$BA$1105,$A$168)&lt;Controls!$B$19,NA(),IFERROR(AVERAGEIFS(Data!$AD$2:$AD$1105,Data!$AK$2:$AK$1105,1,Data!$BA$2:$BA$1105,$A$168),NA())))</f>
        <v/>
      </c>
      <c r="O168" s="67">
        <f>IF($A$168="",NA(),IF(COUNTIFS(Data!$AK$2:$AK$1105,1,Data!$BA$2:$BA$1105,$A$168)&lt;Controls!$B$19,NA(),IFERROR(AVERAGEIFS(Data!$AS$2:$AS$1105,Data!$AK$2:$AK$1105,1,Data!$BA$2:$BA$1105,$A$168),NA())))</f>
        <v/>
      </c>
      <c r="P168" s="67">
        <f>IF($A$168="",NA(),IF(COUNTIFS(Data!$AK$2:$AK$1105,1,Data!$BA$2:$BA$1105,$A$168)&lt;Controls!$B$19,NA(),IFERROR(AVERAGEIFS(Data!$AT$2:$AT$1105,Data!$AK$2:$AK$1105,1,Data!$BA$2:$BA$1105,$A$168),NA())))</f>
        <v/>
      </c>
      <c r="Q168" s="62">
        <f>IF($A$168="",NA(),IF(COUNTIFS(Data!$AK$2:$AK$1105,1,Data!$BA$2:$BA$1105,$A$168)&lt;Controls!$B$19,NA(),IFERROR(COUNTIFS(Data!$AK$2:$AK$1105,1,Data!$BA$2:$BA$1105,$A$168,Data!$N$2:$N$1105,"Renewal")/COUNTIFS(Data!$AK$2:$AK$1105,1,Data!$BA$2:$BA$1105,$A$168),NA())))</f>
        <v/>
      </c>
      <c r="R168" s="62">
        <f>IF($A$168="",NA(),IF(COUNTIFS(Data!$AK$2:$AK$1105,1,Data!$BA$2:$BA$1105,$A$168)&lt;Controls!$B$19,NA(),IFERROR(SUMIFS(Data!$P$2:$P$1105,Data!$AK$2:$AK$1105,1,Data!$BA$2:$BA$1105,$A$168,Data!$N$2:$N$1105,"Renewal")/SUMIFS(Data!$P$2:$P$1105,Data!$AK$2:$AK$1105,1,Data!$BA$2:$BA$1105,$A$168),NA())))</f>
        <v/>
      </c>
      <c r="S168" s="62">
        <f>IF($A$168="",NA(),Calc!$BT$2)</f>
        <v/>
      </c>
      <c r="T168" s="62">
        <f>IF($A$168="",NA(),Calc!$BT$3)</f>
        <v/>
      </c>
      <c r="U168" s="62">
        <f>IF($A$168="",NA(),Calc!$BT$4)</f>
        <v/>
      </c>
      <c r="V168" s="62">
        <f>IF($A$168="",NA(),IF(COUNTIFS(Data!$AK$2:$AK$1105,1,Data!$BA$2:$BA$1105,$A$168)&lt;Controls!$B$19,NA(),IFERROR(COUNTIFS(Data!$AK$2:$AK$1105,1,Data!$BA$2:$BA$1105,$A$168,Data!$AH$2:$AH$1105,1)/COUNTIFS(Data!$AK$2:$AK$1105,1,Data!$BA$2:$BA$1105,$A$168),NA())))</f>
        <v/>
      </c>
      <c r="W168" s="61">
        <f>IF($A$168="","",$A$168&amp;" ("&amp;$J$168&amp;")")</f>
        <v/>
      </c>
      <c r="X168" s="61" t="n"/>
      <c r="Y168" s="61" t="n"/>
      <c r="Z168" s="61" t="n"/>
      <c r="AA168" s="61" t="n"/>
      <c r="AB168" s="61" t="n"/>
      <c r="AC168" s="61" t="n"/>
      <c r="AD168" s="61" t="n"/>
      <c r="AE168" s="61" t="n"/>
      <c r="AF168" s="61" t="n"/>
      <c r="AG168" s="61" t="n"/>
      <c r="AH168" s="61" t="n"/>
      <c r="AI168" s="61" t="n"/>
      <c r="AJ168" s="61" t="n"/>
      <c r="AK168" s="61" t="n"/>
      <c r="AL168" s="61" t="n"/>
      <c r="AM168" s="61" t="n"/>
      <c r="AN168" s="61">
        <f>Controls!$G$65</f>
        <v/>
      </c>
      <c r="AO168" s="61">
        <f>COUNTIFS(Data!$AK$2:$AK$1105,1,Data!$M$2:$M$1105,$AN$168)</f>
        <v/>
      </c>
      <c r="AP168" s="57">
        <f>SUMIFS(Data!$P$2:$P$1105,Data!$AK$2:$AK$1105,1,Data!$M$2:$M$1105,$AN$168)</f>
        <v/>
      </c>
      <c r="AQ168" s="56">
        <f>IFERROR(SUMIFS(Data!$AN$2:$AN$1105,Data!$AK$2:$AK$1105,1,Data!$M$2:$M$1105,$AN$168)/$AP$168,0)</f>
        <v/>
      </c>
      <c r="AR168" s="57">
        <f>SUMIFS(Data!$AN$2:$AN$1105,Data!$AK$2:$AK$1105,1,Data!$M$2:$M$1105,$AN$168)</f>
        <v/>
      </c>
      <c r="AS168" s="61">
        <f>Controls!$H$65</f>
        <v/>
      </c>
      <c r="AT168" s="61">
        <f>IF(OR(AO168=0,AO168&lt;Controls!$B$20),-1000000000000000,IF(AND(Controls!$B$21="Y",$AN$168="No ISO"),-1000000000000000,IF(Controls!$B$17="Selected only",IF(AS168="Y",AP168,-1000000000000000),IF(Controls!$B$17="Top by funded $",AP168,IF(Controls!$B$17="Top by funded units",AO168,IF(Controls!$B$17="Largest principal lost $",AR168,IF(Controls!$B$17="Highest net profit $",AU168,IF(AO168&lt;Controls!$B$19,-1000000000000000,IF(Controls!$B$17="Highest principal lost rate %",AQ168,IF(Controls!$B$17="Lowest principal lost rate %",1-AQ168,AP168))))))))) +26/1000000)</f>
        <v/>
      </c>
      <c r="AU168" s="57">
        <f>SUMIFS(Data!$AM$2:$AM$1105,Data!$AK$2:$AK$1105,1,Data!$M$2:$M$1105,$AN$168)</f>
        <v/>
      </c>
      <c r="AV168" s="61" t="n"/>
      <c r="AW168" s="61" t="n"/>
      <c r="AX168" s="61" t="n"/>
      <c r="AY168" s="61" t="n"/>
      <c r="AZ168" s="61" t="n"/>
      <c r="BA168" s="61" t="n"/>
      <c r="BB168" s="61">
        <f>Controls!$G$133</f>
        <v/>
      </c>
      <c r="BC168" s="61">
        <f>COUNTIFS(Data!$AK$2:$AK$1105,1,Data!$M$2:$M$1105,$BB$168)</f>
        <v/>
      </c>
      <c r="BD168" s="57">
        <f>SUMIFS(Data!$P$2:$P$1105,Data!$AK$2:$AK$1105,1,Data!$M$2:$M$1105,$BB$168)</f>
        <v/>
      </c>
      <c r="BE168" s="56">
        <f>IF(COUNTIFS(Data!$AK$2:$AK$1105,1,Data!$M$2:$M$1105,$BB$168)&lt;Controls!$B$19,"",IFERROR(SUMIFS(Data!$AN$2:$AN$1105,Data!$AK$2:$AK$1105,1,Data!$M$2:$M$1105,$BB$168)/$BD$168,""))</f>
        <v/>
      </c>
      <c r="BF168" s="56">
        <f>IF(COUNTIFS(Data!$AK$2:$AK$1105,1,Data!$M$2:$M$1105,$BB$168)&lt;Controls!$B$19,"",IFERROR(SUMIFS(Data!$AM$2:$AM$1105,Data!$AK$2:$AK$1105,1,Data!$M$2:$M$1105,$BB$168)/SUMIFS(Data!$P$2:$P$1105,Data!$AK$2:$AK$1105,1,Data!$M$2:$M$1105,$BB$168),""))</f>
        <v/>
      </c>
      <c r="BG168" s="57">
        <f>SUMIFS(Data!$AN$2:$AN$1105,Data!$AK$2:$AK$1105,1,Data!$M$2:$M$1105,$BB$168)</f>
        <v/>
      </c>
      <c r="BH168" s="61" t="n"/>
      <c r="BI168" s="61">
        <f>IF(AND($BC$168&gt;=Controls!$B$22,$BD$168&gt;=LARGE($BD$75:$BD$230,MIN(Controls!$B$18,COUNT($BD$75:$BD$230)))),$BE$168,"")</f>
        <v/>
      </c>
      <c r="BJ168" s="61" t="n"/>
      <c r="BK168" s="61">
        <f>IF($BC$168&lt;Controls!$B$22,"",$BE$168)</f>
        <v/>
      </c>
      <c r="BL168" s="61">
        <f>IF($BC$168&lt;Controls!$B$22,"",$BF$168)</f>
        <v/>
      </c>
      <c r="BM168" s="61">
        <f>IF($BC$168&lt;Controls!$B$22,"",$BG$168)</f>
        <v/>
      </c>
      <c r="BN168" s="61" t="n"/>
      <c r="BO168" s="61" t="n"/>
      <c r="BP168" s="61" t="n"/>
      <c r="BQ168" s="61" t="n"/>
      <c r="BR168" s="61" t="n"/>
      <c r="BS168" s="61" t="n"/>
      <c r="BT168" s="61" t="n"/>
    </row>
    <row r="169" ht="15.75" customHeight="1" s="79">
      <c r="A169" s="61">
        <f>IF(EDATE(Controls!$B$5,21)&gt;Controls!$B$6,"",TEXT(EDATE(Controls!$B$5,21),"YYYY-MM"))</f>
        <v/>
      </c>
      <c r="B169" s="66">
        <f>IF($A$169="",NA(),IFERROR(SUMIFS(Data!$P$2:$P$1105,Data!$AK$2:$AK$1105,1,Data!$BA$2:$BA$1105,$A$169),NA()))</f>
        <v/>
      </c>
      <c r="C169" s="66">
        <f>IF($A$169="",NA(),IFERROR(SUMIFS(Data!$S$2:$S$1105,Data!$AK$2:$AK$1105,1,Data!$BA$2:$BA$1105,$A$169),NA()))</f>
        <v/>
      </c>
      <c r="D169" s="66">
        <f>IF(ISNA($B$169),NA(),$C$169-$B$169)</f>
        <v/>
      </c>
      <c r="E169" s="66">
        <f>IF($A$169="",NA(),IFERROR(SUMIFS(Data!$Q$2:$Q$1105,Data!$AK$2:$AK$1105,1,Data!$BA$2:$BA$1105,$A$169),NA()))</f>
        <v/>
      </c>
      <c r="F169" s="66">
        <f>IF($A$169="",NA(),IFERROR(SUMIFS(Data!$AN$2:$AN$1105,Data!$AK$2:$AK$1105,1,Data!$BA$2:$BA$1105,$A$169),NA()))</f>
        <v/>
      </c>
      <c r="G169" s="62">
        <f>IF($A$169="",NA(),IF(COUNTIFS(Data!$AK$2:$AK$1105,1,Data!$BA$2:$BA$1105,$A$169)&lt;Controls!$B$19,NA(),IFERROR(SUMIFS(Data!$AN$2:$AN$1105,Data!$AK$2:$AK$1105,1,Data!$BA$2:$BA$1105,$A$169)/$B$169,NA())))</f>
        <v/>
      </c>
      <c r="H169" s="62">
        <f>IF($A$169="",NA(),IF(COUNTIFS(Data!$AK$2:$AK$1105,1,Data!$BA$2:$BA$1105,$A$169)&lt;Controls!$B$19,NA(),IFERROR(SUMIFS(Data!$S$2:$S$1105,Data!$AK$2:$AK$1105,1,Data!$BA$2:$BA$1105,$A$169,Data!$AH$2:$AH$1105,1)/SUMIFS(Data!$P$2:$P$1105,Data!$AK$2:$AK$1105,1,Data!$BA$2:$BA$1105,$A$169,Data!$AH$2:$AH$1105,1),NA())))</f>
        <v/>
      </c>
      <c r="I169" s="62">
        <f>IF(ISNA($J$169),NA(),IF($J$169&lt;Controls!$B$19,NA(),IFERROR($D$169/$B$169,NA())))</f>
        <v/>
      </c>
      <c r="J169" s="67">
        <f>IF($A$169="",NA(),IFERROR(COUNTIFS(Data!$AK$2:$AK$1105,1,Data!$BA$2:$BA$1105,$A$169),NA()))</f>
        <v/>
      </c>
      <c r="K169" s="62">
        <f>IF(ISNA($B$169),NA(),IFERROR($B$169/Calc!$BT$6,NA()))</f>
        <v/>
      </c>
      <c r="L169" s="66">
        <f>IF(ISNA($J$169),NA(),IF($J$169&lt;Controls!$B$19,NA(),IFERROR($B$169/$J$169,NA())))</f>
        <v/>
      </c>
      <c r="M169" s="67">
        <f>IF($A$169="",NA(),IF(COUNTIFS(Data!$AK$2:$AK$1105,1,Data!$BA$2:$BA$1105,$A$169)&lt;Controls!$B$19,NA(),IFERROR(AVERAGEIFS(Data!$AE$2:$AE$1105,Data!$AK$2:$AK$1105,1,Data!$BA$2:$BA$1105,$A$169),NA())))</f>
        <v/>
      </c>
      <c r="N169" s="67">
        <f>IF($A$169="",NA(),IF(COUNTIFS(Data!$AK$2:$AK$1105,1,Data!$BA$2:$BA$1105,$A$169)&lt;Controls!$B$19,NA(),IFERROR(AVERAGEIFS(Data!$AD$2:$AD$1105,Data!$AK$2:$AK$1105,1,Data!$BA$2:$BA$1105,$A$169),NA())))</f>
        <v/>
      </c>
      <c r="O169" s="67">
        <f>IF($A$169="",NA(),IF(COUNTIFS(Data!$AK$2:$AK$1105,1,Data!$BA$2:$BA$1105,$A$169)&lt;Controls!$B$19,NA(),IFERROR(AVERAGEIFS(Data!$AS$2:$AS$1105,Data!$AK$2:$AK$1105,1,Data!$BA$2:$BA$1105,$A$169),NA())))</f>
        <v/>
      </c>
      <c r="P169" s="67">
        <f>IF($A$169="",NA(),IF(COUNTIFS(Data!$AK$2:$AK$1105,1,Data!$BA$2:$BA$1105,$A$169)&lt;Controls!$B$19,NA(),IFERROR(AVERAGEIFS(Data!$AT$2:$AT$1105,Data!$AK$2:$AK$1105,1,Data!$BA$2:$BA$1105,$A$169),NA())))</f>
        <v/>
      </c>
      <c r="Q169" s="62">
        <f>IF($A$169="",NA(),IF(COUNTIFS(Data!$AK$2:$AK$1105,1,Data!$BA$2:$BA$1105,$A$169)&lt;Controls!$B$19,NA(),IFERROR(COUNTIFS(Data!$AK$2:$AK$1105,1,Data!$BA$2:$BA$1105,$A$169,Data!$N$2:$N$1105,"Renewal")/COUNTIFS(Data!$AK$2:$AK$1105,1,Data!$BA$2:$BA$1105,$A$169),NA())))</f>
        <v/>
      </c>
      <c r="R169" s="62">
        <f>IF($A$169="",NA(),IF(COUNTIFS(Data!$AK$2:$AK$1105,1,Data!$BA$2:$BA$1105,$A$169)&lt;Controls!$B$19,NA(),IFERROR(SUMIFS(Data!$P$2:$P$1105,Data!$AK$2:$AK$1105,1,Data!$BA$2:$BA$1105,$A$169,Data!$N$2:$N$1105,"Renewal")/SUMIFS(Data!$P$2:$P$1105,Data!$AK$2:$AK$1105,1,Data!$BA$2:$BA$1105,$A$169),NA())))</f>
        <v/>
      </c>
      <c r="S169" s="62">
        <f>IF($A$169="",NA(),Calc!$BT$2)</f>
        <v/>
      </c>
      <c r="T169" s="62">
        <f>IF($A$169="",NA(),Calc!$BT$3)</f>
        <v/>
      </c>
      <c r="U169" s="62">
        <f>IF($A$169="",NA(),Calc!$BT$4)</f>
        <v/>
      </c>
      <c r="V169" s="62">
        <f>IF($A$169="",NA(),IF(COUNTIFS(Data!$AK$2:$AK$1105,1,Data!$BA$2:$BA$1105,$A$169)&lt;Controls!$B$19,NA(),IFERROR(COUNTIFS(Data!$AK$2:$AK$1105,1,Data!$BA$2:$BA$1105,$A$169,Data!$AH$2:$AH$1105,1)/COUNTIFS(Data!$AK$2:$AK$1105,1,Data!$BA$2:$BA$1105,$A$169),NA())))</f>
        <v/>
      </c>
      <c r="W169" s="61">
        <f>IF($A$169="","",$A$169&amp;" ("&amp;$J$169&amp;")")</f>
        <v/>
      </c>
      <c r="X169" s="61" t="n"/>
      <c r="Y169" s="61" t="n"/>
      <c r="Z169" s="61" t="n"/>
      <c r="AA169" s="61" t="n"/>
      <c r="AB169" s="61" t="n"/>
      <c r="AC169" s="61" t="n"/>
      <c r="AD169" s="61" t="n"/>
      <c r="AE169" s="61" t="n"/>
      <c r="AF169" s="61" t="n"/>
      <c r="AG169" s="61" t="n"/>
      <c r="AH169" s="61" t="n"/>
      <c r="AI169" s="61" t="n"/>
      <c r="AJ169" s="61" t="n"/>
      <c r="AK169" s="61" t="n"/>
      <c r="AL169" s="61" t="n"/>
      <c r="AM169" s="61" t="n"/>
      <c r="AN169" s="61">
        <f>Controls!$G$66</f>
        <v/>
      </c>
      <c r="AO169" s="61">
        <f>COUNTIFS(Data!$AK$2:$AK$1105,1,Data!$M$2:$M$1105,$AN$169)</f>
        <v/>
      </c>
      <c r="AP169" s="57">
        <f>SUMIFS(Data!$P$2:$P$1105,Data!$AK$2:$AK$1105,1,Data!$M$2:$M$1105,$AN$169)</f>
        <v/>
      </c>
      <c r="AQ169" s="56">
        <f>IFERROR(SUMIFS(Data!$AN$2:$AN$1105,Data!$AK$2:$AK$1105,1,Data!$M$2:$M$1105,$AN$169)/$AP$169,0)</f>
        <v/>
      </c>
      <c r="AR169" s="57">
        <f>SUMIFS(Data!$AN$2:$AN$1105,Data!$AK$2:$AK$1105,1,Data!$M$2:$M$1105,$AN$169)</f>
        <v/>
      </c>
      <c r="AS169" s="61">
        <f>Controls!$H$66</f>
        <v/>
      </c>
      <c r="AT169" s="61">
        <f>IF(OR(AO169=0,AO169&lt;Controls!$B$20),-1000000000000000,IF(AND(Controls!$B$21="Y",$AN$169="No ISO"),-1000000000000000,IF(Controls!$B$17="Selected only",IF(AS169="Y",AP169,-1000000000000000),IF(Controls!$B$17="Top by funded $",AP169,IF(Controls!$B$17="Top by funded units",AO169,IF(Controls!$B$17="Largest principal lost $",AR169,IF(Controls!$B$17="Highest net profit $",AU169,IF(AO169&lt;Controls!$B$19,-1000000000000000,IF(Controls!$B$17="Highest principal lost rate %",AQ169,IF(Controls!$B$17="Lowest principal lost rate %",1-AQ169,AP169))))))))) +27/1000000)</f>
        <v/>
      </c>
      <c r="AU169" s="57">
        <f>SUMIFS(Data!$AM$2:$AM$1105,Data!$AK$2:$AK$1105,1,Data!$M$2:$M$1105,$AN$169)</f>
        <v/>
      </c>
      <c r="AV169" s="61" t="n"/>
      <c r="AW169" s="61" t="n"/>
      <c r="AX169" s="61" t="n"/>
      <c r="AY169" s="61" t="n"/>
      <c r="AZ169" s="61" t="n"/>
      <c r="BA169" s="61" t="n"/>
      <c r="BB169" s="61">
        <f>Controls!$G$134</f>
        <v/>
      </c>
      <c r="BC169" s="61">
        <f>COUNTIFS(Data!$AK$2:$AK$1105,1,Data!$M$2:$M$1105,$BB$169)</f>
        <v/>
      </c>
      <c r="BD169" s="57">
        <f>SUMIFS(Data!$P$2:$P$1105,Data!$AK$2:$AK$1105,1,Data!$M$2:$M$1105,$BB$169)</f>
        <v/>
      </c>
      <c r="BE169" s="56">
        <f>IF(COUNTIFS(Data!$AK$2:$AK$1105,1,Data!$M$2:$M$1105,$BB$169)&lt;Controls!$B$19,"",IFERROR(SUMIFS(Data!$AN$2:$AN$1105,Data!$AK$2:$AK$1105,1,Data!$M$2:$M$1105,$BB$169)/$BD$169,""))</f>
        <v/>
      </c>
      <c r="BF169" s="56">
        <f>IF(COUNTIFS(Data!$AK$2:$AK$1105,1,Data!$M$2:$M$1105,$BB$169)&lt;Controls!$B$19,"",IFERROR(SUMIFS(Data!$AM$2:$AM$1105,Data!$AK$2:$AK$1105,1,Data!$M$2:$M$1105,$BB$169)/SUMIFS(Data!$P$2:$P$1105,Data!$AK$2:$AK$1105,1,Data!$M$2:$M$1105,$BB$169),""))</f>
        <v/>
      </c>
      <c r="BG169" s="57">
        <f>SUMIFS(Data!$AN$2:$AN$1105,Data!$AK$2:$AK$1105,1,Data!$M$2:$M$1105,$BB$169)</f>
        <v/>
      </c>
      <c r="BH169" s="61" t="n"/>
      <c r="BI169" s="61">
        <f>IF(AND($BC$169&gt;=Controls!$B$22,$BD$169&gt;=LARGE($BD$75:$BD$230,MIN(Controls!$B$18,COUNT($BD$75:$BD$230)))),$BE$169,"")</f>
        <v/>
      </c>
      <c r="BJ169" s="61" t="n"/>
      <c r="BK169" s="61">
        <f>IF($BC$169&lt;Controls!$B$22,"",$BE$169)</f>
        <v/>
      </c>
      <c r="BL169" s="61">
        <f>IF($BC$169&lt;Controls!$B$22,"",$BF$169)</f>
        <v/>
      </c>
      <c r="BM169" s="61">
        <f>IF($BC$169&lt;Controls!$B$22,"",$BG$169)</f>
        <v/>
      </c>
      <c r="BN169" s="61" t="n"/>
      <c r="BO169" s="61" t="n"/>
      <c r="BP169" s="61" t="n"/>
      <c r="BQ169" s="61" t="n"/>
      <c r="BR169" s="61" t="n"/>
      <c r="BS169" s="61" t="n"/>
      <c r="BT169" s="61" t="n"/>
    </row>
    <row r="170" ht="15.75" customHeight="1" s="79">
      <c r="A170" s="61">
        <f>IF(EDATE(Controls!$B$5,22)&gt;Controls!$B$6,"",TEXT(EDATE(Controls!$B$5,22),"YYYY-MM"))</f>
        <v/>
      </c>
      <c r="B170" s="66">
        <f>IF($A$170="",NA(),IFERROR(SUMIFS(Data!$P$2:$P$1105,Data!$AK$2:$AK$1105,1,Data!$BA$2:$BA$1105,$A$170),NA()))</f>
        <v/>
      </c>
      <c r="C170" s="66">
        <f>IF($A$170="",NA(),IFERROR(SUMIFS(Data!$S$2:$S$1105,Data!$AK$2:$AK$1105,1,Data!$BA$2:$BA$1105,$A$170),NA()))</f>
        <v/>
      </c>
      <c r="D170" s="66">
        <f>IF(ISNA($B$170),NA(),$C$170-$B$170)</f>
        <v/>
      </c>
      <c r="E170" s="66">
        <f>IF($A$170="",NA(),IFERROR(SUMIFS(Data!$Q$2:$Q$1105,Data!$AK$2:$AK$1105,1,Data!$BA$2:$BA$1105,$A$170),NA()))</f>
        <v/>
      </c>
      <c r="F170" s="66">
        <f>IF($A$170="",NA(),IFERROR(SUMIFS(Data!$AN$2:$AN$1105,Data!$AK$2:$AK$1105,1,Data!$BA$2:$BA$1105,$A$170),NA()))</f>
        <v/>
      </c>
      <c r="G170" s="62">
        <f>IF($A$170="",NA(),IF(COUNTIFS(Data!$AK$2:$AK$1105,1,Data!$BA$2:$BA$1105,$A$170)&lt;Controls!$B$19,NA(),IFERROR(SUMIFS(Data!$AN$2:$AN$1105,Data!$AK$2:$AK$1105,1,Data!$BA$2:$BA$1105,$A$170)/$B$170,NA())))</f>
        <v/>
      </c>
      <c r="H170" s="62">
        <f>IF($A$170="",NA(),IF(COUNTIFS(Data!$AK$2:$AK$1105,1,Data!$BA$2:$BA$1105,$A$170)&lt;Controls!$B$19,NA(),IFERROR(SUMIFS(Data!$S$2:$S$1105,Data!$AK$2:$AK$1105,1,Data!$BA$2:$BA$1105,$A$170,Data!$AH$2:$AH$1105,1)/SUMIFS(Data!$P$2:$P$1105,Data!$AK$2:$AK$1105,1,Data!$BA$2:$BA$1105,$A$170,Data!$AH$2:$AH$1105,1),NA())))</f>
        <v/>
      </c>
      <c r="I170" s="62">
        <f>IF(ISNA($J$170),NA(),IF($J$170&lt;Controls!$B$19,NA(),IFERROR($D$170/$B$170,NA())))</f>
        <v/>
      </c>
      <c r="J170" s="67">
        <f>IF($A$170="",NA(),IFERROR(COUNTIFS(Data!$AK$2:$AK$1105,1,Data!$BA$2:$BA$1105,$A$170),NA()))</f>
        <v/>
      </c>
      <c r="K170" s="62">
        <f>IF(ISNA($B$170),NA(),IFERROR($B$170/Calc!$BT$6,NA()))</f>
        <v/>
      </c>
      <c r="L170" s="66">
        <f>IF(ISNA($J$170),NA(),IF($J$170&lt;Controls!$B$19,NA(),IFERROR($B$170/$J$170,NA())))</f>
        <v/>
      </c>
      <c r="M170" s="67">
        <f>IF($A$170="",NA(),IF(COUNTIFS(Data!$AK$2:$AK$1105,1,Data!$BA$2:$BA$1105,$A$170)&lt;Controls!$B$19,NA(),IFERROR(AVERAGEIFS(Data!$AE$2:$AE$1105,Data!$AK$2:$AK$1105,1,Data!$BA$2:$BA$1105,$A$170),NA())))</f>
        <v/>
      </c>
      <c r="N170" s="67">
        <f>IF($A$170="",NA(),IF(COUNTIFS(Data!$AK$2:$AK$1105,1,Data!$BA$2:$BA$1105,$A$170)&lt;Controls!$B$19,NA(),IFERROR(AVERAGEIFS(Data!$AD$2:$AD$1105,Data!$AK$2:$AK$1105,1,Data!$BA$2:$BA$1105,$A$170),NA())))</f>
        <v/>
      </c>
      <c r="O170" s="67">
        <f>IF($A$170="",NA(),IF(COUNTIFS(Data!$AK$2:$AK$1105,1,Data!$BA$2:$BA$1105,$A$170)&lt;Controls!$B$19,NA(),IFERROR(AVERAGEIFS(Data!$AS$2:$AS$1105,Data!$AK$2:$AK$1105,1,Data!$BA$2:$BA$1105,$A$170),NA())))</f>
        <v/>
      </c>
      <c r="P170" s="67">
        <f>IF($A$170="",NA(),IF(COUNTIFS(Data!$AK$2:$AK$1105,1,Data!$BA$2:$BA$1105,$A$170)&lt;Controls!$B$19,NA(),IFERROR(AVERAGEIFS(Data!$AT$2:$AT$1105,Data!$AK$2:$AK$1105,1,Data!$BA$2:$BA$1105,$A$170),NA())))</f>
        <v/>
      </c>
      <c r="Q170" s="62">
        <f>IF($A$170="",NA(),IF(COUNTIFS(Data!$AK$2:$AK$1105,1,Data!$BA$2:$BA$1105,$A$170)&lt;Controls!$B$19,NA(),IFERROR(COUNTIFS(Data!$AK$2:$AK$1105,1,Data!$BA$2:$BA$1105,$A$170,Data!$N$2:$N$1105,"Renewal")/COUNTIFS(Data!$AK$2:$AK$1105,1,Data!$BA$2:$BA$1105,$A$170),NA())))</f>
        <v/>
      </c>
      <c r="R170" s="62">
        <f>IF($A$170="",NA(),IF(COUNTIFS(Data!$AK$2:$AK$1105,1,Data!$BA$2:$BA$1105,$A$170)&lt;Controls!$B$19,NA(),IFERROR(SUMIFS(Data!$P$2:$P$1105,Data!$AK$2:$AK$1105,1,Data!$BA$2:$BA$1105,$A$170,Data!$N$2:$N$1105,"Renewal")/SUMIFS(Data!$P$2:$P$1105,Data!$AK$2:$AK$1105,1,Data!$BA$2:$BA$1105,$A$170),NA())))</f>
        <v/>
      </c>
      <c r="S170" s="62">
        <f>IF($A$170="",NA(),Calc!$BT$2)</f>
        <v/>
      </c>
      <c r="T170" s="62">
        <f>IF($A$170="",NA(),Calc!$BT$3)</f>
        <v/>
      </c>
      <c r="U170" s="62">
        <f>IF($A$170="",NA(),Calc!$BT$4)</f>
        <v/>
      </c>
      <c r="V170" s="62">
        <f>IF($A$170="",NA(),IF(COUNTIFS(Data!$AK$2:$AK$1105,1,Data!$BA$2:$BA$1105,$A$170)&lt;Controls!$B$19,NA(),IFERROR(COUNTIFS(Data!$AK$2:$AK$1105,1,Data!$BA$2:$BA$1105,$A$170,Data!$AH$2:$AH$1105,1)/COUNTIFS(Data!$AK$2:$AK$1105,1,Data!$BA$2:$BA$1105,$A$170),NA())))</f>
        <v/>
      </c>
      <c r="W170" s="61">
        <f>IF($A$170="","",$A$170&amp;" ("&amp;$J$170&amp;")")</f>
        <v/>
      </c>
      <c r="X170" s="61" t="n"/>
      <c r="Y170" s="61" t="n"/>
      <c r="Z170" s="61" t="n"/>
      <c r="AA170" s="61" t="n"/>
      <c r="AB170" s="61" t="n"/>
      <c r="AC170" s="61" t="n"/>
      <c r="AD170" s="61" t="n"/>
      <c r="AE170" s="61" t="n"/>
      <c r="AF170" s="61" t="n"/>
      <c r="AG170" s="61" t="n"/>
      <c r="AH170" s="61" t="n"/>
      <c r="AI170" s="61" t="n"/>
      <c r="AJ170" s="61" t="n"/>
      <c r="AK170" s="61" t="n"/>
      <c r="AL170" s="61" t="n"/>
      <c r="AM170" s="61" t="n"/>
      <c r="AN170" s="61">
        <f>Controls!$G$67</f>
        <v/>
      </c>
      <c r="AO170" s="61">
        <f>COUNTIFS(Data!$AK$2:$AK$1105,1,Data!$M$2:$M$1105,$AN$170)</f>
        <v/>
      </c>
      <c r="AP170" s="57">
        <f>SUMIFS(Data!$P$2:$P$1105,Data!$AK$2:$AK$1105,1,Data!$M$2:$M$1105,$AN$170)</f>
        <v/>
      </c>
      <c r="AQ170" s="56">
        <f>IFERROR(SUMIFS(Data!$AN$2:$AN$1105,Data!$AK$2:$AK$1105,1,Data!$M$2:$M$1105,$AN$170)/$AP$170,0)</f>
        <v/>
      </c>
      <c r="AR170" s="57">
        <f>SUMIFS(Data!$AN$2:$AN$1105,Data!$AK$2:$AK$1105,1,Data!$M$2:$M$1105,$AN$170)</f>
        <v/>
      </c>
      <c r="AS170" s="61">
        <f>Controls!$H$67</f>
        <v/>
      </c>
      <c r="AT170" s="61">
        <f>IF(OR(AO170=0,AO170&lt;Controls!$B$20),-1000000000000000,IF(AND(Controls!$B$21="Y",$AN$170="No ISO"),-1000000000000000,IF(Controls!$B$17="Selected only",IF(AS170="Y",AP170,-1000000000000000),IF(Controls!$B$17="Top by funded $",AP170,IF(Controls!$B$17="Top by funded units",AO170,IF(Controls!$B$17="Largest principal lost $",AR170,IF(Controls!$B$17="Highest net profit $",AU170,IF(AO170&lt;Controls!$B$19,-1000000000000000,IF(Controls!$B$17="Highest principal lost rate %",AQ170,IF(Controls!$B$17="Lowest principal lost rate %",1-AQ170,AP170))))))))) +28/1000000)</f>
        <v/>
      </c>
      <c r="AU170" s="57">
        <f>SUMIFS(Data!$AM$2:$AM$1105,Data!$AK$2:$AK$1105,1,Data!$M$2:$M$1105,$AN$170)</f>
        <v/>
      </c>
      <c r="AV170" s="61" t="n"/>
      <c r="AW170" s="61" t="n"/>
      <c r="AX170" s="61" t="n"/>
      <c r="AY170" s="61" t="n"/>
      <c r="AZ170" s="61" t="n"/>
      <c r="BA170" s="61" t="n"/>
      <c r="BB170" s="61">
        <f>Controls!$G$135</f>
        <v/>
      </c>
      <c r="BC170" s="61">
        <f>COUNTIFS(Data!$AK$2:$AK$1105,1,Data!$M$2:$M$1105,$BB$170)</f>
        <v/>
      </c>
      <c r="BD170" s="57">
        <f>SUMIFS(Data!$P$2:$P$1105,Data!$AK$2:$AK$1105,1,Data!$M$2:$M$1105,$BB$170)</f>
        <v/>
      </c>
      <c r="BE170" s="56">
        <f>IF(COUNTIFS(Data!$AK$2:$AK$1105,1,Data!$M$2:$M$1105,$BB$170)&lt;Controls!$B$19,"",IFERROR(SUMIFS(Data!$AN$2:$AN$1105,Data!$AK$2:$AK$1105,1,Data!$M$2:$M$1105,$BB$170)/$BD$170,""))</f>
        <v/>
      </c>
      <c r="BF170" s="56">
        <f>IF(COUNTIFS(Data!$AK$2:$AK$1105,1,Data!$M$2:$M$1105,$BB$170)&lt;Controls!$B$19,"",IFERROR(SUMIFS(Data!$AM$2:$AM$1105,Data!$AK$2:$AK$1105,1,Data!$M$2:$M$1105,$BB$170)/SUMIFS(Data!$P$2:$P$1105,Data!$AK$2:$AK$1105,1,Data!$M$2:$M$1105,$BB$170),""))</f>
        <v/>
      </c>
      <c r="BG170" s="57">
        <f>SUMIFS(Data!$AN$2:$AN$1105,Data!$AK$2:$AK$1105,1,Data!$M$2:$M$1105,$BB$170)</f>
        <v/>
      </c>
      <c r="BH170" s="61" t="n"/>
      <c r="BI170" s="61">
        <f>IF(AND($BC$170&gt;=Controls!$B$22,$BD$170&gt;=LARGE($BD$75:$BD$230,MIN(Controls!$B$18,COUNT($BD$75:$BD$230)))),$BE$170,"")</f>
        <v/>
      </c>
      <c r="BJ170" s="61" t="n"/>
      <c r="BK170" s="56">
        <f>IF($BC$170&lt;Controls!$B$22,"",$BE$170)</f>
        <v/>
      </c>
      <c r="BL170" s="56">
        <f>IF($BC$170&lt;Controls!$B$22,"",$BF$170)</f>
        <v/>
      </c>
      <c r="BM170" s="57">
        <f>IF($BC$170&lt;Controls!$B$22,"",$BG$170)</f>
        <v/>
      </c>
      <c r="BN170" s="61" t="n"/>
      <c r="BO170" s="61" t="n"/>
      <c r="BP170" s="61" t="n"/>
      <c r="BQ170" s="61" t="n"/>
      <c r="BR170" s="61" t="n"/>
      <c r="BS170" s="61" t="n"/>
      <c r="BT170" s="61" t="n"/>
    </row>
    <row r="171" ht="15.75" customHeight="1" s="79">
      <c r="A171" s="61">
        <f>IF(EDATE(Controls!$B$5,23)&gt;Controls!$B$6,"",TEXT(EDATE(Controls!$B$5,23),"YYYY-MM"))</f>
        <v/>
      </c>
      <c r="B171" s="66">
        <f>IF($A$171="",NA(),IFERROR(SUMIFS(Data!$P$2:$P$1105,Data!$AK$2:$AK$1105,1,Data!$BA$2:$BA$1105,$A$171),NA()))</f>
        <v/>
      </c>
      <c r="C171" s="66">
        <f>IF($A$171="",NA(),IFERROR(SUMIFS(Data!$S$2:$S$1105,Data!$AK$2:$AK$1105,1,Data!$BA$2:$BA$1105,$A$171),NA()))</f>
        <v/>
      </c>
      <c r="D171" s="66">
        <f>IF(ISNA($B$171),NA(),$C$171-$B$171)</f>
        <v/>
      </c>
      <c r="E171" s="66">
        <f>IF($A$171="",NA(),IFERROR(SUMIFS(Data!$Q$2:$Q$1105,Data!$AK$2:$AK$1105,1,Data!$BA$2:$BA$1105,$A$171),NA()))</f>
        <v/>
      </c>
      <c r="F171" s="66">
        <f>IF($A$171="",NA(),IFERROR(SUMIFS(Data!$AN$2:$AN$1105,Data!$AK$2:$AK$1105,1,Data!$BA$2:$BA$1105,$A$171),NA()))</f>
        <v/>
      </c>
      <c r="G171" s="62">
        <f>IF($A$171="",NA(),IF(COUNTIFS(Data!$AK$2:$AK$1105,1,Data!$BA$2:$BA$1105,$A$171)&lt;Controls!$B$19,NA(),IFERROR(SUMIFS(Data!$AN$2:$AN$1105,Data!$AK$2:$AK$1105,1,Data!$BA$2:$BA$1105,$A$171)/$B$171,NA())))</f>
        <v/>
      </c>
      <c r="H171" s="62">
        <f>IF($A$171="",NA(),IF(COUNTIFS(Data!$AK$2:$AK$1105,1,Data!$BA$2:$BA$1105,$A$171)&lt;Controls!$B$19,NA(),IFERROR(SUMIFS(Data!$S$2:$S$1105,Data!$AK$2:$AK$1105,1,Data!$BA$2:$BA$1105,$A$171,Data!$AH$2:$AH$1105,1)/SUMIFS(Data!$P$2:$P$1105,Data!$AK$2:$AK$1105,1,Data!$BA$2:$BA$1105,$A$171,Data!$AH$2:$AH$1105,1),NA())))</f>
        <v/>
      </c>
      <c r="I171" s="62">
        <f>IF(ISNA($J$171),NA(),IF($J$171&lt;Controls!$B$19,NA(),IFERROR($D$171/$B$171,NA())))</f>
        <v/>
      </c>
      <c r="J171" s="67">
        <f>IF($A$171="",NA(),IFERROR(COUNTIFS(Data!$AK$2:$AK$1105,1,Data!$BA$2:$BA$1105,$A$171),NA()))</f>
        <v/>
      </c>
      <c r="K171" s="62">
        <f>IF(ISNA($B$171),NA(),IFERROR($B$171/Calc!$BT$6,NA()))</f>
        <v/>
      </c>
      <c r="L171" s="66">
        <f>IF(ISNA($J$171),NA(),IF($J$171&lt;Controls!$B$19,NA(),IFERROR($B$171/$J$171,NA())))</f>
        <v/>
      </c>
      <c r="M171" s="67">
        <f>IF($A$171="",NA(),IF(COUNTIFS(Data!$AK$2:$AK$1105,1,Data!$BA$2:$BA$1105,$A$171)&lt;Controls!$B$19,NA(),IFERROR(AVERAGEIFS(Data!$AE$2:$AE$1105,Data!$AK$2:$AK$1105,1,Data!$BA$2:$BA$1105,$A$171),NA())))</f>
        <v/>
      </c>
      <c r="N171" s="67">
        <f>IF($A$171="",NA(),IF(COUNTIFS(Data!$AK$2:$AK$1105,1,Data!$BA$2:$BA$1105,$A$171)&lt;Controls!$B$19,NA(),IFERROR(AVERAGEIFS(Data!$AD$2:$AD$1105,Data!$AK$2:$AK$1105,1,Data!$BA$2:$BA$1105,$A$171),NA())))</f>
        <v/>
      </c>
      <c r="O171" s="67">
        <f>IF($A$171="",NA(),IF(COUNTIFS(Data!$AK$2:$AK$1105,1,Data!$BA$2:$BA$1105,$A$171)&lt;Controls!$B$19,NA(),IFERROR(AVERAGEIFS(Data!$AS$2:$AS$1105,Data!$AK$2:$AK$1105,1,Data!$BA$2:$BA$1105,$A$171),NA())))</f>
        <v/>
      </c>
      <c r="P171" s="67">
        <f>IF($A$171="",NA(),IF(COUNTIFS(Data!$AK$2:$AK$1105,1,Data!$BA$2:$BA$1105,$A$171)&lt;Controls!$B$19,NA(),IFERROR(AVERAGEIFS(Data!$AT$2:$AT$1105,Data!$AK$2:$AK$1105,1,Data!$BA$2:$BA$1105,$A$171),NA())))</f>
        <v/>
      </c>
      <c r="Q171" s="62">
        <f>IF($A$171="",NA(),IF(COUNTIFS(Data!$AK$2:$AK$1105,1,Data!$BA$2:$BA$1105,$A$171)&lt;Controls!$B$19,NA(),IFERROR(COUNTIFS(Data!$AK$2:$AK$1105,1,Data!$BA$2:$BA$1105,$A$171,Data!$N$2:$N$1105,"Renewal")/COUNTIFS(Data!$AK$2:$AK$1105,1,Data!$BA$2:$BA$1105,$A$171),NA())))</f>
        <v/>
      </c>
      <c r="R171" s="62">
        <f>IF($A$171="",NA(),IF(COUNTIFS(Data!$AK$2:$AK$1105,1,Data!$BA$2:$BA$1105,$A$171)&lt;Controls!$B$19,NA(),IFERROR(SUMIFS(Data!$P$2:$P$1105,Data!$AK$2:$AK$1105,1,Data!$BA$2:$BA$1105,$A$171,Data!$N$2:$N$1105,"Renewal")/SUMIFS(Data!$P$2:$P$1105,Data!$AK$2:$AK$1105,1,Data!$BA$2:$BA$1105,$A$171),NA())))</f>
        <v/>
      </c>
      <c r="S171" s="62">
        <f>IF($A$171="",NA(),Calc!$BT$2)</f>
        <v/>
      </c>
      <c r="T171" s="62">
        <f>IF($A$171="",NA(),Calc!$BT$3)</f>
        <v/>
      </c>
      <c r="U171" s="62">
        <f>IF($A$171="",NA(),Calc!$BT$4)</f>
        <v/>
      </c>
      <c r="V171" s="62">
        <f>IF($A$171="",NA(),IF(COUNTIFS(Data!$AK$2:$AK$1105,1,Data!$BA$2:$BA$1105,$A$171)&lt;Controls!$B$19,NA(),IFERROR(COUNTIFS(Data!$AK$2:$AK$1105,1,Data!$BA$2:$BA$1105,$A$171,Data!$AH$2:$AH$1105,1)/COUNTIFS(Data!$AK$2:$AK$1105,1,Data!$BA$2:$BA$1105,$A$171),NA())))</f>
        <v/>
      </c>
      <c r="W171" s="61">
        <f>IF($A$171="","",$A$171&amp;" ("&amp;$J$171&amp;")")</f>
        <v/>
      </c>
      <c r="X171" s="61" t="n"/>
      <c r="Y171" s="61" t="n"/>
      <c r="Z171" s="61" t="n"/>
      <c r="AA171" s="61" t="n"/>
      <c r="AB171" s="61" t="n"/>
      <c r="AC171" s="61" t="n"/>
      <c r="AD171" s="61" t="n"/>
      <c r="AE171" s="61" t="n"/>
      <c r="AF171" s="61" t="n"/>
      <c r="AG171" s="61" t="n"/>
      <c r="AH171" s="61" t="n"/>
      <c r="AI171" s="61" t="n"/>
      <c r="AJ171" s="61" t="n"/>
      <c r="AK171" s="61" t="n"/>
      <c r="AL171" s="61" t="n"/>
      <c r="AM171" s="61" t="n"/>
      <c r="AN171" s="61">
        <f>Controls!$G$68</f>
        <v/>
      </c>
      <c r="AO171" s="61">
        <f>COUNTIFS(Data!$AK$2:$AK$1105,1,Data!$M$2:$M$1105,$AN$171)</f>
        <v/>
      </c>
      <c r="AP171" s="57">
        <f>SUMIFS(Data!$P$2:$P$1105,Data!$AK$2:$AK$1105,1,Data!$M$2:$M$1105,$AN$171)</f>
        <v/>
      </c>
      <c r="AQ171" s="56">
        <f>IFERROR(SUMIFS(Data!$AN$2:$AN$1105,Data!$AK$2:$AK$1105,1,Data!$M$2:$M$1105,$AN$171)/$AP$171,0)</f>
        <v/>
      </c>
      <c r="AR171" s="57">
        <f>SUMIFS(Data!$AN$2:$AN$1105,Data!$AK$2:$AK$1105,1,Data!$M$2:$M$1105,$AN$171)</f>
        <v/>
      </c>
      <c r="AS171" s="61">
        <f>Controls!$H$68</f>
        <v/>
      </c>
      <c r="AT171" s="61">
        <f>IF(OR(AO171=0,AO171&lt;Controls!$B$20),-1000000000000000,IF(AND(Controls!$B$21="Y",$AN$171="No ISO"),-1000000000000000,IF(Controls!$B$17="Selected only",IF(AS171="Y",AP171,-1000000000000000),IF(Controls!$B$17="Top by funded $",AP171,IF(Controls!$B$17="Top by funded units",AO171,IF(Controls!$B$17="Largest principal lost $",AR171,IF(Controls!$B$17="Highest net profit $",AU171,IF(AO171&lt;Controls!$B$19,-1000000000000000,IF(Controls!$B$17="Highest principal lost rate %",AQ171,IF(Controls!$B$17="Lowest principal lost rate %",1-AQ171,AP171))))))))) +29/1000000)</f>
        <v/>
      </c>
      <c r="AU171" s="57">
        <f>SUMIFS(Data!$AM$2:$AM$1105,Data!$AK$2:$AK$1105,1,Data!$M$2:$M$1105,$AN$171)</f>
        <v/>
      </c>
      <c r="AV171" s="61" t="n"/>
      <c r="AW171" s="61" t="n"/>
      <c r="AX171" s="61" t="n"/>
      <c r="AY171" s="61" t="n"/>
      <c r="AZ171" s="61" t="n"/>
      <c r="BA171" s="61" t="n"/>
      <c r="BB171" s="61">
        <f>Controls!$G$136</f>
        <v/>
      </c>
      <c r="BC171" s="61">
        <f>COUNTIFS(Data!$AK$2:$AK$1105,1,Data!$M$2:$M$1105,$BB$171)</f>
        <v/>
      </c>
      <c r="BD171" s="57">
        <f>SUMIFS(Data!$P$2:$P$1105,Data!$AK$2:$AK$1105,1,Data!$M$2:$M$1105,$BB$171)</f>
        <v/>
      </c>
      <c r="BE171" s="56">
        <f>IF(COUNTIFS(Data!$AK$2:$AK$1105,1,Data!$M$2:$M$1105,$BB$171)&lt;Controls!$B$19,"",IFERROR(SUMIFS(Data!$AN$2:$AN$1105,Data!$AK$2:$AK$1105,1,Data!$M$2:$M$1105,$BB$171)/$BD$171,""))</f>
        <v/>
      </c>
      <c r="BF171" s="56">
        <f>IF(COUNTIFS(Data!$AK$2:$AK$1105,1,Data!$M$2:$M$1105,$BB$171)&lt;Controls!$B$19,"",IFERROR(SUMIFS(Data!$AM$2:$AM$1105,Data!$AK$2:$AK$1105,1,Data!$M$2:$M$1105,$BB$171)/SUMIFS(Data!$P$2:$P$1105,Data!$AK$2:$AK$1105,1,Data!$M$2:$M$1105,$BB$171),""))</f>
        <v/>
      </c>
      <c r="BG171" s="57">
        <f>SUMIFS(Data!$AN$2:$AN$1105,Data!$AK$2:$AK$1105,1,Data!$M$2:$M$1105,$BB$171)</f>
        <v/>
      </c>
      <c r="BH171" s="61" t="n"/>
      <c r="BI171" s="61">
        <f>IF(AND($BC$171&gt;=Controls!$B$22,$BD$171&gt;=LARGE($BD$75:$BD$230,MIN(Controls!$B$18,COUNT($BD$75:$BD$230)))),$BE$171,"")</f>
        <v/>
      </c>
      <c r="BJ171" s="61" t="n"/>
      <c r="BK171" s="61">
        <f>IF($BC$171&lt;Controls!$B$22,"",$BE$171)</f>
        <v/>
      </c>
      <c r="BL171" s="61">
        <f>IF($BC$171&lt;Controls!$B$22,"",$BF$171)</f>
        <v/>
      </c>
      <c r="BM171" s="61">
        <f>IF($BC$171&lt;Controls!$B$22,"",$BG$171)</f>
        <v/>
      </c>
      <c r="BN171" s="61" t="n"/>
      <c r="BO171" s="61" t="n"/>
      <c r="BP171" s="61" t="n"/>
      <c r="BQ171" s="61" t="n"/>
      <c r="BR171" s="61" t="n"/>
      <c r="BS171" s="61" t="n"/>
      <c r="BT171" s="61" t="n"/>
    </row>
    <row r="172" ht="15.75" customHeight="1" s="79">
      <c r="A172" s="61">
        <f>IF(EDATE(Controls!$B$5,24)&gt;Controls!$B$6,"",TEXT(EDATE(Controls!$B$5,24),"YYYY-MM"))</f>
        <v/>
      </c>
      <c r="B172" s="66">
        <f>IF($A$172="",NA(),IFERROR(SUMIFS(Data!$P$2:$P$1105,Data!$AK$2:$AK$1105,1,Data!$BA$2:$BA$1105,$A$172),NA()))</f>
        <v/>
      </c>
      <c r="C172" s="66">
        <f>IF($A$172="",NA(),IFERROR(SUMIFS(Data!$S$2:$S$1105,Data!$AK$2:$AK$1105,1,Data!$BA$2:$BA$1105,$A$172),NA()))</f>
        <v/>
      </c>
      <c r="D172" s="66">
        <f>IF(ISNA($B$172),NA(),$C$172-$B$172)</f>
        <v/>
      </c>
      <c r="E172" s="66">
        <f>IF($A$172="",NA(),IFERROR(SUMIFS(Data!$Q$2:$Q$1105,Data!$AK$2:$AK$1105,1,Data!$BA$2:$BA$1105,$A$172),NA()))</f>
        <v/>
      </c>
      <c r="F172" s="66">
        <f>IF($A$172="",NA(),IFERROR(SUMIFS(Data!$AN$2:$AN$1105,Data!$AK$2:$AK$1105,1,Data!$BA$2:$BA$1105,$A$172),NA()))</f>
        <v/>
      </c>
      <c r="G172" s="62">
        <f>IF($A$172="",NA(),IF(COUNTIFS(Data!$AK$2:$AK$1105,1,Data!$BA$2:$BA$1105,$A$172)&lt;Controls!$B$19,NA(),IFERROR(SUMIFS(Data!$AN$2:$AN$1105,Data!$AK$2:$AK$1105,1,Data!$BA$2:$BA$1105,$A$172)/$B$172,NA())))</f>
        <v/>
      </c>
      <c r="H172" s="62">
        <f>IF($A$172="",NA(),IF(COUNTIFS(Data!$AK$2:$AK$1105,1,Data!$BA$2:$BA$1105,$A$172)&lt;Controls!$B$19,NA(),IFERROR(SUMIFS(Data!$S$2:$S$1105,Data!$AK$2:$AK$1105,1,Data!$BA$2:$BA$1105,$A$172,Data!$AH$2:$AH$1105,1)/SUMIFS(Data!$P$2:$P$1105,Data!$AK$2:$AK$1105,1,Data!$BA$2:$BA$1105,$A$172,Data!$AH$2:$AH$1105,1),NA())))</f>
        <v/>
      </c>
      <c r="I172" s="62">
        <f>IF(ISNA($J$172),NA(),IF($J$172&lt;Controls!$B$19,NA(),IFERROR($D$172/$B$172,NA())))</f>
        <v/>
      </c>
      <c r="J172" s="67">
        <f>IF($A$172="",NA(),IFERROR(COUNTIFS(Data!$AK$2:$AK$1105,1,Data!$BA$2:$BA$1105,$A$172),NA()))</f>
        <v/>
      </c>
      <c r="K172" s="62">
        <f>IF(ISNA($B$172),NA(),IFERROR($B$172/Calc!$BT$6,NA()))</f>
        <v/>
      </c>
      <c r="L172" s="66">
        <f>IF(ISNA($J$172),NA(),IF($J$172&lt;Controls!$B$19,NA(),IFERROR($B$172/$J$172,NA())))</f>
        <v/>
      </c>
      <c r="M172" s="67">
        <f>IF($A$172="",NA(),IF(COUNTIFS(Data!$AK$2:$AK$1105,1,Data!$BA$2:$BA$1105,$A$172)&lt;Controls!$B$19,NA(),IFERROR(AVERAGEIFS(Data!$AE$2:$AE$1105,Data!$AK$2:$AK$1105,1,Data!$BA$2:$BA$1105,$A$172),NA())))</f>
        <v/>
      </c>
      <c r="N172" s="67">
        <f>IF($A$172="",NA(),IF(COUNTIFS(Data!$AK$2:$AK$1105,1,Data!$BA$2:$BA$1105,$A$172)&lt;Controls!$B$19,NA(),IFERROR(AVERAGEIFS(Data!$AD$2:$AD$1105,Data!$AK$2:$AK$1105,1,Data!$BA$2:$BA$1105,$A$172),NA())))</f>
        <v/>
      </c>
      <c r="O172" s="67">
        <f>IF($A$172="",NA(),IF(COUNTIFS(Data!$AK$2:$AK$1105,1,Data!$BA$2:$BA$1105,$A$172)&lt;Controls!$B$19,NA(),IFERROR(AVERAGEIFS(Data!$AS$2:$AS$1105,Data!$AK$2:$AK$1105,1,Data!$BA$2:$BA$1105,$A$172),NA())))</f>
        <v/>
      </c>
      <c r="P172" s="67">
        <f>IF($A$172="",NA(),IF(COUNTIFS(Data!$AK$2:$AK$1105,1,Data!$BA$2:$BA$1105,$A$172)&lt;Controls!$B$19,NA(),IFERROR(AVERAGEIFS(Data!$AT$2:$AT$1105,Data!$AK$2:$AK$1105,1,Data!$BA$2:$BA$1105,$A$172),NA())))</f>
        <v/>
      </c>
      <c r="Q172" s="62">
        <f>IF($A$172="",NA(),IF(COUNTIFS(Data!$AK$2:$AK$1105,1,Data!$BA$2:$BA$1105,$A$172)&lt;Controls!$B$19,NA(),IFERROR(COUNTIFS(Data!$AK$2:$AK$1105,1,Data!$BA$2:$BA$1105,$A$172,Data!$N$2:$N$1105,"Renewal")/COUNTIFS(Data!$AK$2:$AK$1105,1,Data!$BA$2:$BA$1105,$A$172),NA())))</f>
        <v/>
      </c>
      <c r="R172" s="62">
        <f>IF($A$172="",NA(),IF(COUNTIFS(Data!$AK$2:$AK$1105,1,Data!$BA$2:$BA$1105,$A$172)&lt;Controls!$B$19,NA(),IFERROR(SUMIFS(Data!$P$2:$P$1105,Data!$AK$2:$AK$1105,1,Data!$BA$2:$BA$1105,$A$172,Data!$N$2:$N$1105,"Renewal")/SUMIFS(Data!$P$2:$P$1105,Data!$AK$2:$AK$1105,1,Data!$BA$2:$BA$1105,$A$172),NA())))</f>
        <v/>
      </c>
      <c r="S172" s="62">
        <f>IF($A$172="",NA(),Calc!$BT$2)</f>
        <v/>
      </c>
      <c r="T172" s="62">
        <f>IF($A$172="",NA(),Calc!$BT$3)</f>
        <v/>
      </c>
      <c r="U172" s="62">
        <f>IF($A$172="",NA(),Calc!$BT$4)</f>
        <v/>
      </c>
      <c r="V172" s="62">
        <f>IF($A$172="",NA(),IF(COUNTIFS(Data!$AK$2:$AK$1105,1,Data!$BA$2:$BA$1105,$A$172)&lt;Controls!$B$19,NA(),IFERROR(COUNTIFS(Data!$AK$2:$AK$1105,1,Data!$BA$2:$BA$1105,$A$172,Data!$AH$2:$AH$1105,1)/COUNTIFS(Data!$AK$2:$AK$1105,1,Data!$BA$2:$BA$1105,$A$172),NA())))</f>
        <v/>
      </c>
      <c r="W172" s="61">
        <f>IF($A$172="","",$A$172&amp;" ("&amp;$J$172&amp;")")</f>
        <v/>
      </c>
      <c r="X172" s="61" t="n"/>
      <c r="Y172" s="61" t="n"/>
      <c r="Z172" s="61" t="n"/>
      <c r="AA172" s="61" t="n"/>
      <c r="AB172" s="61" t="n"/>
      <c r="AC172" s="61" t="n"/>
      <c r="AD172" s="61" t="n"/>
      <c r="AE172" s="61" t="n"/>
      <c r="AF172" s="61" t="n"/>
      <c r="AG172" s="61" t="n"/>
      <c r="AH172" s="61" t="n"/>
      <c r="AI172" s="61" t="n"/>
      <c r="AJ172" s="61" t="n"/>
      <c r="AK172" s="61" t="n"/>
      <c r="AL172" s="61" t="n"/>
      <c r="AM172" s="61" t="n"/>
      <c r="AN172" s="61">
        <f>Controls!$G$69</f>
        <v/>
      </c>
      <c r="AO172" s="61">
        <f>COUNTIFS(Data!$AK$2:$AK$1105,1,Data!$M$2:$M$1105,$AN$172)</f>
        <v/>
      </c>
      <c r="AP172" s="57">
        <f>SUMIFS(Data!$P$2:$P$1105,Data!$AK$2:$AK$1105,1,Data!$M$2:$M$1105,$AN$172)</f>
        <v/>
      </c>
      <c r="AQ172" s="56">
        <f>IFERROR(SUMIFS(Data!$AN$2:$AN$1105,Data!$AK$2:$AK$1105,1,Data!$M$2:$M$1105,$AN$172)/$AP$172,0)</f>
        <v/>
      </c>
      <c r="AR172" s="57">
        <f>SUMIFS(Data!$AN$2:$AN$1105,Data!$AK$2:$AK$1105,1,Data!$M$2:$M$1105,$AN$172)</f>
        <v/>
      </c>
      <c r="AS172" s="61">
        <f>Controls!$H$69</f>
        <v/>
      </c>
      <c r="AT172" s="61">
        <f>IF(OR(AO172=0,AO172&lt;Controls!$B$20),-1000000000000000,IF(AND(Controls!$B$21="Y",$AN$172="No ISO"),-1000000000000000,IF(Controls!$B$17="Selected only",IF(AS172="Y",AP172,-1000000000000000),IF(Controls!$B$17="Top by funded $",AP172,IF(Controls!$B$17="Top by funded units",AO172,IF(Controls!$B$17="Largest principal lost $",AR172,IF(Controls!$B$17="Highest net profit $",AU172,IF(AO172&lt;Controls!$B$19,-1000000000000000,IF(Controls!$B$17="Highest principal lost rate %",AQ172,IF(Controls!$B$17="Lowest principal lost rate %",1-AQ172,AP172))))))))) +30/1000000)</f>
        <v/>
      </c>
      <c r="AU172" s="57">
        <f>SUMIFS(Data!$AM$2:$AM$1105,Data!$AK$2:$AK$1105,1,Data!$M$2:$M$1105,$AN$172)</f>
        <v/>
      </c>
      <c r="AV172" s="61" t="n"/>
      <c r="AW172" s="61" t="n"/>
      <c r="AX172" s="61" t="n"/>
      <c r="AY172" s="61" t="n"/>
      <c r="AZ172" s="61" t="n"/>
      <c r="BA172" s="61" t="n"/>
      <c r="BB172" s="61">
        <f>Controls!$G$137</f>
        <v/>
      </c>
      <c r="BC172" s="61">
        <f>COUNTIFS(Data!$AK$2:$AK$1105,1,Data!$M$2:$M$1105,$BB$172)</f>
        <v/>
      </c>
      <c r="BD172" s="57">
        <f>SUMIFS(Data!$P$2:$P$1105,Data!$AK$2:$AK$1105,1,Data!$M$2:$M$1105,$BB$172)</f>
        <v/>
      </c>
      <c r="BE172" s="56">
        <f>IF(COUNTIFS(Data!$AK$2:$AK$1105,1,Data!$M$2:$M$1105,$BB$172)&lt;Controls!$B$19,"",IFERROR(SUMIFS(Data!$AN$2:$AN$1105,Data!$AK$2:$AK$1105,1,Data!$M$2:$M$1105,$BB$172)/$BD$172,""))</f>
        <v/>
      </c>
      <c r="BF172" s="56">
        <f>IF(COUNTIFS(Data!$AK$2:$AK$1105,1,Data!$M$2:$M$1105,$BB$172)&lt;Controls!$B$19,"",IFERROR(SUMIFS(Data!$AM$2:$AM$1105,Data!$AK$2:$AK$1105,1,Data!$M$2:$M$1105,$BB$172)/SUMIFS(Data!$P$2:$P$1105,Data!$AK$2:$AK$1105,1,Data!$M$2:$M$1105,$BB$172),""))</f>
        <v/>
      </c>
      <c r="BG172" s="57">
        <f>SUMIFS(Data!$AN$2:$AN$1105,Data!$AK$2:$AK$1105,1,Data!$M$2:$M$1105,$BB$172)</f>
        <v/>
      </c>
      <c r="BH172" s="61" t="n"/>
      <c r="BI172" s="61">
        <f>IF(AND($BC$172&gt;=Controls!$B$22,$BD$172&gt;=LARGE($BD$75:$BD$230,MIN(Controls!$B$18,COUNT($BD$75:$BD$230)))),$BE$172,"")</f>
        <v/>
      </c>
      <c r="BJ172" s="61" t="n"/>
      <c r="BK172" s="61">
        <f>IF($BC$172&lt;Controls!$B$22,"",$BE$172)</f>
        <v/>
      </c>
      <c r="BL172" s="61">
        <f>IF($BC$172&lt;Controls!$B$22,"",$BF$172)</f>
        <v/>
      </c>
      <c r="BM172" s="61">
        <f>IF($BC$172&lt;Controls!$B$22,"",$BG$172)</f>
        <v/>
      </c>
      <c r="BN172" s="61" t="n"/>
      <c r="BO172" s="61" t="n"/>
      <c r="BP172" s="61" t="n"/>
      <c r="BQ172" s="61" t="n"/>
      <c r="BR172" s="61" t="n"/>
      <c r="BS172" s="61" t="n"/>
      <c r="BT172" s="61" t="n"/>
    </row>
    <row r="173" ht="15.75" customHeight="1" s="79">
      <c r="A173" s="61">
        <f>IF(EDATE(Controls!$B$5,25)&gt;Controls!$B$6,"",TEXT(EDATE(Controls!$B$5,25),"YYYY-MM"))</f>
        <v/>
      </c>
      <c r="B173" s="66">
        <f>IF($A$173="",NA(),IFERROR(SUMIFS(Data!$P$2:$P$1105,Data!$AK$2:$AK$1105,1,Data!$BA$2:$BA$1105,$A$173),NA()))</f>
        <v/>
      </c>
      <c r="C173" s="66">
        <f>IF($A$173="",NA(),IFERROR(SUMIFS(Data!$S$2:$S$1105,Data!$AK$2:$AK$1105,1,Data!$BA$2:$BA$1105,$A$173),NA()))</f>
        <v/>
      </c>
      <c r="D173" s="66">
        <f>IF(ISNA($B$173),NA(),$C$173-$B$173)</f>
        <v/>
      </c>
      <c r="E173" s="66">
        <f>IF($A$173="",NA(),IFERROR(SUMIFS(Data!$Q$2:$Q$1105,Data!$AK$2:$AK$1105,1,Data!$BA$2:$BA$1105,$A$173),NA()))</f>
        <v/>
      </c>
      <c r="F173" s="66">
        <f>IF($A$173="",NA(),IFERROR(SUMIFS(Data!$AN$2:$AN$1105,Data!$AK$2:$AK$1105,1,Data!$BA$2:$BA$1105,$A$173),NA()))</f>
        <v/>
      </c>
      <c r="G173" s="62">
        <f>IF($A$173="",NA(),IF(COUNTIFS(Data!$AK$2:$AK$1105,1,Data!$BA$2:$BA$1105,$A$173)&lt;Controls!$B$19,NA(),IFERROR(SUMIFS(Data!$AN$2:$AN$1105,Data!$AK$2:$AK$1105,1,Data!$BA$2:$BA$1105,$A$173)/$B$173,NA())))</f>
        <v/>
      </c>
      <c r="H173" s="62">
        <f>IF($A$173="",NA(),IF(COUNTIFS(Data!$AK$2:$AK$1105,1,Data!$BA$2:$BA$1105,$A$173)&lt;Controls!$B$19,NA(),IFERROR(SUMIFS(Data!$S$2:$S$1105,Data!$AK$2:$AK$1105,1,Data!$BA$2:$BA$1105,$A$173,Data!$AH$2:$AH$1105,1)/SUMIFS(Data!$P$2:$P$1105,Data!$AK$2:$AK$1105,1,Data!$BA$2:$BA$1105,$A$173,Data!$AH$2:$AH$1105,1),NA())))</f>
        <v/>
      </c>
      <c r="I173" s="62">
        <f>IF(ISNA($J$173),NA(),IF($J$173&lt;Controls!$B$19,NA(),IFERROR($D$173/$B$173,NA())))</f>
        <v/>
      </c>
      <c r="J173" s="67">
        <f>IF($A$173="",NA(),IFERROR(COUNTIFS(Data!$AK$2:$AK$1105,1,Data!$BA$2:$BA$1105,$A$173),NA()))</f>
        <v/>
      </c>
      <c r="K173" s="62">
        <f>IF(ISNA($B$173),NA(),IFERROR($B$173/Calc!$BT$6,NA()))</f>
        <v/>
      </c>
      <c r="L173" s="66">
        <f>IF(ISNA($J$173),NA(),IF($J$173&lt;Controls!$B$19,NA(),IFERROR($B$173/$J$173,NA())))</f>
        <v/>
      </c>
      <c r="M173" s="67">
        <f>IF($A$173="",NA(),IF(COUNTIFS(Data!$AK$2:$AK$1105,1,Data!$BA$2:$BA$1105,$A$173)&lt;Controls!$B$19,NA(),IFERROR(AVERAGEIFS(Data!$AE$2:$AE$1105,Data!$AK$2:$AK$1105,1,Data!$BA$2:$BA$1105,$A$173),NA())))</f>
        <v/>
      </c>
      <c r="N173" s="67">
        <f>IF($A$173="",NA(),IF(COUNTIFS(Data!$AK$2:$AK$1105,1,Data!$BA$2:$BA$1105,$A$173)&lt;Controls!$B$19,NA(),IFERROR(AVERAGEIFS(Data!$AD$2:$AD$1105,Data!$AK$2:$AK$1105,1,Data!$BA$2:$BA$1105,$A$173),NA())))</f>
        <v/>
      </c>
      <c r="O173" s="67">
        <f>IF($A$173="",NA(),IF(COUNTIFS(Data!$AK$2:$AK$1105,1,Data!$BA$2:$BA$1105,$A$173)&lt;Controls!$B$19,NA(),IFERROR(AVERAGEIFS(Data!$AS$2:$AS$1105,Data!$AK$2:$AK$1105,1,Data!$BA$2:$BA$1105,$A$173),NA())))</f>
        <v/>
      </c>
      <c r="P173" s="67">
        <f>IF($A$173="",NA(),IF(COUNTIFS(Data!$AK$2:$AK$1105,1,Data!$BA$2:$BA$1105,$A$173)&lt;Controls!$B$19,NA(),IFERROR(AVERAGEIFS(Data!$AT$2:$AT$1105,Data!$AK$2:$AK$1105,1,Data!$BA$2:$BA$1105,$A$173),NA())))</f>
        <v/>
      </c>
      <c r="Q173" s="62">
        <f>IF($A$173="",NA(),IF(COUNTIFS(Data!$AK$2:$AK$1105,1,Data!$BA$2:$BA$1105,$A$173)&lt;Controls!$B$19,NA(),IFERROR(COUNTIFS(Data!$AK$2:$AK$1105,1,Data!$BA$2:$BA$1105,$A$173,Data!$N$2:$N$1105,"Renewal")/COUNTIFS(Data!$AK$2:$AK$1105,1,Data!$BA$2:$BA$1105,$A$173),NA())))</f>
        <v/>
      </c>
      <c r="R173" s="62">
        <f>IF($A$173="",NA(),IF(COUNTIFS(Data!$AK$2:$AK$1105,1,Data!$BA$2:$BA$1105,$A$173)&lt;Controls!$B$19,NA(),IFERROR(SUMIFS(Data!$P$2:$P$1105,Data!$AK$2:$AK$1105,1,Data!$BA$2:$BA$1105,$A$173,Data!$N$2:$N$1105,"Renewal")/SUMIFS(Data!$P$2:$P$1105,Data!$AK$2:$AK$1105,1,Data!$BA$2:$BA$1105,$A$173),NA())))</f>
        <v/>
      </c>
      <c r="S173" s="62">
        <f>IF($A$173="",NA(),Calc!$BT$2)</f>
        <v/>
      </c>
      <c r="T173" s="62">
        <f>IF($A$173="",NA(),Calc!$BT$3)</f>
        <v/>
      </c>
      <c r="U173" s="62">
        <f>IF($A$173="",NA(),Calc!$BT$4)</f>
        <v/>
      </c>
      <c r="V173" s="62">
        <f>IF($A$173="",NA(),IF(COUNTIFS(Data!$AK$2:$AK$1105,1,Data!$BA$2:$BA$1105,$A$173)&lt;Controls!$B$19,NA(),IFERROR(COUNTIFS(Data!$AK$2:$AK$1105,1,Data!$BA$2:$BA$1105,$A$173,Data!$AH$2:$AH$1105,1)/COUNTIFS(Data!$AK$2:$AK$1105,1,Data!$BA$2:$BA$1105,$A$173),NA())))</f>
        <v/>
      </c>
      <c r="W173" s="61">
        <f>IF($A$173="","",$A$173&amp;" ("&amp;$J$173&amp;")")</f>
        <v/>
      </c>
      <c r="X173" s="61" t="n"/>
      <c r="Y173" s="61" t="n"/>
      <c r="Z173" s="61" t="n"/>
      <c r="AA173" s="61" t="n"/>
      <c r="AB173" s="61" t="n"/>
      <c r="AC173" s="61" t="n"/>
      <c r="AD173" s="61" t="n"/>
      <c r="AE173" s="61" t="n"/>
      <c r="AF173" s="61" t="n"/>
      <c r="AG173" s="61" t="n"/>
      <c r="AH173" s="61" t="n"/>
      <c r="AI173" s="61" t="n"/>
      <c r="AJ173" s="61" t="n"/>
      <c r="AK173" s="61" t="n"/>
      <c r="AL173" s="61" t="n"/>
      <c r="AM173" s="61" t="n"/>
      <c r="AN173" s="61">
        <f>Controls!$G$70</f>
        <v/>
      </c>
      <c r="AO173" s="61">
        <f>COUNTIFS(Data!$AK$2:$AK$1105,1,Data!$M$2:$M$1105,$AN$173)</f>
        <v/>
      </c>
      <c r="AP173" s="57">
        <f>SUMIFS(Data!$P$2:$P$1105,Data!$AK$2:$AK$1105,1,Data!$M$2:$M$1105,$AN$173)</f>
        <v/>
      </c>
      <c r="AQ173" s="56">
        <f>IFERROR(SUMIFS(Data!$AN$2:$AN$1105,Data!$AK$2:$AK$1105,1,Data!$M$2:$M$1105,$AN$173)/$AP$173,0)</f>
        <v/>
      </c>
      <c r="AR173" s="57">
        <f>SUMIFS(Data!$AN$2:$AN$1105,Data!$AK$2:$AK$1105,1,Data!$M$2:$M$1105,$AN$173)</f>
        <v/>
      </c>
      <c r="AS173" s="61">
        <f>Controls!$H$70</f>
        <v/>
      </c>
      <c r="AT173" s="61">
        <f>IF(OR(AO173=0,AO173&lt;Controls!$B$20),-1000000000000000,IF(AND(Controls!$B$21="Y",$AN$173="No ISO"),-1000000000000000,IF(Controls!$B$17="Selected only",IF(AS173="Y",AP173,-1000000000000000),IF(Controls!$B$17="Top by funded $",AP173,IF(Controls!$B$17="Top by funded units",AO173,IF(Controls!$B$17="Largest principal lost $",AR173,IF(Controls!$B$17="Highest net profit $",AU173,IF(AO173&lt;Controls!$B$19,-1000000000000000,IF(Controls!$B$17="Highest principal lost rate %",AQ173,IF(Controls!$B$17="Lowest principal lost rate %",1-AQ173,AP173))))))))) +31/1000000)</f>
        <v/>
      </c>
      <c r="AU173" s="57">
        <f>SUMIFS(Data!$AM$2:$AM$1105,Data!$AK$2:$AK$1105,1,Data!$M$2:$M$1105,$AN$173)</f>
        <v/>
      </c>
      <c r="AV173" s="61" t="n"/>
      <c r="AW173" s="61" t="n"/>
      <c r="AX173" s="61" t="n"/>
      <c r="AY173" s="61" t="n"/>
      <c r="AZ173" s="61" t="n"/>
      <c r="BA173" s="61" t="n"/>
      <c r="BB173" s="61">
        <f>Controls!$G$138</f>
        <v/>
      </c>
      <c r="BC173" s="61">
        <f>COUNTIFS(Data!$AK$2:$AK$1105,1,Data!$M$2:$M$1105,$BB$173)</f>
        <v/>
      </c>
      <c r="BD173" s="57">
        <f>SUMIFS(Data!$P$2:$P$1105,Data!$AK$2:$AK$1105,1,Data!$M$2:$M$1105,$BB$173)</f>
        <v/>
      </c>
      <c r="BE173" s="56">
        <f>IF(COUNTIFS(Data!$AK$2:$AK$1105,1,Data!$M$2:$M$1105,$BB$173)&lt;Controls!$B$19,"",IFERROR(SUMIFS(Data!$AN$2:$AN$1105,Data!$AK$2:$AK$1105,1,Data!$M$2:$M$1105,$BB$173)/$BD$173,""))</f>
        <v/>
      </c>
      <c r="BF173" s="56">
        <f>IF(COUNTIFS(Data!$AK$2:$AK$1105,1,Data!$M$2:$M$1105,$BB$173)&lt;Controls!$B$19,"",IFERROR(SUMIFS(Data!$AM$2:$AM$1105,Data!$AK$2:$AK$1105,1,Data!$M$2:$M$1105,$BB$173)/SUMIFS(Data!$P$2:$P$1105,Data!$AK$2:$AK$1105,1,Data!$M$2:$M$1105,$BB$173),""))</f>
        <v/>
      </c>
      <c r="BG173" s="57">
        <f>SUMIFS(Data!$AN$2:$AN$1105,Data!$AK$2:$AK$1105,1,Data!$M$2:$M$1105,$BB$173)</f>
        <v/>
      </c>
      <c r="BH173" s="61" t="n"/>
      <c r="BI173" s="61">
        <f>IF(AND($BC$173&gt;=Controls!$B$22,$BD$173&gt;=LARGE($BD$75:$BD$230,MIN(Controls!$B$18,COUNT($BD$75:$BD$230)))),$BE$173,"")</f>
        <v/>
      </c>
      <c r="BJ173" s="61" t="n"/>
      <c r="BK173" s="61">
        <f>IF($BC$173&lt;Controls!$B$22,"",$BE$173)</f>
        <v/>
      </c>
      <c r="BL173" s="61">
        <f>IF($BC$173&lt;Controls!$B$22,"",$BF$173)</f>
        <v/>
      </c>
      <c r="BM173" s="61">
        <f>IF($BC$173&lt;Controls!$B$22,"",$BG$173)</f>
        <v/>
      </c>
      <c r="BN173" s="61" t="n"/>
      <c r="BO173" s="61" t="n"/>
      <c r="BP173" s="61" t="n"/>
      <c r="BQ173" s="61" t="n"/>
      <c r="BR173" s="61" t="n"/>
      <c r="BS173" s="61" t="n"/>
      <c r="BT173" s="61" t="n"/>
    </row>
    <row r="174" ht="15.75" customHeight="1" s="79">
      <c r="A174" s="61">
        <f>IF(EDATE(Controls!$B$5,26)&gt;Controls!$B$6,"",TEXT(EDATE(Controls!$B$5,26),"YYYY-MM"))</f>
        <v/>
      </c>
      <c r="B174" s="66">
        <f>IF($A$174="",NA(),IFERROR(SUMIFS(Data!$P$2:$P$1105,Data!$AK$2:$AK$1105,1,Data!$BA$2:$BA$1105,$A$174),NA()))</f>
        <v/>
      </c>
      <c r="C174" s="66">
        <f>IF($A$174="",NA(),IFERROR(SUMIFS(Data!$S$2:$S$1105,Data!$AK$2:$AK$1105,1,Data!$BA$2:$BA$1105,$A$174),NA()))</f>
        <v/>
      </c>
      <c r="D174" s="66">
        <f>IF(ISNA($B$174),NA(),$C$174-$B$174)</f>
        <v/>
      </c>
      <c r="E174" s="66">
        <f>IF($A$174="",NA(),IFERROR(SUMIFS(Data!$Q$2:$Q$1105,Data!$AK$2:$AK$1105,1,Data!$BA$2:$BA$1105,$A$174),NA()))</f>
        <v/>
      </c>
      <c r="F174" s="66">
        <f>IF($A$174="",NA(),IFERROR(SUMIFS(Data!$AN$2:$AN$1105,Data!$AK$2:$AK$1105,1,Data!$BA$2:$BA$1105,$A$174),NA()))</f>
        <v/>
      </c>
      <c r="G174" s="62">
        <f>IF($A$174="",NA(),IF(COUNTIFS(Data!$AK$2:$AK$1105,1,Data!$BA$2:$BA$1105,$A$174)&lt;Controls!$B$19,NA(),IFERROR(SUMIFS(Data!$AN$2:$AN$1105,Data!$AK$2:$AK$1105,1,Data!$BA$2:$BA$1105,$A$174)/$B$174,NA())))</f>
        <v/>
      </c>
      <c r="H174" s="62">
        <f>IF($A$174="",NA(),IF(COUNTIFS(Data!$AK$2:$AK$1105,1,Data!$BA$2:$BA$1105,$A$174)&lt;Controls!$B$19,NA(),IFERROR(SUMIFS(Data!$S$2:$S$1105,Data!$AK$2:$AK$1105,1,Data!$BA$2:$BA$1105,$A$174,Data!$AH$2:$AH$1105,1)/SUMIFS(Data!$P$2:$P$1105,Data!$AK$2:$AK$1105,1,Data!$BA$2:$BA$1105,$A$174,Data!$AH$2:$AH$1105,1),NA())))</f>
        <v/>
      </c>
      <c r="I174" s="62">
        <f>IF(ISNA($J$174),NA(),IF($J$174&lt;Controls!$B$19,NA(),IFERROR($D$174/$B$174,NA())))</f>
        <v/>
      </c>
      <c r="J174" s="67">
        <f>IF($A$174="",NA(),IFERROR(COUNTIFS(Data!$AK$2:$AK$1105,1,Data!$BA$2:$BA$1105,$A$174),NA()))</f>
        <v/>
      </c>
      <c r="K174" s="62">
        <f>IF(ISNA($B$174),NA(),IFERROR($B$174/Calc!$BT$6,NA()))</f>
        <v/>
      </c>
      <c r="L174" s="66">
        <f>IF(ISNA($J$174),NA(),IF($J$174&lt;Controls!$B$19,NA(),IFERROR($B$174/$J$174,NA())))</f>
        <v/>
      </c>
      <c r="M174" s="67">
        <f>IF($A$174="",NA(),IF(COUNTIFS(Data!$AK$2:$AK$1105,1,Data!$BA$2:$BA$1105,$A$174)&lt;Controls!$B$19,NA(),IFERROR(AVERAGEIFS(Data!$AE$2:$AE$1105,Data!$AK$2:$AK$1105,1,Data!$BA$2:$BA$1105,$A$174),NA())))</f>
        <v/>
      </c>
      <c r="N174" s="67">
        <f>IF($A$174="",NA(),IF(COUNTIFS(Data!$AK$2:$AK$1105,1,Data!$BA$2:$BA$1105,$A$174)&lt;Controls!$B$19,NA(),IFERROR(AVERAGEIFS(Data!$AD$2:$AD$1105,Data!$AK$2:$AK$1105,1,Data!$BA$2:$BA$1105,$A$174),NA())))</f>
        <v/>
      </c>
      <c r="O174" s="67">
        <f>IF($A$174="",NA(),IF(COUNTIFS(Data!$AK$2:$AK$1105,1,Data!$BA$2:$BA$1105,$A$174)&lt;Controls!$B$19,NA(),IFERROR(AVERAGEIFS(Data!$AS$2:$AS$1105,Data!$AK$2:$AK$1105,1,Data!$BA$2:$BA$1105,$A$174),NA())))</f>
        <v/>
      </c>
      <c r="P174" s="67">
        <f>IF($A$174="",NA(),IF(COUNTIFS(Data!$AK$2:$AK$1105,1,Data!$BA$2:$BA$1105,$A$174)&lt;Controls!$B$19,NA(),IFERROR(AVERAGEIFS(Data!$AT$2:$AT$1105,Data!$AK$2:$AK$1105,1,Data!$BA$2:$BA$1105,$A$174),NA())))</f>
        <v/>
      </c>
      <c r="Q174" s="62">
        <f>IF($A$174="",NA(),IF(COUNTIFS(Data!$AK$2:$AK$1105,1,Data!$BA$2:$BA$1105,$A$174)&lt;Controls!$B$19,NA(),IFERROR(COUNTIFS(Data!$AK$2:$AK$1105,1,Data!$BA$2:$BA$1105,$A$174,Data!$N$2:$N$1105,"Renewal")/COUNTIFS(Data!$AK$2:$AK$1105,1,Data!$BA$2:$BA$1105,$A$174),NA())))</f>
        <v/>
      </c>
      <c r="R174" s="62">
        <f>IF($A$174="",NA(),IF(COUNTIFS(Data!$AK$2:$AK$1105,1,Data!$BA$2:$BA$1105,$A$174)&lt;Controls!$B$19,NA(),IFERROR(SUMIFS(Data!$P$2:$P$1105,Data!$AK$2:$AK$1105,1,Data!$BA$2:$BA$1105,$A$174,Data!$N$2:$N$1105,"Renewal")/SUMIFS(Data!$P$2:$P$1105,Data!$AK$2:$AK$1105,1,Data!$BA$2:$BA$1105,$A$174),NA())))</f>
        <v/>
      </c>
      <c r="S174" s="62">
        <f>IF($A$174="",NA(),Calc!$BT$2)</f>
        <v/>
      </c>
      <c r="T174" s="62">
        <f>IF($A$174="",NA(),Calc!$BT$3)</f>
        <v/>
      </c>
      <c r="U174" s="62">
        <f>IF($A$174="",NA(),Calc!$BT$4)</f>
        <v/>
      </c>
      <c r="V174" s="62">
        <f>IF($A$174="",NA(),IF(COUNTIFS(Data!$AK$2:$AK$1105,1,Data!$BA$2:$BA$1105,$A$174)&lt;Controls!$B$19,NA(),IFERROR(COUNTIFS(Data!$AK$2:$AK$1105,1,Data!$BA$2:$BA$1105,$A$174,Data!$AH$2:$AH$1105,1)/COUNTIFS(Data!$AK$2:$AK$1105,1,Data!$BA$2:$BA$1105,$A$174),NA())))</f>
        <v/>
      </c>
      <c r="W174" s="61">
        <f>IF($A$174="","",$A$174&amp;" ("&amp;$J$174&amp;")")</f>
        <v/>
      </c>
      <c r="X174" s="61" t="n"/>
      <c r="Y174" s="61" t="n"/>
      <c r="Z174" s="61" t="n"/>
      <c r="AA174" s="61" t="n"/>
      <c r="AB174" s="61" t="n"/>
      <c r="AC174" s="61" t="n"/>
      <c r="AD174" s="61" t="n"/>
      <c r="AE174" s="61" t="n"/>
      <c r="AF174" s="61" t="n"/>
      <c r="AG174" s="61" t="n"/>
      <c r="AH174" s="61" t="n"/>
      <c r="AI174" s="61" t="n"/>
      <c r="AJ174" s="61" t="n"/>
      <c r="AK174" s="61" t="n"/>
      <c r="AL174" s="61" t="n"/>
      <c r="AM174" s="61" t="n"/>
      <c r="AN174" s="61">
        <f>Controls!$G$71</f>
        <v/>
      </c>
      <c r="AO174" s="61">
        <f>COUNTIFS(Data!$AK$2:$AK$1105,1,Data!$M$2:$M$1105,$AN$174)</f>
        <v/>
      </c>
      <c r="AP174" s="57">
        <f>SUMIFS(Data!$P$2:$P$1105,Data!$AK$2:$AK$1105,1,Data!$M$2:$M$1105,$AN$174)</f>
        <v/>
      </c>
      <c r="AQ174" s="56">
        <f>IFERROR(SUMIFS(Data!$AN$2:$AN$1105,Data!$AK$2:$AK$1105,1,Data!$M$2:$M$1105,$AN$174)/$AP$174,0)</f>
        <v/>
      </c>
      <c r="AR174" s="57">
        <f>SUMIFS(Data!$AN$2:$AN$1105,Data!$AK$2:$AK$1105,1,Data!$M$2:$M$1105,$AN$174)</f>
        <v/>
      </c>
      <c r="AS174" s="61">
        <f>Controls!$H$71</f>
        <v/>
      </c>
      <c r="AT174" s="61">
        <f>IF(OR(AO174=0,AO174&lt;Controls!$B$20),-1000000000000000,IF(AND(Controls!$B$21="Y",$AN$174="No ISO"),-1000000000000000,IF(Controls!$B$17="Selected only",IF(AS174="Y",AP174,-1000000000000000),IF(Controls!$B$17="Top by funded $",AP174,IF(Controls!$B$17="Top by funded units",AO174,IF(Controls!$B$17="Largest principal lost $",AR174,IF(Controls!$B$17="Highest net profit $",AU174,IF(AO174&lt;Controls!$B$19,-1000000000000000,IF(Controls!$B$17="Highest principal lost rate %",AQ174,IF(Controls!$B$17="Lowest principal lost rate %",1-AQ174,AP174))))))))) +32/1000000)</f>
        <v/>
      </c>
      <c r="AU174" s="57">
        <f>SUMIFS(Data!$AM$2:$AM$1105,Data!$AK$2:$AK$1105,1,Data!$M$2:$M$1105,$AN$174)</f>
        <v/>
      </c>
      <c r="AV174" s="61" t="n"/>
      <c r="AW174" s="61" t="n"/>
      <c r="AX174" s="61" t="n"/>
      <c r="AY174" s="61" t="n"/>
      <c r="AZ174" s="61" t="n"/>
      <c r="BA174" s="61" t="n"/>
      <c r="BB174" s="61">
        <f>Controls!$G$139</f>
        <v/>
      </c>
      <c r="BC174" s="61">
        <f>COUNTIFS(Data!$AK$2:$AK$1105,1,Data!$M$2:$M$1105,$BB$174)</f>
        <v/>
      </c>
      <c r="BD174" s="57">
        <f>SUMIFS(Data!$P$2:$P$1105,Data!$AK$2:$AK$1105,1,Data!$M$2:$M$1105,$BB$174)</f>
        <v/>
      </c>
      <c r="BE174" s="56">
        <f>IF(COUNTIFS(Data!$AK$2:$AK$1105,1,Data!$M$2:$M$1105,$BB$174)&lt;Controls!$B$19,"",IFERROR(SUMIFS(Data!$AN$2:$AN$1105,Data!$AK$2:$AK$1105,1,Data!$M$2:$M$1105,$BB$174)/$BD$174,""))</f>
        <v/>
      </c>
      <c r="BF174" s="56">
        <f>IF(COUNTIFS(Data!$AK$2:$AK$1105,1,Data!$M$2:$M$1105,$BB$174)&lt;Controls!$B$19,"",IFERROR(SUMIFS(Data!$AM$2:$AM$1105,Data!$AK$2:$AK$1105,1,Data!$M$2:$M$1105,$BB$174)/SUMIFS(Data!$P$2:$P$1105,Data!$AK$2:$AK$1105,1,Data!$M$2:$M$1105,$BB$174),""))</f>
        <v/>
      </c>
      <c r="BG174" s="57">
        <f>SUMIFS(Data!$AN$2:$AN$1105,Data!$AK$2:$AK$1105,1,Data!$M$2:$M$1105,$BB$174)</f>
        <v/>
      </c>
      <c r="BH174" s="61" t="n"/>
      <c r="BI174" s="61">
        <f>IF(AND($BC$174&gt;=Controls!$B$22,$BD$174&gt;=LARGE($BD$75:$BD$230,MIN(Controls!$B$18,COUNT($BD$75:$BD$230)))),$BE$174,"")</f>
        <v/>
      </c>
      <c r="BJ174" s="61" t="n"/>
      <c r="BK174" s="61">
        <f>IF($BC$174&lt;Controls!$B$22,"",$BE$174)</f>
        <v/>
      </c>
      <c r="BL174" s="61">
        <f>IF($BC$174&lt;Controls!$B$22,"",$BF$174)</f>
        <v/>
      </c>
      <c r="BM174" s="61">
        <f>IF($BC$174&lt;Controls!$B$22,"",$BG$174)</f>
        <v/>
      </c>
      <c r="BN174" s="61" t="n"/>
      <c r="BO174" s="61" t="n"/>
      <c r="BP174" s="61" t="n"/>
      <c r="BQ174" s="61" t="n"/>
      <c r="BR174" s="61" t="n"/>
      <c r="BS174" s="61" t="n"/>
      <c r="BT174" s="61" t="n"/>
    </row>
    <row r="175" ht="15.75" customHeight="1" s="79">
      <c r="A175" s="61">
        <f>IF(EDATE(Controls!$B$5,27)&gt;Controls!$B$6,"",TEXT(EDATE(Controls!$B$5,27),"YYYY-MM"))</f>
        <v/>
      </c>
      <c r="B175" s="66">
        <f>IF($A$175="",NA(),IFERROR(SUMIFS(Data!$P$2:$P$1105,Data!$AK$2:$AK$1105,1,Data!$BA$2:$BA$1105,$A$175),NA()))</f>
        <v/>
      </c>
      <c r="C175" s="66">
        <f>IF($A$175="",NA(),IFERROR(SUMIFS(Data!$S$2:$S$1105,Data!$AK$2:$AK$1105,1,Data!$BA$2:$BA$1105,$A$175),NA()))</f>
        <v/>
      </c>
      <c r="D175" s="66">
        <f>IF(ISNA($B$175),NA(),$C$175-$B$175)</f>
        <v/>
      </c>
      <c r="E175" s="66">
        <f>IF($A$175="",NA(),IFERROR(SUMIFS(Data!$Q$2:$Q$1105,Data!$AK$2:$AK$1105,1,Data!$BA$2:$BA$1105,$A$175),NA()))</f>
        <v/>
      </c>
      <c r="F175" s="66">
        <f>IF($A$175="",NA(),IFERROR(SUMIFS(Data!$AN$2:$AN$1105,Data!$AK$2:$AK$1105,1,Data!$BA$2:$BA$1105,$A$175),NA()))</f>
        <v/>
      </c>
      <c r="G175" s="62">
        <f>IF($A$175="",NA(),IF(COUNTIFS(Data!$AK$2:$AK$1105,1,Data!$BA$2:$BA$1105,$A$175)&lt;Controls!$B$19,NA(),IFERROR(SUMIFS(Data!$AN$2:$AN$1105,Data!$AK$2:$AK$1105,1,Data!$BA$2:$BA$1105,$A$175)/$B$175,NA())))</f>
        <v/>
      </c>
      <c r="H175" s="62">
        <f>IF($A$175="",NA(),IF(COUNTIFS(Data!$AK$2:$AK$1105,1,Data!$BA$2:$BA$1105,$A$175)&lt;Controls!$B$19,NA(),IFERROR(SUMIFS(Data!$S$2:$S$1105,Data!$AK$2:$AK$1105,1,Data!$BA$2:$BA$1105,$A$175,Data!$AH$2:$AH$1105,1)/SUMIFS(Data!$P$2:$P$1105,Data!$AK$2:$AK$1105,1,Data!$BA$2:$BA$1105,$A$175,Data!$AH$2:$AH$1105,1),NA())))</f>
        <v/>
      </c>
      <c r="I175" s="62">
        <f>IF(ISNA($J$175),NA(),IF($J$175&lt;Controls!$B$19,NA(),IFERROR($D$175/$B$175,NA())))</f>
        <v/>
      </c>
      <c r="J175" s="67">
        <f>IF($A$175="",NA(),IFERROR(COUNTIFS(Data!$AK$2:$AK$1105,1,Data!$BA$2:$BA$1105,$A$175),NA()))</f>
        <v/>
      </c>
      <c r="K175" s="62">
        <f>IF(ISNA($B$175),NA(),IFERROR($B$175/Calc!$BT$6,NA()))</f>
        <v/>
      </c>
      <c r="L175" s="66">
        <f>IF(ISNA($J$175),NA(),IF($J$175&lt;Controls!$B$19,NA(),IFERROR($B$175/$J$175,NA())))</f>
        <v/>
      </c>
      <c r="M175" s="67">
        <f>IF($A$175="",NA(),IF(COUNTIFS(Data!$AK$2:$AK$1105,1,Data!$BA$2:$BA$1105,$A$175)&lt;Controls!$B$19,NA(),IFERROR(AVERAGEIFS(Data!$AE$2:$AE$1105,Data!$AK$2:$AK$1105,1,Data!$BA$2:$BA$1105,$A$175),NA())))</f>
        <v/>
      </c>
      <c r="N175" s="67">
        <f>IF($A$175="",NA(),IF(COUNTIFS(Data!$AK$2:$AK$1105,1,Data!$BA$2:$BA$1105,$A$175)&lt;Controls!$B$19,NA(),IFERROR(AVERAGEIFS(Data!$AD$2:$AD$1105,Data!$AK$2:$AK$1105,1,Data!$BA$2:$BA$1105,$A$175),NA())))</f>
        <v/>
      </c>
      <c r="O175" s="67">
        <f>IF($A$175="",NA(),IF(COUNTIFS(Data!$AK$2:$AK$1105,1,Data!$BA$2:$BA$1105,$A$175)&lt;Controls!$B$19,NA(),IFERROR(AVERAGEIFS(Data!$AS$2:$AS$1105,Data!$AK$2:$AK$1105,1,Data!$BA$2:$BA$1105,$A$175),NA())))</f>
        <v/>
      </c>
      <c r="P175" s="67">
        <f>IF($A$175="",NA(),IF(COUNTIFS(Data!$AK$2:$AK$1105,1,Data!$BA$2:$BA$1105,$A$175)&lt;Controls!$B$19,NA(),IFERROR(AVERAGEIFS(Data!$AT$2:$AT$1105,Data!$AK$2:$AK$1105,1,Data!$BA$2:$BA$1105,$A$175),NA())))</f>
        <v/>
      </c>
      <c r="Q175" s="62">
        <f>IF($A$175="",NA(),IF(COUNTIFS(Data!$AK$2:$AK$1105,1,Data!$BA$2:$BA$1105,$A$175)&lt;Controls!$B$19,NA(),IFERROR(COUNTIFS(Data!$AK$2:$AK$1105,1,Data!$BA$2:$BA$1105,$A$175,Data!$N$2:$N$1105,"Renewal")/COUNTIFS(Data!$AK$2:$AK$1105,1,Data!$BA$2:$BA$1105,$A$175),NA())))</f>
        <v/>
      </c>
      <c r="R175" s="62">
        <f>IF($A$175="",NA(),IF(COUNTIFS(Data!$AK$2:$AK$1105,1,Data!$BA$2:$BA$1105,$A$175)&lt;Controls!$B$19,NA(),IFERROR(SUMIFS(Data!$P$2:$P$1105,Data!$AK$2:$AK$1105,1,Data!$BA$2:$BA$1105,$A$175,Data!$N$2:$N$1105,"Renewal")/SUMIFS(Data!$P$2:$P$1105,Data!$AK$2:$AK$1105,1,Data!$BA$2:$BA$1105,$A$175),NA())))</f>
        <v/>
      </c>
      <c r="S175" s="62">
        <f>IF($A$175="",NA(),Calc!$BT$2)</f>
        <v/>
      </c>
      <c r="T175" s="62">
        <f>IF($A$175="",NA(),Calc!$BT$3)</f>
        <v/>
      </c>
      <c r="U175" s="62">
        <f>IF($A$175="",NA(),Calc!$BT$4)</f>
        <v/>
      </c>
      <c r="V175" s="62">
        <f>IF($A$175="",NA(),IF(COUNTIFS(Data!$AK$2:$AK$1105,1,Data!$BA$2:$BA$1105,$A$175)&lt;Controls!$B$19,NA(),IFERROR(COUNTIFS(Data!$AK$2:$AK$1105,1,Data!$BA$2:$BA$1105,$A$175,Data!$AH$2:$AH$1105,1)/COUNTIFS(Data!$AK$2:$AK$1105,1,Data!$BA$2:$BA$1105,$A$175),NA())))</f>
        <v/>
      </c>
      <c r="W175" s="61">
        <f>IF($A$175="","",$A$175&amp;" ("&amp;$J$175&amp;")")</f>
        <v/>
      </c>
      <c r="X175" s="61" t="n"/>
      <c r="Y175" s="61" t="n"/>
      <c r="Z175" s="61" t="n"/>
      <c r="AA175" s="61" t="n"/>
      <c r="AB175" s="61" t="n"/>
      <c r="AC175" s="61" t="n"/>
      <c r="AD175" s="61" t="n"/>
      <c r="AE175" s="61" t="n"/>
      <c r="AF175" s="61" t="n"/>
      <c r="AG175" s="61" t="n"/>
      <c r="AH175" s="61" t="n"/>
      <c r="AI175" s="61" t="n"/>
      <c r="AJ175" s="61" t="n"/>
      <c r="AK175" s="61" t="n"/>
      <c r="AL175" s="61" t="n"/>
      <c r="AM175" s="61" t="n"/>
      <c r="AN175" s="61">
        <f>Controls!$G$72</f>
        <v/>
      </c>
      <c r="AO175" s="61">
        <f>COUNTIFS(Data!$AK$2:$AK$1105,1,Data!$M$2:$M$1105,$AN$175)</f>
        <v/>
      </c>
      <c r="AP175" s="57">
        <f>SUMIFS(Data!$P$2:$P$1105,Data!$AK$2:$AK$1105,1,Data!$M$2:$M$1105,$AN$175)</f>
        <v/>
      </c>
      <c r="AQ175" s="56">
        <f>IFERROR(SUMIFS(Data!$AN$2:$AN$1105,Data!$AK$2:$AK$1105,1,Data!$M$2:$M$1105,$AN$175)/$AP$175,0)</f>
        <v/>
      </c>
      <c r="AR175" s="57">
        <f>SUMIFS(Data!$AN$2:$AN$1105,Data!$AK$2:$AK$1105,1,Data!$M$2:$M$1105,$AN$175)</f>
        <v/>
      </c>
      <c r="AS175" s="61">
        <f>Controls!$H$72</f>
        <v/>
      </c>
      <c r="AT175" s="61">
        <f>IF(OR(AO175=0,AO175&lt;Controls!$B$20),-1000000000000000,IF(AND(Controls!$B$21="Y",$AN$175="No ISO"),-1000000000000000,IF(Controls!$B$17="Selected only",IF(AS175="Y",AP175,-1000000000000000),IF(Controls!$B$17="Top by funded $",AP175,IF(Controls!$B$17="Top by funded units",AO175,IF(Controls!$B$17="Largest principal lost $",AR175,IF(Controls!$B$17="Highest net profit $",AU175,IF(AO175&lt;Controls!$B$19,-1000000000000000,IF(Controls!$B$17="Highest principal lost rate %",AQ175,IF(Controls!$B$17="Lowest principal lost rate %",1-AQ175,AP175))))))))) +33/1000000)</f>
        <v/>
      </c>
      <c r="AU175" s="57">
        <f>SUMIFS(Data!$AM$2:$AM$1105,Data!$AK$2:$AK$1105,1,Data!$M$2:$M$1105,$AN$175)</f>
        <v/>
      </c>
      <c r="AV175" s="61" t="n"/>
      <c r="AW175" s="61" t="n"/>
      <c r="AX175" s="61" t="n"/>
      <c r="AY175" s="61" t="n"/>
      <c r="AZ175" s="61" t="n"/>
      <c r="BA175" s="61" t="n"/>
      <c r="BB175" s="61">
        <f>Controls!$G$140</f>
        <v/>
      </c>
      <c r="BC175" s="61">
        <f>COUNTIFS(Data!$AK$2:$AK$1105,1,Data!$M$2:$M$1105,$BB$175)</f>
        <v/>
      </c>
      <c r="BD175" s="57">
        <f>SUMIFS(Data!$P$2:$P$1105,Data!$AK$2:$AK$1105,1,Data!$M$2:$M$1105,$BB$175)</f>
        <v/>
      </c>
      <c r="BE175" s="56">
        <f>IF(COUNTIFS(Data!$AK$2:$AK$1105,1,Data!$M$2:$M$1105,$BB$175)&lt;Controls!$B$19,"",IFERROR(SUMIFS(Data!$AN$2:$AN$1105,Data!$AK$2:$AK$1105,1,Data!$M$2:$M$1105,$BB$175)/$BD$175,""))</f>
        <v/>
      </c>
      <c r="BF175" s="56">
        <f>IF(COUNTIFS(Data!$AK$2:$AK$1105,1,Data!$M$2:$M$1105,$BB$175)&lt;Controls!$B$19,"",IFERROR(SUMIFS(Data!$AM$2:$AM$1105,Data!$AK$2:$AK$1105,1,Data!$M$2:$M$1105,$BB$175)/SUMIFS(Data!$P$2:$P$1105,Data!$AK$2:$AK$1105,1,Data!$M$2:$M$1105,$BB$175),""))</f>
        <v/>
      </c>
      <c r="BG175" s="57">
        <f>SUMIFS(Data!$AN$2:$AN$1105,Data!$AK$2:$AK$1105,1,Data!$M$2:$M$1105,$BB$175)</f>
        <v/>
      </c>
      <c r="BH175" s="61" t="n"/>
      <c r="BI175" s="61">
        <f>IF(AND($BC$175&gt;=Controls!$B$22,$BD$175&gt;=LARGE($BD$75:$BD$230,MIN(Controls!$B$18,COUNT($BD$75:$BD$230)))),$BE$175,"")</f>
        <v/>
      </c>
      <c r="BJ175" s="61" t="n"/>
      <c r="BK175" s="56">
        <f>IF($BC$175&lt;Controls!$B$22,"",$BE$175)</f>
        <v/>
      </c>
      <c r="BL175" s="56">
        <f>IF($BC$175&lt;Controls!$B$22,"",$BF$175)</f>
        <v/>
      </c>
      <c r="BM175" s="57">
        <f>IF($BC$175&lt;Controls!$B$22,"",$BG$175)</f>
        <v/>
      </c>
      <c r="BN175" s="61" t="n"/>
      <c r="BO175" s="61" t="n"/>
      <c r="BP175" s="61" t="n"/>
      <c r="BQ175" s="61" t="n"/>
      <c r="BR175" s="61" t="n"/>
      <c r="BS175" s="61" t="n"/>
      <c r="BT175" s="61" t="n"/>
    </row>
    <row r="176" ht="15.75" customHeight="1" s="79">
      <c r="A176" s="61">
        <f>IF(EDATE(Controls!$B$5,28)&gt;Controls!$B$6,"",TEXT(EDATE(Controls!$B$5,28),"YYYY-MM"))</f>
        <v/>
      </c>
      <c r="B176" s="66">
        <f>IF($A$176="",NA(),IFERROR(SUMIFS(Data!$P$2:$P$1105,Data!$AK$2:$AK$1105,1,Data!$BA$2:$BA$1105,$A$176),NA()))</f>
        <v/>
      </c>
      <c r="C176" s="66">
        <f>IF($A$176="",NA(),IFERROR(SUMIFS(Data!$S$2:$S$1105,Data!$AK$2:$AK$1105,1,Data!$BA$2:$BA$1105,$A$176),NA()))</f>
        <v/>
      </c>
      <c r="D176" s="66">
        <f>IF(ISNA($B$176),NA(),$C$176-$B$176)</f>
        <v/>
      </c>
      <c r="E176" s="66">
        <f>IF($A$176="",NA(),IFERROR(SUMIFS(Data!$Q$2:$Q$1105,Data!$AK$2:$AK$1105,1,Data!$BA$2:$BA$1105,$A$176),NA()))</f>
        <v/>
      </c>
      <c r="F176" s="66">
        <f>IF($A$176="",NA(),IFERROR(SUMIFS(Data!$AN$2:$AN$1105,Data!$AK$2:$AK$1105,1,Data!$BA$2:$BA$1105,$A$176),NA()))</f>
        <v/>
      </c>
      <c r="G176" s="62">
        <f>IF($A$176="",NA(),IF(COUNTIFS(Data!$AK$2:$AK$1105,1,Data!$BA$2:$BA$1105,$A$176)&lt;Controls!$B$19,NA(),IFERROR(SUMIFS(Data!$AN$2:$AN$1105,Data!$AK$2:$AK$1105,1,Data!$BA$2:$BA$1105,$A$176)/$B$176,NA())))</f>
        <v/>
      </c>
      <c r="H176" s="62">
        <f>IF($A$176="",NA(),IF(COUNTIFS(Data!$AK$2:$AK$1105,1,Data!$BA$2:$BA$1105,$A$176)&lt;Controls!$B$19,NA(),IFERROR(SUMIFS(Data!$S$2:$S$1105,Data!$AK$2:$AK$1105,1,Data!$BA$2:$BA$1105,$A$176,Data!$AH$2:$AH$1105,1)/SUMIFS(Data!$P$2:$P$1105,Data!$AK$2:$AK$1105,1,Data!$BA$2:$BA$1105,$A$176,Data!$AH$2:$AH$1105,1),NA())))</f>
        <v/>
      </c>
      <c r="I176" s="62">
        <f>IF(ISNA($J$176),NA(),IF($J$176&lt;Controls!$B$19,NA(),IFERROR($D$176/$B$176,NA())))</f>
        <v/>
      </c>
      <c r="J176" s="67">
        <f>IF($A$176="",NA(),IFERROR(COUNTIFS(Data!$AK$2:$AK$1105,1,Data!$BA$2:$BA$1105,$A$176),NA()))</f>
        <v/>
      </c>
      <c r="K176" s="62">
        <f>IF(ISNA($B$176),NA(),IFERROR($B$176/Calc!$BT$6,NA()))</f>
        <v/>
      </c>
      <c r="L176" s="66">
        <f>IF(ISNA($J$176),NA(),IF($J$176&lt;Controls!$B$19,NA(),IFERROR($B$176/$J$176,NA())))</f>
        <v/>
      </c>
      <c r="M176" s="67">
        <f>IF($A$176="",NA(),IF(COUNTIFS(Data!$AK$2:$AK$1105,1,Data!$BA$2:$BA$1105,$A$176)&lt;Controls!$B$19,NA(),IFERROR(AVERAGEIFS(Data!$AE$2:$AE$1105,Data!$AK$2:$AK$1105,1,Data!$BA$2:$BA$1105,$A$176),NA())))</f>
        <v/>
      </c>
      <c r="N176" s="67">
        <f>IF($A$176="",NA(),IF(COUNTIFS(Data!$AK$2:$AK$1105,1,Data!$BA$2:$BA$1105,$A$176)&lt;Controls!$B$19,NA(),IFERROR(AVERAGEIFS(Data!$AD$2:$AD$1105,Data!$AK$2:$AK$1105,1,Data!$BA$2:$BA$1105,$A$176),NA())))</f>
        <v/>
      </c>
      <c r="O176" s="67">
        <f>IF($A$176="",NA(),IF(COUNTIFS(Data!$AK$2:$AK$1105,1,Data!$BA$2:$BA$1105,$A$176)&lt;Controls!$B$19,NA(),IFERROR(AVERAGEIFS(Data!$AS$2:$AS$1105,Data!$AK$2:$AK$1105,1,Data!$BA$2:$BA$1105,$A$176),NA())))</f>
        <v/>
      </c>
      <c r="P176" s="67">
        <f>IF($A$176="",NA(),IF(COUNTIFS(Data!$AK$2:$AK$1105,1,Data!$BA$2:$BA$1105,$A$176)&lt;Controls!$B$19,NA(),IFERROR(AVERAGEIFS(Data!$AT$2:$AT$1105,Data!$AK$2:$AK$1105,1,Data!$BA$2:$BA$1105,$A$176),NA())))</f>
        <v/>
      </c>
      <c r="Q176" s="62">
        <f>IF($A$176="",NA(),IF(COUNTIFS(Data!$AK$2:$AK$1105,1,Data!$BA$2:$BA$1105,$A$176)&lt;Controls!$B$19,NA(),IFERROR(COUNTIFS(Data!$AK$2:$AK$1105,1,Data!$BA$2:$BA$1105,$A$176,Data!$N$2:$N$1105,"Renewal")/COUNTIFS(Data!$AK$2:$AK$1105,1,Data!$BA$2:$BA$1105,$A$176),NA())))</f>
        <v/>
      </c>
      <c r="R176" s="62">
        <f>IF($A$176="",NA(),IF(COUNTIFS(Data!$AK$2:$AK$1105,1,Data!$BA$2:$BA$1105,$A$176)&lt;Controls!$B$19,NA(),IFERROR(SUMIFS(Data!$P$2:$P$1105,Data!$AK$2:$AK$1105,1,Data!$BA$2:$BA$1105,$A$176,Data!$N$2:$N$1105,"Renewal")/SUMIFS(Data!$P$2:$P$1105,Data!$AK$2:$AK$1105,1,Data!$BA$2:$BA$1105,$A$176),NA())))</f>
        <v/>
      </c>
      <c r="S176" s="62">
        <f>IF($A$176="",NA(),Calc!$BT$2)</f>
        <v/>
      </c>
      <c r="T176" s="62">
        <f>IF($A$176="",NA(),Calc!$BT$3)</f>
        <v/>
      </c>
      <c r="U176" s="62">
        <f>IF($A$176="",NA(),Calc!$BT$4)</f>
        <v/>
      </c>
      <c r="V176" s="62">
        <f>IF($A$176="",NA(),IF(COUNTIFS(Data!$AK$2:$AK$1105,1,Data!$BA$2:$BA$1105,$A$176)&lt;Controls!$B$19,NA(),IFERROR(COUNTIFS(Data!$AK$2:$AK$1105,1,Data!$BA$2:$BA$1105,$A$176,Data!$AH$2:$AH$1105,1)/COUNTIFS(Data!$AK$2:$AK$1105,1,Data!$BA$2:$BA$1105,$A$176),NA())))</f>
        <v/>
      </c>
      <c r="W176" s="61">
        <f>IF($A$176="","",$A$176&amp;" ("&amp;$J$176&amp;")")</f>
        <v/>
      </c>
      <c r="X176" s="61" t="n"/>
      <c r="Y176" s="61" t="n"/>
      <c r="Z176" s="61" t="n"/>
      <c r="AA176" s="61" t="n"/>
      <c r="AB176" s="61" t="n"/>
      <c r="AC176" s="61" t="n"/>
      <c r="AD176" s="61" t="n"/>
      <c r="AE176" s="61" t="n"/>
      <c r="AF176" s="61" t="n"/>
      <c r="AG176" s="61" t="n"/>
      <c r="AH176" s="61" t="n"/>
      <c r="AI176" s="61" t="n"/>
      <c r="AJ176" s="61" t="n"/>
      <c r="AK176" s="61" t="n"/>
      <c r="AL176" s="61" t="n"/>
      <c r="AM176" s="61" t="n"/>
      <c r="AN176" s="61">
        <f>Controls!$G$73</f>
        <v/>
      </c>
      <c r="AO176" s="61">
        <f>COUNTIFS(Data!$AK$2:$AK$1105,1,Data!$M$2:$M$1105,$AN$176)</f>
        <v/>
      </c>
      <c r="AP176" s="57">
        <f>SUMIFS(Data!$P$2:$P$1105,Data!$AK$2:$AK$1105,1,Data!$M$2:$M$1105,$AN$176)</f>
        <v/>
      </c>
      <c r="AQ176" s="56">
        <f>IFERROR(SUMIFS(Data!$AN$2:$AN$1105,Data!$AK$2:$AK$1105,1,Data!$M$2:$M$1105,$AN$176)/$AP$176,0)</f>
        <v/>
      </c>
      <c r="AR176" s="57">
        <f>SUMIFS(Data!$AN$2:$AN$1105,Data!$AK$2:$AK$1105,1,Data!$M$2:$M$1105,$AN$176)</f>
        <v/>
      </c>
      <c r="AS176" s="61">
        <f>Controls!$H$73</f>
        <v/>
      </c>
      <c r="AT176" s="61">
        <f>IF(OR(AO176=0,AO176&lt;Controls!$B$20),-1000000000000000,IF(AND(Controls!$B$21="Y",$AN$176="No ISO"),-1000000000000000,IF(Controls!$B$17="Selected only",IF(AS176="Y",AP176,-1000000000000000),IF(Controls!$B$17="Top by funded $",AP176,IF(Controls!$B$17="Top by funded units",AO176,IF(Controls!$B$17="Largest principal lost $",AR176,IF(Controls!$B$17="Highest net profit $",AU176,IF(AO176&lt;Controls!$B$19,-1000000000000000,IF(Controls!$B$17="Highest principal lost rate %",AQ176,IF(Controls!$B$17="Lowest principal lost rate %",1-AQ176,AP176))))))))) +34/1000000)</f>
        <v/>
      </c>
      <c r="AU176" s="57">
        <f>SUMIFS(Data!$AM$2:$AM$1105,Data!$AK$2:$AK$1105,1,Data!$M$2:$M$1105,$AN$176)</f>
        <v/>
      </c>
      <c r="AV176" s="61" t="n"/>
      <c r="AW176" s="61" t="n"/>
      <c r="AX176" s="61" t="n"/>
      <c r="AY176" s="61" t="n"/>
      <c r="AZ176" s="61" t="n"/>
      <c r="BA176" s="61" t="n"/>
      <c r="BB176" s="61">
        <f>Controls!$G$141</f>
        <v/>
      </c>
      <c r="BC176" s="61">
        <f>COUNTIFS(Data!$AK$2:$AK$1105,1,Data!$M$2:$M$1105,$BB$176)</f>
        <v/>
      </c>
      <c r="BD176" s="57">
        <f>SUMIFS(Data!$P$2:$P$1105,Data!$AK$2:$AK$1105,1,Data!$M$2:$M$1105,$BB$176)</f>
        <v/>
      </c>
      <c r="BE176" s="56">
        <f>IF(COUNTIFS(Data!$AK$2:$AK$1105,1,Data!$M$2:$M$1105,$BB$176)&lt;Controls!$B$19,"",IFERROR(SUMIFS(Data!$AN$2:$AN$1105,Data!$AK$2:$AK$1105,1,Data!$M$2:$M$1105,$BB$176)/$BD$176,""))</f>
        <v/>
      </c>
      <c r="BF176" s="56">
        <f>IF(COUNTIFS(Data!$AK$2:$AK$1105,1,Data!$M$2:$M$1105,$BB$176)&lt;Controls!$B$19,"",IFERROR(SUMIFS(Data!$AM$2:$AM$1105,Data!$AK$2:$AK$1105,1,Data!$M$2:$M$1105,$BB$176)/SUMIFS(Data!$P$2:$P$1105,Data!$AK$2:$AK$1105,1,Data!$M$2:$M$1105,$BB$176),""))</f>
        <v/>
      </c>
      <c r="BG176" s="57">
        <f>SUMIFS(Data!$AN$2:$AN$1105,Data!$AK$2:$AK$1105,1,Data!$M$2:$M$1105,$BB$176)</f>
        <v/>
      </c>
      <c r="BH176" s="61" t="n"/>
      <c r="BI176" s="61">
        <f>IF(AND($BC$176&gt;=Controls!$B$22,$BD$176&gt;=LARGE($BD$75:$BD$230,MIN(Controls!$B$18,COUNT($BD$75:$BD$230)))),$BE$176,"")</f>
        <v/>
      </c>
      <c r="BJ176" s="61" t="n"/>
      <c r="BK176" s="61">
        <f>IF($BC$176&lt;Controls!$B$22,"",$BE$176)</f>
        <v/>
      </c>
      <c r="BL176" s="61">
        <f>IF($BC$176&lt;Controls!$B$22,"",$BF$176)</f>
        <v/>
      </c>
      <c r="BM176" s="61">
        <f>IF($BC$176&lt;Controls!$B$22,"",$BG$176)</f>
        <v/>
      </c>
      <c r="BN176" s="61" t="n"/>
      <c r="BO176" s="61" t="n"/>
      <c r="BP176" s="61" t="n"/>
      <c r="BQ176" s="61" t="n"/>
      <c r="BR176" s="61" t="n"/>
      <c r="BS176" s="61" t="n"/>
      <c r="BT176" s="61" t="n"/>
    </row>
    <row r="177" ht="15.75" customHeight="1" s="79">
      <c r="A177" s="61">
        <f>IF(EDATE(Controls!$B$5,29)&gt;Controls!$B$6,"",TEXT(EDATE(Controls!$B$5,29),"YYYY-MM"))</f>
        <v/>
      </c>
      <c r="B177" s="66">
        <f>IF($A$177="",NA(),IFERROR(SUMIFS(Data!$P$2:$P$1105,Data!$AK$2:$AK$1105,1,Data!$BA$2:$BA$1105,$A$177),NA()))</f>
        <v/>
      </c>
      <c r="C177" s="66">
        <f>IF($A$177="",NA(),IFERROR(SUMIFS(Data!$S$2:$S$1105,Data!$AK$2:$AK$1105,1,Data!$BA$2:$BA$1105,$A$177),NA()))</f>
        <v/>
      </c>
      <c r="D177" s="66">
        <f>IF(ISNA($B$177),NA(),$C$177-$B$177)</f>
        <v/>
      </c>
      <c r="E177" s="66">
        <f>IF($A$177="",NA(),IFERROR(SUMIFS(Data!$Q$2:$Q$1105,Data!$AK$2:$AK$1105,1,Data!$BA$2:$BA$1105,$A$177),NA()))</f>
        <v/>
      </c>
      <c r="F177" s="66">
        <f>IF($A$177="",NA(),IFERROR(SUMIFS(Data!$AN$2:$AN$1105,Data!$AK$2:$AK$1105,1,Data!$BA$2:$BA$1105,$A$177),NA()))</f>
        <v/>
      </c>
      <c r="G177" s="62">
        <f>IF($A$177="",NA(),IF(COUNTIFS(Data!$AK$2:$AK$1105,1,Data!$BA$2:$BA$1105,$A$177)&lt;Controls!$B$19,NA(),IFERROR(SUMIFS(Data!$AN$2:$AN$1105,Data!$AK$2:$AK$1105,1,Data!$BA$2:$BA$1105,$A$177)/$B$177,NA())))</f>
        <v/>
      </c>
      <c r="H177" s="62">
        <f>IF($A$177="",NA(),IF(COUNTIFS(Data!$AK$2:$AK$1105,1,Data!$BA$2:$BA$1105,$A$177)&lt;Controls!$B$19,NA(),IFERROR(SUMIFS(Data!$S$2:$S$1105,Data!$AK$2:$AK$1105,1,Data!$BA$2:$BA$1105,$A$177,Data!$AH$2:$AH$1105,1)/SUMIFS(Data!$P$2:$P$1105,Data!$AK$2:$AK$1105,1,Data!$BA$2:$BA$1105,$A$177,Data!$AH$2:$AH$1105,1),NA())))</f>
        <v/>
      </c>
      <c r="I177" s="62">
        <f>IF(ISNA($J$177),NA(),IF($J$177&lt;Controls!$B$19,NA(),IFERROR($D$177/$B$177,NA())))</f>
        <v/>
      </c>
      <c r="J177" s="67">
        <f>IF($A$177="",NA(),IFERROR(COUNTIFS(Data!$AK$2:$AK$1105,1,Data!$BA$2:$BA$1105,$A$177),NA()))</f>
        <v/>
      </c>
      <c r="K177" s="62">
        <f>IF(ISNA($B$177),NA(),IFERROR($B$177/Calc!$BT$6,NA()))</f>
        <v/>
      </c>
      <c r="L177" s="66">
        <f>IF(ISNA($J$177),NA(),IF($J$177&lt;Controls!$B$19,NA(),IFERROR($B$177/$J$177,NA())))</f>
        <v/>
      </c>
      <c r="M177" s="67">
        <f>IF($A$177="",NA(),IF(COUNTIFS(Data!$AK$2:$AK$1105,1,Data!$BA$2:$BA$1105,$A$177)&lt;Controls!$B$19,NA(),IFERROR(AVERAGEIFS(Data!$AE$2:$AE$1105,Data!$AK$2:$AK$1105,1,Data!$BA$2:$BA$1105,$A$177),NA())))</f>
        <v/>
      </c>
      <c r="N177" s="67">
        <f>IF($A$177="",NA(),IF(COUNTIFS(Data!$AK$2:$AK$1105,1,Data!$BA$2:$BA$1105,$A$177)&lt;Controls!$B$19,NA(),IFERROR(AVERAGEIFS(Data!$AD$2:$AD$1105,Data!$AK$2:$AK$1105,1,Data!$BA$2:$BA$1105,$A$177),NA())))</f>
        <v/>
      </c>
      <c r="O177" s="67">
        <f>IF($A$177="",NA(),IF(COUNTIFS(Data!$AK$2:$AK$1105,1,Data!$BA$2:$BA$1105,$A$177)&lt;Controls!$B$19,NA(),IFERROR(AVERAGEIFS(Data!$AS$2:$AS$1105,Data!$AK$2:$AK$1105,1,Data!$BA$2:$BA$1105,$A$177),NA())))</f>
        <v/>
      </c>
      <c r="P177" s="67">
        <f>IF($A$177="",NA(),IF(COUNTIFS(Data!$AK$2:$AK$1105,1,Data!$BA$2:$BA$1105,$A$177)&lt;Controls!$B$19,NA(),IFERROR(AVERAGEIFS(Data!$AT$2:$AT$1105,Data!$AK$2:$AK$1105,1,Data!$BA$2:$BA$1105,$A$177),NA())))</f>
        <v/>
      </c>
      <c r="Q177" s="62">
        <f>IF($A$177="",NA(),IF(COUNTIFS(Data!$AK$2:$AK$1105,1,Data!$BA$2:$BA$1105,$A$177)&lt;Controls!$B$19,NA(),IFERROR(COUNTIFS(Data!$AK$2:$AK$1105,1,Data!$BA$2:$BA$1105,$A$177,Data!$N$2:$N$1105,"Renewal")/COUNTIFS(Data!$AK$2:$AK$1105,1,Data!$BA$2:$BA$1105,$A$177),NA())))</f>
        <v/>
      </c>
      <c r="R177" s="62">
        <f>IF($A$177="",NA(),IF(COUNTIFS(Data!$AK$2:$AK$1105,1,Data!$BA$2:$BA$1105,$A$177)&lt;Controls!$B$19,NA(),IFERROR(SUMIFS(Data!$P$2:$P$1105,Data!$AK$2:$AK$1105,1,Data!$BA$2:$BA$1105,$A$177,Data!$N$2:$N$1105,"Renewal")/SUMIFS(Data!$P$2:$P$1105,Data!$AK$2:$AK$1105,1,Data!$BA$2:$BA$1105,$A$177),NA())))</f>
        <v/>
      </c>
      <c r="S177" s="62">
        <f>IF($A$177="",NA(),Calc!$BT$2)</f>
        <v/>
      </c>
      <c r="T177" s="62">
        <f>IF($A$177="",NA(),Calc!$BT$3)</f>
        <v/>
      </c>
      <c r="U177" s="62">
        <f>IF($A$177="",NA(),Calc!$BT$4)</f>
        <v/>
      </c>
      <c r="V177" s="62">
        <f>IF($A$177="",NA(),IF(COUNTIFS(Data!$AK$2:$AK$1105,1,Data!$BA$2:$BA$1105,$A$177)&lt;Controls!$B$19,NA(),IFERROR(COUNTIFS(Data!$AK$2:$AK$1105,1,Data!$BA$2:$BA$1105,$A$177,Data!$AH$2:$AH$1105,1)/COUNTIFS(Data!$AK$2:$AK$1105,1,Data!$BA$2:$BA$1105,$A$177),NA())))</f>
        <v/>
      </c>
      <c r="W177" s="61">
        <f>IF($A$177="","",$A$177&amp;" ("&amp;$J$177&amp;")")</f>
        <v/>
      </c>
      <c r="X177" s="61" t="n"/>
      <c r="Y177" s="61" t="n"/>
      <c r="Z177" s="61" t="n"/>
      <c r="AA177" s="61" t="n"/>
      <c r="AB177" s="61" t="n"/>
      <c r="AC177" s="61" t="n"/>
      <c r="AD177" s="61" t="n"/>
      <c r="AE177" s="61" t="n"/>
      <c r="AF177" s="61" t="n"/>
      <c r="AG177" s="61" t="n"/>
      <c r="AH177" s="61" t="n"/>
      <c r="AI177" s="61" t="n"/>
      <c r="AJ177" s="61" t="n"/>
      <c r="AK177" s="61" t="n"/>
      <c r="AL177" s="61" t="n"/>
      <c r="AM177" s="61" t="n"/>
      <c r="AN177" s="61">
        <f>Controls!$G$74</f>
        <v/>
      </c>
      <c r="AO177" s="61">
        <f>COUNTIFS(Data!$AK$2:$AK$1105,1,Data!$M$2:$M$1105,$AN$177)</f>
        <v/>
      </c>
      <c r="AP177" s="57">
        <f>SUMIFS(Data!$P$2:$P$1105,Data!$AK$2:$AK$1105,1,Data!$M$2:$M$1105,$AN$177)</f>
        <v/>
      </c>
      <c r="AQ177" s="56">
        <f>IFERROR(SUMIFS(Data!$AN$2:$AN$1105,Data!$AK$2:$AK$1105,1,Data!$M$2:$M$1105,$AN$177)/$AP$177,0)</f>
        <v/>
      </c>
      <c r="AR177" s="57">
        <f>SUMIFS(Data!$AN$2:$AN$1105,Data!$AK$2:$AK$1105,1,Data!$M$2:$M$1105,$AN$177)</f>
        <v/>
      </c>
      <c r="AS177" s="61">
        <f>Controls!$H$74</f>
        <v/>
      </c>
      <c r="AT177" s="61">
        <f>IF(OR(AO177=0,AO177&lt;Controls!$B$20),-1000000000000000,IF(AND(Controls!$B$21="Y",$AN$177="No ISO"),-1000000000000000,IF(Controls!$B$17="Selected only",IF(AS177="Y",AP177,-1000000000000000),IF(Controls!$B$17="Top by funded $",AP177,IF(Controls!$B$17="Top by funded units",AO177,IF(Controls!$B$17="Largest principal lost $",AR177,IF(Controls!$B$17="Highest net profit $",AU177,IF(AO177&lt;Controls!$B$19,-1000000000000000,IF(Controls!$B$17="Highest principal lost rate %",AQ177,IF(Controls!$B$17="Lowest principal lost rate %",1-AQ177,AP177))))))))) +35/1000000)</f>
        <v/>
      </c>
      <c r="AU177" s="57">
        <f>SUMIFS(Data!$AM$2:$AM$1105,Data!$AK$2:$AK$1105,1,Data!$M$2:$M$1105,$AN$177)</f>
        <v/>
      </c>
      <c r="AV177" s="61" t="n"/>
      <c r="AW177" s="61" t="n"/>
      <c r="AX177" s="61" t="n"/>
      <c r="AY177" s="61" t="n"/>
      <c r="AZ177" s="61" t="n"/>
      <c r="BA177" s="61" t="n"/>
      <c r="BB177" s="61">
        <f>Controls!$G$142</f>
        <v/>
      </c>
      <c r="BC177" s="61">
        <f>COUNTIFS(Data!$AK$2:$AK$1105,1,Data!$M$2:$M$1105,$BB$177)</f>
        <v/>
      </c>
      <c r="BD177" s="57">
        <f>SUMIFS(Data!$P$2:$P$1105,Data!$AK$2:$AK$1105,1,Data!$M$2:$M$1105,$BB$177)</f>
        <v/>
      </c>
      <c r="BE177" s="56">
        <f>IF(COUNTIFS(Data!$AK$2:$AK$1105,1,Data!$M$2:$M$1105,$BB$177)&lt;Controls!$B$19,"",IFERROR(SUMIFS(Data!$AN$2:$AN$1105,Data!$AK$2:$AK$1105,1,Data!$M$2:$M$1105,$BB$177)/$BD$177,""))</f>
        <v/>
      </c>
      <c r="BF177" s="56">
        <f>IF(COUNTIFS(Data!$AK$2:$AK$1105,1,Data!$M$2:$M$1105,$BB$177)&lt;Controls!$B$19,"",IFERROR(SUMIFS(Data!$AM$2:$AM$1105,Data!$AK$2:$AK$1105,1,Data!$M$2:$M$1105,$BB$177)/SUMIFS(Data!$P$2:$P$1105,Data!$AK$2:$AK$1105,1,Data!$M$2:$M$1105,$BB$177),""))</f>
        <v/>
      </c>
      <c r="BG177" s="57">
        <f>SUMIFS(Data!$AN$2:$AN$1105,Data!$AK$2:$AK$1105,1,Data!$M$2:$M$1105,$BB$177)</f>
        <v/>
      </c>
      <c r="BH177" s="61" t="n"/>
      <c r="BI177" s="61">
        <f>IF(AND($BC$177&gt;=Controls!$B$22,$BD$177&gt;=LARGE($BD$75:$BD$230,MIN(Controls!$B$18,COUNT($BD$75:$BD$230)))),$BE$177,"")</f>
        <v/>
      </c>
      <c r="BJ177" s="61" t="n"/>
      <c r="BK177" s="61">
        <f>IF($BC$177&lt;Controls!$B$22,"",$BE$177)</f>
        <v/>
      </c>
      <c r="BL177" s="61">
        <f>IF($BC$177&lt;Controls!$B$22,"",$BF$177)</f>
        <v/>
      </c>
      <c r="BM177" s="61">
        <f>IF($BC$177&lt;Controls!$B$22,"",$BG$177)</f>
        <v/>
      </c>
      <c r="BN177" s="61" t="n"/>
      <c r="BO177" s="61" t="n"/>
      <c r="BP177" s="61" t="n"/>
      <c r="BQ177" s="61" t="n"/>
      <c r="BR177" s="61" t="n"/>
      <c r="BS177" s="61" t="n"/>
      <c r="BT177" s="61" t="n"/>
    </row>
    <row r="178" ht="15.75" customHeight="1" s="79">
      <c r="A178" s="61">
        <f>IF(EDATE(Controls!$B$5,30)&gt;Controls!$B$6,"",TEXT(EDATE(Controls!$B$5,30),"YYYY-MM"))</f>
        <v/>
      </c>
      <c r="B178" s="66">
        <f>IF($A$178="",NA(),IFERROR(SUMIFS(Data!$P$2:$P$1105,Data!$AK$2:$AK$1105,1,Data!$BA$2:$BA$1105,$A$178),NA()))</f>
        <v/>
      </c>
      <c r="C178" s="66">
        <f>IF($A$178="",NA(),IFERROR(SUMIFS(Data!$S$2:$S$1105,Data!$AK$2:$AK$1105,1,Data!$BA$2:$BA$1105,$A$178),NA()))</f>
        <v/>
      </c>
      <c r="D178" s="66">
        <f>IF(ISNA($B$178),NA(),$C$178-$B$178)</f>
        <v/>
      </c>
      <c r="E178" s="66">
        <f>IF($A$178="",NA(),IFERROR(SUMIFS(Data!$Q$2:$Q$1105,Data!$AK$2:$AK$1105,1,Data!$BA$2:$BA$1105,$A$178),NA()))</f>
        <v/>
      </c>
      <c r="F178" s="66">
        <f>IF($A$178="",NA(),IFERROR(SUMIFS(Data!$AN$2:$AN$1105,Data!$AK$2:$AK$1105,1,Data!$BA$2:$BA$1105,$A$178),NA()))</f>
        <v/>
      </c>
      <c r="G178" s="62">
        <f>IF($A$178="",NA(),IF(COUNTIFS(Data!$AK$2:$AK$1105,1,Data!$BA$2:$BA$1105,$A$178)&lt;Controls!$B$19,NA(),IFERROR(SUMIFS(Data!$AN$2:$AN$1105,Data!$AK$2:$AK$1105,1,Data!$BA$2:$BA$1105,$A$178)/$B$178,NA())))</f>
        <v/>
      </c>
      <c r="H178" s="62">
        <f>IF($A$178="",NA(),IF(COUNTIFS(Data!$AK$2:$AK$1105,1,Data!$BA$2:$BA$1105,$A$178)&lt;Controls!$B$19,NA(),IFERROR(SUMIFS(Data!$S$2:$S$1105,Data!$AK$2:$AK$1105,1,Data!$BA$2:$BA$1105,$A$178,Data!$AH$2:$AH$1105,1)/SUMIFS(Data!$P$2:$P$1105,Data!$AK$2:$AK$1105,1,Data!$BA$2:$BA$1105,$A$178,Data!$AH$2:$AH$1105,1),NA())))</f>
        <v/>
      </c>
      <c r="I178" s="62">
        <f>IF(ISNA($J$178),NA(),IF($J$178&lt;Controls!$B$19,NA(),IFERROR($D$178/$B$178,NA())))</f>
        <v/>
      </c>
      <c r="J178" s="67">
        <f>IF($A$178="",NA(),IFERROR(COUNTIFS(Data!$AK$2:$AK$1105,1,Data!$BA$2:$BA$1105,$A$178),NA()))</f>
        <v/>
      </c>
      <c r="K178" s="62">
        <f>IF(ISNA($B$178),NA(),IFERROR($B$178/Calc!$BT$6,NA()))</f>
        <v/>
      </c>
      <c r="L178" s="66">
        <f>IF(ISNA($J$178),NA(),IF($J$178&lt;Controls!$B$19,NA(),IFERROR($B$178/$J$178,NA())))</f>
        <v/>
      </c>
      <c r="M178" s="67">
        <f>IF($A$178="",NA(),IF(COUNTIFS(Data!$AK$2:$AK$1105,1,Data!$BA$2:$BA$1105,$A$178)&lt;Controls!$B$19,NA(),IFERROR(AVERAGEIFS(Data!$AE$2:$AE$1105,Data!$AK$2:$AK$1105,1,Data!$BA$2:$BA$1105,$A$178),NA())))</f>
        <v/>
      </c>
      <c r="N178" s="67">
        <f>IF($A$178="",NA(),IF(COUNTIFS(Data!$AK$2:$AK$1105,1,Data!$BA$2:$BA$1105,$A$178)&lt;Controls!$B$19,NA(),IFERROR(AVERAGEIFS(Data!$AD$2:$AD$1105,Data!$AK$2:$AK$1105,1,Data!$BA$2:$BA$1105,$A$178),NA())))</f>
        <v/>
      </c>
      <c r="O178" s="67">
        <f>IF($A$178="",NA(),IF(COUNTIFS(Data!$AK$2:$AK$1105,1,Data!$BA$2:$BA$1105,$A$178)&lt;Controls!$B$19,NA(),IFERROR(AVERAGEIFS(Data!$AS$2:$AS$1105,Data!$AK$2:$AK$1105,1,Data!$BA$2:$BA$1105,$A$178),NA())))</f>
        <v/>
      </c>
      <c r="P178" s="67">
        <f>IF($A$178="",NA(),IF(COUNTIFS(Data!$AK$2:$AK$1105,1,Data!$BA$2:$BA$1105,$A$178)&lt;Controls!$B$19,NA(),IFERROR(AVERAGEIFS(Data!$AT$2:$AT$1105,Data!$AK$2:$AK$1105,1,Data!$BA$2:$BA$1105,$A$178),NA())))</f>
        <v/>
      </c>
      <c r="Q178" s="62">
        <f>IF($A$178="",NA(),IF(COUNTIFS(Data!$AK$2:$AK$1105,1,Data!$BA$2:$BA$1105,$A$178)&lt;Controls!$B$19,NA(),IFERROR(COUNTIFS(Data!$AK$2:$AK$1105,1,Data!$BA$2:$BA$1105,$A$178,Data!$N$2:$N$1105,"Renewal")/COUNTIFS(Data!$AK$2:$AK$1105,1,Data!$BA$2:$BA$1105,$A$178),NA())))</f>
        <v/>
      </c>
      <c r="R178" s="62">
        <f>IF($A$178="",NA(),IF(COUNTIFS(Data!$AK$2:$AK$1105,1,Data!$BA$2:$BA$1105,$A$178)&lt;Controls!$B$19,NA(),IFERROR(SUMIFS(Data!$P$2:$P$1105,Data!$AK$2:$AK$1105,1,Data!$BA$2:$BA$1105,$A$178,Data!$N$2:$N$1105,"Renewal")/SUMIFS(Data!$P$2:$P$1105,Data!$AK$2:$AK$1105,1,Data!$BA$2:$BA$1105,$A$178),NA())))</f>
        <v/>
      </c>
      <c r="S178" s="62">
        <f>IF($A$178="",NA(),Calc!$BT$2)</f>
        <v/>
      </c>
      <c r="T178" s="62">
        <f>IF($A$178="",NA(),Calc!$BT$3)</f>
        <v/>
      </c>
      <c r="U178" s="62">
        <f>IF($A$178="",NA(),Calc!$BT$4)</f>
        <v/>
      </c>
      <c r="V178" s="62">
        <f>IF($A$178="",NA(),IF(COUNTIFS(Data!$AK$2:$AK$1105,1,Data!$BA$2:$BA$1105,$A$178)&lt;Controls!$B$19,NA(),IFERROR(COUNTIFS(Data!$AK$2:$AK$1105,1,Data!$BA$2:$BA$1105,$A$178,Data!$AH$2:$AH$1105,1)/COUNTIFS(Data!$AK$2:$AK$1105,1,Data!$BA$2:$BA$1105,$A$178),NA())))</f>
        <v/>
      </c>
      <c r="W178" s="61">
        <f>IF($A$178="","",$A$178&amp;" ("&amp;$J$178&amp;")")</f>
        <v/>
      </c>
      <c r="X178" s="61" t="n"/>
      <c r="Y178" s="61" t="n"/>
      <c r="Z178" s="61" t="n"/>
      <c r="AA178" s="61" t="n"/>
      <c r="AB178" s="61" t="n"/>
      <c r="AC178" s="61" t="n"/>
      <c r="AD178" s="61" t="n"/>
      <c r="AE178" s="61" t="n"/>
      <c r="AF178" s="61" t="n"/>
      <c r="AG178" s="61" t="n"/>
      <c r="AH178" s="61" t="n"/>
      <c r="AI178" s="61" t="n"/>
      <c r="AJ178" s="61" t="n"/>
      <c r="AK178" s="61" t="n"/>
      <c r="AL178" s="61" t="n"/>
      <c r="AM178" s="61" t="n"/>
      <c r="AN178" s="61">
        <f>Controls!$G$75</f>
        <v/>
      </c>
      <c r="AO178" s="61">
        <f>COUNTIFS(Data!$AK$2:$AK$1105,1,Data!$M$2:$M$1105,$AN$178)</f>
        <v/>
      </c>
      <c r="AP178" s="57">
        <f>SUMIFS(Data!$P$2:$P$1105,Data!$AK$2:$AK$1105,1,Data!$M$2:$M$1105,$AN$178)</f>
        <v/>
      </c>
      <c r="AQ178" s="56">
        <f>IFERROR(SUMIFS(Data!$AN$2:$AN$1105,Data!$AK$2:$AK$1105,1,Data!$M$2:$M$1105,$AN$178)/$AP$178,0)</f>
        <v/>
      </c>
      <c r="AR178" s="57">
        <f>SUMIFS(Data!$AN$2:$AN$1105,Data!$AK$2:$AK$1105,1,Data!$M$2:$M$1105,$AN$178)</f>
        <v/>
      </c>
      <c r="AS178" s="61">
        <f>Controls!$H$75</f>
        <v/>
      </c>
      <c r="AT178" s="61">
        <f>IF(OR(AO178=0,AO178&lt;Controls!$B$20),-1000000000000000,IF(AND(Controls!$B$21="Y",$AN$178="No ISO"),-1000000000000000,IF(Controls!$B$17="Selected only",IF(AS178="Y",AP178,-1000000000000000),IF(Controls!$B$17="Top by funded $",AP178,IF(Controls!$B$17="Top by funded units",AO178,IF(Controls!$B$17="Largest principal lost $",AR178,IF(Controls!$B$17="Highest net profit $",AU178,IF(AO178&lt;Controls!$B$19,-1000000000000000,IF(Controls!$B$17="Highest principal lost rate %",AQ178,IF(Controls!$B$17="Lowest principal lost rate %",1-AQ178,AP178))))))))) +36/1000000)</f>
        <v/>
      </c>
      <c r="AU178" s="57">
        <f>SUMIFS(Data!$AM$2:$AM$1105,Data!$AK$2:$AK$1105,1,Data!$M$2:$M$1105,$AN$178)</f>
        <v/>
      </c>
      <c r="AV178" s="61" t="n"/>
      <c r="AW178" s="61" t="n"/>
      <c r="AX178" s="61" t="n"/>
      <c r="AY178" s="61" t="n"/>
      <c r="AZ178" s="61" t="n"/>
      <c r="BA178" s="61" t="n"/>
      <c r="BB178" s="61">
        <f>Controls!$G$143</f>
        <v/>
      </c>
      <c r="BC178" s="61">
        <f>COUNTIFS(Data!$AK$2:$AK$1105,1,Data!$M$2:$M$1105,$BB$178)</f>
        <v/>
      </c>
      <c r="BD178" s="57">
        <f>SUMIFS(Data!$P$2:$P$1105,Data!$AK$2:$AK$1105,1,Data!$M$2:$M$1105,$BB$178)</f>
        <v/>
      </c>
      <c r="BE178" s="56">
        <f>IF(COUNTIFS(Data!$AK$2:$AK$1105,1,Data!$M$2:$M$1105,$BB$178)&lt;Controls!$B$19,"",IFERROR(SUMIFS(Data!$AN$2:$AN$1105,Data!$AK$2:$AK$1105,1,Data!$M$2:$M$1105,$BB$178)/$BD$178,""))</f>
        <v/>
      </c>
      <c r="BF178" s="56">
        <f>IF(COUNTIFS(Data!$AK$2:$AK$1105,1,Data!$M$2:$M$1105,$BB$178)&lt;Controls!$B$19,"",IFERROR(SUMIFS(Data!$AM$2:$AM$1105,Data!$AK$2:$AK$1105,1,Data!$M$2:$M$1105,$BB$178)/SUMIFS(Data!$P$2:$P$1105,Data!$AK$2:$AK$1105,1,Data!$M$2:$M$1105,$BB$178),""))</f>
        <v/>
      </c>
      <c r="BG178" s="57">
        <f>SUMIFS(Data!$AN$2:$AN$1105,Data!$AK$2:$AK$1105,1,Data!$M$2:$M$1105,$BB$178)</f>
        <v/>
      </c>
      <c r="BH178" s="61" t="n"/>
      <c r="BI178" s="61">
        <f>IF(AND($BC$178&gt;=Controls!$B$22,$BD$178&gt;=LARGE($BD$75:$BD$230,MIN(Controls!$B$18,COUNT($BD$75:$BD$230)))),$BE$178,"")</f>
        <v/>
      </c>
      <c r="BJ178" s="61" t="n"/>
      <c r="BK178" s="61">
        <f>IF($BC$178&lt;Controls!$B$22,"",$BE$178)</f>
        <v/>
      </c>
      <c r="BL178" s="61">
        <f>IF($BC$178&lt;Controls!$B$22,"",$BF$178)</f>
        <v/>
      </c>
      <c r="BM178" s="61">
        <f>IF($BC$178&lt;Controls!$B$22,"",$BG$178)</f>
        <v/>
      </c>
      <c r="BN178" s="61" t="n"/>
      <c r="BO178" s="61" t="n"/>
      <c r="BP178" s="61" t="n"/>
      <c r="BQ178" s="61" t="n"/>
      <c r="BR178" s="61" t="n"/>
      <c r="BS178" s="61" t="n"/>
      <c r="BT178" s="61" t="n"/>
    </row>
    <row r="179" ht="15.75" customHeight="1" s="79">
      <c r="A179" s="61">
        <f>IF(EDATE(Controls!$B$5,31)&gt;Controls!$B$6,"",TEXT(EDATE(Controls!$B$5,31),"YYYY-MM"))</f>
        <v/>
      </c>
      <c r="B179" s="66">
        <f>IF($A$179="",NA(),IFERROR(SUMIFS(Data!$P$2:$P$1105,Data!$AK$2:$AK$1105,1,Data!$BA$2:$BA$1105,$A$179),NA()))</f>
        <v/>
      </c>
      <c r="C179" s="66">
        <f>IF($A$179="",NA(),IFERROR(SUMIFS(Data!$S$2:$S$1105,Data!$AK$2:$AK$1105,1,Data!$BA$2:$BA$1105,$A$179),NA()))</f>
        <v/>
      </c>
      <c r="D179" s="66">
        <f>IF(ISNA($B$179),NA(),$C$179-$B$179)</f>
        <v/>
      </c>
      <c r="E179" s="66">
        <f>IF($A$179="",NA(),IFERROR(SUMIFS(Data!$Q$2:$Q$1105,Data!$AK$2:$AK$1105,1,Data!$BA$2:$BA$1105,$A$179),NA()))</f>
        <v/>
      </c>
      <c r="F179" s="66">
        <f>IF($A$179="",NA(),IFERROR(SUMIFS(Data!$AN$2:$AN$1105,Data!$AK$2:$AK$1105,1,Data!$BA$2:$BA$1105,$A$179),NA()))</f>
        <v/>
      </c>
      <c r="G179" s="62">
        <f>IF($A$179="",NA(),IF(COUNTIFS(Data!$AK$2:$AK$1105,1,Data!$BA$2:$BA$1105,$A$179)&lt;Controls!$B$19,NA(),IFERROR(SUMIFS(Data!$AN$2:$AN$1105,Data!$AK$2:$AK$1105,1,Data!$BA$2:$BA$1105,$A$179)/$B$179,NA())))</f>
        <v/>
      </c>
      <c r="H179" s="62">
        <f>IF($A$179="",NA(),IF(COUNTIFS(Data!$AK$2:$AK$1105,1,Data!$BA$2:$BA$1105,$A$179)&lt;Controls!$B$19,NA(),IFERROR(SUMIFS(Data!$S$2:$S$1105,Data!$AK$2:$AK$1105,1,Data!$BA$2:$BA$1105,$A$179,Data!$AH$2:$AH$1105,1)/SUMIFS(Data!$P$2:$P$1105,Data!$AK$2:$AK$1105,1,Data!$BA$2:$BA$1105,$A$179,Data!$AH$2:$AH$1105,1),NA())))</f>
        <v/>
      </c>
      <c r="I179" s="62">
        <f>IF(ISNA($J$179),NA(),IF($J$179&lt;Controls!$B$19,NA(),IFERROR($D$179/$B$179,NA())))</f>
        <v/>
      </c>
      <c r="J179" s="67">
        <f>IF($A$179="",NA(),IFERROR(COUNTIFS(Data!$AK$2:$AK$1105,1,Data!$BA$2:$BA$1105,$A$179),NA()))</f>
        <v/>
      </c>
      <c r="K179" s="62">
        <f>IF(ISNA($B$179),NA(),IFERROR($B$179/Calc!$BT$6,NA()))</f>
        <v/>
      </c>
      <c r="L179" s="66">
        <f>IF(ISNA($J$179),NA(),IF($J$179&lt;Controls!$B$19,NA(),IFERROR($B$179/$J$179,NA())))</f>
        <v/>
      </c>
      <c r="M179" s="67">
        <f>IF($A$179="",NA(),IF(COUNTIFS(Data!$AK$2:$AK$1105,1,Data!$BA$2:$BA$1105,$A$179)&lt;Controls!$B$19,NA(),IFERROR(AVERAGEIFS(Data!$AE$2:$AE$1105,Data!$AK$2:$AK$1105,1,Data!$BA$2:$BA$1105,$A$179),NA())))</f>
        <v/>
      </c>
      <c r="N179" s="67">
        <f>IF($A$179="",NA(),IF(COUNTIFS(Data!$AK$2:$AK$1105,1,Data!$BA$2:$BA$1105,$A$179)&lt;Controls!$B$19,NA(),IFERROR(AVERAGEIFS(Data!$AD$2:$AD$1105,Data!$AK$2:$AK$1105,1,Data!$BA$2:$BA$1105,$A$179),NA())))</f>
        <v/>
      </c>
      <c r="O179" s="67">
        <f>IF($A$179="",NA(),IF(COUNTIFS(Data!$AK$2:$AK$1105,1,Data!$BA$2:$BA$1105,$A$179)&lt;Controls!$B$19,NA(),IFERROR(AVERAGEIFS(Data!$AS$2:$AS$1105,Data!$AK$2:$AK$1105,1,Data!$BA$2:$BA$1105,$A$179),NA())))</f>
        <v/>
      </c>
      <c r="P179" s="67">
        <f>IF($A$179="",NA(),IF(COUNTIFS(Data!$AK$2:$AK$1105,1,Data!$BA$2:$BA$1105,$A$179)&lt;Controls!$B$19,NA(),IFERROR(AVERAGEIFS(Data!$AT$2:$AT$1105,Data!$AK$2:$AK$1105,1,Data!$BA$2:$BA$1105,$A$179),NA())))</f>
        <v/>
      </c>
      <c r="Q179" s="62">
        <f>IF($A$179="",NA(),IF(COUNTIFS(Data!$AK$2:$AK$1105,1,Data!$BA$2:$BA$1105,$A$179)&lt;Controls!$B$19,NA(),IFERROR(COUNTIFS(Data!$AK$2:$AK$1105,1,Data!$BA$2:$BA$1105,$A$179,Data!$N$2:$N$1105,"Renewal")/COUNTIFS(Data!$AK$2:$AK$1105,1,Data!$BA$2:$BA$1105,$A$179),NA())))</f>
        <v/>
      </c>
      <c r="R179" s="62">
        <f>IF($A$179="",NA(),IF(COUNTIFS(Data!$AK$2:$AK$1105,1,Data!$BA$2:$BA$1105,$A$179)&lt;Controls!$B$19,NA(),IFERROR(SUMIFS(Data!$P$2:$P$1105,Data!$AK$2:$AK$1105,1,Data!$BA$2:$BA$1105,$A$179,Data!$N$2:$N$1105,"Renewal")/SUMIFS(Data!$P$2:$P$1105,Data!$AK$2:$AK$1105,1,Data!$BA$2:$BA$1105,$A$179),NA())))</f>
        <v/>
      </c>
      <c r="S179" s="62">
        <f>IF($A$179="",NA(),Calc!$BT$2)</f>
        <v/>
      </c>
      <c r="T179" s="62">
        <f>IF($A$179="",NA(),Calc!$BT$3)</f>
        <v/>
      </c>
      <c r="U179" s="62">
        <f>IF($A$179="",NA(),Calc!$BT$4)</f>
        <v/>
      </c>
      <c r="V179" s="62">
        <f>IF($A$179="",NA(),IF(COUNTIFS(Data!$AK$2:$AK$1105,1,Data!$BA$2:$BA$1105,$A$179)&lt;Controls!$B$19,NA(),IFERROR(COUNTIFS(Data!$AK$2:$AK$1105,1,Data!$BA$2:$BA$1105,$A$179,Data!$AH$2:$AH$1105,1)/COUNTIFS(Data!$AK$2:$AK$1105,1,Data!$BA$2:$BA$1105,$A$179),NA())))</f>
        <v/>
      </c>
      <c r="W179" s="61">
        <f>IF($A$179="","",$A$179&amp;" ("&amp;$J$179&amp;")")</f>
        <v/>
      </c>
      <c r="X179" s="61" t="n"/>
      <c r="Y179" s="61" t="n"/>
      <c r="Z179" s="61" t="n"/>
      <c r="AA179" s="61" t="n"/>
      <c r="AB179" s="61" t="n"/>
      <c r="AC179" s="61" t="n"/>
      <c r="AD179" s="61" t="n"/>
      <c r="AE179" s="61" t="n"/>
      <c r="AF179" s="61" t="n"/>
      <c r="AG179" s="61" t="n"/>
      <c r="AH179" s="61" t="n"/>
      <c r="AI179" s="61" t="n"/>
      <c r="AJ179" s="61" t="n"/>
      <c r="AK179" s="61" t="n"/>
      <c r="AL179" s="61" t="n"/>
      <c r="AM179" s="61" t="n"/>
      <c r="AN179" s="61">
        <f>Controls!$G$76</f>
        <v/>
      </c>
      <c r="AO179" s="61">
        <f>COUNTIFS(Data!$AK$2:$AK$1105,1,Data!$M$2:$M$1105,$AN$179)</f>
        <v/>
      </c>
      <c r="AP179" s="57">
        <f>SUMIFS(Data!$P$2:$P$1105,Data!$AK$2:$AK$1105,1,Data!$M$2:$M$1105,$AN$179)</f>
        <v/>
      </c>
      <c r="AQ179" s="56">
        <f>IFERROR(SUMIFS(Data!$AN$2:$AN$1105,Data!$AK$2:$AK$1105,1,Data!$M$2:$M$1105,$AN$179)/$AP$179,0)</f>
        <v/>
      </c>
      <c r="AR179" s="57">
        <f>SUMIFS(Data!$AN$2:$AN$1105,Data!$AK$2:$AK$1105,1,Data!$M$2:$M$1105,$AN$179)</f>
        <v/>
      </c>
      <c r="AS179" s="61">
        <f>Controls!$H$76</f>
        <v/>
      </c>
      <c r="AT179" s="61">
        <f>IF(OR(AO179=0,AO179&lt;Controls!$B$20),-1000000000000000,IF(AND(Controls!$B$21="Y",$AN$179="No ISO"),-1000000000000000,IF(Controls!$B$17="Selected only",IF(AS179="Y",AP179,-1000000000000000),IF(Controls!$B$17="Top by funded $",AP179,IF(Controls!$B$17="Top by funded units",AO179,IF(Controls!$B$17="Largest principal lost $",AR179,IF(Controls!$B$17="Highest net profit $",AU179,IF(AO179&lt;Controls!$B$19,-1000000000000000,IF(Controls!$B$17="Highest principal lost rate %",AQ179,IF(Controls!$B$17="Lowest principal lost rate %",1-AQ179,AP179))))))))) +37/1000000)</f>
        <v/>
      </c>
      <c r="AU179" s="57">
        <f>SUMIFS(Data!$AM$2:$AM$1105,Data!$AK$2:$AK$1105,1,Data!$M$2:$M$1105,$AN$179)</f>
        <v/>
      </c>
      <c r="AV179" s="61" t="n"/>
      <c r="AW179" s="61" t="n"/>
      <c r="AX179" s="61" t="n"/>
      <c r="AY179" s="61" t="n"/>
      <c r="AZ179" s="61" t="n"/>
      <c r="BA179" s="61" t="n"/>
      <c r="BB179" s="61">
        <f>Controls!$G$144</f>
        <v/>
      </c>
      <c r="BC179" s="61">
        <f>COUNTIFS(Data!$AK$2:$AK$1105,1,Data!$M$2:$M$1105,$BB$179)</f>
        <v/>
      </c>
      <c r="BD179" s="57">
        <f>SUMIFS(Data!$P$2:$P$1105,Data!$AK$2:$AK$1105,1,Data!$M$2:$M$1105,$BB$179)</f>
        <v/>
      </c>
      <c r="BE179" s="56">
        <f>IF(COUNTIFS(Data!$AK$2:$AK$1105,1,Data!$M$2:$M$1105,$BB$179)&lt;Controls!$B$19,"",IFERROR(SUMIFS(Data!$AN$2:$AN$1105,Data!$AK$2:$AK$1105,1,Data!$M$2:$M$1105,$BB$179)/$BD$179,""))</f>
        <v/>
      </c>
      <c r="BF179" s="56">
        <f>IF(COUNTIFS(Data!$AK$2:$AK$1105,1,Data!$M$2:$M$1105,$BB$179)&lt;Controls!$B$19,"",IFERROR(SUMIFS(Data!$AM$2:$AM$1105,Data!$AK$2:$AK$1105,1,Data!$M$2:$M$1105,$BB$179)/SUMIFS(Data!$P$2:$P$1105,Data!$AK$2:$AK$1105,1,Data!$M$2:$M$1105,$BB$179),""))</f>
        <v/>
      </c>
      <c r="BG179" s="57">
        <f>SUMIFS(Data!$AN$2:$AN$1105,Data!$AK$2:$AK$1105,1,Data!$M$2:$M$1105,$BB$179)</f>
        <v/>
      </c>
      <c r="BH179" s="61" t="n"/>
      <c r="BI179" s="61">
        <f>IF(AND($BC$179&gt;=Controls!$B$22,$BD$179&gt;=LARGE($BD$75:$BD$230,MIN(Controls!$B$18,COUNT($BD$75:$BD$230)))),$BE$179,"")</f>
        <v/>
      </c>
      <c r="BJ179" s="61" t="n"/>
      <c r="BK179" s="61">
        <f>IF($BC$179&lt;Controls!$B$22,"",$BE$179)</f>
        <v/>
      </c>
      <c r="BL179" s="61">
        <f>IF($BC$179&lt;Controls!$B$22,"",$BF$179)</f>
        <v/>
      </c>
      <c r="BM179" s="61">
        <f>IF($BC$179&lt;Controls!$B$22,"",$BG$179)</f>
        <v/>
      </c>
      <c r="BN179" s="61" t="n"/>
      <c r="BO179" s="61" t="n"/>
      <c r="BP179" s="61" t="n"/>
      <c r="BQ179" s="61" t="n"/>
      <c r="BR179" s="61" t="n"/>
      <c r="BS179" s="61" t="n"/>
      <c r="BT179" s="61" t="n"/>
    </row>
    <row r="180" ht="15.75" customHeight="1" s="79">
      <c r="A180" s="61">
        <f>IF(EDATE(Controls!$B$5,32)&gt;Controls!$B$6,"",TEXT(EDATE(Controls!$B$5,32),"YYYY-MM"))</f>
        <v/>
      </c>
      <c r="B180" s="66">
        <f>IF($A$180="",NA(),IFERROR(SUMIFS(Data!$P$2:$P$1105,Data!$AK$2:$AK$1105,1,Data!$BA$2:$BA$1105,$A$180),NA()))</f>
        <v/>
      </c>
      <c r="C180" s="66">
        <f>IF($A$180="",NA(),IFERROR(SUMIFS(Data!$S$2:$S$1105,Data!$AK$2:$AK$1105,1,Data!$BA$2:$BA$1105,$A$180),NA()))</f>
        <v/>
      </c>
      <c r="D180" s="66">
        <f>IF(ISNA($B$180),NA(),$C$180-$B$180)</f>
        <v/>
      </c>
      <c r="E180" s="66">
        <f>IF($A$180="",NA(),IFERROR(SUMIFS(Data!$Q$2:$Q$1105,Data!$AK$2:$AK$1105,1,Data!$BA$2:$BA$1105,$A$180),NA()))</f>
        <v/>
      </c>
      <c r="F180" s="66">
        <f>IF($A$180="",NA(),IFERROR(SUMIFS(Data!$AN$2:$AN$1105,Data!$AK$2:$AK$1105,1,Data!$BA$2:$BA$1105,$A$180),NA()))</f>
        <v/>
      </c>
      <c r="G180" s="62">
        <f>IF($A$180="",NA(),IF(COUNTIFS(Data!$AK$2:$AK$1105,1,Data!$BA$2:$BA$1105,$A$180)&lt;Controls!$B$19,NA(),IFERROR(SUMIFS(Data!$AN$2:$AN$1105,Data!$AK$2:$AK$1105,1,Data!$BA$2:$BA$1105,$A$180)/$B$180,NA())))</f>
        <v/>
      </c>
      <c r="H180" s="62">
        <f>IF($A$180="",NA(),IF(COUNTIFS(Data!$AK$2:$AK$1105,1,Data!$BA$2:$BA$1105,$A$180)&lt;Controls!$B$19,NA(),IFERROR(SUMIFS(Data!$S$2:$S$1105,Data!$AK$2:$AK$1105,1,Data!$BA$2:$BA$1105,$A$180,Data!$AH$2:$AH$1105,1)/SUMIFS(Data!$P$2:$P$1105,Data!$AK$2:$AK$1105,1,Data!$BA$2:$BA$1105,$A$180,Data!$AH$2:$AH$1105,1),NA())))</f>
        <v/>
      </c>
      <c r="I180" s="62">
        <f>IF(ISNA($J$180),NA(),IF($J$180&lt;Controls!$B$19,NA(),IFERROR($D$180/$B$180,NA())))</f>
        <v/>
      </c>
      <c r="J180" s="67">
        <f>IF($A$180="",NA(),IFERROR(COUNTIFS(Data!$AK$2:$AK$1105,1,Data!$BA$2:$BA$1105,$A$180),NA()))</f>
        <v/>
      </c>
      <c r="K180" s="62">
        <f>IF(ISNA($B$180),NA(),IFERROR($B$180/Calc!$BT$6,NA()))</f>
        <v/>
      </c>
      <c r="L180" s="66">
        <f>IF(ISNA($J$180),NA(),IF($J$180&lt;Controls!$B$19,NA(),IFERROR($B$180/$J$180,NA())))</f>
        <v/>
      </c>
      <c r="M180" s="67">
        <f>IF($A$180="",NA(),IF(COUNTIFS(Data!$AK$2:$AK$1105,1,Data!$BA$2:$BA$1105,$A$180)&lt;Controls!$B$19,NA(),IFERROR(AVERAGEIFS(Data!$AE$2:$AE$1105,Data!$AK$2:$AK$1105,1,Data!$BA$2:$BA$1105,$A$180),NA())))</f>
        <v/>
      </c>
      <c r="N180" s="67">
        <f>IF($A$180="",NA(),IF(COUNTIFS(Data!$AK$2:$AK$1105,1,Data!$BA$2:$BA$1105,$A$180)&lt;Controls!$B$19,NA(),IFERROR(AVERAGEIFS(Data!$AD$2:$AD$1105,Data!$AK$2:$AK$1105,1,Data!$BA$2:$BA$1105,$A$180),NA())))</f>
        <v/>
      </c>
      <c r="O180" s="67">
        <f>IF($A$180="",NA(),IF(COUNTIFS(Data!$AK$2:$AK$1105,1,Data!$BA$2:$BA$1105,$A$180)&lt;Controls!$B$19,NA(),IFERROR(AVERAGEIFS(Data!$AS$2:$AS$1105,Data!$AK$2:$AK$1105,1,Data!$BA$2:$BA$1105,$A$180),NA())))</f>
        <v/>
      </c>
      <c r="P180" s="67">
        <f>IF($A$180="",NA(),IF(COUNTIFS(Data!$AK$2:$AK$1105,1,Data!$BA$2:$BA$1105,$A$180)&lt;Controls!$B$19,NA(),IFERROR(AVERAGEIFS(Data!$AT$2:$AT$1105,Data!$AK$2:$AK$1105,1,Data!$BA$2:$BA$1105,$A$180),NA())))</f>
        <v/>
      </c>
      <c r="Q180" s="62">
        <f>IF($A$180="",NA(),IF(COUNTIFS(Data!$AK$2:$AK$1105,1,Data!$BA$2:$BA$1105,$A$180)&lt;Controls!$B$19,NA(),IFERROR(COUNTIFS(Data!$AK$2:$AK$1105,1,Data!$BA$2:$BA$1105,$A$180,Data!$N$2:$N$1105,"Renewal")/COUNTIFS(Data!$AK$2:$AK$1105,1,Data!$BA$2:$BA$1105,$A$180),NA())))</f>
        <v/>
      </c>
      <c r="R180" s="62">
        <f>IF($A$180="",NA(),IF(COUNTIFS(Data!$AK$2:$AK$1105,1,Data!$BA$2:$BA$1105,$A$180)&lt;Controls!$B$19,NA(),IFERROR(SUMIFS(Data!$P$2:$P$1105,Data!$AK$2:$AK$1105,1,Data!$BA$2:$BA$1105,$A$180,Data!$N$2:$N$1105,"Renewal")/SUMIFS(Data!$P$2:$P$1105,Data!$AK$2:$AK$1105,1,Data!$BA$2:$BA$1105,$A$180),NA())))</f>
        <v/>
      </c>
      <c r="S180" s="62">
        <f>IF($A$180="",NA(),Calc!$BT$2)</f>
        <v/>
      </c>
      <c r="T180" s="62">
        <f>IF($A$180="",NA(),Calc!$BT$3)</f>
        <v/>
      </c>
      <c r="U180" s="62">
        <f>IF($A$180="",NA(),Calc!$BT$4)</f>
        <v/>
      </c>
      <c r="V180" s="62">
        <f>IF($A$180="",NA(),IF(COUNTIFS(Data!$AK$2:$AK$1105,1,Data!$BA$2:$BA$1105,$A$180)&lt;Controls!$B$19,NA(),IFERROR(COUNTIFS(Data!$AK$2:$AK$1105,1,Data!$BA$2:$BA$1105,$A$180,Data!$AH$2:$AH$1105,1)/COUNTIFS(Data!$AK$2:$AK$1105,1,Data!$BA$2:$BA$1105,$A$180),NA())))</f>
        <v/>
      </c>
      <c r="W180" s="61">
        <f>IF($A$180="","",$A$180&amp;" ("&amp;$J$180&amp;")")</f>
        <v/>
      </c>
      <c r="X180" s="61" t="n"/>
      <c r="Y180" s="61" t="n"/>
      <c r="Z180" s="61" t="n"/>
      <c r="AA180" s="61" t="n"/>
      <c r="AB180" s="61" t="n"/>
      <c r="AC180" s="61" t="n"/>
      <c r="AD180" s="61" t="n"/>
      <c r="AE180" s="61" t="n"/>
      <c r="AF180" s="61" t="n"/>
      <c r="AG180" s="61" t="n"/>
      <c r="AH180" s="61" t="n"/>
      <c r="AI180" s="61" t="n"/>
      <c r="AJ180" s="61" t="n"/>
      <c r="AK180" s="61" t="n"/>
      <c r="AL180" s="61" t="n"/>
      <c r="AM180" s="61" t="n"/>
      <c r="AN180" s="61">
        <f>Controls!$G$77</f>
        <v/>
      </c>
      <c r="AO180" s="61">
        <f>COUNTIFS(Data!$AK$2:$AK$1105,1,Data!$M$2:$M$1105,$AN$180)</f>
        <v/>
      </c>
      <c r="AP180" s="57">
        <f>SUMIFS(Data!$P$2:$P$1105,Data!$AK$2:$AK$1105,1,Data!$M$2:$M$1105,$AN$180)</f>
        <v/>
      </c>
      <c r="AQ180" s="56">
        <f>IFERROR(SUMIFS(Data!$AN$2:$AN$1105,Data!$AK$2:$AK$1105,1,Data!$M$2:$M$1105,$AN$180)/$AP$180,0)</f>
        <v/>
      </c>
      <c r="AR180" s="57">
        <f>SUMIFS(Data!$AN$2:$AN$1105,Data!$AK$2:$AK$1105,1,Data!$M$2:$M$1105,$AN$180)</f>
        <v/>
      </c>
      <c r="AS180" s="61">
        <f>Controls!$H$77</f>
        <v/>
      </c>
      <c r="AT180" s="61">
        <f>IF(OR(AO180=0,AO180&lt;Controls!$B$20),-1000000000000000,IF(AND(Controls!$B$21="Y",$AN$180="No ISO"),-1000000000000000,IF(Controls!$B$17="Selected only",IF(AS180="Y",AP180,-1000000000000000),IF(Controls!$B$17="Top by funded $",AP180,IF(Controls!$B$17="Top by funded units",AO180,IF(Controls!$B$17="Largest principal lost $",AR180,IF(Controls!$B$17="Highest net profit $",AU180,IF(AO180&lt;Controls!$B$19,-1000000000000000,IF(Controls!$B$17="Highest principal lost rate %",AQ180,IF(Controls!$B$17="Lowest principal lost rate %",1-AQ180,AP180))))))))) +38/1000000)</f>
        <v/>
      </c>
      <c r="AU180" s="57">
        <f>SUMIFS(Data!$AM$2:$AM$1105,Data!$AK$2:$AK$1105,1,Data!$M$2:$M$1105,$AN$180)</f>
        <v/>
      </c>
      <c r="AV180" s="61" t="n"/>
      <c r="AW180" s="61" t="n"/>
      <c r="AX180" s="61" t="n"/>
      <c r="AY180" s="61" t="n"/>
      <c r="AZ180" s="61" t="n"/>
      <c r="BA180" s="61" t="n"/>
      <c r="BB180" s="61">
        <f>Controls!$G$145</f>
        <v/>
      </c>
      <c r="BC180" s="61">
        <f>COUNTIFS(Data!$AK$2:$AK$1105,1,Data!$M$2:$M$1105,$BB$180)</f>
        <v/>
      </c>
      <c r="BD180" s="57">
        <f>SUMIFS(Data!$P$2:$P$1105,Data!$AK$2:$AK$1105,1,Data!$M$2:$M$1105,$BB$180)</f>
        <v/>
      </c>
      <c r="BE180" s="56">
        <f>IF(COUNTIFS(Data!$AK$2:$AK$1105,1,Data!$M$2:$M$1105,$BB$180)&lt;Controls!$B$19,"",IFERROR(SUMIFS(Data!$AN$2:$AN$1105,Data!$AK$2:$AK$1105,1,Data!$M$2:$M$1105,$BB$180)/$BD$180,""))</f>
        <v/>
      </c>
      <c r="BF180" s="56">
        <f>IF(COUNTIFS(Data!$AK$2:$AK$1105,1,Data!$M$2:$M$1105,$BB$180)&lt;Controls!$B$19,"",IFERROR(SUMIFS(Data!$AM$2:$AM$1105,Data!$AK$2:$AK$1105,1,Data!$M$2:$M$1105,$BB$180)/SUMIFS(Data!$P$2:$P$1105,Data!$AK$2:$AK$1105,1,Data!$M$2:$M$1105,$BB$180),""))</f>
        <v/>
      </c>
      <c r="BG180" s="57">
        <f>SUMIFS(Data!$AN$2:$AN$1105,Data!$AK$2:$AK$1105,1,Data!$M$2:$M$1105,$BB$180)</f>
        <v/>
      </c>
      <c r="BH180" s="61" t="n"/>
      <c r="BI180" s="56">
        <f>IF(AND($BC$180&gt;=Controls!$B$22,$BD$180&gt;=LARGE($BD$75:$BD$230,MIN(Controls!$B$18,COUNT($BD$75:$BD$230)))),$BE$180,"")</f>
        <v/>
      </c>
      <c r="BJ180" s="61" t="n"/>
      <c r="BK180" s="56">
        <f>IF($BC$180&lt;Controls!$B$22,"",$BE$180)</f>
        <v/>
      </c>
      <c r="BL180" s="56">
        <f>IF($BC$180&lt;Controls!$B$22,"",$BF$180)</f>
        <v/>
      </c>
      <c r="BM180" s="57">
        <f>IF($BC$180&lt;Controls!$B$22,"",$BG$180)</f>
        <v/>
      </c>
      <c r="BN180" s="61" t="n"/>
      <c r="BO180" s="61" t="n"/>
      <c r="BP180" s="61" t="n"/>
      <c r="BQ180" s="61" t="n"/>
      <c r="BR180" s="61" t="n"/>
      <c r="BS180" s="61" t="n"/>
      <c r="BT180" s="61" t="n"/>
    </row>
    <row r="181" ht="15.75" customHeight="1" s="79">
      <c r="A181" s="61">
        <f>IF(EDATE(Controls!$B$5,33)&gt;Controls!$B$6,"",TEXT(EDATE(Controls!$B$5,33),"YYYY-MM"))</f>
        <v/>
      </c>
      <c r="B181" s="66">
        <f>IF($A$181="",NA(),IFERROR(SUMIFS(Data!$P$2:$P$1105,Data!$AK$2:$AK$1105,1,Data!$BA$2:$BA$1105,$A$181),NA()))</f>
        <v/>
      </c>
      <c r="C181" s="66">
        <f>IF($A$181="",NA(),IFERROR(SUMIFS(Data!$S$2:$S$1105,Data!$AK$2:$AK$1105,1,Data!$BA$2:$BA$1105,$A$181),NA()))</f>
        <v/>
      </c>
      <c r="D181" s="66">
        <f>IF(ISNA($B$181),NA(),$C$181-$B$181)</f>
        <v/>
      </c>
      <c r="E181" s="66">
        <f>IF($A$181="",NA(),IFERROR(SUMIFS(Data!$Q$2:$Q$1105,Data!$AK$2:$AK$1105,1,Data!$BA$2:$BA$1105,$A$181),NA()))</f>
        <v/>
      </c>
      <c r="F181" s="66">
        <f>IF($A$181="",NA(),IFERROR(SUMIFS(Data!$AN$2:$AN$1105,Data!$AK$2:$AK$1105,1,Data!$BA$2:$BA$1105,$A$181),NA()))</f>
        <v/>
      </c>
      <c r="G181" s="62">
        <f>IF($A$181="",NA(),IF(COUNTIFS(Data!$AK$2:$AK$1105,1,Data!$BA$2:$BA$1105,$A$181)&lt;Controls!$B$19,NA(),IFERROR(SUMIFS(Data!$AN$2:$AN$1105,Data!$AK$2:$AK$1105,1,Data!$BA$2:$BA$1105,$A$181)/$B$181,NA())))</f>
        <v/>
      </c>
      <c r="H181" s="62">
        <f>IF($A$181="",NA(),IF(COUNTIFS(Data!$AK$2:$AK$1105,1,Data!$BA$2:$BA$1105,$A$181)&lt;Controls!$B$19,NA(),IFERROR(SUMIFS(Data!$S$2:$S$1105,Data!$AK$2:$AK$1105,1,Data!$BA$2:$BA$1105,$A$181,Data!$AH$2:$AH$1105,1)/SUMIFS(Data!$P$2:$P$1105,Data!$AK$2:$AK$1105,1,Data!$BA$2:$BA$1105,$A$181,Data!$AH$2:$AH$1105,1),NA())))</f>
        <v/>
      </c>
      <c r="I181" s="62">
        <f>IF(ISNA($J$181),NA(),IF($J$181&lt;Controls!$B$19,NA(),IFERROR($D$181/$B$181,NA())))</f>
        <v/>
      </c>
      <c r="J181" s="67">
        <f>IF($A$181="",NA(),IFERROR(COUNTIFS(Data!$AK$2:$AK$1105,1,Data!$BA$2:$BA$1105,$A$181),NA()))</f>
        <v/>
      </c>
      <c r="K181" s="62">
        <f>IF(ISNA($B$181),NA(),IFERROR($B$181/Calc!$BT$6,NA()))</f>
        <v/>
      </c>
      <c r="L181" s="66">
        <f>IF(ISNA($J$181),NA(),IF($J$181&lt;Controls!$B$19,NA(),IFERROR($B$181/$J$181,NA())))</f>
        <v/>
      </c>
      <c r="M181" s="67">
        <f>IF($A$181="",NA(),IF(COUNTIFS(Data!$AK$2:$AK$1105,1,Data!$BA$2:$BA$1105,$A$181)&lt;Controls!$B$19,NA(),IFERROR(AVERAGEIFS(Data!$AE$2:$AE$1105,Data!$AK$2:$AK$1105,1,Data!$BA$2:$BA$1105,$A$181),NA())))</f>
        <v/>
      </c>
      <c r="N181" s="67">
        <f>IF($A$181="",NA(),IF(COUNTIFS(Data!$AK$2:$AK$1105,1,Data!$BA$2:$BA$1105,$A$181)&lt;Controls!$B$19,NA(),IFERROR(AVERAGEIFS(Data!$AD$2:$AD$1105,Data!$AK$2:$AK$1105,1,Data!$BA$2:$BA$1105,$A$181),NA())))</f>
        <v/>
      </c>
      <c r="O181" s="67">
        <f>IF($A$181="",NA(),IF(COUNTIFS(Data!$AK$2:$AK$1105,1,Data!$BA$2:$BA$1105,$A$181)&lt;Controls!$B$19,NA(),IFERROR(AVERAGEIFS(Data!$AS$2:$AS$1105,Data!$AK$2:$AK$1105,1,Data!$BA$2:$BA$1105,$A$181),NA())))</f>
        <v/>
      </c>
      <c r="P181" s="67">
        <f>IF($A$181="",NA(),IF(COUNTIFS(Data!$AK$2:$AK$1105,1,Data!$BA$2:$BA$1105,$A$181)&lt;Controls!$B$19,NA(),IFERROR(AVERAGEIFS(Data!$AT$2:$AT$1105,Data!$AK$2:$AK$1105,1,Data!$BA$2:$BA$1105,$A$181),NA())))</f>
        <v/>
      </c>
      <c r="Q181" s="62">
        <f>IF($A$181="",NA(),IF(COUNTIFS(Data!$AK$2:$AK$1105,1,Data!$BA$2:$BA$1105,$A$181)&lt;Controls!$B$19,NA(),IFERROR(COUNTIFS(Data!$AK$2:$AK$1105,1,Data!$BA$2:$BA$1105,$A$181,Data!$N$2:$N$1105,"Renewal")/COUNTIFS(Data!$AK$2:$AK$1105,1,Data!$BA$2:$BA$1105,$A$181),NA())))</f>
        <v/>
      </c>
      <c r="R181" s="62">
        <f>IF($A$181="",NA(),IF(COUNTIFS(Data!$AK$2:$AK$1105,1,Data!$BA$2:$BA$1105,$A$181)&lt;Controls!$B$19,NA(),IFERROR(SUMIFS(Data!$P$2:$P$1105,Data!$AK$2:$AK$1105,1,Data!$BA$2:$BA$1105,$A$181,Data!$N$2:$N$1105,"Renewal")/SUMIFS(Data!$P$2:$P$1105,Data!$AK$2:$AK$1105,1,Data!$BA$2:$BA$1105,$A$181),NA())))</f>
        <v/>
      </c>
      <c r="S181" s="62">
        <f>IF($A$181="",NA(),Calc!$BT$2)</f>
        <v/>
      </c>
      <c r="T181" s="62">
        <f>IF($A$181="",NA(),Calc!$BT$3)</f>
        <v/>
      </c>
      <c r="U181" s="62">
        <f>IF($A$181="",NA(),Calc!$BT$4)</f>
        <v/>
      </c>
      <c r="V181" s="62">
        <f>IF($A$181="",NA(),IF(COUNTIFS(Data!$AK$2:$AK$1105,1,Data!$BA$2:$BA$1105,$A$181)&lt;Controls!$B$19,NA(),IFERROR(COUNTIFS(Data!$AK$2:$AK$1105,1,Data!$BA$2:$BA$1105,$A$181,Data!$AH$2:$AH$1105,1)/COUNTIFS(Data!$AK$2:$AK$1105,1,Data!$BA$2:$BA$1105,$A$181),NA())))</f>
        <v/>
      </c>
      <c r="W181" s="61">
        <f>IF($A$181="","",$A$181&amp;" ("&amp;$J$181&amp;")")</f>
        <v/>
      </c>
      <c r="X181" s="61" t="n"/>
      <c r="Y181" s="61" t="n"/>
      <c r="Z181" s="61" t="n"/>
      <c r="AA181" s="61" t="n"/>
      <c r="AB181" s="61" t="n"/>
      <c r="AC181" s="61" t="n"/>
      <c r="AD181" s="61" t="n"/>
      <c r="AE181" s="61" t="n"/>
      <c r="AF181" s="61" t="n"/>
      <c r="AG181" s="61" t="n"/>
      <c r="AH181" s="61" t="n"/>
      <c r="AI181" s="61" t="n"/>
      <c r="AJ181" s="61" t="n"/>
      <c r="AK181" s="61" t="n"/>
      <c r="AL181" s="61" t="n"/>
      <c r="AM181" s="61" t="n"/>
      <c r="AN181" s="61">
        <f>Controls!$G$78</f>
        <v/>
      </c>
      <c r="AO181" s="61">
        <f>COUNTIFS(Data!$AK$2:$AK$1105,1,Data!$M$2:$M$1105,$AN$181)</f>
        <v/>
      </c>
      <c r="AP181" s="57">
        <f>SUMIFS(Data!$P$2:$P$1105,Data!$AK$2:$AK$1105,1,Data!$M$2:$M$1105,$AN$181)</f>
        <v/>
      </c>
      <c r="AQ181" s="56">
        <f>IFERROR(SUMIFS(Data!$AN$2:$AN$1105,Data!$AK$2:$AK$1105,1,Data!$M$2:$M$1105,$AN$181)/$AP$181,0)</f>
        <v/>
      </c>
      <c r="AR181" s="57">
        <f>SUMIFS(Data!$AN$2:$AN$1105,Data!$AK$2:$AK$1105,1,Data!$M$2:$M$1105,$AN$181)</f>
        <v/>
      </c>
      <c r="AS181" s="61">
        <f>Controls!$H$78</f>
        <v/>
      </c>
      <c r="AT181" s="61">
        <f>IF(OR(AO181=0,AO181&lt;Controls!$B$20),-1000000000000000,IF(AND(Controls!$B$21="Y",$AN$181="No ISO"),-1000000000000000,IF(Controls!$B$17="Selected only",IF(AS181="Y",AP181,-1000000000000000),IF(Controls!$B$17="Top by funded $",AP181,IF(Controls!$B$17="Top by funded units",AO181,IF(Controls!$B$17="Largest principal lost $",AR181,IF(Controls!$B$17="Highest net profit $",AU181,IF(AO181&lt;Controls!$B$19,-1000000000000000,IF(Controls!$B$17="Highest principal lost rate %",AQ181,IF(Controls!$B$17="Lowest principal lost rate %",1-AQ181,AP181))))))))) +39/1000000)</f>
        <v/>
      </c>
      <c r="AU181" s="57">
        <f>SUMIFS(Data!$AM$2:$AM$1105,Data!$AK$2:$AK$1105,1,Data!$M$2:$M$1105,$AN$181)</f>
        <v/>
      </c>
      <c r="AV181" s="61" t="n"/>
      <c r="AW181" s="61" t="n"/>
      <c r="AX181" s="61" t="n"/>
      <c r="AY181" s="61" t="n"/>
      <c r="AZ181" s="61" t="n"/>
      <c r="BA181" s="61" t="n"/>
      <c r="BB181" s="61">
        <f>Controls!$G$146</f>
        <v/>
      </c>
      <c r="BC181" s="61">
        <f>COUNTIFS(Data!$AK$2:$AK$1105,1,Data!$M$2:$M$1105,$BB$181)</f>
        <v/>
      </c>
      <c r="BD181" s="57">
        <f>SUMIFS(Data!$P$2:$P$1105,Data!$AK$2:$AK$1105,1,Data!$M$2:$M$1105,$BB$181)</f>
        <v/>
      </c>
      <c r="BE181" s="56">
        <f>IF(COUNTIFS(Data!$AK$2:$AK$1105,1,Data!$M$2:$M$1105,$BB$181)&lt;Controls!$B$19,"",IFERROR(SUMIFS(Data!$AN$2:$AN$1105,Data!$AK$2:$AK$1105,1,Data!$M$2:$M$1105,$BB$181)/$BD$181,""))</f>
        <v/>
      </c>
      <c r="BF181" s="56">
        <f>IF(COUNTIFS(Data!$AK$2:$AK$1105,1,Data!$M$2:$M$1105,$BB$181)&lt;Controls!$B$19,"",IFERROR(SUMIFS(Data!$AM$2:$AM$1105,Data!$AK$2:$AK$1105,1,Data!$M$2:$M$1105,$BB$181)/SUMIFS(Data!$P$2:$P$1105,Data!$AK$2:$AK$1105,1,Data!$M$2:$M$1105,$BB$181),""))</f>
        <v/>
      </c>
      <c r="BG181" s="57">
        <f>SUMIFS(Data!$AN$2:$AN$1105,Data!$AK$2:$AK$1105,1,Data!$M$2:$M$1105,$BB$181)</f>
        <v/>
      </c>
      <c r="BH181" s="61" t="n"/>
      <c r="BI181" s="61">
        <f>IF(AND($BC$181&gt;=Controls!$B$22,$BD$181&gt;=LARGE($BD$75:$BD$230,MIN(Controls!$B$18,COUNT($BD$75:$BD$230)))),$BE$181,"")</f>
        <v/>
      </c>
      <c r="BJ181" s="61" t="n"/>
      <c r="BK181" s="61">
        <f>IF($BC$181&lt;Controls!$B$22,"",$BE$181)</f>
        <v/>
      </c>
      <c r="BL181" s="61">
        <f>IF($BC$181&lt;Controls!$B$22,"",$BF$181)</f>
        <v/>
      </c>
      <c r="BM181" s="61">
        <f>IF($BC$181&lt;Controls!$B$22,"",$BG$181)</f>
        <v/>
      </c>
      <c r="BN181" s="61" t="n"/>
      <c r="BO181" s="61" t="n"/>
      <c r="BP181" s="61" t="n"/>
      <c r="BQ181" s="61" t="n"/>
      <c r="BR181" s="61" t="n"/>
      <c r="BS181" s="61" t="n"/>
      <c r="BT181" s="61" t="n"/>
    </row>
    <row r="182" ht="15.75" customHeight="1" s="79">
      <c r="A182" s="61">
        <f>IF(EDATE(Controls!$B$5,34)&gt;Controls!$B$6,"",TEXT(EDATE(Controls!$B$5,34),"YYYY-MM"))</f>
        <v/>
      </c>
      <c r="B182" s="66">
        <f>IF($A$182="",NA(),IFERROR(SUMIFS(Data!$P$2:$P$1105,Data!$AK$2:$AK$1105,1,Data!$BA$2:$BA$1105,$A$182),NA()))</f>
        <v/>
      </c>
      <c r="C182" s="66">
        <f>IF($A$182="",NA(),IFERROR(SUMIFS(Data!$S$2:$S$1105,Data!$AK$2:$AK$1105,1,Data!$BA$2:$BA$1105,$A$182),NA()))</f>
        <v/>
      </c>
      <c r="D182" s="66">
        <f>IF(ISNA($B$182),NA(),$C$182-$B$182)</f>
        <v/>
      </c>
      <c r="E182" s="66">
        <f>IF($A$182="",NA(),IFERROR(SUMIFS(Data!$Q$2:$Q$1105,Data!$AK$2:$AK$1105,1,Data!$BA$2:$BA$1105,$A$182),NA()))</f>
        <v/>
      </c>
      <c r="F182" s="66">
        <f>IF($A$182="",NA(),IFERROR(SUMIFS(Data!$AN$2:$AN$1105,Data!$AK$2:$AK$1105,1,Data!$BA$2:$BA$1105,$A$182),NA()))</f>
        <v/>
      </c>
      <c r="G182" s="62">
        <f>IF($A$182="",NA(),IF(COUNTIFS(Data!$AK$2:$AK$1105,1,Data!$BA$2:$BA$1105,$A$182)&lt;Controls!$B$19,NA(),IFERROR(SUMIFS(Data!$AN$2:$AN$1105,Data!$AK$2:$AK$1105,1,Data!$BA$2:$BA$1105,$A$182)/$B$182,NA())))</f>
        <v/>
      </c>
      <c r="H182" s="62">
        <f>IF($A$182="",NA(),IF(COUNTIFS(Data!$AK$2:$AK$1105,1,Data!$BA$2:$BA$1105,$A$182)&lt;Controls!$B$19,NA(),IFERROR(SUMIFS(Data!$S$2:$S$1105,Data!$AK$2:$AK$1105,1,Data!$BA$2:$BA$1105,$A$182,Data!$AH$2:$AH$1105,1)/SUMIFS(Data!$P$2:$P$1105,Data!$AK$2:$AK$1105,1,Data!$BA$2:$BA$1105,$A$182,Data!$AH$2:$AH$1105,1),NA())))</f>
        <v/>
      </c>
      <c r="I182" s="62">
        <f>IF(ISNA($J$182),NA(),IF($J$182&lt;Controls!$B$19,NA(),IFERROR($D$182/$B$182,NA())))</f>
        <v/>
      </c>
      <c r="J182" s="67">
        <f>IF($A$182="",NA(),IFERROR(COUNTIFS(Data!$AK$2:$AK$1105,1,Data!$BA$2:$BA$1105,$A$182),NA()))</f>
        <v/>
      </c>
      <c r="K182" s="62">
        <f>IF(ISNA($B$182),NA(),IFERROR($B$182/Calc!$BT$6,NA()))</f>
        <v/>
      </c>
      <c r="L182" s="66">
        <f>IF(ISNA($J$182),NA(),IF($J$182&lt;Controls!$B$19,NA(),IFERROR($B$182/$J$182,NA())))</f>
        <v/>
      </c>
      <c r="M182" s="67">
        <f>IF($A$182="",NA(),IF(COUNTIFS(Data!$AK$2:$AK$1105,1,Data!$BA$2:$BA$1105,$A$182)&lt;Controls!$B$19,NA(),IFERROR(AVERAGEIFS(Data!$AE$2:$AE$1105,Data!$AK$2:$AK$1105,1,Data!$BA$2:$BA$1105,$A$182),NA())))</f>
        <v/>
      </c>
      <c r="N182" s="67">
        <f>IF($A$182="",NA(),IF(COUNTIFS(Data!$AK$2:$AK$1105,1,Data!$BA$2:$BA$1105,$A$182)&lt;Controls!$B$19,NA(),IFERROR(AVERAGEIFS(Data!$AD$2:$AD$1105,Data!$AK$2:$AK$1105,1,Data!$BA$2:$BA$1105,$A$182),NA())))</f>
        <v/>
      </c>
      <c r="O182" s="67">
        <f>IF($A$182="",NA(),IF(COUNTIFS(Data!$AK$2:$AK$1105,1,Data!$BA$2:$BA$1105,$A$182)&lt;Controls!$B$19,NA(),IFERROR(AVERAGEIFS(Data!$AS$2:$AS$1105,Data!$AK$2:$AK$1105,1,Data!$BA$2:$BA$1105,$A$182),NA())))</f>
        <v/>
      </c>
      <c r="P182" s="67">
        <f>IF($A$182="",NA(),IF(COUNTIFS(Data!$AK$2:$AK$1105,1,Data!$BA$2:$BA$1105,$A$182)&lt;Controls!$B$19,NA(),IFERROR(AVERAGEIFS(Data!$AT$2:$AT$1105,Data!$AK$2:$AK$1105,1,Data!$BA$2:$BA$1105,$A$182),NA())))</f>
        <v/>
      </c>
      <c r="Q182" s="62">
        <f>IF($A$182="",NA(),IF(COUNTIFS(Data!$AK$2:$AK$1105,1,Data!$BA$2:$BA$1105,$A$182)&lt;Controls!$B$19,NA(),IFERROR(COUNTIFS(Data!$AK$2:$AK$1105,1,Data!$BA$2:$BA$1105,$A$182,Data!$N$2:$N$1105,"Renewal")/COUNTIFS(Data!$AK$2:$AK$1105,1,Data!$BA$2:$BA$1105,$A$182),NA())))</f>
        <v/>
      </c>
      <c r="R182" s="62">
        <f>IF($A$182="",NA(),IF(COUNTIFS(Data!$AK$2:$AK$1105,1,Data!$BA$2:$BA$1105,$A$182)&lt;Controls!$B$19,NA(),IFERROR(SUMIFS(Data!$P$2:$P$1105,Data!$AK$2:$AK$1105,1,Data!$BA$2:$BA$1105,$A$182,Data!$N$2:$N$1105,"Renewal")/SUMIFS(Data!$P$2:$P$1105,Data!$AK$2:$AK$1105,1,Data!$BA$2:$BA$1105,$A$182),NA())))</f>
        <v/>
      </c>
      <c r="S182" s="62">
        <f>IF($A$182="",NA(),Calc!$BT$2)</f>
        <v/>
      </c>
      <c r="T182" s="62">
        <f>IF($A$182="",NA(),Calc!$BT$3)</f>
        <v/>
      </c>
      <c r="U182" s="62">
        <f>IF($A$182="",NA(),Calc!$BT$4)</f>
        <v/>
      </c>
      <c r="V182" s="62">
        <f>IF($A$182="",NA(),IF(COUNTIFS(Data!$AK$2:$AK$1105,1,Data!$BA$2:$BA$1105,$A$182)&lt;Controls!$B$19,NA(),IFERROR(COUNTIFS(Data!$AK$2:$AK$1105,1,Data!$BA$2:$BA$1105,$A$182,Data!$AH$2:$AH$1105,1)/COUNTIFS(Data!$AK$2:$AK$1105,1,Data!$BA$2:$BA$1105,$A$182),NA())))</f>
        <v/>
      </c>
      <c r="W182" s="61">
        <f>IF($A$182="","",$A$182&amp;" ("&amp;$J$182&amp;")")</f>
        <v/>
      </c>
      <c r="X182" s="61" t="n"/>
      <c r="Y182" s="61" t="n"/>
      <c r="Z182" s="61" t="n"/>
      <c r="AA182" s="61" t="n"/>
      <c r="AB182" s="61" t="n"/>
      <c r="AC182" s="61" t="n"/>
      <c r="AD182" s="61" t="n"/>
      <c r="AE182" s="61" t="n"/>
      <c r="AF182" s="61" t="n"/>
      <c r="AG182" s="61" t="n"/>
      <c r="AH182" s="61" t="n"/>
      <c r="AI182" s="61" t="n"/>
      <c r="AJ182" s="61" t="n"/>
      <c r="AK182" s="61" t="n"/>
      <c r="AL182" s="61" t="n"/>
      <c r="AM182" s="61" t="n"/>
      <c r="AN182" s="61">
        <f>Controls!$G$79</f>
        <v/>
      </c>
      <c r="AO182" s="61">
        <f>COUNTIFS(Data!$AK$2:$AK$1105,1,Data!$M$2:$M$1105,$AN$182)</f>
        <v/>
      </c>
      <c r="AP182" s="57">
        <f>SUMIFS(Data!$P$2:$P$1105,Data!$AK$2:$AK$1105,1,Data!$M$2:$M$1105,$AN$182)</f>
        <v/>
      </c>
      <c r="AQ182" s="56">
        <f>IFERROR(SUMIFS(Data!$AN$2:$AN$1105,Data!$AK$2:$AK$1105,1,Data!$M$2:$M$1105,$AN$182)/$AP$182,0)</f>
        <v/>
      </c>
      <c r="AR182" s="57">
        <f>SUMIFS(Data!$AN$2:$AN$1105,Data!$AK$2:$AK$1105,1,Data!$M$2:$M$1105,$AN$182)</f>
        <v/>
      </c>
      <c r="AS182" s="61">
        <f>Controls!$H$79</f>
        <v/>
      </c>
      <c r="AT182" s="61">
        <f>IF(OR(AO182=0,AO182&lt;Controls!$B$20),-1000000000000000,IF(AND(Controls!$B$21="Y",$AN$182="No ISO"),-1000000000000000,IF(Controls!$B$17="Selected only",IF(AS182="Y",AP182,-1000000000000000),IF(Controls!$B$17="Top by funded $",AP182,IF(Controls!$B$17="Top by funded units",AO182,IF(Controls!$B$17="Largest principal lost $",AR182,IF(Controls!$B$17="Highest net profit $",AU182,IF(AO182&lt;Controls!$B$19,-1000000000000000,IF(Controls!$B$17="Highest principal lost rate %",AQ182,IF(Controls!$B$17="Lowest principal lost rate %",1-AQ182,AP182))))))))) +40/1000000)</f>
        <v/>
      </c>
      <c r="AU182" s="57">
        <f>SUMIFS(Data!$AM$2:$AM$1105,Data!$AK$2:$AK$1105,1,Data!$M$2:$M$1105,$AN$182)</f>
        <v/>
      </c>
      <c r="AV182" s="61" t="n"/>
      <c r="AW182" s="61" t="n"/>
      <c r="AX182" s="61" t="n"/>
      <c r="AY182" s="61" t="n"/>
      <c r="AZ182" s="61" t="n"/>
      <c r="BA182" s="61" t="n"/>
      <c r="BB182" s="61">
        <f>Controls!$G$147</f>
        <v/>
      </c>
      <c r="BC182" s="61">
        <f>COUNTIFS(Data!$AK$2:$AK$1105,1,Data!$M$2:$M$1105,$BB$182)</f>
        <v/>
      </c>
      <c r="BD182" s="57">
        <f>SUMIFS(Data!$P$2:$P$1105,Data!$AK$2:$AK$1105,1,Data!$M$2:$M$1105,$BB$182)</f>
        <v/>
      </c>
      <c r="BE182" s="56">
        <f>IF(COUNTIFS(Data!$AK$2:$AK$1105,1,Data!$M$2:$M$1105,$BB$182)&lt;Controls!$B$19,"",IFERROR(SUMIFS(Data!$AN$2:$AN$1105,Data!$AK$2:$AK$1105,1,Data!$M$2:$M$1105,$BB$182)/$BD$182,""))</f>
        <v/>
      </c>
      <c r="BF182" s="56">
        <f>IF(COUNTIFS(Data!$AK$2:$AK$1105,1,Data!$M$2:$M$1105,$BB$182)&lt;Controls!$B$19,"",IFERROR(SUMIFS(Data!$AM$2:$AM$1105,Data!$AK$2:$AK$1105,1,Data!$M$2:$M$1105,$BB$182)/SUMIFS(Data!$P$2:$P$1105,Data!$AK$2:$AK$1105,1,Data!$M$2:$M$1105,$BB$182),""))</f>
        <v/>
      </c>
      <c r="BG182" s="57">
        <f>SUMIFS(Data!$AN$2:$AN$1105,Data!$AK$2:$AK$1105,1,Data!$M$2:$M$1105,$BB$182)</f>
        <v/>
      </c>
      <c r="BH182" s="61" t="n"/>
      <c r="BI182" s="61">
        <f>IF(AND($BC$182&gt;=Controls!$B$22,$BD$182&gt;=LARGE($BD$75:$BD$230,MIN(Controls!$B$18,COUNT($BD$75:$BD$230)))),$BE$182,"")</f>
        <v/>
      </c>
      <c r="BJ182" s="61" t="n"/>
      <c r="BK182" s="61">
        <f>IF($BC$182&lt;Controls!$B$22,"",$BE$182)</f>
        <v/>
      </c>
      <c r="BL182" s="61">
        <f>IF($BC$182&lt;Controls!$B$22,"",$BF$182)</f>
        <v/>
      </c>
      <c r="BM182" s="61">
        <f>IF($BC$182&lt;Controls!$B$22,"",$BG$182)</f>
        <v/>
      </c>
      <c r="BN182" s="61" t="n"/>
      <c r="BO182" s="61" t="n"/>
      <c r="BP182" s="61" t="n"/>
      <c r="BQ182" s="61" t="n"/>
      <c r="BR182" s="61" t="n"/>
      <c r="BS182" s="61" t="n"/>
      <c r="BT182" s="61" t="n"/>
    </row>
    <row r="183" ht="15.75" customHeight="1" s="79">
      <c r="A183" s="61">
        <f>IF(EDATE(Controls!$B$5,35)&gt;Controls!$B$6,"",IF(EDATE(Controls!$B$5,36)&lt;=Controls!$B$6,"LATER MONTHS NOT SHOWN - window exceeds 36 months",TEXT(EDATE(Controls!$B$5,35),"YYYY-MM")))</f>
        <v/>
      </c>
      <c r="B183" s="66">
        <f>IF($A$183="",NA(),IFERROR(SUMIFS(Data!$P$2:$P$1105,Data!$AK$2:$AK$1105,1,Data!$BA$2:$BA$1105,$A$183),NA()))</f>
        <v/>
      </c>
      <c r="C183" s="66">
        <f>IF($A$183="",NA(),IFERROR(SUMIFS(Data!$S$2:$S$1105,Data!$AK$2:$AK$1105,1,Data!$BA$2:$BA$1105,$A$183),NA()))</f>
        <v/>
      </c>
      <c r="D183" s="66">
        <f>IF(ISNA($B$183),NA(),$C$183-$B$183)</f>
        <v/>
      </c>
      <c r="E183" s="66">
        <f>IF($A$183="",NA(),IFERROR(SUMIFS(Data!$Q$2:$Q$1105,Data!$AK$2:$AK$1105,1,Data!$BA$2:$BA$1105,$A$183),NA()))</f>
        <v/>
      </c>
      <c r="F183" s="66">
        <f>IF($A$183="",NA(),IFERROR(SUMIFS(Data!$AN$2:$AN$1105,Data!$AK$2:$AK$1105,1,Data!$BA$2:$BA$1105,$A$183),NA()))</f>
        <v/>
      </c>
      <c r="G183" s="62">
        <f>IF($A$183="",NA(),IF(COUNTIFS(Data!$AK$2:$AK$1105,1,Data!$BA$2:$BA$1105,$A$183)&lt;Controls!$B$19,NA(),IFERROR(SUMIFS(Data!$AN$2:$AN$1105,Data!$AK$2:$AK$1105,1,Data!$BA$2:$BA$1105,$A$183)/$B$183,NA())))</f>
        <v/>
      </c>
      <c r="H183" s="62">
        <f>IF($A$183="",NA(),IF(COUNTIFS(Data!$AK$2:$AK$1105,1,Data!$BA$2:$BA$1105,$A$183)&lt;Controls!$B$19,NA(),IFERROR(SUMIFS(Data!$S$2:$S$1105,Data!$AK$2:$AK$1105,1,Data!$BA$2:$BA$1105,$A$183,Data!$AH$2:$AH$1105,1)/SUMIFS(Data!$P$2:$P$1105,Data!$AK$2:$AK$1105,1,Data!$BA$2:$BA$1105,$A$183,Data!$AH$2:$AH$1105,1),NA())))</f>
        <v/>
      </c>
      <c r="I183" s="62">
        <f>IF(ISNA($J$183),NA(),IF($J$183&lt;Controls!$B$19,NA(),IFERROR($D$183/$B$183,NA())))</f>
        <v/>
      </c>
      <c r="J183" s="67">
        <f>IF($A$183="",NA(),IFERROR(COUNTIFS(Data!$AK$2:$AK$1105,1,Data!$BA$2:$BA$1105,$A$183),NA()))</f>
        <v/>
      </c>
      <c r="K183" s="62">
        <f>IF(ISNA($B$183),NA(),IFERROR($B$183/Calc!$BT$6,NA()))</f>
        <v/>
      </c>
      <c r="L183" s="66">
        <f>IF(ISNA($J$183),NA(),IF($J$183&lt;Controls!$B$19,NA(),IFERROR($B$183/$J$183,NA())))</f>
        <v/>
      </c>
      <c r="M183" s="67">
        <f>IF($A$183="",NA(),IF(COUNTIFS(Data!$AK$2:$AK$1105,1,Data!$BA$2:$BA$1105,$A$183)&lt;Controls!$B$19,NA(),IFERROR(AVERAGEIFS(Data!$AE$2:$AE$1105,Data!$AK$2:$AK$1105,1,Data!$BA$2:$BA$1105,$A$183),NA())))</f>
        <v/>
      </c>
      <c r="N183" s="67">
        <f>IF($A$183="",NA(),IF(COUNTIFS(Data!$AK$2:$AK$1105,1,Data!$BA$2:$BA$1105,$A$183)&lt;Controls!$B$19,NA(),IFERROR(AVERAGEIFS(Data!$AD$2:$AD$1105,Data!$AK$2:$AK$1105,1,Data!$BA$2:$BA$1105,$A$183),NA())))</f>
        <v/>
      </c>
      <c r="O183" s="67">
        <f>IF($A$183="",NA(),IF(COUNTIFS(Data!$AK$2:$AK$1105,1,Data!$BA$2:$BA$1105,$A$183)&lt;Controls!$B$19,NA(),IFERROR(AVERAGEIFS(Data!$AS$2:$AS$1105,Data!$AK$2:$AK$1105,1,Data!$BA$2:$BA$1105,$A$183),NA())))</f>
        <v/>
      </c>
      <c r="P183" s="67">
        <f>IF($A$183="",NA(),IF(COUNTIFS(Data!$AK$2:$AK$1105,1,Data!$BA$2:$BA$1105,$A$183)&lt;Controls!$B$19,NA(),IFERROR(AVERAGEIFS(Data!$AT$2:$AT$1105,Data!$AK$2:$AK$1105,1,Data!$BA$2:$BA$1105,$A$183),NA())))</f>
        <v/>
      </c>
      <c r="Q183" s="62">
        <f>IF($A$183="",NA(),IF(COUNTIFS(Data!$AK$2:$AK$1105,1,Data!$BA$2:$BA$1105,$A$183)&lt;Controls!$B$19,NA(),IFERROR(COUNTIFS(Data!$AK$2:$AK$1105,1,Data!$BA$2:$BA$1105,$A$183,Data!$N$2:$N$1105,"Renewal")/COUNTIFS(Data!$AK$2:$AK$1105,1,Data!$BA$2:$BA$1105,$A$183),NA())))</f>
        <v/>
      </c>
      <c r="R183" s="62">
        <f>IF($A$183="",NA(),IF(COUNTIFS(Data!$AK$2:$AK$1105,1,Data!$BA$2:$BA$1105,$A$183)&lt;Controls!$B$19,NA(),IFERROR(SUMIFS(Data!$P$2:$P$1105,Data!$AK$2:$AK$1105,1,Data!$BA$2:$BA$1105,$A$183,Data!$N$2:$N$1105,"Renewal")/SUMIFS(Data!$P$2:$P$1105,Data!$AK$2:$AK$1105,1,Data!$BA$2:$BA$1105,$A$183),NA())))</f>
        <v/>
      </c>
      <c r="S183" s="62">
        <f>IF($A$183="",NA(),Calc!$BT$2)</f>
        <v/>
      </c>
      <c r="T183" s="62">
        <f>IF($A$183="",NA(),Calc!$BT$3)</f>
        <v/>
      </c>
      <c r="U183" s="62">
        <f>IF($A$183="",NA(),Calc!$BT$4)</f>
        <v/>
      </c>
      <c r="V183" s="62">
        <f>IF($A$183="",NA(),IF(COUNTIFS(Data!$AK$2:$AK$1105,1,Data!$BA$2:$BA$1105,$A$183)&lt;Controls!$B$19,NA(),IFERROR(COUNTIFS(Data!$AK$2:$AK$1105,1,Data!$BA$2:$BA$1105,$A$183,Data!$AH$2:$AH$1105,1)/COUNTIFS(Data!$AK$2:$AK$1105,1,Data!$BA$2:$BA$1105,$A$183),NA())))</f>
        <v/>
      </c>
      <c r="W183" s="61">
        <f>IF($A$183="","",$A$183&amp;" ("&amp;$J$183&amp;")")</f>
        <v/>
      </c>
      <c r="X183" s="61" t="n"/>
      <c r="Y183" s="61" t="n"/>
      <c r="Z183" s="61" t="n"/>
      <c r="AA183" s="61" t="n"/>
      <c r="AB183" s="61" t="n"/>
      <c r="AC183" s="61" t="n"/>
      <c r="AD183" s="61" t="n"/>
      <c r="AE183" s="61" t="n"/>
      <c r="AF183" s="61" t="n"/>
      <c r="AG183" s="61" t="n"/>
      <c r="AH183" s="61" t="n"/>
      <c r="AI183" s="61" t="n"/>
      <c r="AJ183" s="61" t="n"/>
      <c r="AK183" s="61" t="n"/>
      <c r="AL183" s="61" t="n"/>
      <c r="AM183" s="61" t="n"/>
      <c r="AN183" s="61">
        <f>Controls!$G$80</f>
        <v/>
      </c>
      <c r="AO183" s="61">
        <f>COUNTIFS(Data!$AK$2:$AK$1105,1,Data!$M$2:$M$1105,$AN$183)</f>
        <v/>
      </c>
      <c r="AP183" s="57">
        <f>SUMIFS(Data!$P$2:$P$1105,Data!$AK$2:$AK$1105,1,Data!$M$2:$M$1105,$AN$183)</f>
        <v/>
      </c>
      <c r="AQ183" s="56">
        <f>IFERROR(SUMIFS(Data!$AN$2:$AN$1105,Data!$AK$2:$AK$1105,1,Data!$M$2:$M$1105,$AN$183)/$AP$183,0)</f>
        <v/>
      </c>
      <c r="AR183" s="57">
        <f>SUMIFS(Data!$AN$2:$AN$1105,Data!$AK$2:$AK$1105,1,Data!$M$2:$M$1105,$AN$183)</f>
        <v/>
      </c>
      <c r="AS183" s="61">
        <f>Controls!$H$80</f>
        <v/>
      </c>
      <c r="AT183" s="61">
        <f>IF(OR(AO183=0,AO183&lt;Controls!$B$20),-1000000000000000,IF(AND(Controls!$B$21="Y",$AN$183="No ISO"),-1000000000000000,IF(Controls!$B$17="Selected only",IF(AS183="Y",AP183,-1000000000000000),IF(Controls!$B$17="Top by funded $",AP183,IF(Controls!$B$17="Top by funded units",AO183,IF(Controls!$B$17="Largest principal lost $",AR183,IF(Controls!$B$17="Highest net profit $",AU183,IF(AO183&lt;Controls!$B$19,-1000000000000000,IF(Controls!$B$17="Highest principal lost rate %",AQ183,IF(Controls!$B$17="Lowest principal lost rate %",1-AQ183,AP183))))))))) +41/1000000)</f>
        <v/>
      </c>
      <c r="AU183" s="57">
        <f>SUMIFS(Data!$AM$2:$AM$1105,Data!$AK$2:$AK$1105,1,Data!$M$2:$M$1105,$AN$183)</f>
        <v/>
      </c>
      <c r="AV183" s="61" t="n"/>
      <c r="AW183" s="61" t="n"/>
      <c r="AX183" s="61" t="n"/>
      <c r="AY183" s="61" t="n"/>
      <c r="AZ183" s="61" t="n"/>
      <c r="BA183" s="61" t="n"/>
      <c r="BB183" s="61">
        <f>Controls!$G$148</f>
        <v/>
      </c>
      <c r="BC183" s="61">
        <f>COUNTIFS(Data!$AK$2:$AK$1105,1,Data!$M$2:$M$1105,$BB$183)</f>
        <v/>
      </c>
      <c r="BD183" s="57">
        <f>SUMIFS(Data!$P$2:$P$1105,Data!$AK$2:$AK$1105,1,Data!$M$2:$M$1105,$BB$183)</f>
        <v/>
      </c>
      <c r="BE183" s="56">
        <f>IF(COUNTIFS(Data!$AK$2:$AK$1105,1,Data!$M$2:$M$1105,$BB$183)&lt;Controls!$B$19,"",IFERROR(SUMIFS(Data!$AN$2:$AN$1105,Data!$AK$2:$AK$1105,1,Data!$M$2:$M$1105,$BB$183)/$BD$183,""))</f>
        <v/>
      </c>
      <c r="BF183" s="56">
        <f>IF(COUNTIFS(Data!$AK$2:$AK$1105,1,Data!$M$2:$M$1105,$BB$183)&lt;Controls!$B$19,"",IFERROR(SUMIFS(Data!$AM$2:$AM$1105,Data!$AK$2:$AK$1105,1,Data!$M$2:$M$1105,$BB$183)/SUMIFS(Data!$P$2:$P$1105,Data!$AK$2:$AK$1105,1,Data!$M$2:$M$1105,$BB$183),""))</f>
        <v/>
      </c>
      <c r="BG183" s="57">
        <f>SUMIFS(Data!$AN$2:$AN$1105,Data!$AK$2:$AK$1105,1,Data!$M$2:$M$1105,$BB$183)</f>
        <v/>
      </c>
      <c r="BH183" s="61" t="n"/>
      <c r="BI183" s="61">
        <f>IF(AND($BC$183&gt;=Controls!$B$22,$BD$183&gt;=LARGE($BD$75:$BD$230,MIN(Controls!$B$18,COUNT($BD$75:$BD$230)))),$BE$183,"")</f>
        <v/>
      </c>
      <c r="BJ183" s="61" t="n"/>
      <c r="BK183" s="61">
        <f>IF($BC$183&lt;Controls!$B$22,"",$BE$183)</f>
        <v/>
      </c>
      <c r="BL183" s="61">
        <f>IF($BC$183&lt;Controls!$B$22,"",$BF$183)</f>
        <v/>
      </c>
      <c r="BM183" s="61">
        <f>IF($BC$183&lt;Controls!$B$22,"",$BG$183)</f>
        <v/>
      </c>
      <c r="BN183" s="61" t="n"/>
      <c r="BO183" s="61" t="n"/>
      <c r="BP183" s="61" t="n"/>
      <c r="BQ183" s="61" t="n"/>
      <c r="BR183" s="61" t="n"/>
      <c r="BS183" s="61" t="n"/>
      <c r="BT183" s="61" t="n"/>
    </row>
    <row r="184" ht="15.75" customHeight="1" s="79">
      <c r="A184" s="61" t="n"/>
      <c r="B184" s="61" t="n"/>
      <c r="C184" s="61" t="n"/>
      <c r="D184" s="61" t="n"/>
      <c r="E184" s="61" t="n"/>
      <c r="F184" s="61" t="n"/>
      <c r="G184" s="61" t="n"/>
      <c r="H184" s="61" t="n"/>
      <c r="I184" s="61" t="n"/>
      <c r="J184" s="61" t="n"/>
      <c r="K184" s="61" t="n"/>
      <c r="L184" s="61" t="n"/>
      <c r="M184" s="61" t="n"/>
      <c r="N184" s="61" t="n"/>
      <c r="O184" s="61" t="n"/>
      <c r="P184" s="61" t="n"/>
      <c r="Q184" s="61" t="n"/>
      <c r="R184" s="61" t="n"/>
      <c r="S184" s="61" t="n"/>
      <c r="T184" s="61" t="n"/>
      <c r="U184" s="61" t="n"/>
      <c r="V184" s="61" t="n"/>
      <c r="W184" s="61" t="n"/>
      <c r="X184" s="61" t="n"/>
      <c r="Y184" s="61" t="n"/>
      <c r="Z184" s="61" t="n"/>
      <c r="AA184" s="61" t="n"/>
      <c r="AB184" s="61" t="n"/>
      <c r="AC184" s="61" t="n"/>
      <c r="AD184" s="61" t="n"/>
      <c r="AE184" s="61" t="n"/>
      <c r="AF184" s="61" t="n"/>
      <c r="AG184" s="61" t="n"/>
      <c r="AH184" s="61" t="n"/>
      <c r="AI184" s="61" t="n"/>
      <c r="AJ184" s="61" t="n"/>
      <c r="AK184" s="61" t="n"/>
      <c r="AL184" s="61" t="n"/>
      <c r="AM184" s="61" t="n"/>
      <c r="AN184" s="61">
        <f>Controls!$G$81</f>
        <v/>
      </c>
      <c r="AO184" s="61">
        <f>COUNTIFS(Data!$AK$2:$AK$1105,1,Data!$M$2:$M$1105,$AN$184)</f>
        <v/>
      </c>
      <c r="AP184" s="57">
        <f>SUMIFS(Data!$P$2:$P$1105,Data!$AK$2:$AK$1105,1,Data!$M$2:$M$1105,$AN$184)</f>
        <v/>
      </c>
      <c r="AQ184" s="56">
        <f>IFERROR(SUMIFS(Data!$AN$2:$AN$1105,Data!$AK$2:$AK$1105,1,Data!$M$2:$M$1105,$AN$184)/$AP$184,0)</f>
        <v/>
      </c>
      <c r="AR184" s="57">
        <f>SUMIFS(Data!$AN$2:$AN$1105,Data!$AK$2:$AK$1105,1,Data!$M$2:$M$1105,$AN$184)</f>
        <v/>
      </c>
      <c r="AS184" s="61">
        <f>Controls!$H$81</f>
        <v/>
      </c>
      <c r="AT184" s="61">
        <f>IF(OR(AO184=0,AO184&lt;Controls!$B$20),-1000000000000000,IF(AND(Controls!$B$21="Y",$AN$184="No ISO"),-1000000000000000,IF(Controls!$B$17="Selected only",IF(AS184="Y",AP184,-1000000000000000),IF(Controls!$B$17="Top by funded $",AP184,IF(Controls!$B$17="Top by funded units",AO184,IF(Controls!$B$17="Largest principal lost $",AR184,IF(Controls!$B$17="Highest net profit $",AU184,IF(AO184&lt;Controls!$B$19,-1000000000000000,IF(Controls!$B$17="Highest principal lost rate %",AQ184,IF(Controls!$B$17="Lowest principal lost rate %",1-AQ184,AP184))))))))) +42/1000000)</f>
        <v/>
      </c>
      <c r="AU184" s="57">
        <f>SUMIFS(Data!$AM$2:$AM$1105,Data!$AK$2:$AK$1105,1,Data!$M$2:$M$1105,$AN$184)</f>
        <v/>
      </c>
      <c r="AV184" s="61" t="n"/>
      <c r="AW184" s="61" t="n"/>
      <c r="AX184" s="61" t="n"/>
      <c r="AY184" s="61" t="n"/>
      <c r="AZ184" s="61" t="n"/>
      <c r="BA184" s="61" t="n"/>
      <c r="BB184" s="61">
        <f>Controls!$G$149</f>
        <v/>
      </c>
      <c r="BC184" s="61">
        <f>COUNTIFS(Data!$AK$2:$AK$1105,1,Data!$M$2:$M$1105,$BB$184)</f>
        <v/>
      </c>
      <c r="BD184" s="57">
        <f>SUMIFS(Data!$P$2:$P$1105,Data!$AK$2:$AK$1105,1,Data!$M$2:$M$1105,$BB$184)</f>
        <v/>
      </c>
      <c r="BE184" s="56">
        <f>IF(COUNTIFS(Data!$AK$2:$AK$1105,1,Data!$M$2:$M$1105,$BB$184)&lt;Controls!$B$19,"",IFERROR(SUMIFS(Data!$AN$2:$AN$1105,Data!$AK$2:$AK$1105,1,Data!$M$2:$M$1105,$BB$184)/$BD$184,""))</f>
        <v/>
      </c>
      <c r="BF184" s="56">
        <f>IF(COUNTIFS(Data!$AK$2:$AK$1105,1,Data!$M$2:$M$1105,$BB$184)&lt;Controls!$B$19,"",IFERROR(SUMIFS(Data!$AM$2:$AM$1105,Data!$AK$2:$AK$1105,1,Data!$M$2:$M$1105,$BB$184)/SUMIFS(Data!$P$2:$P$1105,Data!$AK$2:$AK$1105,1,Data!$M$2:$M$1105,$BB$184),""))</f>
        <v/>
      </c>
      <c r="BG184" s="57">
        <f>SUMIFS(Data!$AN$2:$AN$1105,Data!$AK$2:$AK$1105,1,Data!$M$2:$M$1105,$BB$184)</f>
        <v/>
      </c>
      <c r="BH184" s="61" t="n"/>
      <c r="BI184" s="61">
        <f>IF(AND($BC$184&gt;=Controls!$B$22,$BD$184&gt;=LARGE($BD$75:$BD$230,MIN(Controls!$B$18,COUNT($BD$75:$BD$230)))),$BE$184,"")</f>
        <v/>
      </c>
      <c r="BJ184" s="61" t="n"/>
      <c r="BK184" s="61">
        <f>IF($BC$184&lt;Controls!$B$22,"",$BE$184)</f>
        <v/>
      </c>
      <c r="BL184" s="61">
        <f>IF($BC$184&lt;Controls!$B$22,"",$BF$184)</f>
        <v/>
      </c>
      <c r="BM184" s="61">
        <f>IF($BC$184&lt;Controls!$B$22,"",$BG$184)</f>
        <v/>
      </c>
      <c r="BN184" s="61" t="n"/>
      <c r="BO184" s="61" t="n"/>
      <c r="BP184" s="61" t="n"/>
      <c r="BQ184" s="61" t="n"/>
      <c r="BR184" s="61" t="n"/>
      <c r="BS184" s="61" t="n"/>
      <c r="BT184" s="61" t="n"/>
    </row>
    <row r="185" ht="15.75" customHeight="1" s="79">
      <c r="A185" s="61" t="n"/>
      <c r="B185" s="61" t="n"/>
      <c r="C185" s="61" t="n"/>
      <c r="D185" s="61" t="n"/>
      <c r="E185" s="61" t="n"/>
      <c r="F185" s="61" t="n"/>
      <c r="G185" s="61" t="n"/>
      <c r="H185" s="61" t="n"/>
      <c r="I185" s="61" t="n"/>
      <c r="J185" s="61" t="n"/>
      <c r="K185" s="61" t="n"/>
      <c r="L185" s="61" t="n"/>
      <c r="M185" s="61" t="n"/>
      <c r="N185" s="61" t="n"/>
      <c r="O185" s="61" t="n"/>
      <c r="P185" s="61" t="n"/>
      <c r="Q185" s="61" t="n"/>
      <c r="R185" s="61" t="n"/>
      <c r="S185" s="61" t="n"/>
      <c r="T185" s="61" t="n"/>
      <c r="U185" s="61" t="n"/>
      <c r="V185" s="61" t="n"/>
      <c r="W185" s="61" t="n"/>
      <c r="X185" s="61" t="n"/>
      <c r="Y185" s="61" t="n"/>
      <c r="Z185" s="61" t="n"/>
      <c r="AA185" s="61" t="n"/>
      <c r="AB185" s="61" t="n"/>
      <c r="AC185" s="61" t="n"/>
      <c r="AD185" s="61" t="n"/>
      <c r="AE185" s="61" t="n"/>
      <c r="AF185" s="61" t="n"/>
      <c r="AG185" s="61" t="n"/>
      <c r="AH185" s="61" t="n"/>
      <c r="AI185" s="61" t="n"/>
      <c r="AJ185" s="61" t="n"/>
      <c r="AK185" s="61" t="n"/>
      <c r="AL185" s="61" t="n"/>
      <c r="AM185" s="61" t="n"/>
      <c r="AN185" s="61">
        <f>Controls!$G$82</f>
        <v/>
      </c>
      <c r="AO185" s="61">
        <f>COUNTIFS(Data!$AK$2:$AK$1105,1,Data!$M$2:$M$1105,$AN$185)</f>
        <v/>
      </c>
      <c r="AP185" s="57">
        <f>SUMIFS(Data!$P$2:$P$1105,Data!$AK$2:$AK$1105,1,Data!$M$2:$M$1105,$AN$185)</f>
        <v/>
      </c>
      <c r="AQ185" s="56">
        <f>IFERROR(SUMIFS(Data!$AN$2:$AN$1105,Data!$AK$2:$AK$1105,1,Data!$M$2:$M$1105,$AN$185)/$AP$185,0)</f>
        <v/>
      </c>
      <c r="AR185" s="57">
        <f>SUMIFS(Data!$AN$2:$AN$1105,Data!$AK$2:$AK$1105,1,Data!$M$2:$M$1105,$AN$185)</f>
        <v/>
      </c>
      <c r="AS185" s="61">
        <f>Controls!$H$82</f>
        <v/>
      </c>
      <c r="AT185" s="61">
        <f>IF(OR(AO185=0,AO185&lt;Controls!$B$20),-1000000000000000,IF(AND(Controls!$B$21="Y",$AN$185="No ISO"),-1000000000000000,IF(Controls!$B$17="Selected only",IF(AS185="Y",AP185,-1000000000000000),IF(Controls!$B$17="Top by funded $",AP185,IF(Controls!$B$17="Top by funded units",AO185,IF(Controls!$B$17="Largest principal lost $",AR185,IF(Controls!$B$17="Highest net profit $",AU185,IF(AO185&lt;Controls!$B$19,-1000000000000000,IF(Controls!$B$17="Highest principal lost rate %",AQ185,IF(Controls!$B$17="Lowest principal lost rate %",1-AQ185,AP185))))))))) +43/1000000)</f>
        <v/>
      </c>
      <c r="AU185" s="57">
        <f>SUMIFS(Data!$AM$2:$AM$1105,Data!$AK$2:$AK$1105,1,Data!$M$2:$M$1105,$AN$185)</f>
        <v/>
      </c>
      <c r="AV185" s="61" t="n"/>
      <c r="AW185" s="61" t="n"/>
      <c r="AX185" s="61" t="n"/>
      <c r="AY185" s="61" t="n"/>
      <c r="AZ185" s="61" t="n"/>
      <c r="BA185" s="61" t="n"/>
      <c r="BB185" s="61">
        <f>Controls!$G$150</f>
        <v/>
      </c>
      <c r="BC185" s="61">
        <f>COUNTIFS(Data!$AK$2:$AK$1105,1,Data!$M$2:$M$1105,$BB$185)</f>
        <v/>
      </c>
      <c r="BD185" s="57">
        <f>SUMIFS(Data!$P$2:$P$1105,Data!$AK$2:$AK$1105,1,Data!$M$2:$M$1105,$BB$185)</f>
        <v/>
      </c>
      <c r="BE185" s="56">
        <f>IF(COUNTIFS(Data!$AK$2:$AK$1105,1,Data!$M$2:$M$1105,$BB$185)&lt;Controls!$B$19,"",IFERROR(SUMIFS(Data!$AN$2:$AN$1105,Data!$AK$2:$AK$1105,1,Data!$M$2:$M$1105,$BB$185)/$BD$185,""))</f>
        <v/>
      </c>
      <c r="BF185" s="56">
        <f>IF(COUNTIFS(Data!$AK$2:$AK$1105,1,Data!$M$2:$M$1105,$BB$185)&lt;Controls!$B$19,"",IFERROR(SUMIFS(Data!$AM$2:$AM$1105,Data!$AK$2:$AK$1105,1,Data!$M$2:$M$1105,$BB$185)/SUMIFS(Data!$P$2:$P$1105,Data!$AK$2:$AK$1105,1,Data!$M$2:$M$1105,$BB$185),""))</f>
        <v/>
      </c>
      <c r="BG185" s="57">
        <f>SUMIFS(Data!$AN$2:$AN$1105,Data!$AK$2:$AK$1105,1,Data!$M$2:$M$1105,$BB$185)</f>
        <v/>
      </c>
      <c r="BH185" s="61" t="n"/>
      <c r="BI185" s="61">
        <f>IF(AND($BC$185&gt;=Controls!$B$22,$BD$185&gt;=LARGE($BD$75:$BD$230,MIN(Controls!$B$18,COUNT($BD$75:$BD$230)))),$BE$185,"")</f>
        <v/>
      </c>
      <c r="BJ185" s="61" t="n"/>
      <c r="BK185" s="61">
        <f>IF($BC$185&lt;Controls!$B$22,"",$BE$185)</f>
        <v/>
      </c>
      <c r="BL185" s="61">
        <f>IF($BC$185&lt;Controls!$B$22,"",$BF$185)</f>
        <v/>
      </c>
      <c r="BM185" s="61">
        <f>IF($BC$185&lt;Controls!$B$22,"",$BG$185)</f>
        <v/>
      </c>
      <c r="BN185" s="61" t="n"/>
      <c r="BO185" s="61" t="n"/>
      <c r="BP185" s="61" t="n"/>
      <c r="BQ185" s="61" t="n"/>
      <c r="BR185" s="61" t="n"/>
      <c r="BS185" s="61" t="n"/>
      <c r="BT185" s="61" t="n"/>
    </row>
    <row r="186" ht="15.75" customHeight="1" s="79">
      <c r="A186" s="61" t="inlineStr">
        <is>
          <t xml:space="preserve">Funding quarter - </t>
        </is>
      </c>
      <c r="B186" s="61" t="n"/>
      <c r="C186" s="61" t="n"/>
      <c r="D186" s="61" t="n"/>
      <c r="E186" s="61" t="n"/>
      <c r="F186" s="61" t="n"/>
      <c r="G186" s="61" t="n"/>
      <c r="H186" s="61" t="n"/>
      <c r="I186" s="61" t="n"/>
      <c r="J186" s="61" t="n"/>
      <c r="K186" s="61" t="n"/>
      <c r="L186" s="61" t="n"/>
      <c r="M186" s="61" t="n"/>
      <c r="N186" s="61" t="n"/>
      <c r="O186" s="61" t="n"/>
      <c r="P186" s="61" t="n"/>
      <c r="Q186" s="61" t="n"/>
      <c r="R186" s="61" t="n"/>
      <c r="S186" s="61" t="n"/>
      <c r="T186" s="61" t="n"/>
      <c r="U186" s="61" t="n"/>
      <c r="V186" s="61" t="n"/>
      <c r="W186" s="61" t="n"/>
      <c r="X186" s="61" t="n"/>
      <c r="Y186" s="61" t="n"/>
      <c r="Z186" s="61" t="n"/>
      <c r="AA186" s="61" t="n"/>
      <c r="AB186" s="61" t="n"/>
      <c r="AC186" s="61" t="n"/>
      <c r="AD186" s="61" t="n"/>
      <c r="AE186" s="61" t="n"/>
      <c r="AF186" s="61" t="n"/>
      <c r="AG186" s="61" t="n"/>
      <c r="AH186" s="61" t="n"/>
      <c r="AI186" s="61" t="n"/>
      <c r="AJ186" s="61" t="n"/>
      <c r="AK186" s="61" t="n"/>
      <c r="AL186" s="61" t="n"/>
      <c r="AM186" s="61" t="n"/>
      <c r="AN186" s="61">
        <f>Controls!$G$83</f>
        <v/>
      </c>
      <c r="AO186" s="61">
        <f>COUNTIFS(Data!$AK$2:$AK$1105,1,Data!$M$2:$M$1105,$AN$186)</f>
        <v/>
      </c>
      <c r="AP186" s="57">
        <f>SUMIFS(Data!$P$2:$P$1105,Data!$AK$2:$AK$1105,1,Data!$M$2:$M$1105,$AN$186)</f>
        <v/>
      </c>
      <c r="AQ186" s="56">
        <f>IFERROR(SUMIFS(Data!$AN$2:$AN$1105,Data!$AK$2:$AK$1105,1,Data!$M$2:$M$1105,$AN$186)/$AP$186,0)</f>
        <v/>
      </c>
      <c r="AR186" s="57">
        <f>SUMIFS(Data!$AN$2:$AN$1105,Data!$AK$2:$AK$1105,1,Data!$M$2:$M$1105,$AN$186)</f>
        <v/>
      </c>
      <c r="AS186" s="61">
        <f>Controls!$H$83</f>
        <v/>
      </c>
      <c r="AT186" s="61">
        <f>IF(OR(AO186=0,AO186&lt;Controls!$B$20),-1000000000000000,IF(AND(Controls!$B$21="Y",$AN$186="No ISO"),-1000000000000000,IF(Controls!$B$17="Selected only",IF(AS186="Y",AP186,-1000000000000000),IF(Controls!$B$17="Top by funded $",AP186,IF(Controls!$B$17="Top by funded units",AO186,IF(Controls!$B$17="Largest principal lost $",AR186,IF(Controls!$B$17="Highest net profit $",AU186,IF(AO186&lt;Controls!$B$19,-1000000000000000,IF(Controls!$B$17="Highest principal lost rate %",AQ186,IF(Controls!$B$17="Lowest principal lost rate %",1-AQ186,AP186))))))))) +44/1000000)</f>
        <v/>
      </c>
      <c r="AU186" s="57">
        <f>SUMIFS(Data!$AM$2:$AM$1105,Data!$AK$2:$AK$1105,1,Data!$M$2:$M$1105,$AN$186)</f>
        <v/>
      </c>
      <c r="AV186" s="61" t="n"/>
      <c r="AW186" s="61" t="n"/>
      <c r="AX186" s="61" t="n"/>
      <c r="AY186" s="61" t="n"/>
      <c r="AZ186" s="61" t="n"/>
      <c r="BA186" s="61" t="n"/>
      <c r="BB186" s="61">
        <f>Controls!$G$151</f>
        <v/>
      </c>
      <c r="BC186" s="61">
        <f>COUNTIFS(Data!$AK$2:$AK$1105,1,Data!$M$2:$M$1105,$BB$186)</f>
        <v/>
      </c>
      <c r="BD186" s="57">
        <f>SUMIFS(Data!$P$2:$P$1105,Data!$AK$2:$AK$1105,1,Data!$M$2:$M$1105,$BB$186)</f>
        <v/>
      </c>
      <c r="BE186" s="56">
        <f>IF(COUNTIFS(Data!$AK$2:$AK$1105,1,Data!$M$2:$M$1105,$BB$186)&lt;Controls!$B$19,"",IFERROR(SUMIFS(Data!$AN$2:$AN$1105,Data!$AK$2:$AK$1105,1,Data!$M$2:$M$1105,$BB$186)/$BD$186,""))</f>
        <v/>
      </c>
      <c r="BF186" s="56">
        <f>IF(COUNTIFS(Data!$AK$2:$AK$1105,1,Data!$M$2:$M$1105,$BB$186)&lt;Controls!$B$19,"",IFERROR(SUMIFS(Data!$AM$2:$AM$1105,Data!$AK$2:$AK$1105,1,Data!$M$2:$M$1105,$BB$186)/SUMIFS(Data!$P$2:$P$1105,Data!$AK$2:$AK$1105,1,Data!$M$2:$M$1105,$BB$186),""))</f>
        <v/>
      </c>
      <c r="BG186" s="57">
        <f>SUMIFS(Data!$AN$2:$AN$1105,Data!$AK$2:$AK$1105,1,Data!$M$2:$M$1105,$BB$186)</f>
        <v/>
      </c>
      <c r="BH186" s="61" t="n"/>
      <c r="BI186" s="61">
        <f>IF(AND($BC$186&gt;=Controls!$B$22,$BD$186&gt;=LARGE($BD$75:$BD$230,MIN(Controls!$B$18,COUNT($BD$75:$BD$230)))),$BE$186,"")</f>
        <v/>
      </c>
      <c r="BJ186" s="61" t="n"/>
      <c r="BK186" s="61">
        <f>IF($BC$186&lt;Controls!$B$22,"",$BE$186)</f>
        <v/>
      </c>
      <c r="BL186" s="61">
        <f>IF($BC$186&lt;Controls!$B$22,"",$BF$186)</f>
        <v/>
      </c>
      <c r="BM186" s="61">
        <f>IF($BC$186&lt;Controls!$B$22,"",$BG$186)</f>
        <v/>
      </c>
      <c r="BN186" s="61" t="n"/>
      <c r="BO186" s="61" t="n"/>
      <c r="BP186" s="61" t="n"/>
      <c r="BQ186" s="61" t="n"/>
      <c r="BR186" s="61" t="n"/>
      <c r="BS186" s="61" t="n"/>
      <c r="BT186" s="61" t="n"/>
    </row>
    <row r="187" ht="15.75" customHeight="1" s="79">
      <c r="A187" s="61" t="inlineStr">
        <is>
          <t>Label</t>
        </is>
      </c>
      <c r="B187" s="61" t="inlineStr">
        <is>
          <t>Funded $</t>
        </is>
      </c>
      <c r="C187" s="61" t="inlineStr">
        <is>
          <t>Collected $</t>
        </is>
      </c>
      <c r="D187" s="61" t="inlineStr">
        <is>
          <t>Net profit / loss $</t>
        </is>
      </c>
      <c r="E187" s="61" t="inlineStr">
        <is>
          <t>Commission $</t>
        </is>
      </c>
      <c r="F187" s="61" t="inlineStr">
        <is>
          <t>Principal lost $</t>
        </is>
      </c>
      <c r="G187" s="61" t="inlineStr">
        <is>
          <t>Principal lost rate</t>
        </is>
      </c>
      <c r="H187" s="61" t="inlineStr">
        <is>
          <t>Recovery rate</t>
        </is>
      </c>
      <c r="I187" s="61" t="inlineStr">
        <is>
          <t>Return on funded capital (%)</t>
        </is>
      </c>
      <c r="J187" s="61" t="inlineStr">
        <is>
          <t>Deals</t>
        </is>
      </c>
      <c r="K187" s="61" t="inlineStr">
        <is>
          <t>Share of funded dollars</t>
        </is>
      </c>
      <c r="L187" s="61" t="inlineStr">
        <is>
          <t>Avg deal size</t>
        </is>
      </c>
      <c r="M187" s="61" t="inlineStr">
        <is>
          <t>Avg expected term (business days)</t>
        </is>
      </c>
      <c r="N187" s="61" t="inlineStr">
        <is>
          <t>Avg expected term (payments)</t>
        </is>
      </c>
      <c r="O187" s="61" t="inlineStr">
        <is>
          <t>Avg days on book, defaulted</t>
        </is>
      </c>
      <c r="P187" s="61" t="inlineStr">
        <is>
          <t>Avg days to close</t>
        </is>
      </c>
      <c r="Q187" s="61" t="inlineStr">
        <is>
          <t>% of deals that were renewals</t>
        </is>
      </c>
      <c r="R187" s="61" t="inlineStr">
        <is>
          <t>% of funded dollars from renewals</t>
        </is>
      </c>
      <c r="S187" s="61" t="inlineStr">
        <is>
          <t>Book lost rate</t>
        </is>
      </c>
      <c r="T187" s="61" t="inlineStr">
        <is>
          <t>Book recovery</t>
        </is>
      </c>
      <c r="U187" s="61" t="inlineStr">
        <is>
          <t>Book return on funded capital</t>
        </is>
      </c>
      <c r="V187" s="61" t="inlineStr">
        <is>
          <t>Default rate (#)</t>
        </is>
      </c>
      <c r="W187" s="61" t="inlineStr">
        <is>
          <t>Chart label (name + deals)</t>
        </is>
      </c>
      <c r="X187" s="61" t="n"/>
      <c r="Y187" s="61" t="n"/>
      <c r="Z187" s="61" t="n"/>
      <c r="AA187" s="61" t="n"/>
      <c r="AB187" s="61" t="n"/>
      <c r="AC187" s="61" t="n"/>
      <c r="AD187" s="61" t="n"/>
      <c r="AE187" s="61" t="n"/>
      <c r="AF187" s="61" t="n"/>
      <c r="AG187" s="61" t="n"/>
      <c r="AH187" s="61" t="n"/>
      <c r="AI187" s="61" t="n"/>
      <c r="AJ187" s="61" t="n"/>
      <c r="AK187" s="61" t="n"/>
      <c r="AL187" s="61" t="n"/>
      <c r="AM187" s="61" t="n"/>
      <c r="AN187" s="61">
        <f>Controls!$G$84</f>
        <v/>
      </c>
      <c r="AO187" s="61">
        <f>COUNTIFS(Data!$AK$2:$AK$1105,1,Data!$M$2:$M$1105,$AN$187)</f>
        <v/>
      </c>
      <c r="AP187" s="57">
        <f>SUMIFS(Data!$P$2:$P$1105,Data!$AK$2:$AK$1105,1,Data!$M$2:$M$1105,$AN$187)</f>
        <v/>
      </c>
      <c r="AQ187" s="56">
        <f>IFERROR(SUMIFS(Data!$AN$2:$AN$1105,Data!$AK$2:$AK$1105,1,Data!$M$2:$M$1105,$AN$187)/$AP$187,0)</f>
        <v/>
      </c>
      <c r="AR187" s="57">
        <f>SUMIFS(Data!$AN$2:$AN$1105,Data!$AK$2:$AK$1105,1,Data!$M$2:$M$1105,$AN$187)</f>
        <v/>
      </c>
      <c r="AS187" s="61">
        <f>Controls!$H$84</f>
        <v/>
      </c>
      <c r="AT187" s="61">
        <f>IF(OR(AO187=0,AO187&lt;Controls!$B$20),-1000000000000000,IF(AND(Controls!$B$21="Y",$AN$187="No ISO"),-1000000000000000,IF(Controls!$B$17="Selected only",IF(AS187="Y",AP187,-1000000000000000),IF(Controls!$B$17="Top by funded $",AP187,IF(Controls!$B$17="Top by funded units",AO187,IF(Controls!$B$17="Largest principal lost $",AR187,IF(Controls!$B$17="Highest net profit $",AU187,IF(AO187&lt;Controls!$B$19,-1000000000000000,IF(Controls!$B$17="Highest principal lost rate %",AQ187,IF(Controls!$B$17="Lowest principal lost rate %",1-AQ187,AP187))))))))) +45/1000000)</f>
        <v/>
      </c>
      <c r="AU187" s="57">
        <f>SUMIFS(Data!$AM$2:$AM$1105,Data!$AK$2:$AK$1105,1,Data!$M$2:$M$1105,$AN$187)</f>
        <v/>
      </c>
      <c r="AV187" s="61" t="n"/>
      <c r="AW187" s="61" t="n"/>
      <c r="AX187" s="61" t="n"/>
      <c r="AY187" s="61" t="n"/>
      <c r="AZ187" s="61" t="n"/>
      <c r="BA187" s="61" t="n"/>
      <c r="BB187" s="61">
        <f>Controls!$G$152</f>
        <v/>
      </c>
      <c r="BC187" s="61">
        <f>COUNTIFS(Data!$AK$2:$AK$1105,1,Data!$M$2:$M$1105,$BB$187)</f>
        <v/>
      </c>
      <c r="BD187" s="57">
        <f>SUMIFS(Data!$P$2:$P$1105,Data!$AK$2:$AK$1105,1,Data!$M$2:$M$1105,$BB$187)</f>
        <v/>
      </c>
      <c r="BE187" s="56">
        <f>IF(COUNTIFS(Data!$AK$2:$AK$1105,1,Data!$M$2:$M$1105,$BB$187)&lt;Controls!$B$19,"",IFERROR(SUMIFS(Data!$AN$2:$AN$1105,Data!$AK$2:$AK$1105,1,Data!$M$2:$M$1105,$BB$187)/$BD$187,""))</f>
        <v/>
      </c>
      <c r="BF187" s="56">
        <f>IF(COUNTIFS(Data!$AK$2:$AK$1105,1,Data!$M$2:$M$1105,$BB$187)&lt;Controls!$B$19,"",IFERROR(SUMIFS(Data!$AM$2:$AM$1105,Data!$AK$2:$AK$1105,1,Data!$M$2:$M$1105,$BB$187)/SUMIFS(Data!$P$2:$P$1105,Data!$AK$2:$AK$1105,1,Data!$M$2:$M$1105,$BB$187),""))</f>
        <v/>
      </c>
      <c r="BG187" s="57">
        <f>SUMIFS(Data!$AN$2:$AN$1105,Data!$AK$2:$AK$1105,1,Data!$M$2:$M$1105,$BB$187)</f>
        <v/>
      </c>
      <c r="BH187" s="61" t="n"/>
      <c r="BI187" s="61">
        <f>IF(AND($BC$187&gt;=Controls!$B$22,$BD$187&gt;=LARGE($BD$75:$BD$230,MIN(Controls!$B$18,COUNT($BD$75:$BD$230)))),$BE$187,"")</f>
        <v/>
      </c>
      <c r="BJ187" s="61" t="n"/>
      <c r="BK187" s="61">
        <f>IF($BC$187&lt;Controls!$B$22,"",$BE$187)</f>
        <v/>
      </c>
      <c r="BL187" s="61">
        <f>IF($BC$187&lt;Controls!$B$22,"",$BF$187)</f>
        <v/>
      </c>
      <c r="BM187" s="61">
        <f>IF($BC$187&lt;Controls!$B$22,"",$BG$187)</f>
        <v/>
      </c>
      <c r="BN187" s="61" t="n"/>
      <c r="BO187" s="61" t="n"/>
      <c r="BP187" s="61" t="n"/>
      <c r="BQ187" s="61" t="n"/>
      <c r="BR187" s="61" t="n"/>
      <c r="BS187" s="61" t="n"/>
      <c r="BT187" s="61" t="n"/>
    </row>
    <row r="188" ht="15.75" customHeight="1" s="79">
      <c r="A188" s="61">
        <f>IF(EDATE(Controls!$B$5,0)&gt;Controls!$B$6,"",TEXT(EDATE(Controls!$B$5,0),"YYYY")&amp;"-Q"&amp;ROUNDUP(MONTH(EDATE(Controls!$B$5,0))/3,0))</f>
        <v/>
      </c>
      <c r="B188" s="66">
        <f>IF($A$188="",NA(),IFERROR(SUMIFS(Data!$P$2:$P$1105,Data!$AK$2:$AK$1105,1,Data!$AZ$2:$AZ$1105,$A$188),NA()))</f>
        <v/>
      </c>
      <c r="C188" s="66">
        <f>IF($A$188="",NA(),IFERROR(SUMIFS(Data!$S$2:$S$1105,Data!$AK$2:$AK$1105,1,Data!$AZ$2:$AZ$1105,$A$188),NA()))</f>
        <v/>
      </c>
      <c r="D188" s="66">
        <f>IF(ISNA($B$188),NA(),$C$188-$B$188)</f>
        <v/>
      </c>
      <c r="E188" s="66">
        <f>IF($A$188="",NA(),IFERROR(SUMIFS(Data!$Q$2:$Q$1105,Data!$AK$2:$AK$1105,1,Data!$AZ$2:$AZ$1105,$A$188),NA()))</f>
        <v/>
      </c>
      <c r="F188" s="66">
        <f>IF($A$188="",NA(),IFERROR(SUMIFS(Data!$AN$2:$AN$1105,Data!$AK$2:$AK$1105,1,Data!$AZ$2:$AZ$1105,$A$188),NA()))</f>
        <v/>
      </c>
      <c r="G188" s="62">
        <f>IF($A$188="",NA(),IF(COUNTIFS(Data!$AK$2:$AK$1105,1,Data!$AZ$2:$AZ$1105,$A$188)&lt;Controls!$B$19,NA(),IFERROR(SUMIFS(Data!$AN$2:$AN$1105,Data!$AK$2:$AK$1105,1,Data!$AZ$2:$AZ$1105,$A$188)/$B$188,NA())))</f>
        <v/>
      </c>
      <c r="H188" s="62">
        <f>IF($A$188="",NA(),IF(COUNTIFS(Data!$AK$2:$AK$1105,1,Data!$AZ$2:$AZ$1105,$A$188)&lt;Controls!$B$19,NA(),IFERROR(SUMIFS(Data!$S$2:$S$1105,Data!$AK$2:$AK$1105,1,Data!$AZ$2:$AZ$1105,$A$188,Data!$AH$2:$AH$1105,1)/SUMIFS(Data!$P$2:$P$1105,Data!$AK$2:$AK$1105,1,Data!$AZ$2:$AZ$1105,$A$188,Data!$AH$2:$AH$1105,1),NA())))</f>
        <v/>
      </c>
      <c r="I188" s="62">
        <f>IF(ISNA($J$188),NA(),IF($J$188&lt;Controls!$B$19,NA(),IFERROR($D$188/$B$188,NA())))</f>
        <v/>
      </c>
      <c r="J188" s="67">
        <f>IF($A$188="",NA(),IFERROR(COUNTIFS(Data!$AK$2:$AK$1105,1,Data!$AZ$2:$AZ$1105,$A$188),NA()))</f>
        <v/>
      </c>
      <c r="K188" s="62">
        <f>IF(ISNA($B$188),NA(),IFERROR($B$188/Calc!$BT$6,NA()))</f>
        <v/>
      </c>
      <c r="L188" s="66">
        <f>IF(ISNA($J$188),NA(),IF($J$188&lt;Controls!$B$19,NA(),IFERROR($B$188/$J$188,NA())))</f>
        <v/>
      </c>
      <c r="M188" s="67">
        <f>IF($A$188="",NA(),IF(COUNTIFS(Data!$AK$2:$AK$1105,1,Data!$AZ$2:$AZ$1105,$A$188)&lt;Controls!$B$19,NA(),IFERROR(AVERAGEIFS(Data!$AE$2:$AE$1105,Data!$AK$2:$AK$1105,1,Data!$AZ$2:$AZ$1105,$A$188),NA())))</f>
        <v/>
      </c>
      <c r="N188" s="67">
        <f>IF($A$188="",NA(),IF(COUNTIFS(Data!$AK$2:$AK$1105,1,Data!$AZ$2:$AZ$1105,$A$188)&lt;Controls!$B$19,NA(),IFERROR(AVERAGEIFS(Data!$AD$2:$AD$1105,Data!$AK$2:$AK$1105,1,Data!$AZ$2:$AZ$1105,$A$188),NA())))</f>
        <v/>
      </c>
      <c r="O188" s="67">
        <f>IF($A$188="",NA(),IF(COUNTIFS(Data!$AK$2:$AK$1105,1,Data!$AZ$2:$AZ$1105,$A$188)&lt;Controls!$B$19,NA(),IFERROR(AVERAGEIFS(Data!$AS$2:$AS$1105,Data!$AK$2:$AK$1105,1,Data!$AZ$2:$AZ$1105,$A$188),NA())))</f>
        <v/>
      </c>
      <c r="P188" s="67">
        <f>IF($A$188="",NA(),IF(COUNTIFS(Data!$AK$2:$AK$1105,1,Data!$AZ$2:$AZ$1105,$A$188)&lt;Controls!$B$19,NA(),IFERROR(AVERAGEIFS(Data!$AT$2:$AT$1105,Data!$AK$2:$AK$1105,1,Data!$AZ$2:$AZ$1105,$A$188),NA())))</f>
        <v/>
      </c>
      <c r="Q188" s="62">
        <f>IF($A$188="",NA(),IF(COUNTIFS(Data!$AK$2:$AK$1105,1,Data!$AZ$2:$AZ$1105,$A$188)&lt;Controls!$B$19,NA(),IFERROR(COUNTIFS(Data!$AK$2:$AK$1105,1,Data!$AZ$2:$AZ$1105,$A$188,Data!$N$2:$N$1105,"Renewal")/COUNTIFS(Data!$AK$2:$AK$1105,1,Data!$AZ$2:$AZ$1105,$A$188),NA())))</f>
        <v/>
      </c>
      <c r="R188" s="62">
        <f>IF($A$188="",NA(),IF(COUNTIFS(Data!$AK$2:$AK$1105,1,Data!$AZ$2:$AZ$1105,$A$188)&lt;Controls!$B$19,NA(),IFERROR(SUMIFS(Data!$P$2:$P$1105,Data!$AK$2:$AK$1105,1,Data!$AZ$2:$AZ$1105,$A$188,Data!$N$2:$N$1105,"Renewal")/SUMIFS(Data!$P$2:$P$1105,Data!$AK$2:$AK$1105,1,Data!$AZ$2:$AZ$1105,$A$188),NA())))</f>
        <v/>
      </c>
      <c r="S188" s="62">
        <f>IF($A$188="",NA(),Calc!$BT$2)</f>
        <v/>
      </c>
      <c r="T188" s="62">
        <f>IF($A$188="",NA(),Calc!$BT$3)</f>
        <v/>
      </c>
      <c r="U188" s="62">
        <f>IF($A$188="",NA(),Calc!$BT$4)</f>
        <v/>
      </c>
      <c r="V188" s="62">
        <f>IF($A$188="",NA(),IF(COUNTIFS(Data!$AK$2:$AK$1105,1,Data!$AZ$2:$AZ$1105,$A$188)&lt;Controls!$B$19,NA(),IFERROR(COUNTIFS(Data!$AK$2:$AK$1105,1,Data!$AZ$2:$AZ$1105,$A$188,Data!$AH$2:$AH$1105,1)/COUNTIFS(Data!$AK$2:$AK$1105,1,Data!$AZ$2:$AZ$1105,$A$188),NA())))</f>
        <v/>
      </c>
      <c r="W188" s="61">
        <f>IF($A$188="","",$A$188&amp;" ("&amp;$J$188&amp;")")</f>
        <v/>
      </c>
      <c r="X188" s="61" t="n"/>
      <c r="Y188" s="61" t="n"/>
      <c r="Z188" s="61" t="n"/>
      <c r="AA188" s="61" t="n"/>
      <c r="AB188" s="61" t="n"/>
      <c r="AC188" s="61" t="n"/>
      <c r="AD188" s="61" t="n"/>
      <c r="AE188" s="61" t="n"/>
      <c r="AF188" s="61" t="n"/>
      <c r="AG188" s="61" t="n"/>
      <c r="AH188" s="61" t="n"/>
      <c r="AI188" s="61" t="n"/>
      <c r="AJ188" s="61" t="n"/>
      <c r="AK188" s="61" t="n"/>
      <c r="AL188" s="61" t="n"/>
      <c r="AM188" s="61" t="n"/>
      <c r="AN188" s="61">
        <f>Controls!$G$85</f>
        <v/>
      </c>
      <c r="AO188" s="61">
        <f>COUNTIFS(Data!$AK$2:$AK$1105,1,Data!$M$2:$M$1105,$AN$188)</f>
        <v/>
      </c>
      <c r="AP188" s="57">
        <f>SUMIFS(Data!$P$2:$P$1105,Data!$AK$2:$AK$1105,1,Data!$M$2:$M$1105,$AN$188)</f>
        <v/>
      </c>
      <c r="AQ188" s="56">
        <f>IFERROR(SUMIFS(Data!$AN$2:$AN$1105,Data!$AK$2:$AK$1105,1,Data!$M$2:$M$1105,$AN$188)/$AP$188,0)</f>
        <v/>
      </c>
      <c r="AR188" s="57">
        <f>SUMIFS(Data!$AN$2:$AN$1105,Data!$AK$2:$AK$1105,1,Data!$M$2:$M$1105,$AN$188)</f>
        <v/>
      </c>
      <c r="AS188" s="61">
        <f>Controls!$H$85</f>
        <v/>
      </c>
      <c r="AT188" s="61">
        <f>IF(OR(AO188=0,AO188&lt;Controls!$B$20),-1000000000000000,IF(AND(Controls!$B$21="Y",$AN$188="No ISO"),-1000000000000000,IF(Controls!$B$17="Selected only",IF(AS188="Y",AP188,-1000000000000000),IF(Controls!$B$17="Top by funded $",AP188,IF(Controls!$B$17="Top by funded units",AO188,IF(Controls!$B$17="Largest principal lost $",AR188,IF(Controls!$B$17="Highest net profit $",AU188,IF(AO188&lt;Controls!$B$19,-1000000000000000,IF(Controls!$B$17="Highest principal lost rate %",AQ188,IF(Controls!$B$17="Lowest principal lost rate %",1-AQ188,AP188))))))))) +46/1000000)</f>
        <v/>
      </c>
      <c r="AU188" s="57">
        <f>SUMIFS(Data!$AM$2:$AM$1105,Data!$AK$2:$AK$1105,1,Data!$M$2:$M$1105,$AN$188)</f>
        <v/>
      </c>
      <c r="AV188" s="61" t="n"/>
      <c r="AW188" s="61" t="n"/>
      <c r="AX188" s="61" t="n"/>
      <c r="AY188" s="61" t="n"/>
      <c r="AZ188" s="61" t="n"/>
      <c r="BA188" s="61" t="n"/>
      <c r="BB188" s="61">
        <f>Controls!$G$153</f>
        <v/>
      </c>
      <c r="BC188" s="61">
        <f>COUNTIFS(Data!$AK$2:$AK$1105,1,Data!$M$2:$M$1105,$BB$188)</f>
        <v/>
      </c>
      <c r="BD188" s="57">
        <f>SUMIFS(Data!$P$2:$P$1105,Data!$AK$2:$AK$1105,1,Data!$M$2:$M$1105,$BB$188)</f>
        <v/>
      </c>
      <c r="BE188" s="56">
        <f>IF(COUNTIFS(Data!$AK$2:$AK$1105,1,Data!$M$2:$M$1105,$BB$188)&lt;Controls!$B$19,"",IFERROR(SUMIFS(Data!$AN$2:$AN$1105,Data!$AK$2:$AK$1105,1,Data!$M$2:$M$1105,$BB$188)/$BD$188,""))</f>
        <v/>
      </c>
      <c r="BF188" s="56">
        <f>IF(COUNTIFS(Data!$AK$2:$AK$1105,1,Data!$M$2:$M$1105,$BB$188)&lt;Controls!$B$19,"",IFERROR(SUMIFS(Data!$AM$2:$AM$1105,Data!$AK$2:$AK$1105,1,Data!$M$2:$M$1105,$BB$188)/SUMIFS(Data!$P$2:$P$1105,Data!$AK$2:$AK$1105,1,Data!$M$2:$M$1105,$BB$188),""))</f>
        <v/>
      </c>
      <c r="BG188" s="57">
        <f>SUMIFS(Data!$AN$2:$AN$1105,Data!$AK$2:$AK$1105,1,Data!$M$2:$M$1105,$BB$188)</f>
        <v/>
      </c>
      <c r="BH188" s="61" t="n"/>
      <c r="BI188" s="61">
        <f>IF(AND($BC$188&gt;=Controls!$B$22,$BD$188&gt;=LARGE($BD$75:$BD$230,MIN(Controls!$B$18,COUNT($BD$75:$BD$230)))),$BE$188,"")</f>
        <v/>
      </c>
      <c r="BJ188" s="61" t="n"/>
      <c r="BK188" s="61">
        <f>IF($BC$188&lt;Controls!$B$22,"",$BE$188)</f>
        <v/>
      </c>
      <c r="BL188" s="61">
        <f>IF($BC$188&lt;Controls!$B$22,"",$BF$188)</f>
        <v/>
      </c>
      <c r="BM188" s="61">
        <f>IF($BC$188&lt;Controls!$B$22,"",$BG$188)</f>
        <v/>
      </c>
      <c r="BN188" s="61" t="n"/>
      <c r="BO188" s="61" t="n"/>
      <c r="BP188" s="61" t="n"/>
      <c r="BQ188" s="61" t="n"/>
      <c r="BR188" s="61" t="n"/>
      <c r="BS188" s="61" t="n"/>
      <c r="BT188" s="61" t="n"/>
    </row>
    <row r="189" ht="15.75" customHeight="1" s="79">
      <c r="A189" s="61">
        <f>IF(EDATE(Controls!$B$5,3)&gt;Controls!$B$6,"",TEXT(EDATE(Controls!$B$5,3),"YYYY")&amp;"-Q"&amp;ROUNDUP(MONTH(EDATE(Controls!$B$5,3))/3,0))</f>
        <v/>
      </c>
      <c r="B189" s="66">
        <f>IF($A$189="",NA(),IFERROR(SUMIFS(Data!$P$2:$P$1105,Data!$AK$2:$AK$1105,1,Data!$AZ$2:$AZ$1105,$A$189),NA()))</f>
        <v/>
      </c>
      <c r="C189" s="66">
        <f>IF($A$189="",NA(),IFERROR(SUMIFS(Data!$S$2:$S$1105,Data!$AK$2:$AK$1105,1,Data!$AZ$2:$AZ$1105,$A$189),NA()))</f>
        <v/>
      </c>
      <c r="D189" s="66">
        <f>IF(ISNA($B$189),NA(),$C$189-$B$189)</f>
        <v/>
      </c>
      <c r="E189" s="66">
        <f>IF($A$189="",NA(),IFERROR(SUMIFS(Data!$Q$2:$Q$1105,Data!$AK$2:$AK$1105,1,Data!$AZ$2:$AZ$1105,$A$189),NA()))</f>
        <v/>
      </c>
      <c r="F189" s="66">
        <f>IF($A$189="",NA(),IFERROR(SUMIFS(Data!$AN$2:$AN$1105,Data!$AK$2:$AK$1105,1,Data!$AZ$2:$AZ$1105,$A$189),NA()))</f>
        <v/>
      </c>
      <c r="G189" s="62">
        <f>IF($A$189="",NA(),IF(COUNTIFS(Data!$AK$2:$AK$1105,1,Data!$AZ$2:$AZ$1105,$A$189)&lt;Controls!$B$19,NA(),IFERROR(SUMIFS(Data!$AN$2:$AN$1105,Data!$AK$2:$AK$1105,1,Data!$AZ$2:$AZ$1105,$A$189)/$B$189,NA())))</f>
        <v/>
      </c>
      <c r="H189" s="62">
        <f>IF($A$189="",NA(),IF(COUNTIFS(Data!$AK$2:$AK$1105,1,Data!$AZ$2:$AZ$1105,$A$189)&lt;Controls!$B$19,NA(),IFERROR(SUMIFS(Data!$S$2:$S$1105,Data!$AK$2:$AK$1105,1,Data!$AZ$2:$AZ$1105,$A$189,Data!$AH$2:$AH$1105,1)/SUMIFS(Data!$P$2:$P$1105,Data!$AK$2:$AK$1105,1,Data!$AZ$2:$AZ$1105,$A$189,Data!$AH$2:$AH$1105,1),NA())))</f>
        <v/>
      </c>
      <c r="I189" s="62">
        <f>IF(ISNA($J$189),NA(),IF($J$189&lt;Controls!$B$19,NA(),IFERROR($D$189/$B$189,NA())))</f>
        <v/>
      </c>
      <c r="J189" s="67">
        <f>IF($A$189="",NA(),IFERROR(COUNTIFS(Data!$AK$2:$AK$1105,1,Data!$AZ$2:$AZ$1105,$A$189),NA()))</f>
        <v/>
      </c>
      <c r="K189" s="62">
        <f>IF(ISNA($B$189),NA(),IFERROR($B$189/Calc!$BT$6,NA()))</f>
        <v/>
      </c>
      <c r="L189" s="66">
        <f>IF(ISNA($J$189),NA(),IF($J$189&lt;Controls!$B$19,NA(),IFERROR($B$189/$J$189,NA())))</f>
        <v/>
      </c>
      <c r="M189" s="67">
        <f>IF($A$189="",NA(),IF(COUNTIFS(Data!$AK$2:$AK$1105,1,Data!$AZ$2:$AZ$1105,$A$189)&lt;Controls!$B$19,NA(),IFERROR(AVERAGEIFS(Data!$AE$2:$AE$1105,Data!$AK$2:$AK$1105,1,Data!$AZ$2:$AZ$1105,$A$189),NA())))</f>
        <v/>
      </c>
      <c r="N189" s="67">
        <f>IF($A$189="",NA(),IF(COUNTIFS(Data!$AK$2:$AK$1105,1,Data!$AZ$2:$AZ$1105,$A$189)&lt;Controls!$B$19,NA(),IFERROR(AVERAGEIFS(Data!$AD$2:$AD$1105,Data!$AK$2:$AK$1105,1,Data!$AZ$2:$AZ$1105,$A$189),NA())))</f>
        <v/>
      </c>
      <c r="O189" s="67">
        <f>IF($A$189="",NA(),IF(COUNTIFS(Data!$AK$2:$AK$1105,1,Data!$AZ$2:$AZ$1105,$A$189)&lt;Controls!$B$19,NA(),IFERROR(AVERAGEIFS(Data!$AS$2:$AS$1105,Data!$AK$2:$AK$1105,1,Data!$AZ$2:$AZ$1105,$A$189),NA())))</f>
        <v/>
      </c>
      <c r="P189" s="67">
        <f>IF($A$189="",NA(),IF(COUNTIFS(Data!$AK$2:$AK$1105,1,Data!$AZ$2:$AZ$1105,$A$189)&lt;Controls!$B$19,NA(),IFERROR(AVERAGEIFS(Data!$AT$2:$AT$1105,Data!$AK$2:$AK$1105,1,Data!$AZ$2:$AZ$1105,$A$189),NA())))</f>
        <v/>
      </c>
      <c r="Q189" s="62">
        <f>IF($A$189="",NA(),IF(COUNTIFS(Data!$AK$2:$AK$1105,1,Data!$AZ$2:$AZ$1105,$A$189)&lt;Controls!$B$19,NA(),IFERROR(COUNTIFS(Data!$AK$2:$AK$1105,1,Data!$AZ$2:$AZ$1105,$A$189,Data!$N$2:$N$1105,"Renewal")/COUNTIFS(Data!$AK$2:$AK$1105,1,Data!$AZ$2:$AZ$1105,$A$189),NA())))</f>
        <v/>
      </c>
      <c r="R189" s="62">
        <f>IF($A$189="",NA(),IF(COUNTIFS(Data!$AK$2:$AK$1105,1,Data!$AZ$2:$AZ$1105,$A$189)&lt;Controls!$B$19,NA(),IFERROR(SUMIFS(Data!$P$2:$P$1105,Data!$AK$2:$AK$1105,1,Data!$AZ$2:$AZ$1105,$A$189,Data!$N$2:$N$1105,"Renewal")/SUMIFS(Data!$P$2:$P$1105,Data!$AK$2:$AK$1105,1,Data!$AZ$2:$AZ$1105,$A$189),NA())))</f>
        <v/>
      </c>
      <c r="S189" s="62">
        <f>IF($A$189="",NA(),Calc!$BT$2)</f>
        <v/>
      </c>
      <c r="T189" s="62">
        <f>IF($A$189="",NA(),Calc!$BT$3)</f>
        <v/>
      </c>
      <c r="U189" s="62">
        <f>IF($A$189="",NA(),Calc!$BT$4)</f>
        <v/>
      </c>
      <c r="V189" s="62">
        <f>IF($A$189="",NA(),IF(COUNTIFS(Data!$AK$2:$AK$1105,1,Data!$AZ$2:$AZ$1105,$A$189)&lt;Controls!$B$19,NA(),IFERROR(COUNTIFS(Data!$AK$2:$AK$1105,1,Data!$AZ$2:$AZ$1105,$A$189,Data!$AH$2:$AH$1105,1)/COUNTIFS(Data!$AK$2:$AK$1105,1,Data!$AZ$2:$AZ$1105,$A$189),NA())))</f>
        <v/>
      </c>
      <c r="W189" s="61">
        <f>IF($A$189="","",$A$189&amp;" ("&amp;$J$189&amp;")")</f>
        <v/>
      </c>
      <c r="X189" s="61" t="n"/>
      <c r="Y189" s="61" t="n"/>
      <c r="Z189" s="61" t="n"/>
      <c r="AA189" s="61" t="n"/>
      <c r="AB189" s="61" t="n"/>
      <c r="AC189" s="61" t="n"/>
      <c r="AD189" s="61" t="n"/>
      <c r="AE189" s="61" t="n"/>
      <c r="AF189" s="61" t="n"/>
      <c r="AG189" s="61" t="n"/>
      <c r="AH189" s="61" t="n"/>
      <c r="AI189" s="61" t="n"/>
      <c r="AJ189" s="61" t="n"/>
      <c r="AK189" s="61" t="n"/>
      <c r="AL189" s="61" t="n"/>
      <c r="AM189" s="61" t="n"/>
      <c r="AN189" s="61">
        <f>Controls!$G$86</f>
        <v/>
      </c>
      <c r="AO189" s="61">
        <f>COUNTIFS(Data!$AK$2:$AK$1105,1,Data!$M$2:$M$1105,$AN$189)</f>
        <v/>
      </c>
      <c r="AP189" s="57">
        <f>SUMIFS(Data!$P$2:$P$1105,Data!$AK$2:$AK$1105,1,Data!$M$2:$M$1105,$AN$189)</f>
        <v/>
      </c>
      <c r="AQ189" s="56">
        <f>IFERROR(SUMIFS(Data!$AN$2:$AN$1105,Data!$AK$2:$AK$1105,1,Data!$M$2:$M$1105,$AN$189)/$AP$189,0)</f>
        <v/>
      </c>
      <c r="AR189" s="57">
        <f>SUMIFS(Data!$AN$2:$AN$1105,Data!$AK$2:$AK$1105,1,Data!$M$2:$M$1105,$AN$189)</f>
        <v/>
      </c>
      <c r="AS189" s="61">
        <f>Controls!$H$86</f>
        <v/>
      </c>
      <c r="AT189" s="61">
        <f>IF(OR(AO189=0,AO189&lt;Controls!$B$20),-1000000000000000,IF(AND(Controls!$B$21="Y",$AN$189="No ISO"),-1000000000000000,IF(Controls!$B$17="Selected only",IF(AS189="Y",AP189,-1000000000000000),IF(Controls!$B$17="Top by funded $",AP189,IF(Controls!$B$17="Top by funded units",AO189,IF(Controls!$B$17="Largest principal lost $",AR189,IF(Controls!$B$17="Highest net profit $",AU189,IF(AO189&lt;Controls!$B$19,-1000000000000000,IF(Controls!$B$17="Highest principal lost rate %",AQ189,IF(Controls!$B$17="Lowest principal lost rate %",1-AQ189,AP189))))))))) +47/1000000)</f>
        <v/>
      </c>
      <c r="AU189" s="57">
        <f>SUMIFS(Data!$AM$2:$AM$1105,Data!$AK$2:$AK$1105,1,Data!$M$2:$M$1105,$AN$189)</f>
        <v/>
      </c>
      <c r="AV189" s="61" t="n"/>
      <c r="AW189" s="61" t="n"/>
      <c r="AX189" s="61" t="n"/>
      <c r="AY189" s="61" t="n"/>
      <c r="AZ189" s="61" t="n"/>
      <c r="BA189" s="61" t="n"/>
      <c r="BB189" s="61">
        <f>Controls!$G$154</f>
        <v/>
      </c>
      <c r="BC189" s="61">
        <f>COUNTIFS(Data!$AK$2:$AK$1105,1,Data!$M$2:$M$1105,$BB$189)</f>
        <v/>
      </c>
      <c r="BD189" s="57">
        <f>SUMIFS(Data!$P$2:$P$1105,Data!$AK$2:$AK$1105,1,Data!$M$2:$M$1105,$BB$189)</f>
        <v/>
      </c>
      <c r="BE189" s="56">
        <f>IF(COUNTIFS(Data!$AK$2:$AK$1105,1,Data!$M$2:$M$1105,$BB$189)&lt;Controls!$B$19,"",IFERROR(SUMIFS(Data!$AN$2:$AN$1105,Data!$AK$2:$AK$1105,1,Data!$M$2:$M$1105,$BB$189)/$BD$189,""))</f>
        <v/>
      </c>
      <c r="BF189" s="56">
        <f>IF(COUNTIFS(Data!$AK$2:$AK$1105,1,Data!$M$2:$M$1105,$BB$189)&lt;Controls!$B$19,"",IFERROR(SUMIFS(Data!$AM$2:$AM$1105,Data!$AK$2:$AK$1105,1,Data!$M$2:$M$1105,$BB$189)/SUMIFS(Data!$P$2:$P$1105,Data!$AK$2:$AK$1105,1,Data!$M$2:$M$1105,$BB$189),""))</f>
        <v/>
      </c>
      <c r="BG189" s="57">
        <f>SUMIFS(Data!$AN$2:$AN$1105,Data!$AK$2:$AK$1105,1,Data!$M$2:$M$1105,$BB$189)</f>
        <v/>
      </c>
      <c r="BH189" s="61" t="n"/>
      <c r="BI189" s="61">
        <f>IF(AND($BC$189&gt;=Controls!$B$22,$BD$189&gt;=LARGE($BD$75:$BD$230,MIN(Controls!$B$18,COUNT($BD$75:$BD$230)))),$BE$189,"")</f>
        <v/>
      </c>
      <c r="BJ189" s="61" t="n"/>
      <c r="BK189" s="61">
        <f>IF($BC$189&lt;Controls!$B$22,"",$BE$189)</f>
        <v/>
      </c>
      <c r="BL189" s="61">
        <f>IF($BC$189&lt;Controls!$B$22,"",$BF$189)</f>
        <v/>
      </c>
      <c r="BM189" s="61">
        <f>IF($BC$189&lt;Controls!$B$22,"",$BG$189)</f>
        <v/>
      </c>
      <c r="BN189" s="61" t="n"/>
      <c r="BO189" s="61" t="n"/>
      <c r="BP189" s="61" t="n"/>
      <c r="BQ189" s="61" t="n"/>
      <c r="BR189" s="61" t="n"/>
      <c r="BS189" s="61" t="n"/>
      <c r="BT189" s="61" t="n"/>
    </row>
    <row r="190" ht="15.75" customHeight="1" s="79">
      <c r="A190" s="61">
        <f>IF(EDATE(Controls!$B$5,6)&gt;Controls!$B$6,"",TEXT(EDATE(Controls!$B$5,6),"YYYY")&amp;"-Q"&amp;ROUNDUP(MONTH(EDATE(Controls!$B$5,6))/3,0))</f>
        <v/>
      </c>
      <c r="B190" s="66">
        <f>IF($A$190="",NA(),IFERROR(SUMIFS(Data!$P$2:$P$1105,Data!$AK$2:$AK$1105,1,Data!$AZ$2:$AZ$1105,$A$190),NA()))</f>
        <v/>
      </c>
      <c r="C190" s="66">
        <f>IF($A$190="",NA(),IFERROR(SUMIFS(Data!$S$2:$S$1105,Data!$AK$2:$AK$1105,1,Data!$AZ$2:$AZ$1105,$A$190),NA()))</f>
        <v/>
      </c>
      <c r="D190" s="66">
        <f>IF(ISNA($B$190),NA(),$C$190-$B$190)</f>
        <v/>
      </c>
      <c r="E190" s="66">
        <f>IF($A$190="",NA(),IFERROR(SUMIFS(Data!$Q$2:$Q$1105,Data!$AK$2:$AK$1105,1,Data!$AZ$2:$AZ$1105,$A$190),NA()))</f>
        <v/>
      </c>
      <c r="F190" s="66">
        <f>IF($A$190="",NA(),IFERROR(SUMIFS(Data!$AN$2:$AN$1105,Data!$AK$2:$AK$1105,1,Data!$AZ$2:$AZ$1105,$A$190),NA()))</f>
        <v/>
      </c>
      <c r="G190" s="62">
        <f>IF($A$190="",NA(),IF(COUNTIFS(Data!$AK$2:$AK$1105,1,Data!$AZ$2:$AZ$1105,$A$190)&lt;Controls!$B$19,NA(),IFERROR(SUMIFS(Data!$AN$2:$AN$1105,Data!$AK$2:$AK$1105,1,Data!$AZ$2:$AZ$1105,$A$190)/$B$190,NA())))</f>
        <v/>
      </c>
      <c r="H190" s="62">
        <f>IF($A$190="",NA(),IF(COUNTIFS(Data!$AK$2:$AK$1105,1,Data!$AZ$2:$AZ$1105,$A$190)&lt;Controls!$B$19,NA(),IFERROR(SUMIFS(Data!$S$2:$S$1105,Data!$AK$2:$AK$1105,1,Data!$AZ$2:$AZ$1105,$A$190,Data!$AH$2:$AH$1105,1)/SUMIFS(Data!$P$2:$P$1105,Data!$AK$2:$AK$1105,1,Data!$AZ$2:$AZ$1105,$A$190,Data!$AH$2:$AH$1105,1),NA())))</f>
        <v/>
      </c>
      <c r="I190" s="62">
        <f>IF(ISNA($J$190),NA(),IF($J$190&lt;Controls!$B$19,NA(),IFERROR($D$190/$B$190,NA())))</f>
        <v/>
      </c>
      <c r="J190" s="67">
        <f>IF($A$190="",NA(),IFERROR(COUNTIFS(Data!$AK$2:$AK$1105,1,Data!$AZ$2:$AZ$1105,$A$190),NA()))</f>
        <v/>
      </c>
      <c r="K190" s="62">
        <f>IF(ISNA($B$190),NA(),IFERROR($B$190/Calc!$BT$6,NA()))</f>
        <v/>
      </c>
      <c r="L190" s="66">
        <f>IF(ISNA($J$190),NA(),IF($J$190&lt;Controls!$B$19,NA(),IFERROR($B$190/$J$190,NA())))</f>
        <v/>
      </c>
      <c r="M190" s="67">
        <f>IF($A$190="",NA(),IF(COUNTIFS(Data!$AK$2:$AK$1105,1,Data!$AZ$2:$AZ$1105,$A$190)&lt;Controls!$B$19,NA(),IFERROR(AVERAGEIFS(Data!$AE$2:$AE$1105,Data!$AK$2:$AK$1105,1,Data!$AZ$2:$AZ$1105,$A$190),NA())))</f>
        <v/>
      </c>
      <c r="N190" s="67">
        <f>IF($A$190="",NA(),IF(COUNTIFS(Data!$AK$2:$AK$1105,1,Data!$AZ$2:$AZ$1105,$A$190)&lt;Controls!$B$19,NA(),IFERROR(AVERAGEIFS(Data!$AD$2:$AD$1105,Data!$AK$2:$AK$1105,1,Data!$AZ$2:$AZ$1105,$A$190),NA())))</f>
        <v/>
      </c>
      <c r="O190" s="67">
        <f>IF($A$190="",NA(),IF(COUNTIFS(Data!$AK$2:$AK$1105,1,Data!$AZ$2:$AZ$1105,$A$190)&lt;Controls!$B$19,NA(),IFERROR(AVERAGEIFS(Data!$AS$2:$AS$1105,Data!$AK$2:$AK$1105,1,Data!$AZ$2:$AZ$1105,$A$190),NA())))</f>
        <v/>
      </c>
      <c r="P190" s="67">
        <f>IF($A$190="",NA(),IF(COUNTIFS(Data!$AK$2:$AK$1105,1,Data!$AZ$2:$AZ$1105,$A$190)&lt;Controls!$B$19,NA(),IFERROR(AVERAGEIFS(Data!$AT$2:$AT$1105,Data!$AK$2:$AK$1105,1,Data!$AZ$2:$AZ$1105,$A$190),NA())))</f>
        <v/>
      </c>
      <c r="Q190" s="62">
        <f>IF($A$190="",NA(),IF(COUNTIFS(Data!$AK$2:$AK$1105,1,Data!$AZ$2:$AZ$1105,$A$190)&lt;Controls!$B$19,NA(),IFERROR(COUNTIFS(Data!$AK$2:$AK$1105,1,Data!$AZ$2:$AZ$1105,$A$190,Data!$N$2:$N$1105,"Renewal")/COUNTIFS(Data!$AK$2:$AK$1105,1,Data!$AZ$2:$AZ$1105,$A$190),NA())))</f>
        <v/>
      </c>
      <c r="R190" s="62">
        <f>IF($A$190="",NA(),IF(COUNTIFS(Data!$AK$2:$AK$1105,1,Data!$AZ$2:$AZ$1105,$A$190)&lt;Controls!$B$19,NA(),IFERROR(SUMIFS(Data!$P$2:$P$1105,Data!$AK$2:$AK$1105,1,Data!$AZ$2:$AZ$1105,$A$190,Data!$N$2:$N$1105,"Renewal")/SUMIFS(Data!$P$2:$P$1105,Data!$AK$2:$AK$1105,1,Data!$AZ$2:$AZ$1105,$A$190),NA())))</f>
        <v/>
      </c>
      <c r="S190" s="62">
        <f>IF($A$190="",NA(),Calc!$BT$2)</f>
        <v/>
      </c>
      <c r="T190" s="62">
        <f>IF($A$190="",NA(),Calc!$BT$3)</f>
        <v/>
      </c>
      <c r="U190" s="62">
        <f>IF($A$190="",NA(),Calc!$BT$4)</f>
        <v/>
      </c>
      <c r="V190" s="62">
        <f>IF($A$190="",NA(),IF(COUNTIFS(Data!$AK$2:$AK$1105,1,Data!$AZ$2:$AZ$1105,$A$190)&lt;Controls!$B$19,NA(),IFERROR(COUNTIFS(Data!$AK$2:$AK$1105,1,Data!$AZ$2:$AZ$1105,$A$190,Data!$AH$2:$AH$1105,1)/COUNTIFS(Data!$AK$2:$AK$1105,1,Data!$AZ$2:$AZ$1105,$A$190),NA())))</f>
        <v/>
      </c>
      <c r="W190" s="61">
        <f>IF($A$190="","",$A$190&amp;" ("&amp;$J$190&amp;")")</f>
        <v/>
      </c>
      <c r="X190" s="61" t="n"/>
      <c r="Y190" s="61" t="n"/>
      <c r="Z190" s="61" t="n"/>
      <c r="AA190" s="61" t="n"/>
      <c r="AB190" s="61" t="n"/>
      <c r="AC190" s="61" t="n"/>
      <c r="AD190" s="61" t="n"/>
      <c r="AE190" s="61" t="n"/>
      <c r="AF190" s="61" t="n"/>
      <c r="AG190" s="61" t="n"/>
      <c r="AH190" s="61" t="n"/>
      <c r="AI190" s="61" t="n"/>
      <c r="AJ190" s="61" t="n"/>
      <c r="AK190" s="61" t="n"/>
      <c r="AL190" s="61" t="n"/>
      <c r="AM190" s="61" t="n"/>
      <c r="AN190" s="61">
        <f>Controls!$G$87</f>
        <v/>
      </c>
      <c r="AO190" s="61">
        <f>COUNTIFS(Data!$AK$2:$AK$1105,1,Data!$M$2:$M$1105,$AN$190)</f>
        <v/>
      </c>
      <c r="AP190" s="57">
        <f>SUMIFS(Data!$P$2:$P$1105,Data!$AK$2:$AK$1105,1,Data!$M$2:$M$1105,$AN$190)</f>
        <v/>
      </c>
      <c r="AQ190" s="56">
        <f>IFERROR(SUMIFS(Data!$AN$2:$AN$1105,Data!$AK$2:$AK$1105,1,Data!$M$2:$M$1105,$AN$190)/$AP$190,0)</f>
        <v/>
      </c>
      <c r="AR190" s="57">
        <f>SUMIFS(Data!$AN$2:$AN$1105,Data!$AK$2:$AK$1105,1,Data!$M$2:$M$1105,$AN$190)</f>
        <v/>
      </c>
      <c r="AS190" s="61">
        <f>Controls!$H$87</f>
        <v/>
      </c>
      <c r="AT190" s="61">
        <f>IF(OR(AO190=0,AO190&lt;Controls!$B$20),-1000000000000000,IF(AND(Controls!$B$21="Y",$AN$190="No ISO"),-1000000000000000,IF(Controls!$B$17="Selected only",IF(AS190="Y",AP190,-1000000000000000),IF(Controls!$B$17="Top by funded $",AP190,IF(Controls!$B$17="Top by funded units",AO190,IF(Controls!$B$17="Largest principal lost $",AR190,IF(Controls!$B$17="Highest net profit $",AU190,IF(AO190&lt;Controls!$B$19,-1000000000000000,IF(Controls!$B$17="Highest principal lost rate %",AQ190,IF(Controls!$B$17="Lowest principal lost rate %",1-AQ190,AP190))))))))) +48/1000000)</f>
        <v/>
      </c>
      <c r="AU190" s="57">
        <f>SUMIFS(Data!$AM$2:$AM$1105,Data!$AK$2:$AK$1105,1,Data!$M$2:$M$1105,$AN$190)</f>
        <v/>
      </c>
      <c r="AV190" s="61" t="n"/>
      <c r="AW190" s="61" t="n"/>
      <c r="AX190" s="61" t="n"/>
      <c r="AY190" s="61" t="n"/>
      <c r="AZ190" s="61" t="n"/>
      <c r="BA190" s="61" t="n"/>
      <c r="BB190" s="61">
        <f>Controls!$G$155</f>
        <v/>
      </c>
      <c r="BC190" s="61">
        <f>COUNTIFS(Data!$AK$2:$AK$1105,1,Data!$M$2:$M$1105,$BB$190)</f>
        <v/>
      </c>
      <c r="BD190" s="57">
        <f>SUMIFS(Data!$P$2:$P$1105,Data!$AK$2:$AK$1105,1,Data!$M$2:$M$1105,$BB$190)</f>
        <v/>
      </c>
      <c r="BE190" s="56">
        <f>IF(COUNTIFS(Data!$AK$2:$AK$1105,1,Data!$M$2:$M$1105,$BB$190)&lt;Controls!$B$19,"",IFERROR(SUMIFS(Data!$AN$2:$AN$1105,Data!$AK$2:$AK$1105,1,Data!$M$2:$M$1105,$BB$190)/$BD$190,""))</f>
        <v/>
      </c>
      <c r="BF190" s="56">
        <f>IF(COUNTIFS(Data!$AK$2:$AK$1105,1,Data!$M$2:$M$1105,$BB$190)&lt;Controls!$B$19,"",IFERROR(SUMIFS(Data!$AM$2:$AM$1105,Data!$AK$2:$AK$1105,1,Data!$M$2:$M$1105,$BB$190)/SUMIFS(Data!$P$2:$P$1105,Data!$AK$2:$AK$1105,1,Data!$M$2:$M$1105,$BB$190),""))</f>
        <v/>
      </c>
      <c r="BG190" s="57">
        <f>SUMIFS(Data!$AN$2:$AN$1105,Data!$AK$2:$AK$1105,1,Data!$M$2:$M$1105,$BB$190)</f>
        <v/>
      </c>
      <c r="BH190" s="61" t="n"/>
      <c r="BI190" s="56">
        <f>IF(AND($BC$190&gt;=Controls!$B$22,$BD$190&gt;=LARGE($BD$75:$BD$230,MIN(Controls!$B$18,COUNT($BD$75:$BD$230)))),$BE$190,"")</f>
        <v/>
      </c>
      <c r="BJ190" s="61" t="n"/>
      <c r="BK190" s="56">
        <f>IF($BC$190&lt;Controls!$B$22,"",$BE$190)</f>
        <v/>
      </c>
      <c r="BL190" s="56">
        <f>IF($BC$190&lt;Controls!$B$22,"",$BF$190)</f>
        <v/>
      </c>
      <c r="BM190" s="57">
        <f>IF($BC$190&lt;Controls!$B$22,"",$BG$190)</f>
        <v/>
      </c>
      <c r="BN190" s="61" t="n"/>
      <c r="BO190" s="61" t="n"/>
      <c r="BP190" s="61" t="n"/>
      <c r="BQ190" s="61" t="n"/>
      <c r="BR190" s="61" t="n"/>
      <c r="BS190" s="61" t="n"/>
      <c r="BT190" s="61" t="n"/>
    </row>
    <row r="191" ht="15.75" customHeight="1" s="79">
      <c r="A191" s="61">
        <f>IF(EDATE(Controls!$B$5,9)&gt;Controls!$B$6,"",TEXT(EDATE(Controls!$B$5,9),"YYYY")&amp;"-Q"&amp;ROUNDUP(MONTH(EDATE(Controls!$B$5,9))/3,0))</f>
        <v/>
      </c>
      <c r="B191" s="66">
        <f>IF($A$191="",NA(),IFERROR(SUMIFS(Data!$P$2:$P$1105,Data!$AK$2:$AK$1105,1,Data!$AZ$2:$AZ$1105,$A$191),NA()))</f>
        <v/>
      </c>
      <c r="C191" s="66">
        <f>IF($A$191="",NA(),IFERROR(SUMIFS(Data!$S$2:$S$1105,Data!$AK$2:$AK$1105,1,Data!$AZ$2:$AZ$1105,$A$191),NA()))</f>
        <v/>
      </c>
      <c r="D191" s="66">
        <f>IF(ISNA($B$191),NA(),$C$191-$B$191)</f>
        <v/>
      </c>
      <c r="E191" s="66">
        <f>IF($A$191="",NA(),IFERROR(SUMIFS(Data!$Q$2:$Q$1105,Data!$AK$2:$AK$1105,1,Data!$AZ$2:$AZ$1105,$A$191),NA()))</f>
        <v/>
      </c>
      <c r="F191" s="66">
        <f>IF($A$191="",NA(),IFERROR(SUMIFS(Data!$AN$2:$AN$1105,Data!$AK$2:$AK$1105,1,Data!$AZ$2:$AZ$1105,$A$191),NA()))</f>
        <v/>
      </c>
      <c r="G191" s="62">
        <f>IF($A$191="",NA(),IF(COUNTIFS(Data!$AK$2:$AK$1105,1,Data!$AZ$2:$AZ$1105,$A$191)&lt;Controls!$B$19,NA(),IFERROR(SUMIFS(Data!$AN$2:$AN$1105,Data!$AK$2:$AK$1105,1,Data!$AZ$2:$AZ$1105,$A$191)/$B$191,NA())))</f>
        <v/>
      </c>
      <c r="H191" s="62">
        <f>IF($A$191="",NA(),IF(COUNTIFS(Data!$AK$2:$AK$1105,1,Data!$AZ$2:$AZ$1105,$A$191)&lt;Controls!$B$19,NA(),IFERROR(SUMIFS(Data!$S$2:$S$1105,Data!$AK$2:$AK$1105,1,Data!$AZ$2:$AZ$1105,$A$191,Data!$AH$2:$AH$1105,1)/SUMIFS(Data!$P$2:$P$1105,Data!$AK$2:$AK$1105,1,Data!$AZ$2:$AZ$1105,$A$191,Data!$AH$2:$AH$1105,1),NA())))</f>
        <v/>
      </c>
      <c r="I191" s="62">
        <f>IF(ISNA($J$191),NA(),IF($J$191&lt;Controls!$B$19,NA(),IFERROR($D$191/$B$191,NA())))</f>
        <v/>
      </c>
      <c r="J191" s="67">
        <f>IF($A$191="",NA(),IFERROR(COUNTIFS(Data!$AK$2:$AK$1105,1,Data!$AZ$2:$AZ$1105,$A$191),NA()))</f>
        <v/>
      </c>
      <c r="K191" s="62">
        <f>IF(ISNA($B$191),NA(),IFERROR($B$191/Calc!$BT$6,NA()))</f>
        <v/>
      </c>
      <c r="L191" s="66">
        <f>IF(ISNA($J$191),NA(),IF($J$191&lt;Controls!$B$19,NA(),IFERROR($B$191/$J$191,NA())))</f>
        <v/>
      </c>
      <c r="M191" s="67">
        <f>IF($A$191="",NA(),IF(COUNTIFS(Data!$AK$2:$AK$1105,1,Data!$AZ$2:$AZ$1105,$A$191)&lt;Controls!$B$19,NA(),IFERROR(AVERAGEIFS(Data!$AE$2:$AE$1105,Data!$AK$2:$AK$1105,1,Data!$AZ$2:$AZ$1105,$A$191),NA())))</f>
        <v/>
      </c>
      <c r="N191" s="67">
        <f>IF($A$191="",NA(),IF(COUNTIFS(Data!$AK$2:$AK$1105,1,Data!$AZ$2:$AZ$1105,$A$191)&lt;Controls!$B$19,NA(),IFERROR(AVERAGEIFS(Data!$AD$2:$AD$1105,Data!$AK$2:$AK$1105,1,Data!$AZ$2:$AZ$1105,$A$191),NA())))</f>
        <v/>
      </c>
      <c r="O191" s="67">
        <f>IF($A$191="",NA(),IF(COUNTIFS(Data!$AK$2:$AK$1105,1,Data!$AZ$2:$AZ$1105,$A$191)&lt;Controls!$B$19,NA(),IFERROR(AVERAGEIFS(Data!$AS$2:$AS$1105,Data!$AK$2:$AK$1105,1,Data!$AZ$2:$AZ$1105,$A$191),NA())))</f>
        <v/>
      </c>
      <c r="P191" s="67">
        <f>IF($A$191="",NA(),IF(COUNTIFS(Data!$AK$2:$AK$1105,1,Data!$AZ$2:$AZ$1105,$A$191)&lt;Controls!$B$19,NA(),IFERROR(AVERAGEIFS(Data!$AT$2:$AT$1105,Data!$AK$2:$AK$1105,1,Data!$AZ$2:$AZ$1105,$A$191),NA())))</f>
        <v/>
      </c>
      <c r="Q191" s="62">
        <f>IF($A$191="",NA(),IF(COUNTIFS(Data!$AK$2:$AK$1105,1,Data!$AZ$2:$AZ$1105,$A$191)&lt;Controls!$B$19,NA(),IFERROR(COUNTIFS(Data!$AK$2:$AK$1105,1,Data!$AZ$2:$AZ$1105,$A$191,Data!$N$2:$N$1105,"Renewal")/COUNTIFS(Data!$AK$2:$AK$1105,1,Data!$AZ$2:$AZ$1105,$A$191),NA())))</f>
        <v/>
      </c>
      <c r="R191" s="62">
        <f>IF($A$191="",NA(),IF(COUNTIFS(Data!$AK$2:$AK$1105,1,Data!$AZ$2:$AZ$1105,$A$191)&lt;Controls!$B$19,NA(),IFERROR(SUMIFS(Data!$P$2:$P$1105,Data!$AK$2:$AK$1105,1,Data!$AZ$2:$AZ$1105,$A$191,Data!$N$2:$N$1105,"Renewal")/SUMIFS(Data!$P$2:$P$1105,Data!$AK$2:$AK$1105,1,Data!$AZ$2:$AZ$1105,$A$191),NA())))</f>
        <v/>
      </c>
      <c r="S191" s="62">
        <f>IF($A$191="",NA(),Calc!$BT$2)</f>
        <v/>
      </c>
      <c r="T191" s="62">
        <f>IF($A$191="",NA(),Calc!$BT$3)</f>
        <v/>
      </c>
      <c r="U191" s="62">
        <f>IF($A$191="",NA(),Calc!$BT$4)</f>
        <v/>
      </c>
      <c r="V191" s="62">
        <f>IF($A$191="",NA(),IF(COUNTIFS(Data!$AK$2:$AK$1105,1,Data!$AZ$2:$AZ$1105,$A$191)&lt;Controls!$B$19,NA(),IFERROR(COUNTIFS(Data!$AK$2:$AK$1105,1,Data!$AZ$2:$AZ$1105,$A$191,Data!$AH$2:$AH$1105,1)/COUNTIFS(Data!$AK$2:$AK$1105,1,Data!$AZ$2:$AZ$1105,$A$191),NA())))</f>
        <v/>
      </c>
      <c r="W191" s="61">
        <f>IF($A$191="","",$A$191&amp;" ("&amp;$J$191&amp;")")</f>
        <v/>
      </c>
      <c r="X191" s="61" t="n"/>
      <c r="Y191" s="61" t="n"/>
      <c r="Z191" s="61" t="n"/>
      <c r="AA191" s="61" t="n"/>
      <c r="AB191" s="61" t="n"/>
      <c r="AC191" s="61" t="n"/>
      <c r="AD191" s="61" t="n"/>
      <c r="AE191" s="61" t="n"/>
      <c r="AF191" s="61" t="n"/>
      <c r="AG191" s="61" t="n"/>
      <c r="AH191" s="61" t="n"/>
      <c r="AI191" s="61" t="n"/>
      <c r="AJ191" s="61" t="n"/>
      <c r="AK191" s="61" t="n"/>
      <c r="AL191" s="61" t="n"/>
      <c r="AM191" s="61" t="n"/>
      <c r="AN191" s="61">
        <f>Controls!$G$88</f>
        <v/>
      </c>
      <c r="AO191" s="61">
        <f>COUNTIFS(Data!$AK$2:$AK$1105,1,Data!$M$2:$M$1105,$AN$191)</f>
        <v/>
      </c>
      <c r="AP191" s="57">
        <f>SUMIFS(Data!$P$2:$P$1105,Data!$AK$2:$AK$1105,1,Data!$M$2:$M$1105,$AN$191)</f>
        <v/>
      </c>
      <c r="AQ191" s="56">
        <f>IFERROR(SUMIFS(Data!$AN$2:$AN$1105,Data!$AK$2:$AK$1105,1,Data!$M$2:$M$1105,$AN$191)/$AP$191,0)</f>
        <v/>
      </c>
      <c r="AR191" s="57">
        <f>SUMIFS(Data!$AN$2:$AN$1105,Data!$AK$2:$AK$1105,1,Data!$M$2:$M$1105,$AN$191)</f>
        <v/>
      </c>
      <c r="AS191" s="61">
        <f>Controls!$H$88</f>
        <v/>
      </c>
      <c r="AT191" s="61">
        <f>IF(OR(AO191=0,AO191&lt;Controls!$B$20),-1000000000000000,IF(AND(Controls!$B$21="Y",$AN$191="No ISO"),-1000000000000000,IF(Controls!$B$17="Selected only",IF(AS191="Y",AP191,-1000000000000000),IF(Controls!$B$17="Top by funded $",AP191,IF(Controls!$B$17="Top by funded units",AO191,IF(Controls!$B$17="Largest principal lost $",AR191,IF(Controls!$B$17="Highest net profit $",AU191,IF(AO191&lt;Controls!$B$19,-1000000000000000,IF(Controls!$B$17="Highest principal lost rate %",AQ191,IF(Controls!$B$17="Lowest principal lost rate %",1-AQ191,AP191))))))))) +49/1000000)</f>
        <v/>
      </c>
      <c r="AU191" s="57">
        <f>SUMIFS(Data!$AM$2:$AM$1105,Data!$AK$2:$AK$1105,1,Data!$M$2:$M$1105,$AN$191)</f>
        <v/>
      </c>
      <c r="AV191" s="61" t="n"/>
      <c r="AW191" s="61" t="n"/>
      <c r="AX191" s="61" t="n"/>
      <c r="AY191" s="61" t="n"/>
      <c r="AZ191" s="61" t="n"/>
      <c r="BA191" s="61" t="n"/>
      <c r="BB191" s="61">
        <f>Controls!$G$156</f>
        <v/>
      </c>
      <c r="BC191" s="61">
        <f>COUNTIFS(Data!$AK$2:$AK$1105,1,Data!$M$2:$M$1105,$BB$191)</f>
        <v/>
      </c>
      <c r="BD191" s="57">
        <f>SUMIFS(Data!$P$2:$P$1105,Data!$AK$2:$AK$1105,1,Data!$M$2:$M$1105,$BB$191)</f>
        <v/>
      </c>
      <c r="BE191" s="56">
        <f>IF(COUNTIFS(Data!$AK$2:$AK$1105,1,Data!$M$2:$M$1105,$BB$191)&lt;Controls!$B$19,"",IFERROR(SUMIFS(Data!$AN$2:$AN$1105,Data!$AK$2:$AK$1105,1,Data!$M$2:$M$1105,$BB$191)/$BD$191,""))</f>
        <v/>
      </c>
      <c r="BF191" s="56">
        <f>IF(COUNTIFS(Data!$AK$2:$AK$1105,1,Data!$M$2:$M$1105,$BB$191)&lt;Controls!$B$19,"",IFERROR(SUMIFS(Data!$AM$2:$AM$1105,Data!$AK$2:$AK$1105,1,Data!$M$2:$M$1105,$BB$191)/SUMIFS(Data!$P$2:$P$1105,Data!$AK$2:$AK$1105,1,Data!$M$2:$M$1105,$BB$191),""))</f>
        <v/>
      </c>
      <c r="BG191" s="57">
        <f>SUMIFS(Data!$AN$2:$AN$1105,Data!$AK$2:$AK$1105,1,Data!$M$2:$M$1105,$BB$191)</f>
        <v/>
      </c>
      <c r="BH191" s="61" t="n"/>
      <c r="BI191" s="61">
        <f>IF(AND($BC$191&gt;=Controls!$B$22,$BD$191&gt;=LARGE($BD$75:$BD$230,MIN(Controls!$B$18,COUNT($BD$75:$BD$230)))),$BE$191,"")</f>
        <v/>
      </c>
      <c r="BJ191" s="61" t="n"/>
      <c r="BK191" s="61">
        <f>IF($BC$191&lt;Controls!$B$22,"",$BE$191)</f>
        <v/>
      </c>
      <c r="BL191" s="61">
        <f>IF($BC$191&lt;Controls!$B$22,"",$BF$191)</f>
        <v/>
      </c>
      <c r="BM191" s="61">
        <f>IF($BC$191&lt;Controls!$B$22,"",$BG$191)</f>
        <v/>
      </c>
      <c r="BN191" s="61" t="n"/>
      <c r="BO191" s="61" t="n"/>
      <c r="BP191" s="61" t="n"/>
      <c r="BQ191" s="61" t="n"/>
      <c r="BR191" s="61" t="n"/>
      <c r="BS191" s="61" t="n"/>
      <c r="BT191" s="61" t="n"/>
    </row>
    <row r="192" ht="15.75" customHeight="1" s="79">
      <c r="A192" s="61">
        <f>IF(EDATE(Controls!$B$5,12)&gt;Controls!$B$6,"",TEXT(EDATE(Controls!$B$5,12),"YYYY")&amp;"-Q"&amp;ROUNDUP(MONTH(EDATE(Controls!$B$5,12))/3,0))</f>
        <v/>
      </c>
      <c r="B192" s="66">
        <f>IF($A$192="",NA(),IFERROR(SUMIFS(Data!$P$2:$P$1105,Data!$AK$2:$AK$1105,1,Data!$AZ$2:$AZ$1105,$A$192),NA()))</f>
        <v/>
      </c>
      <c r="C192" s="66">
        <f>IF($A$192="",NA(),IFERROR(SUMIFS(Data!$S$2:$S$1105,Data!$AK$2:$AK$1105,1,Data!$AZ$2:$AZ$1105,$A$192),NA()))</f>
        <v/>
      </c>
      <c r="D192" s="66">
        <f>IF(ISNA($B$192),NA(),$C$192-$B$192)</f>
        <v/>
      </c>
      <c r="E192" s="66">
        <f>IF($A$192="",NA(),IFERROR(SUMIFS(Data!$Q$2:$Q$1105,Data!$AK$2:$AK$1105,1,Data!$AZ$2:$AZ$1105,$A$192),NA()))</f>
        <v/>
      </c>
      <c r="F192" s="66">
        <f>IF($A$192="",NA(),IFERROR(SUMIFS(Data!$AN$2:$AN$1105,Data!$AK$2:$AK$1105,1,Data!$AZ$2:$AZ$1105,$A$192),NA()))</f>
        <v/>
      </c>
      <c r="G192" s="62">
        <f>IF($A$192="",NA(),IF(COUNTIFS(Data!$AK$2:$AK$1105,1,Data!$AZ$2:$AZ$1105,$A$192)&lt;Controls!$B$19,NA(),IFERROR(SUMIFS(Data!$AN$2:$AN$1105,Data!$AK$2:$AK$1105,1,Data!$AZ$2:$AZ$1105,$A$192)/$B$192,NA())))</f>
        <v/>
      </c>
      <c r="H192" s="62">
        <f>IF($A$192="",NA(),IF(COUNTIFS(Data!$AK$2:$AK$1105,1,Data!$AZ$2:$AZ$1105,$A$192)&lt;Controls!$B$19,NA(),IFERROR(SUMIFS(Data!$S$2:$S$1105,Data!$AK$2:$AK$1105,1,Data!$AZ$2:$AZ$1105,$A$192,Data!$AH$2:$AH$1105,1)/SUMIFS(Data!$P$2:$P$1105,Data!$AK$2:$AK$1105,1,Data!$AZ$2:$AZ$1105,$A$192,Data!$AH$2:$AH$1105,1),NA())))</f>
        <v/>
      </c>
      <c r="I192" s="62">
        <f>IF(ISNA($J$192),NA(),IF($J$192&lt;Controls!$B$19,NA(),IFERROR($D$192/$B$192,NA())))</f>
        <v/>
      </c>
      <c r="J192" s="67">
        <f>IF($A$192="",NA(),IFERROR(COUNTIFS(Data!$AK$2:$AK$1105,1,Data!$AZ$2:$AZ$1105,$A$192),NA()))</f>
        <v/>
      </c>
      <c r="K192" s="62">
        <f>IF(ISNA($B$192),NA(),IFERROR($B$192/Calc!$BT$6,NA()))</f>
        <v/>
      </c>
      <c r="L192" s="66">
        <f>IF(ISNA($J$192),NA(),IF($J$192&lt;Controls!$B$19,NA(),IFERROR($B$192/$J$192,NA())))</f>
        <v/>
      </c>
      <c r="M192" s="67">
        <f>IF($A$192="",NA(),IF(COUNTIFS(Data!$AK$2:$AK$1105,1,Data!$AZ$2:$AZ$1105,$A$192)&lt;Controls!$B$19,NA(),IFERROR(AVERAGEIFS(Data!$AE$2:$AE$1105,Data!$AK$2:$AK$1105,1,Data!$AZ$2:$AZ$1105,$A$192),NA())))</f>
        <v/>
      </c>
      <c r="N192" s="67">
        <f>IF($A$192="",NA(),IF(COUNTIFS(Data!$AK$2:$AK$1105,1,Data!$AZ$2:$AZ$1105,$A$192)&lt;Controls!$B$19,NA(),IFERROR(AVERAGEIFS(Data!$AD$2:$AD$1105,Data!$AK$2:$AK$1105,1,Data!$AZ$2:$AZ$1105,$A$192),NA())))</f>
        <v/>
      </c>
      <c r="O192" s="67">
        <f>IF($A$192="",NA(),IF(COUNTIFS(Data!$AK$2:$AK$1105,1,Data!$AZ$2:$AZ$1105,$A$192)&lt;Controls!$B$19,NA(),IFERROR(AVERAGEIFS(Data!$AS$2:$AS$1105,Data!$AK$2:$AK$1105,1,Data!$AZ$2:$AZ$1105,$A$192),NA())))</f>
        <v/>
      </c>
      <c r="P192" s="67">
        <f>IF($A$192="",NA(),IF(COUNTIFS(Data!$AK$2:$AK$1105,1,Data!$AZ$2:$AZ$1105,$A$192)&lt;Controls!$B$19,NA(),IFERROR(AVERAGEIFS(Data!$AT$2:$AT$1105,Data!$AK$2:$AK$1105,1,Data!$AZ$2:$AZ$1105,$A$192),NA())))</f>
        <v/>
      </c>
      <c r="Q192" s="62">
        <f>IF($A$192="",NA(),IF(COUNTIFS(Data!$AK$2:$AK$1105,1,Data!$AZ$2:$AZ$1105,$A$192)&lt;Controls!$B$19,NA(),IFERROR(COUNTIFS(Data!$AK$2:$AK$1105,1,Data!$AZ$2:$AZ$1105,$A$192,Data!$N$2:$N$1105,"Renewal")/COUNTIFS(Data!$AK$2:$AK$1105,1,Data!$AZ$2:$AZ$1105,$A$192),NA())))</f>
        <v/>
      </c>
      <c r="R192" s="62">
        <f>IF($A$192="",NA(),IF(COUNTIFS(Data!$AK$2:$AK$1105,1,Data!$AZ$2:$AZ$1105,$A$192)&lt;Controls!$B$19,NA(),IFERROR(SUMIFS(Data!$P$2:$P$1105,Data!$AK$2:$AK$1105,1,Data!$AZ$2:$AZ$1105,$A$192,Data!$N$2:$N$1105,"Renewal")/SUMIFS(Data!$P$2:$P$1105,Data!$AK$2:$AK$1105,1,Data!$AZ$2:$AZ$1105,$A$192),NA())))</f>
        <v/>
      </c>
      <c r="S192" s="62">
        <f>IF($A$192="",NA(),Calc!$BT$2)</f>
        <v/>
      </c>
      <c r="T192" s="62">
        <f>IF($A$192="",NA(),Calc!$BT$3)</f>
        <v/>
      </c>
      <c r="U192" s="62">
        <f>IF($A$192="",NA(),Calc!$BT$4)</f>
        <v/>
      </c>
      <c r="V192" s="62">
        <f>IF($A$192="",NA(),IF(COUNTIFS(Data!$AK$2:$AK$1105,1,Data!$AZ$2:$AZ$1105,$A$192)&lt;Controls!$B$19,NA(),IFERROR(COUNTIFS(Data!$AK$2:$AK$1105,1,Data!$AZ$2:$AZ$1105,$A$192,Data!$AH$2:$AH$1105,1)/COUNTIFS(Data!$AK$2:$AK$1105,1,Data!$AZ$2:$AZ$1105,$A$192),NA())))</f>
        <v/>
      </c>
      <c r="W192" s="61">
        <f>IF($A$192="","",$A$192&amp;" ("&amp;$J$192&amp;")")</f>
        <v/>
      </c>
      <c r="X192" s="61" t="n"/>
      <c r="Y192" s="61" t="n"/>
      <c r="Z192" s="61" t="n"/>
      <c r="AA192" s="61" t="n"/>
      <c r="AB192" s="61" t="n"/>
      <c r="AC192" s="61" t="n"/>
      <c r="AD192" s="61" t="n"/>
      <c r="AE192" s="61" t="n"/>
      <c r="AF192" s="61" t="n"/>
      <c r="AG192" s="61" t="n"/>
      <c r="AH192" s="61" t="n"/>
      <c r="AI192" s="61" t="n"/>
      <c r="AJ192" s="61" t="n"/>
      <c r="AK192" s="61" t="n"/>
      <c r="AL192" s="61" t="n"/>
      <c r="AM192" s="61" t="n"/>
      <c r="AN192" s="61">
        <f>Controls!$G$89</f>
        <v/>
      </c>
      <c r="AO192" s="61">
        <f>COUNTIFS(Data!$AK$2:$AK$1105,1,Data!$M$2:$M$1105,$AN$192)</f>
        <v/>
      </c>
      <c r="AP192" s="57">
        <f>SUMIFS(Data!$P$2:$P$1105,Data!$AK$2:$AK$1105,1,Data!$M$2:$M$1105,$AN$192)</f>
        <v/>
      </c>
      <c r="AQ192" s="56">
        <f>IFERROR(SUMIFS(Data!$AN$2:$AN$1105,Data!$AK$2:$AK$1105,1,Data!$M$2:$M$1105,$AN$192)/$AP$192,0)</f>
        <v/>
      </c>
      <c r="AR192" s="57">
        <f>SUMIFS(Data!$AN$2:$AN$1105,Data!$AK$2:$AK$1105,1,Data!$M$2:$M$1105,$AN$192)</f>
        <v/>
      </c>
      <c r="AS192" s="61">
        <f>Controls!$H$89</f>
        <v/>
      </c>
      <c r="AT192" s="61">
        <f>IF(OR(AO192=0,AO192&lt;Controls!$B$20),-1000000000000000,IF(AND(Controls!$B$21="Y",$AN$192="No ISO"),-1000000000000000,IF(Controls!$B$17="Selected only",IF(AS192="Y",AP192,-1000000000000000),IF(Controls!$B$17="Top by funded $",AP192,IF(Controls!$B$17="Top by funded units",AO192,IF(Controls!$B$17="Largest principal lost $",AR192,IF(Controls!$B$17="Highest net profit $",AU192,IF(AO192&lt;Controls!$B$19,-1000000000000000,IF(Controls!$B$17="Highest principal lost rate %",AQ192,IF(Controls!$B$17="Lowest principal lost rate %",1-AQ192,AP192))))))))) +50/1000000)</f>
        <v/>
      </c>
      <c r="AU192" s="57">
        <f>SUMIFS(Data!$AM$2:$AM$1105,Data!$AK$2:$AK$1105,1,Data!$M$2:$M$1105,$AN$192)</f>
        <v/>
      </c>
      <c r="AV192" s="61" t="n"/>
      <c r="AW192" s="61" t="n"/>
      <c r="AX192" s="61" t="n"/>
      <c r="AY192" s="61" t="n"/>
      <c r="AZ192" s="61" t="n"/>
      <c r="BA192" s="61" t="n"/>
      <c r="BB192" s="61">
        <f>Controls!$G$157</f>
        <v/>
      </c>
      <c r="BC192" s="61">
        <f>COUNTIFS(Data!$AK$2:$AK$1105,1,Data!$M$2:$M$1105,$BB$192)</f>
        <v/>
      </c>
      <c r="BD192" s="57">
        <f>SUMIFS(Data!$P$2:$P$1105,Data!$AK$2:$AK$1105,1,Data!$M$2:$M$1105,$BB$192)</f>
        <v/>
      </c>
      <c r="BE192" s="56">
        <f>IF(COUNTIFS(Data!$AK$2:$AK$1105,1,Data!$M$2:$M$1105,$BB$192)&lt;Controls!$B$19,"",IFERROR(SUMIFS(Data!$AN$2:$AN$1105,Data!$AK$2:$AK$1105,1,Data!$M$2:$M$1105,$BB$192)/$BD$192,""))</f>
        <v/>
      </c>
      <c r="BF192" s="56">
        <f>IF(COUNTIFS(Data!$AK$2:$AK$1105,1,Data!$M$2:$M$1105,$BB$192)&lt;Controls!$B$19,"",IFERROR(SUMIFS(Data!$AM$2:$AM$1105,Data!$AK$2:$AK$1105,1,Data!$M$2:$M$1105,$BB$192)/SUMIFS(Data!$P$2:$P$1105,Data!$AK$2:$AK$1105,1,Data!$M$2:$M$1105,$BB$192),""))</f>
        <v/>
      </c>
      <c r="BG192" s="57">
        <f>SUMIFS(Data!$AN$2:$AN$1105,Data!$AK$2:$AK$1105,1,Data!$M$2:$M$1105,$BB$192)</f>
        <v/>
      </c>
      <c r="BH192" s="61" t="n"/>
      <c r="BI192" s="61">
        <f>IF(AND($BC$192&gt;=Controls!$B$22,$BD$192&gt;=LARGE($BD$75:$BD$230,MIN(Controls!$B$18,COUNT($BD$75:$BD$230)))),$BE$192,"")</f>
        <v/>
      </c>
      <c r="BJ192" s="61" t="n"/>
      <c r="BK192" s="56">
        <f>IF($BC$192&lt;Controls!$B$22,"",$BE$192)</f>
        <v/>
      </c>
      <c r="BL192" s="56">
        <f>IF($BC$192&lt;Controls!$B$22,"",$BF$192)</f>
        <v/>
      </c>
      <c r="BM192" s="57">
        <f>IF($BC$192&lt;Controls!$B$22,"",$BG$192)</f>
        <v/>
      </c>
      <c r="BN192" s="61" t="n"/>
      <c r="BO192" s="61" t="n"/>
      <c r="BP192" s="61" t="n"/>
      <c r="BQ192" s="61" t="n"/>
      <c r="BR192" s="61" t="n"/>
      <c r="BS192" s="61" t="n"/>
      <c r="BT192" s="61" t="n"/>
    </row>
    <row r="193" ht="15.75" customHeight="1" s="79">
      <c r="A193" s="61">
        <f>IF(EDATE(Controls!$B$5,15)&gt;Controls!$B$6,"",TEXT(EDATE(Controls!$B$5,15),"YYYY")&amp;"-Q"&amp;ROUNDUP(MONTH(EDATE(Controls!$B$5,15))/3,0))</f>
        <v/>
      </c>
      <c r="B193" s="66">
        <f>IF($A$193="",NA(),IFERROR(SUMIFS(Data!$P$2:$P$1105,Data!$AK$2:$AK$1105,1,Data!$AZ$2:$AZ$1105,$A$193),NA()))</f>
        <v/>
      </c>
      <c r="C193" s="66">
        <f>IF($A$193="",NA(),IFERROR(SUMIFS(Data!$S$2:$S$1105,Data!$AK$2:$AK$1105,1,Data!$AZ$2:$AZ$1105,$A$193),NA()))</f>
        <v/>
      </c>
      <c r="D193" s="66">
        <f>IF(ISNA($B$193),NA(),$C$193-$B$193)</f>
        <v/>
      </c>
      <c r="E193" s="66">
        <f>IF($A$193="",NA(),IFERROR(SUMIFS(Data!$Q$2:$Q$1105,Data!$AK$2:$AK$1105,1,Data!$AZ$2:$AZ$1105,$A$193),NA()))</f>
        <v/>
      </c>
      <c r="F193" s="66">
        <f>IF($A$193="",NA(),IFERROR(SUMIFS(Data!$AN$2:$AN$1105,Data!$AK$2:$AK$1105,1,Data!$AZ$2:$AZ$1105,$A$193),NA()))</f>
        <v/>
      </c>
      <c r="G193" s="62">
        <f>IF($A$193="",NA(),IF(COUNTIFS(Data!$AK$2:$AK$1105,1,Data!$AZ$2:$AZ$1105,$A$193)&lt;Controls!$B$19,NA(),IFERROR(SUMIFS(Data!$AN$2:$AN$1105,Data!$AK$2:$AK$1105,1,Data!$AZ$2:$AZ$1105,$A$193)/$B$193,NA())))</f>
        <v/>
      </c>
      <c r="H193" s="62">
        <f>IF($A$193="",NA(),IF(COUNTIFS(Data!$AK$2:$AK$1105,1,Data!$AZ$2:$AZ$1105,$A$193)&lt;Controls!$B$19,NA(),IFERROR(SUMIFS(Data!$S$2:$S$1105,Data!$AK$2:$AK$1105,1,Data!$AZ$2:$AZ$1105,$A$193,Data!$AH$2:$AH$1105,1)/SUMIFS(Data!$P$2:$P$1105,Data!$AK$2:$AK$1105,1,Data!$AZ$2:$AZ$1105,$A$193,Data!$AH$2:$AH$1105,1),NA())))</f>
        <v/>
      </c>
      <c r="I193" s="62">
        <f>IF(ISNA($J$193),NA(),IF($J$193&lt;Controls!$B$19,NA(),IFERROR($D$193/$B$193,NA())))</f>
        <v/>
      </c>
      <c r="J193" s="67">
        <f>IF($A$193="",NA(),IFERROR(COUNTIFS(Data!$AK$2:$AK$1105,1,Data!$AZ$2:$AZ$1105,$A$193),NA()))</f>
        <v/>
      </c>
      <c r="K193" s="62">
        <f>IF(ISNA($B$193),NA(),IFERROR($B$193/Calc!$BT$6,NA()))</f>
        <v/>
      </c>
      <c r="L193" s="66">
        <f>IF(ISNA($J$193),NA(),IF($J$193&lt;Controls!$B$19,NA(),IFERROR($B$193/$J$193,NA())))</f>
        <v/>
      </c>
      <c r="M193" s="67">
        <f>IF($A$193="",NA(),IF(COUNTIFS(Data!$AK$2:$AK$1105,1,Data!$AZ$2:$AZ$1105,$A$193)&lt;Controls!$B$19,NA(),IFERROR(AVERAGEIFS(Data!$AE$2:$AE$1105,Data!$AK$2:$AK$1105,1,Data!$AZ$2:$AZ$1105,$A$193),NA())))</f>
        <v/>
      </c>
      <c r="N193" s="67">
        <f>IF($A$193="",NA(),IF(COUNTIFS(Data!$AK$2:$AK$1105,1,Data!$AZ$2:$AZ$1105,$A$193)&lt;Controls!$B$19,NA(),IFERROR(AVERAGEIFS(Data!$AD$2:$AD$1105,Data!$AK$2:$AK$1105,1,Data!$AZ$2:$AZ$1105,$A$193),NA())))</f>
        <v/>
      </c>
      <c r="O193" s="67">
        <f>IF($A$193="",NA(),IF(COUNTIFS(Data!$AK$2:$AK$1105,1,Data!$AZ$2:$AZ$1105,$A$193)&lt;Controls!$B$19,NA(),IFERROR(AVERAGEIFS(Data!$AS$2:$AS$1105,Data!$AK$2:$AK$1105,1,Data!$AZ$2:$AZ$1105,$A$193),NA())))</f>
        <v/>
      </c>
      <c r="P193" s="67">
        <f>IF($A$193="",NA(),IF(COUNTIFS(Data!$AK$2:$AK$1105,1,Data!$AZ$2:$AZ$1105,$A$193)&lt;Controls!$B$19,NA(),IFERROR(AVERAGEIFS(Data!$AT$2:$AT$1105,Data!$AK$2:$AK$1105,1,Data!$AZ$2:$AZ$1105,$A$193),NA())))</f>
        <v/>
      </c>
      <c r="Q193" s="62">
        <f>IF($A$193="",NA(),IF(COUNTIFS(Data!$AK$2:$AK$1105,1,Data!$AZ$2:$AZ$1105,$A$193)&lt;Controls!$B$19,NA(),IFERROR(COUNTIFS(Data!$AK$2:$AK$1105,1,Data!$AZ$2:$AZ$1105,$A$193,Data!$N$2:$N$1105,"Renewal")/COUNTIFS(Data!$AK$2:$AK$1105,1,Data!$AZ$2:$AZ$1105,$A$193),NA())))</f>
        <v/>
      </c>
      <c r="R193" s="62">
        <f>IF($A$193="",NA(),IF(COUNTIFS(Data!$AK$2:$AK$1105,1,Data!$AZ$2:$AZ$1105,$A$193)&lt;Controls!$B$19,NA(),IFERROR(SUMIFS(Data!$P$2:$P$1105,Data!$AK$2:$AK$1105,1,Data!$AZ$2:$AZ$1105,$A$193,Data!$N$2:$N$1105,"Renewal")/SUMIFS(Data!$P$2:$P$1105,Data!$AK$2:$AK$1105,1,Data!$AZ$2:$AZ$1105,$A$193),NA())))</f>
        <v/>
      </c>
      <c r="S193" s="62">
        <f>IF($A$193="",NA(),Calc!$BT$2)</f>
        <v/>
      </c>
      <c r="T193" s="62">
        <f>IF($A$193="",NA(),Calc!$BT$3)</f>
        <v/>
      </c>
      <c r="U193" s="62">
        <f>IF($A$193="",NA(),Calc!$BT$4)</f>
        <v/>
      </c>
      <c r="V193" s="62">
        <f>IF($A$193="",NA(),IF(COUNTIFS(Data!$AK$2:$AK$1105,1,Data!$AZ$2:$AZ$1105,$A$193)&lt;Controls!$B$19,NA(),IFERROR(COUNTIFS(Data!$AK$2:$AK$1105,1,Data!$AZ$2:$AZ$1105,$A$193,Data!$AH$2:$AH$1105,1)/COUNTIFS(Data!$AK$2:$AK$1105,1,Data!$AZ$2:$AZ$1105,$A$193),NA())))</f>
        <v/>
      </c>
      <c r="W193" s="61">
        <f>IF($A$193="","",$A$193&amp;" ("&amp;$J$193&amp;")")</f>
        <v/>
      </c>
      <c r="X193" s="61" t="n"/>
      <c r="Y193" s="61" t="n"/>
      <c r="Z193" s="61" t="n"/>
      <c r="AA193" s="61" t="n"/>
      <c r="AB193" s="61" t="n"/>
      <c r="AC193" s="61" t="n"/>
      <c r="AD193" s="61" t="n"/>
      <c r="AE193" s="61" t="n"/>
      <c r="AF193" s="61" t="n"/>
      <c r="AG193" s="61" t="n"/>
      <c r="AH193" s="61" t="n"/>
      <c r="AI193" s="61" t="n"/>
      <c r="AJ193" s="61" t="n"/>
      <c r="AK193" s="61" t="n"/>
      <c r="AL193" s="61" t="n"/>
      <c r="AM193" s="61" t="n"/>
      <c r="AN193" s="61">
        <f>Controls!$G$90</f>
        <v/>
      </c>
      <c r="AO193" s="61">
        <f>COUNTIFS(Data!$AK$2:$AK$1105,1,Data!$M$2:$M$1105,$AN$193)</f>
        <v/>
      </c>
      <c r="AP193" s="57">
        <f>SUMIFS(Data!$P$2:$P$1105,Data!$AK$2:$AK$1105,1,Data!$M$2:$M$1105,$AN$193)</f>
        <v/>
      </c>
      <c r="AQ193" s="56">
        <f>IFERROR(SUMIFS(Data!$AN$2:$AN$1105,Data!$AK$2:$AK$1105,1,Data!$M$2:$M$1105,$AN$193)/$AP$193,0)</f>
        <v/>
      </c>
      <c r="AR193" s="57">
        <f>SUMIFS(Data!$AN$2:$AN$1105,Data!$AK$2:$AK$1105,1,Data!$M$2:$M$1105,$AN$193)</f>
        <v/>
      </c>
      <c r="AS193" s="61">
        <f>Controls!$H$90</f>
        <v/>
      </c>
      <c r="AT193" s="61">
        <f>IF(OR(AO193=0,AO193&lt;Controls!$B$20),-1000000000000000,IF(AND(Controls!$B$21="Y",$AN$193="No ISO"),-1000000000000000,IF(Controls!$B$17="Selected only",IF(AS193="Y",AP193,-1000000000000000),IF(Controls!$B$17="Top by funded $",AP193,IF(Controls!$B$17="Top by funded units",AO193,IF(Controls!$B$17="Largest principal lost $",AR193,IF(Controls!$B$17="Highest net profit $",AU193,IF(AO193&lt;Controls!$B$19,-1000000000000000,IF(Controls!$B$17="Highest principal lost rate %",AQ193,IF(Controls!$B$17="Lowest principal lost rate %",1-AQ193,AP193))))))))) +51/1000000)</f>
        <v/>
      </c>
      <c r="AU193" s="57">
        <f>SUMIFS(Data!$AM$2:$AM$1105,Data!$AK$2:$AK$1105,1,Data!$M$2:$M$1105,$AN$193)</f>
        <v/>
      </c>
      <c r="AV193" s="61" t="n"/>
      <c r="AW193" s="61" t="n"/>
      <c r="AX193" s="61" t="n"/>
      <c r="AY193" s="61" t="n"/>
      <c r="AZ193" s="61" t="n"/>
      <c r="BA193" s="61" t="n"/>
      <c r="BB193" s="61">
        <f>Controls!$G$158</f>
        <v/>
      </c>
      <c r="BC193" s="61">
        <f>COUNTIFS(Data!$AK$2:$AK$1105,1,Data!$M$2:$M$1105,$BB$193)</f>
        <v/>
      </c>
      <c r="BD193" s="57">
        <f>SUMIFS(Data!$P$2:$P$1105,Data!$AK$2:$AK$1105,1,Data!$M$2:$M$1105,$BB$193)</f>
        <v/>
      </c>
      <c r="BE193" s="56">
        <f>IF(COUNTIFS(Data!$AK$2:$AK$1105,1,Data!$M$2:$M$1105,$BB$193)&lt;Controls!$B$19,"",IFERROR(SUMIFS(Data!$AN$2:$AN$1105,Data!$AK$2:$AK$1105,1,Data!$M$2:$M$1105,$BB$193)/$BD$193,""))</f>
        <v/>
      </c>
      <c r="BF193" s="56">
        <f>IF(COUNTIFS(Data!$AK$2:$AK$1105,1,Data!$M$2:$M$1105,$BB$193)&lt;Controls!$B$19,"",IFERROR(SUMIFS(Data!$AM$2:$AM$1105,Data!$AK$2:$AK$1105,1,Data!$M$2:$M$1105,$BB$193)/SUMIFS(Data!$P$2:$P$1105,Data!$AK$2:$AK$1105,1,Data!$M$2:$M$1105,$BB$193),""))</f>
        <v/>
      </c>
      <c r="BG193" s="57">
        <f>SUMIFS(Data!$AN$2:$AN$1105,Data!$AK$2:$AK$1105,1,Data!$M$2:$M$1105,$BB$193)</f>
        <v/>
      </c>
      <c r="BH193" s="61" t="n"/>
      <c r="BI193" s="61">
        <f>IF(AND($BC$193&gt;=Controls!$B$22,$BD$193&gt;=LARGE($BD$75:$BD$230,MIN(Controls!$B$18,COUNT($BD$75:$BD$230)))),$BE$193,"")</f>
        <v/>
      </c>
      <c r="BJ193" s="61" t="n"/>
      <c r="BK193" s="61">
        <f>IF($BC$193&lt;Controls!$B$22,"",$BE$193)</f>
        <v/>
      </c>
      <c r="BL193" s="61">
        <f>IF($BC$193&lt;Controls!$B$22,"",$BF$193)</f>
        <v/>
      </c>
      <c r="BM193" s="61">
        <f>IF($BC$193&lt;Controls!$B$22,"",$BG$193)</f>
        <v/>
      </c>
      <c r="BN193" s="61" t="n"/>
      <c r="BO193" s="61" t="n"/>
      <c r="BP193" s="61" t="n"/>
      <c r="BQ193" s="61" t="n"/>
      <c r="BR193" s="61" t="n"/>
      <c r="BS193" s="61" t="n"/>
      <c r="BT193" s="61" t="n"/>
    </row>
    <row r="194" ht="15.75" customHeight="1" s="79">
      <c r="A194" s="61">
        <f>IF(EDATE(Controls!$B$5,18)&gt;Controls!$B$6,"",TEXT(EDATE(Controls!$B$5,18),"YYYY")&amp;"-Q"&amp;ROUNDUP(MONTH(EDATE(Controls!$B$5,18))/3,0))</f>
        <v/>
      </c>
      <c r="B194" s="66">
        <f>IF($A$194="",NA(),IFERROR(SUMIFS(Data!$P$2:$P$1105,Data!$AK$2:$AK$1105,1,Data!$AZ$2:$AZ$1105,$A$194),NA()))</f>
        <v/>
      </c>
      <c r="C194" s="66">
        <f>IF($A$194="",NA(),IFERROR(SUMIFS(Data!$S$2:$S$1105,Data!$AK$2:$AK$1105,1,Data!$AZ$2:$AZ$1105,$A$194),NA()))</f>
        <v/>
      </c>
      <c r="D194" s="66">
        <f>IF(ISNA($B$194),NA(),$C$194-$B$194)</f>
        <v/>
      </c>
      <c r="E194" s="66">
        <f>IF($A$194="",NA(),IFERROR(SUMIFS(Data!$Q$2:$Q$1105,Data!$AK$2:$AK$1105,1,Data!$AZ$2:$AZ$1105,$A$194),NA()))</f>
        <v/>
      </c>
      <c r="F194" s="66">
        <f>IF($A$194="",NA(),IFERROR(SUMIFS(Data!$AN$2:$AN$1105,Data!$AK$2:$AK$1105,1,Data!$AZ$2:$AZ$1105,$A$194),NA()))</f>
        <v/>
      </c>
      <c r="G194" s="62">
        <f>IF($A$194="",NA(),IF(COUNTIFS(Data!$AK$2:$AK$1105,1,Data!$AZ$2:$AZ$1105,$A$194)&lt;Controls!$B$19,NA(),IFERROR(SUMIFS(Data!$AN$2:$AN$1105,Data!$AK$2:$AK$1105,1,Data!$AZ$2:$AZ$1105,$A$194)/$B$194,NA())))</f>
        <v/>
      </c>
      <c r="H194" s="62">
        <f>IF($A$194="",NA(),IF(COUNTIFS(Data!$AK$2:$AK$1105,1,Data!$AZ$2:$AZ$1105,$A$194)&lt;Controls!$B$19,NA(),IFERROR(SUMIFS(Data!$S$2:$S$1105,Data!$AK$2:$AK$1105,1,Data!$AZ$2:$AZ$1105,$A$194,Data!$AH$2:$AH$1105,1)/SUMIFS(Data!$P$2:$P$1105,Data!$AK$2:$AK$1105,1,Data!$AZ$2:$AZ$1105,$A$194,Data!$AH$2:$AH$1105,1),NA())))</f>
        <v/>
      </c>
      <c r="I194" s="62">
        <f>IF(ISNA($J$194),NA(),IF($J$194&lt;Controls!$B$19,NA(),IFERROR($D$194/$B$194,NA())))</f>
        <v/>
      </c>
      <c r="J194" s="67">
        <f>IF($A$194="",NA(),IFERROR(COUNTIFS(Data!$AK$2:$AK$1105,1,Data!$AZ$2:$AZ$1105,$A$194),NA()))</f>
        <v/>
      </c>
      <c r="K194" s="62">
        <f>IF(ISNA($B$194),NA(),IFERROR($B$194/Calc!$BT$6,NA()))</f>
        <v/>
      </c>
      <c r="L194" s="66">
        <f>IF(ISNA($J$194),NA(),IF($J$194&lt;Controls!$B$19,NA(),IFERROR($B$194/$J$194,NA())))</f>
        <v/>
      </c>
      <c r="M194" s="67">
        <f>IF($A$194="",NA(),IF(COUNTIFS(Data!$AK$2:$AK$1105,1,Data!$AZ$2:$AZ$1105,$A$194)&lt;Controls!$B$19,NA(),IFERROR(AVERAGEIFS(Data!$AE$2:$AE$1105,Data!$AK$2:$AK$1105,1,Data!$AZ$2:$AZ$1105,$A$194),NA())))</f>
        <v/>
      </c>
      <c r="N194" s="67">
        <f>IF($A$194="",NA(),IF(COUNTIFS(Data!$AK$2:$AK$1105,1,Data!$AZ$2:$AZ$1105,$A$194)&lt;Controls!$B$19,NA(),IFERROR(AVERAGEIFS(Data!$AD$2:$AD$1105,Data!$AK$2:$AK$1105,1,Data!$AZ$2:$AZ$1105,$A$194),NA())))</f>
        <v/>
      </c>
      <c r="O194" s="67">
        <f>IF($A$194="",NA(),IF(COUNTIFS(Data!$AK$2:$AK$1105,1,Data!$AZ$2:$AZ$1105,$A$194)&lt;Controls!$B$19,NA(),IFERROR(AVERAGEIFS(Data!$AS$2:$AS$1105,Data!$AK$2:$AK$1105,1,Data!$AZ$2:$AZ$1105,$A$194),NA())))</f>
        <v/>
      </c>
      <c r="P194" s="67">
        <f>IF($A$194="",NA(),IF(COUNTIFS(Data!$AK$2:$AK$1105,1,Data!$AZ$2:$AZ$1105,$A$194)&lt;Controls!$B$19,NA(),IFERROR(AVERAGEIFS(Data!$AT$2:$AT$1105,Data!$AK$2:$AK$1105,1,Data!$AZ$2:$AZ$1105,$A$194),NA())))</f>
        <v/>
      </c>
      <c r="Q194" s="62">
        <f>IF($A$194="",NA(),IF(COUNTIFS(Data!$AK$2:$AK$1105,1,Data!$AZ$2:$AZ$1105,$A$194)&lt;Controls!$B$19,NA(),IFERROR(COUNTIFS(Data!$AK$2:$AK$1105,1,Data!$AZ$2:$AZ$1105,$A$194,Data!$N$2:$N$1105,"Renewal")/COUNTIFS(Data!$AK$2:$AK$1105,1,Data!$AZ$2:$AZ$1105,$A$194),NA())))</f>
        <v/>
      </c>
      <c r="R194" s="62">
        <f>IF($A$194="",NA(),IF(COUNTIFS(Data!$AK$2:$AK$1105,1,Data!$AZ$2:$AZ$1105,$A$194)&lt;Controls!$B$19,NA(),IFERROR(SUMIFS(Data!$P$2:$P$1105,Data!$AK$2:$AK$1105,1,Data!$AZ$2:$AZ$1105,$A$194,Data!$N$2:$N$1105,"Renewal")/SUMIFS(Data!$P$2:$P$1105,Data!$AK$2:$AK$1105,1,Data!$AZ$2:$AZ$1105,$A$194),NA())))</f>
        <v/>
      </c>
      <c r="S194" s="62">
        <f>IF($A$194="",NA(),Calc!$BT$2)</f>
        <v/>
      </c>
      <c r="T194" s="62">
        <f>IF($A$194="",NA(),Calc!$BT$3)</f>
        <v/>
      </c>
      <c r="U194" s="62">
        <f>IF($A$194="",NA(),Calc!$BT$4)</f>
        <v/>
      </c>
      <c r="V194" s="62">
        <f>IF($A$194="",NA(),IF(COUNTIFS(Data!$AK$2:$AK$1105,1,Data!$AZ$2:$AZ$1105,$A$194)&lt;Controls!$B$19,NA(),IFERROR(COUNTIFS(Data!$AK$2:$AK$1105,1,Data!$AZ$2:$AZ$1105,$A$194,Data!$AH$2:$AH$1105,1)/COUNTIFS(Data!$AK$2:$AK$1105,1,Data!$AZ$2:$AZ$1105,$A$194),NA())))</f>
        <v/>
      </c>
      <c r="W194" s="61">
        <f>IF($A$194="","",$A$194&amp;" ("&amp;$J$194&amp;")")</f>
        <v/>
      </c>
      <c r="X194" s="61" t="n"/>
      <c r="Y194" s="61" t="n"/>
      <c r="Z194" s="61" t="n"/>
      <c r="AA194" s="61" t="n"/>
      <c r="AB194" s="61" t="n"/>
      <c r="AC194" s="61" t="n"/>
      <c r="AD194" s="61" t="n"/>
      <c r="AE194" s="61" t="n"/>
      <c r="AF194" s="61" t="n"/>
      <c r="AG194" s="61" t="n"/>
      <c r="AH194" s="61" t="n"/>
      <c r="AI194" s="61" t="n"/>
      <c r="AJ194" s="61" t="n"/>
      <c r="AK194" s="61" t="n"/>
      <c r="AL194" s="61" t="n"/>
      <c r="AM194" s="61" t="n"/>
      <c r="AN194" s="61">
        <f>Controls!$G$91</f>
        <v/>
      </c>
      <c r="AO194" s="61">
        <f>COUNTIFS(Data!$AK$2:$AK$1105,1,Data!$M$2:$M$1105,$AN$194)</f>
        <v/>
      </c>
      <c r="AP194" s="57">
        <f>SUMIFS(Data!$P$2:$P$1105,Data!$AK$2:$AK$1105,1,Data!$M$2:$M$1105,$AN$194)</f>
        <v/>
      </c>
      <c r="AQ194" s="56">
        <f>IFERROR(SUMIFS(Data!$AN$2:$AN$1105,Data!$AK$2:$AK$1105,1,Data!$M$2:$M$1105,$AN$194)/$AP$194,0)</f>
        <v/>
      </c>
      <c r="AR194" s="57">
        <f>SUMIFS(Data!$AN$2:$AN$1105,Data!$AK$2:$AK$1105,1,Data!$M$2:$M$1105,$AN$194)</f>
        <v/>
      </c>
      <c r="AS194" s="61">
        <f>Controls!$H$91</f>
        <v/>
      </c>
      <c r="AT194" s="61">
        <f>IF(OR(AO194=0,AO194&lt;Controls!$B$20),-1000000000000000,IF(AND(Controls!$B$21="Y",$AN$194="No ISO"),-1000000000000000,IF(Controls!$B$17="Selected only",IF(AS194="Y",AP194,-1000000000000000),IF(Controls!$B$17="Top by funded $",AP194,IF(Controls!$B$17="Top by funded units",AO194,IF(Controls!$B$17="Largest principal lost $",AR194,IF(Controls!$B$17="Highest net profit $",AU194,IF(AO194&lt;Controls!$B$19,-1000000000000000,IF(Controls!$B$17="Highest principal lost rate %",AQ194,IF(Controls!$B$17="Lowest principal lost rate %",1-AQ194,AP194))))))))) +52/1000000)</f>
        <v/>
      </c>
      <c r="AU194" s="57">
        <f>SUMIFS(Data!$AM$2:$AM$1105,Data!$AK$2:$AK$1105,1,Data!$M$2:$M$1105,$AN$194)</f>
        <v/>
      </c>
      <c r="AV194" s="61" t="n"/>
      <c r="AW194" s="61" t="n"/>
      <c r="AX194" s="61" t="n"/>
      <c r="AY194" s="61" t="n"/>
      <c r="AZ194" s="61" t="n"/>
      <c r="BA194" s="61" t="n"/>
      <c r="BB194" s="61">
        <f>Controls!$G$159</f>
        <v/>
      </c>
      <c r="BC194" s="61">
        <f>COUNTIFS(Data!$AK$2:$AK$1105,1,Data!$M$2:$M$1105,$BB$194)</f>
        <v/>
      </c>
      <c r="BD194" s="57">
        <f>SUMIFS(Data!$P$2:$P$1105,Data!$AK$2:$AK$1105,1,Data!$M$2:$M$1105,$BB$194)</f>
        <v/>
      </c>
      <c r="BE194" s="56">
        <f>IF(COUNTIFS(Data!$AK$2:$AK$1105,1,Data!$M$2:$M$1105,$BB$194)&lt;Controls!$B$19,"",IFERROR(SUMIFS(Data!$AN$2:$AN$1105,Data!$AK$2:$AK$1105,1,Data!$M$2:$M$1105,$BB$194)/$BD$194,""))</f>
        <v/>
      </c>
      <c r="BF194" s="56">
        <f>IF(COUNTIFS(Data!$AK$2:$AK$1105,1,Data!$M$2:$M$1105,$BB$194)&lt;Controls!$B$19,"",IFERROR(SUMIFS(Data!$AM$2:$AM$1105,Data!$AK$2:$AK$1105,1,Data!$M$2:$M$1105,$BB$194)/SUMIFS(Data!$P$2:$P$1105,Data!$AK$2:$AK$1105,1,Data!$M$2:$M$1105,$BB$194),""))</f>
        <v/>
      </c>
      <c r="BG194" s="57">
        <f>SUMIFS(Data!$AN$2:$AN$1105,Data!$AK$2:$AK$1105,1,Data!$M$2:$M$1105,$BB$194)</f>
        <v/>
      </c>
      <c r="BH194" s="61" t="n"/>
      <c r="BI194" s="61">
        <f>IF(AND($BC$194&gt;=Controls!$B$22,$BD$194&gt;=LARGE($BD$75:$BD$230,MIN(Controls!$B$18,COUNT($BD$75:$BD$230)))),$BE$194,"")</f>
        <v/>
      </c>
      <c r="BJ194" s="61" t="n"/>
      <c r="BK194" s="61">
        <f>IF($BC$194&lt;Controls!$B$22,"",$BE$194)</f>
        <v/>
      </c>
      <c r="BL194" s="61">
        <f>IF($BC$194&lt;Controls!$B$22,"",$BF$194)</f>
        <v/>
      </c>
      <c r="BM194" s="61">
        <f>IF($BC$194&lt;Controls!$B$22,"",$BG$194)</f>
        <v/>
      </c>
      <c r="BN194" s="61" t="n"/>
      <c r="BO194" s="61" t="n"/>
      <c r="BP194" s="61" t="n"/>
      <c r="BQ194" s="61" t="n"/>
      <c r="BR194" s="61" t="n"/>
      <c r="BS194" s="61" t="n"/>
      <c r="BT194" s="61" t="n"/>
    </row>
    <row r="195" ht="15.75" customHeight="1" s="79">
      <c r="A195" s="61">
        <f>IF(EDATE(Controls!$B$5,21)&gt;Controls!$B$6,"",TEXT(EDATE(Controls!$B$5,21),"YYYY")&amp;"-Q"&amp;ROUNDUP(MONTH(EDATE(Controls!$B$5,21))/3,0))</f>
        <v/>
      </c>
      <c r="B195" s="66">
        <f>IF($A$195="",NA(),IFERROR(SUMIFS(Data!$P$2:$P$1105,Data!$AK$2:$AK$1105,1,Data!$AZ$2:$AZ$1105,$A$195),NA()))</f>
        <v/>
      </c>
      <c r="C195" s="66">
        <f>IF($A$195="",NA(),IFERROR(SUMIFS(Data!$S$2:$S$1105,Data!$AK$2:$AK$1105,1,Data!$AZ$2:$AZ$1105,$A$195),NA()))</f>
        <v/>
      </c>
      <c r="D195" s="66">
        <f>IF(ISNA($B$195),NA(),$C$195-$B$195)</f>
        <v/>
      </c>
      <c r="E195" s="66">
        <f>IF($A$195="",NA(),IFERROR(SUMIFS(Data!$Q$2:$Q$1105,Data!$AK$2:$AK$1105,1,Data!$AZ$2:$AZ$1105,$A$195),NA()))</f>
        <v/>
      </c>
      <c r="F195" s="66">
        <f>IF($A$195="",NA(),IFERROR(SUMIFS(Data!$AN$2:$AN$1105,Data!$AK$2:$AK$1105,1,Data!$AZ$2:$AZ$1105,$A$195),NA()))</f>
        <v/>
      </c>
      <c r="G195" s="62">
        <f>IF($A$195="",NA(),IF(COUNTIFS(Data!$AK$2:$AK$1105,1,Data!$AZ$2:$AZ$1105,$A$195)&lt;Controls!$B$19,NA(),IFERROR(SUMIFS(Data!$AN$2:$AN$1105,Data!$AK$2:$AK$1105,1,Data!$AZ$2:$AZ$1105,$A$195)/$B$195,NA())))</f>
        <v/>
      </c>
      <c r="H195" s="62">
        <f>IF($A$195="",NA(),IF(COUNTIFS(Data!$AK$2:$AK$1105,1,Data!$AZ$2:$AZ$1105,$A$195)&lt;Controls!$B$19,NA(),IFERROR(SUMIFS(Data!$S$2:$S$1105,Data!$AK$2:$AK$1105,1,Data!$AZ$2:$AZ$1105,$A$195,Data!$AH$2:$AH$1105,1)/SUMIFS(Data!$P$2:$P$1105,Data!$AK$2:$AK$1105,1,Data!$AZ$2:$AZ$1105,$A$195,Data!$AH$2:$AH$1105,1),NA())))</f>
        <v/>
      </c>
      <c r="I195" s="62">
        <f>IF(ISNA($J$195),NA(),IF($J$195&lt;Controls!$B$19,NA(),IFERROR($D$195/$B$195,NA())))</f>
        <v/>
      </c>
      <c r="J195" s="67">
        <f>IF($A$195="",NA(),IFERROR(COUNTIFS(Data!$AK$2:$AK$1105,1,Data!$AZ$2:$AZ$1105,$A$195),NA()))</f>
        <v/>
      </c>
      <c r="K195" s="62">
        <f>IF(ISNA($B$195),NA(),IFERROR($B$195/Calc!$BT$6,NA()))</f>
        <v/>
      </c>
      <c r="L195" s="66">
        <f>IF(ISNA($J$195),NA(),IF($J$195&lt;Controls!$B$19,NA(),IFERROR($B$195/$J$195,NA())))</f>
        <v/>
      </c>
      <c r="M195" s="67">
        <f>IF($A$195="",NA(),IF(COUNTIFS(Data!$AK$2:$AK$1105,1,Data!$AZ$2:$AZ$1105,$A$195)&lt;Controls!$B$19,NA(),IFERROR(AVERAGEIFS(Data!$AE$2:$AE$1105,Data!$AK$2:$AK$1105,1,Data!$AZ$2:$AZ$1105,$A$195),NA())))</f>
        <v/>
      </c>
      <c r="N195" s="67">
        <f>IF($A$195="",NA(),IF(COUNTIFS(Data!$AK$2:$AK$1105,1,Data!$AZ$2:$AZ$1105,$A$195)&lt;Controls!$B$19,NA(),IFERROR(AVERAGEIFS(Data!$AD$2:$AD$1105,Data!$AK$2:$AK$1105,1,Data!$AZ$2:$AZ$1105,$A$195),NA())))</f>
        <v/>
      </c>
      <c r="O195" s="67">
        <f>IF($A$195="",NA(),IF(COUNTIFS(Data!$AK$2:$AK$1105,1,Data!$AZ$2:$AZ$1105,$A$195)&lt;Controls!$B$19,NA(),IFERROR(AVERAGEIFS(Data!$AS$2:$AS$1105,Data!$AK$2:$AK$1105,1,Data!$AZ$2:$AZ$1105,$A$195),NA())))</f>
        <v/>
      </c>
      <c r="P195" s="67">
        <f>IF($A$195="",NA(),IF(COUNTIFS(Data!$AK$2:$AK$1105,1,Data!$AZ$2:$AZ$1105,$A$195)&lt;Controls!$B$19,NA(),IFERROR(AVERAGEIFS(Data!$AT$2:$AT$1105,Data!$AK$2:$AK$1105,1,Data!$AZ$2:$AZ$1105,$A$195),NA())))</f>
        <v/>
      </c>
      <c r="Q195" s="62">
        <f>IF($A$195="",NA(),IF(COUNTIFS(Data!$AK$2:$AK$1105,1,Data!$AZ$2:$AZ$1105,$A$195)&lt;Controls!$B$19,NA(),IFERROR(COUNTIFS(Data!$AK$2:$AK$1105,1,Data!$AZ$2:$AZ$1105,$A$195,Data!$N$2:$N$1105,"Renewal")/COUNTIFS(Data!$AK$2:$AK$1105,1,Data!$AZ$2:$AZ$1105,$A$195),NA())))</f>
        <v/>
      </c>
      <c r="R195" s="62">
        <f>IF($A$195="",NA(),IF(COUNTIFS(Data!$AK$2:$AK$1105,1,Data!$AZ$2:$AZ$1105,$A$195)&lt;Controls!$B$19,NA(),IFERROR(SUMIFS(Data!$P$2:$P$1105,Data!$AK$2:$AK$1105,1,Data!$AZ$2:$AZ$1105,$A$195,Data!$N$2:$N$1105,"Renewal")/SUMIFS(Data!$P$2:$P$1105,Data!$AK$2:$AK$1105,1,Data!$AZ$2:$AZ$1105,$A$195),NA())))</f>
        <v/>
      </c>
      <c r="S195" s="62">
        <f>IF($A$195="",NA(),Calc!$BT$2)</f>
        <v/>
      </c>
      <c r="T195" s="62">
        <f>IF($A$195="",NA(),Calc!$BT$3)</f>
        <v/>
      </c>
      <c r="U195" s="62">
        <f>IF($A$195="",NA(),Calc!$BT$4)</f>
        <v/>
      </c>
      <c r="V195" s="62">
        <f>IF($A$195="",NA(),IF(COUNTIFS(Data!$AK$2:$AK$1105,1,Data!$AZ$2:$AZ$1105,$A$195)&lt;Controls!$B$19,NA(),IFERROR(COUNTIFS(Data!$AK$2:$AK$1105,1,Data!$AZ$2:$AZ$1105,$A$195,Data!$AH$2:$AH$1105,1)/COUNTIFS(Data!$AK$2:$AK$1105,1,Data!$AZ$2:$AZ$1105,$A$195),NA())))</f>
        <v/>
      </c>
      <c r="W195" s="61">
        <f>IF($A$195="","",$A$195&amp;" ("&amp;$J$195&amp;")")</f>
        <v/>
      </c>
      <c r="X195" s="61" t="n"/>
      <c r="Y195" s="61" t="n"/>
      <c r="Z195" s="61" t="n"/>
      <c r="AA195" s="61" t="n"/>
      <c r="AB195" s="61" t="n"/>
      <c r="AC195" s="61" t="n"/>
      <c r="AD195" s="61" t="n"/>
      <c r="AE195" s="61" t="n"/>
      <c r="AF195" s="61" t="n"/>
      <c r="AG195" s="61" t="n"/>
      <c r="AH195" s="61" t="n"/>
      <c r="AI195" s="61" t="n"/>
      <c r="AJ195" s="61" t="n"/>
      <c r="AK195" s="61" t="n"/>
      <c r="AL195" s="61" t="n"/>
      <c r="AM195" s="61" t="n"/>
      <c r="AN195" s="61">
        <f>Controls!$G$92</f>
        <v/>
      </c>
      <c r="AO195" s="61">
        <f>COUNTIFS(Data!$AK$2:$AK$1105,1,Data!$M$2:$M$1105,$AN$195)</f>
        <v/>
      </c>
      <c r="AP195" s="57">
        <f>SUMIFS(Data!$P$2:$P$1105,Data!$AK$2:$AK$1105,1,Data!$M$2:$M$1105,$AN$195)</f>
        <v/>
      </c>
      <c r="AQ195" s="56">
        <f>IFERROR(SUMIFS(Data!$AN$2:$AN$1105,Data!$AK$2:$AK$1105,1,Data!$M$2:$M$1105,$AN$195)/$AP$195,0)</f>
        <v/>
      </c>
      <c r="AR195" s="57">
        <f>SUMIFS(Data!$AN$2:$AN$1105,Data!$AK$2:$AK$1105,1,Data!$M$2:$M$1105,$AN$195)</f>
        <v/>
      </c>
      <c r="AS195" s="61">
        <f>Controls!$H$92</f>
        <v/>
      </c>
      <c r="AT195" s="61">
        <f>IF(OR(AO195=0,AO195&lt;Controls!$B$20),-1000000000000000,IF(AND(Controls!$B$21="Y",$AN$195="No ISO"),-1000000000000000,IF(Controls!$B$17="Selected only",IF(AS195="Y",AP195,-1000000000000000),IF(Controls!$B$17="Top by funded $",AP195,IF(Controls!$B$17="Top by funded units",AO195,IF(Controls!$B$17="Largest principal lost $",AR195,IF(Controls!$B$17="Highest net profit $",AU195,IF(AO195&lt;Controls!$B$19,-1000000000000000,IF(Controls!$B$17="Highest principal lost rate %",AQ195,IF(Controls!$B$17="Lowest principal lost rate %",1-AQ195,AP195))))))))) +53/1000000)</f>
        <v/>
      </c>
      <c r="AU195" s="57">
        <f>SUMIFS(Data!$AM$2:$AM$1105,Data!$AK$2:$AK$1105,1,Data!$M$2:$M$1105,$AN$195)</f>
        <v/>
      </c>
      <c r="AV195" s="61" t="n"/>
      <c r="AW195" s="61" t="n"/>
      <c r="AX195" s="61" t="n"/>
      <c r="AY195" s="61" t="n"/>
      <c r="AZ195" s="61" t="n"/>
      <c r="BA195" s="61" t="n"/>
      <c r="BB195" s="61">
        <f>Controls!$G$160</f>
        <v/>
      </c>
      <c r="BC195" s="61">
        <f>COUNTIFS(Data!$AK$2:$AK$1105,1,Data!$M$2:$M$1105,$BB$195)</f>
        <v/>
      </c>
      <c r="BD195" s="57">
        <f>SUMIFS(Data!$P$2:$P$1105,Data!$AK$2:$AK$1105,1,Data!$M$2:$M$1105,$BB$195)</f>
        <v/>
      </c>
      <c r="BE195" s="56">
        <f>IF(COUNTIFS(Data!$AK$2:$AK$1105,1,Data!$M$2:$M$1105,$BB$195)&lt;Controls!$B$19,"",IFERROR(SUMIFS(Data!$AN$2:$AN$1105,Data!$AK$2:$AK$1105,1,Data!$M$2:$M$1105,$BB$195)/$BD$195,""))</f>
        <v/>
      </c>
      <c r="BF195" s="56">
        <f>IF(COUNTIFS(Data!$AK$2:$AK$1105,1,Data!$M$2:$M$1105,$BB$195)&lt;Controls!$B$19,"",IFERROR(SUMIFS(Data!$AM$2:$AM$1105,Data!$AK$2:$AK$1105,1,Data!$M$2:$M$1105,$BB$195)/SUMIFS(Data!$P$2:$P$1105,Data!$AK$2:$AK$1105,1,Data!$M$2:$M$1105,$BB$195),""))</f>
        <v/>
      </c>
      <c r="BG195" s="57">
        <f>SUMIFS(Data!$AN$2:$AN$1105,Data!$AK$2:$AK$1105,1,Data!$M$2:$M$1105,$BB$195)</f>
        <v/>
      </c>
      <c r="BH195" s="61" t="n"/>
      <c r="BI195" s="61">
        <f>IF(AND($BC$195&gt;=Controls!$B$22,$BD$195&gt;=LARGE($BD$75:$BD$230,MIN(Controls!$B$18,COUNT($BD$75:$BD$230)))),$BE$195,"")</f>
        <v/>
      </c>
      <c r="BJ195" s="61" t="n"/>
      <c r="BK195" s="61">
        <f>IF($BC$195&lt;Controls!$B$22,"",$BE$195)</f>
        <v/>
      </c>
      <c r="BL195" s="61">
        <f>IF($BC$195&lt;Controls!$B$22,"",$BF$195)</f>
        <v/>
      </c>
      <c r="BM195" s="61">
        <f>IF($BC$195&lt;Controls!$B$22,"",$BG$195)</f>
        <v/>
      </c>
      <c r="BN195" s="61" t="n"/>
      <c r="BO195" s="61" t="n"/>
      <c r="BP195" s="61" t="n"/>
      <c r="BQ195" s="61" t="n"/>
      <c r="BR195" s="61" t="n"/>
      <c r="BS195" s="61" t="n"/>
      <c r="BT195" s="61" t="n"/>
    </row>
    <row r="196" ht="15.75" customHeight="1" s="79">
      <c r="A196" s="61">
        <f>IF(EDATE(Controls!$B$5,24)&gt;Controls!$B$6,"",TEXT(EDATE(Controls!$B$5,24),"YYYY")&amp;"-Q"&amp;ROUNDUP(MONTH(EDATE(Controls!$B$5,24))/3,0))</f>
        <v/>
      </c>
      <c r="B196" s="66">
        <f>IF($A$196="",NA(),IFERROR(SUMIFS(Data!$P$2:$P$1105,Data!$AK$2:$AK$1105,1,Data!$AZ$2:$AZ$1105,$A$196),NA()))</f>
        <v/>
      </c>
      <c r="C196" s="66">
        <f>IF($A$196="",NA(),IFERROR(SUMIFS(Data!$S$2:$S$1105,Data!$AK$2:$AK$1105,1,Data!$AZ$2:$AZ$1105,$A$196),NA()))</f>
        <v/>
      </c>
      <c r="D196" s="66">
        <f>IF(ISNA($B$196),NA(),$C$196-$B$196)</f>
        <v/>
      </c>
      <c r="E196" s="66">
        <f>IF($A$196="",NA(),IFERROR(SUMIFS(Data!$Q$2:$Q$1105,Data!$AK$2:$AK$1105,1,Data!$AZ$2:$AZ$1105,$A$196),NA()))</f>
        <v/>
      </c>
      <c r="F196" s="66">
        <f>IF($A$196="",NA(),IFERROR(SUMIFS(Data!$AN$2:$AN$1105,Data!$AK$2:$AK$1105,1,Data!$AZ$2:$AZ$1105,$A$196),NA()))</f>
        <v/>
      </c>
      <c r="G196" s="62">
        <f>IF($A$196="",NA(),IF(COUNTIFS(Data!$AK$2:$AK$1105,1,Data!$AZ$2:$AZ$1105,$A$196)&lt;Controls!$B$19,NA(),IFERROR(SUMIFS(Data!$AN$2:$AN$1105,Data!$AK$2:$AK$1105,1,Data!$AZ$2:$AZ$1105,$A$196)/$B$196,NA())))</f>
        <v/>
      </c>
      <c r="H196" s="62">
        <f>IF($A$196="",NA(),IF(COUNTIFS(Data!$AK$2:$AK$1105,1,Data!$AZ$2:$AZ$1105,$A$196)&lt;Controls!$B$19,NA(),IFERROR(SUMIFS(Data!$S$2:$S$1105,Data!$AK$2:$AK$1105,1,Data!$AZ$2:$AZ$1105,$A$196,Data!$AH$2:$AH$1105,1)/SUMIFS(Data!$P$2:$P$1105,Data!$AK$2:$AK$1105,1,Data!$AZ$2:$AZ$1105,$A$196,Data!$AH$2:$AH$1105,1),NA())))</f>
        <v/>
      </c>
      <c r="I196" s="62">
        <f>IF(ISNA($J$196),NA(),IF($J$196&lt;Controls!$B$19,NA(),IFERROR($D$196/$B$196,NA())))</f>
        <v/>
      </c>
      <c r="J196" s="67">
        <f>IF($A$196="",NA(),IFERROR(COUNTIFS(Data!$AK$2:$AK$1105,1,Data!$AZ$2:$AZ$1105,$A$196),NA()))</f>
        <v/>
      </c>
      <c r="K196" s="62">
        <f>IF(ISNA($B$196),NA(),IFERROR($B$196/Calc!$BT$6,NA()))</f>
        <v/>
      </c>
      <c r="L196" s="66">
        <f>IF(ISNA($J$196),NA(),IF($J$196&lt;Controls!$B$19,NA(),IFERROR($B$196/$J$196,NA())))</f>
        <v/>
      </c>
      <c r="M196" s="67">
        <f>IF($A$196="",NA(),IF(COUNTIFS(Data!$AK$2:$AK$1105,1,Data!$AZ$2:$AZ$1105,$A$196)&lt;Controls!$B$19,NA(),IFERROR(AVERAGEIFS(Data!$AE$2:$AE$1105,Data!$AK$2:$AK$1105,1,Data!$AZ$2:$AZ$1105,$A$196),NA())))</f>
        <v/>
      </c>
      <c r="N196" s="67">
        <f>IF($A$196="",NA(),IF(COUNTIFS(Data!$AK$2:$AK$1105,1,Data!$AZ$2:$AZ$1105,$A$196)&lt;Controls!$B$19,NA(),IFERROR(AVERAGEIFS(Data!$AD$2:$AD$1105,Data!$AK$2:$AK$1105,1,Data!$AZ$2:$AZ$1105,$A$196),NA())))</f>
        <v/>
      </c>
      <c r="O196" s="67">
        <f>IF($A$196="",NA(),IF(COUNTIFS(Data!$AK$2:$AK$1105,1,Data!$AZ$2:$AZ$1105,$A$196)&lt;Controls!$B$19,NA(),IFERROR(AVERAGEIFS(Data!$AS$2:$AS$1105,Data!$AK$2:$AK$1105,1,Data!$AZ$2:$AZ$1105,$A$196),NA())))</f>
        <v/>
      </c>
      <c r="P196" s="67">
        <f>IF($A$196="",NA(),IF(COUNTIFS(Data!$AK$2:$AK$1105,1,Data!$AZ$2:$AZ$1105,$A$196)&lt;Controls!$B$19,NA(),IFERROR(AVERAGEIFS(Data!$AT$2:$AT$1105,Data!$AK$2:$AK$1105,1,Data!$AZ$2:$AZ$1105,$A$196),NA())))</f>
        <v/>
      </c>
      <c r="Q196" s="62">
        <f>IF($A$196="",NA(),IF(COUNTIFS(Data!$AK$2:$AK$1105,1,Data!$AZ$2:$AZ$1105,$A$196)&lt;Controls!$B$19,NA(),IFERROR(COUNTIFS(Data!$AK$2:$AK$1105,1,Data!$AZ$2:$AZ$1105,$A$196,Data!$N$2:$N$1105,"Renewal")/COUNTIFS(Data!$AK$2:$AK$1105,1,Data!$AZ$2:$AZ$1105,$A$196),NA())))</f>
        <v/>
      </c>
      <c r="R196" s="62">
        <f>IF($A$196="",NA(),IF(COUNTIFS(Data!$AK$2:$AK$1105,1,Data!$AZ$2:$AZ$1105,$A$196)&lt;Controls!$B$19,NA(),IFERROR(SUMIFS(Data!$P$2:$P$1105,Data!$AK$2:$AK$1105,1,Data!$AZ$2:$AZ$1105,$A$196,Data!$N$2:$N$1105,"Renewal")/SUMIFS(Data!$P$2:$P$1105,Data!$AK$2:$AK$1105,1,Data!$AZ$2:$AZ$1105,$A$196),NA())))</f>
        <v/>
      </c>
      <c r="S196" s="62">
        <f>IF($A$196="",NA(),Calc!$BT$2)</f>
        <v/>
      </c>
      <c r="T196" s="62">
        <f>IF($A$196="",NA(),Calc!$BT$3)</f>
        <v/>
      </c>
      <c r="U196" s="62">
        <f>IF($A$196="",NA(),Calc!$BT$4)</f>
        <v/>
      </c>
      <c r="V196" s="62">
        <f>IF($A$196="",NA(),IF(COUNTIFS(Data!$AK$2:$AK$1105,1,Data!$AZ$2:$AZ$1105,$A$196)&lt;Controls!$B$19,NA(),IFERROR(COUNTIFS(Data!$AK$2:$AK$1105,1,Data!$AZ$2:$AZ$1105,$A$196,Data!$AH$2:$AH$1105,1)/COUNTIFS(Data!$AK$2:$AK$1105,1,Data!$AZ$2:$AZ$1105,$A$196),NA())))</f>
        <v/>
      </c>
      <c r="W196" s="61">
        <f>IF($A$196="","",$A$196&amp;" ("&amp;$J$196&amp;")")</f>
        <v/>
      </c>
      <c r="X196" s="61" t="n"/>
      <c r="Y196" s="61" t="n"/>
      <c r="Z196" s="61" t="n"/>
      <c r="AA196" s="61" t="n"/>
      <c r="AB196" s="61" t="n"/>
      <c r="AC196" s="61" t="n"/>
      <c r="AD196" s="61" t="n"/>
      <c r="AE196" s="61" t="n"/>
      <c r="AF196" s="61" t="n"/>
      <c r="AG196" s="61" t="n"/>
      <c r="AH196" s="61" t="n"/>
      <c r="AI196" s="61" t="n"/>
      <c r="AJ196" s="61" t="n"/>
      <c r="AK196" s="61" t="n"/>
      <c r="AL196" s="61" t="n"/>
      <c r="AM196" s="61" t="n"/>
      <c r="AN196" s="61">
        <f>Controls!$G$93</f>
        <v/>
      </c>
      <c r="AO196" s="61">
        <f>COUNTIFS(Data!$AK$2:$AK$1105,1,Data!$M$2:$M$1105,$AN$196)</f>
        <v/>
      </c>
      <c r="AP196" s="57">
        <f>SUMIFS(Data!$P$2:$P$1105,Data!$AK$2:$AK$1105,1,Data!$M$2:$M$1105,$AN$196)</f>
        <v/>
      </c>
      <c r="AQ196" s="56">
        <f>IFERROR(SUMIFS(Data!$AN$2:$AN$1105,Data!$AK$2:$AK$1105,1,Data!$M$2:$M$1105,$AN$196)/$AP$196,0)</f>
        <v/>
      </c>
      <c r="AR196" s="57">
        <f>SUMIFS(Data!$AN$2:$AN$1105,Data!$AK$2:$AK$1105,1,Data!$M$2:$M$1105,$AN$196)</f>
        <v/>
      </c>
      <c r="AS196" s="61">
        <f>Controls!$H$93</f>
        <v/>
      </c>
      <c r="AT196" s="61">
        <f>IF(OR(AO196=0,AO196&lt;Controls!$B$20),-1000000000000000,IF(AND(Controls!$B$21="Y",$AN$196="No ISO"),-1000000000000000,IF(Controls!$B$17="Selected only",IF(AS196="Y",AP196,-1000000000000000),IF(Controls!$B$17="Top by funded $",AP196,IF(Controls!$B$17="Top by funded units",AO196,IF(Controls!$B$17="Largest principal lost $",AR196,IF(Controls!$B$17="Highest net profit $",AU196,IF(AO196&lt;Controls!$B$19,-1000000000000000,IF(Controls!$B$17="Highest principal lost rate %",AQ196,IF(Controls!$B$17="Lowest principal lost rate %",1-AQ196,AP196))))))))) +54/1000000)</f>
        <v/>
      </c>
      <c r="AU196" s="57">
        <f>SUMIFS(Data!$AM$2:$AM$1105,Data!$AK$2:$AK$1105,1,Data!$M$2:$M$1105,$AN$196)</f>
        <v/>
      </c>
      <c r="AV196" s="61" t="n"/>
      <c r="AW196" s="61" t="n"/>
      <c r="AX196" s="61" t="n"/>
      <c r="AY196" s="61" t="n"/>
      <c r="AZ196" s="61" t="n"/>
      <c r="BA196" s="61" t="n"/>
      <c r="BB196" s="61">
        <f>Controls!$G$161</f>
        <v/>
      </c>
      <c r="BC196" s="61">
        <f>COUNTIFS(Data!$AK$2:$AK$1105,1,Data!$M$2:$M$1105,$BB$196)</f>
        <v/>
      </c>
      <c r="BD196" s="57">
        <f>SUMIFS(Data!$P$2:$P$1105,Data!$AK$2:$AK$1105,1,Data!$M$2:$M$1105,$BB$196)</f>
        <v/>
      </c>
      <c r="BE196" s="56">
        <f>IF(COUNTIFS(Data!$AK$2:$AK$1105,1,Data!$M$2:$M$1105,$BB$196)&lt;Controls!$B$19,"",IFERROR(SUMIFS(Data!$AN$2:$AN$1105,Data!$AK$2:$AK$1105,1,Data!$M$2:$M$1105,$BB$196)/$BD$196,""))</f>
        <v/>
      </c>
      <c r="BF196" s="56">
        <f>IF(COUNTIFS(Data!$AK$2:$AK$1105,1,Data!$M$2:$M$1105,$BB$196)&lt;Controls!$B$19,"",IFERROR(SUMIFS(Data!$AM$2:$AM$1105,Data!$AK$2:$AK$1105,1,Data!$M$2:$M$1105,$BB$196)/SUMIFS(Data!$P$2:$P$1105,Data!$AK$2:$AK$1105,1,Data!$M$2:$M$1105,$BB$196),""))</f>
        <v/>
      </c>
      <c r="BG196" s="57">
        <f>SUMIFS(Data!$AN$2:$AN$1105,Data!$AK$2:$AK$1105,1,Data!$M$2:$M$1105,$BB$196)</f>
        <v/>
      </c>
      <c r="BH196" s="61" t="n"/>
      <c r="BI196" s="61">
        <f>IF(AND($BC$196&gt;=Controls!$B$22,$BD$196&gt;=LARGE($BD$75:$BD$230,MIN(Controls!$B$18,COUNT($BD$75:$BD$230)))),$BE$196,"")</f>
        <v/>
      </c>
      <c r="BJ196" s="61" t="n"/>
      <c r="BK196" s="61">
        <f>IF($BC$196&lt;Controls!$B$22,"",$BE$196)</f>
        <v/>
      </c>
      <c r="BL196" s="61">
        <f>IF($BC$196&lt;Controls!$B$22,"",$BF$196)</f>
        <v/>
      </c>
      <c r="BM196" s="61">
        <f>IF($BC$196&lt;Controls!$B$22,"",$BG$196)</f>
        <v/>
      </c>
      <c r="BN196" s="61" t="n"/>
      <c r="BO196" s="61" t="n"/>
      <c r="BP196" s="61" t="n"/>
      <c r="BQ196" s="61" t="n"/>
      <c r="BR196" s="61" t="n"/>
      <c r="BS196" s="61" t="n"/>
      <c r="BT196" s="61" t="n"/>
    </row>
    <row r="197" ht="15.75" customHeight="1" s="79">
      <c r="A197" s="61">
        <f>IF(EDATE(Controls!$B$5,27)&gt;Controls!$B$6,"",TEXT(EDATE(Controls!$B$5,27),"YYYY")&amp;"-Q"&amp;ROUNDUP(MONTH(EDATE(Controls!$B$5,27))/3,0))</f>
        <v/>
      </c>
      <c r="B197" s="66">
        <f>IF($A$197="",NA(),IFERROR(SUMIFS(Data!$P$2:$P$1105,Data!$AK$2:$AK$1105,1,Data!$AZ$2:$AZ$1105,$A$197),NA()))</f>
        <v/>
      </c>
      <c r="C197" s="66">
        <f>IF($A$197="",NA(),IFERROR(SUMIFS(Data!$S$2:$S$1105,Data!$AK$2:$AK$1105,1,Data!$AZ$2:$AZ$1105,$A$197),NA()))</f>
        <v/>
      </c>
      <c r="D197" s="66">
        <f>IF(ISNA($B$197),NA(),$C$197-$B$197)</f>
        <v/>
      </c>
      <c r="E197" s="66">
        <f>IF($A$197="",NA(),IFERROR(SUMIFS(Data!$Q$2:$Q$1105,Data!$AK$2:$AK$1105,1,Data!$AZ$2:$AZ$1105,$A$197),NA()))</f>
        <v/>
      </c>
      <c r="F197" s="66">
        <f>IF($A$197="",NA(),IFERROR(SUMIFS(Data!$AN$2:$AN$1105,Data!$AK$2:$AK$1105,1,Data!$AZ$2:$AZ$1105,$A$197),NA()))</f>
        <v/>
      </c>
      <c r="G197" s="62">
        <f>IF($A$197="",NA(),IF(COUNTIFS(Data!$AK$2:$AK$1105,1,Data!$AZ$2:$AZ$1105,$A$197)&lt;Controls!$B$19,NA(),IFERROR(SUMIFS(Data!$AN$2:$AN$1105,Data!$AK$2:$AK$1105,1,Data!$AZ$2:$AZ$1105,$A$197)/$B$197,NA())))</f>
        <v/>
      </c>
      <c r="H197" s="62">
        <f>IF($A$197="",NA(),IF(COUNTIFS(Data!$AK$2:$AK$1105,1,Data!$AZ$2:$AZ$1105,$A$197)&lt;Controls!$B$19,NA(),IFERROR(SUMIFS(Data!$S$2:$S$1105,Data!$AK$2:$AK$1105,1,Data!$AZ$2:$AZ$1105,$A$197,Data!$AH$2:$AH$1105,1)/SUMIFS(Data!$P$2:$P$1105,Data!$AK$2:$AK$1105,1,Data!$AZ$2:$AZ$1105,$A$197,Data!$AH$2:$AH$1105,1),NA())))</f>
        <v/>
      </c>
      <c r="I197" s="62">
        <f>IF(ISNA($J$197),NA(),IF($J$197&lt;Controls!$B$19,NA(),IFERROR($D$197/$B$197,NA())))</f>
        <v/>
      </c>
      <c r="J197" s="67">
        <f>IF($A$197="",NA(),IFERROR(COUNTIFS(Data!$AK$2:$AK$1105,1,Data!$AZ$2:$AZ$1105,$A$197),NA()))</f>
        <v/>
      </c>
      <c r="K197" s="62">
        <f>IF(ISNA($B$197),NA(),IFERROR($B$197/Calc!$BT$6,NA()))</f>
        <v/>
      </c>
      <c r="L197" s="66">
        <f>IF(ISNA($J$197),NA(),IF($J$197&lt;Controls!$B$19,NA(),IFERROR($B$197/$J$197,NA())))</f>
        <v/>
      </c>
      <c r="M197" s="67">
        <f>IF($A$197="",NA(),IF(COUNTIFS(Data!$AK$2:$AK$1105,1,Data!$AZ$2:$AZ$1105,$A$197)&lt;Controls!$B$19,NA(),IFERROR(AVERAGEIFS(Data!$AE$2:$AE$1105,Data!$AK$2:$AK$1105,1,Data!$AZ$2:$AZ$1105,$A$197),NA())))</f>
        <v/>
      </c>
      <c r="N197" s="67">
        <f>IF($A$197="",NA(),IF(COUNTIFS(Data!$AK$2:$AK$1105,1,Data!$AZ$2:$AZ$1105,$A$197)&lt;Controls!$B$19,NA(),IFERROR(AVERAGEIFS(Data!$AD$2:$AD$1105,Data!$AK$2:$AK$1105,1,Data!$AZ$2:$AZ$1105,$A$197),NA())))</f>
        <v/>
      </c>
      <c r="O197" s="67">
        <f>IF($A$197="",NA(),IF(COUNTIFS(Data!$AK$2:$AK$1105,1,Data!$AZ$2:$AZ$1105,$A$197)&lt;Controls!$B$19,NA(),IFERROR(AVERAGEIFS(Data!$AS$2:$AS$1105,Data!$AK$2:$AK$1105,1,Data!$AZ$2:$AZ$1105,$A$197),NA())))</f>
        <v/>
      </c>
      <c r="P197" s="67">
        <f>IF($A$197="",NA(),IF(COUNTIFS(Data!$AK$2:$AK$1105,1,Data!$AZ$2:$AZ$1105,$A$197)&lt;Controls!$B$19,NA(),IFERROR(AVERAGEIFS(Data!$AT$2:$AT$1105,Data!$AK$2:$AK$1105,1,Data!$AZ$2:$AZ$1105,$A$197),NA())))</f>
        <v/>
      </c>
      <c r="Q197" s="62">
        <f>IF($A$197="",NA(),IF(COUNTIFS(Data!$AK$2:$AK$1105,1,Data!$AZ$2:$AZ$1105,$A$197)&lt;Controls!$B$19,NA(),IFERROR(COUNTIFS(Data!$AK$2:$AK$1105,1,Data!$AZ$2:$AZ$1105,$A$197,Data!$N$2:$N$1105,"Renewal")/COUNTIFS(Data!$AK$2:$AK$1105,1,Data!$AZ$2:$AZ$1105,$A$197),NA())))</f>
        <v/>
      </c>
      <c r="R197" s="62">
        <f>IF($A$197="",NA(),IF(COUNTIFS(Data!$AK$2:$AK$1105,1,Data!$AZ$2:$AZ$1105,$A$197)&lt;Controls!$B$19,NA(),IFERROR(SUMIFS(Data!$P$2:$P$1105,Data!$AK$2:$AK$1105,1,Data!$AZ$2:$AZ$1105,$A$197,Data!$N$2:$N$1105,"Renewal")/SUMIFS(Data!$P$2:$P$1105,Data!$AK$2:$AK$1105,1,Data!$AZ$2:$AZ$1105,$A$197),NA())))</f>
        <v/>
      </c>
      <c r="S197" s="62">
        <f>IF($A$197="",NA(),Calc!$BT$2)</f>
        <v/>
      </c>
      <c r="T197" s="62">
        <f>IF($A$197="",NA(),Calc!$BT$3)</f>
        <v/>
      </c>
      <c r="U197" s="62">
        <f>IF($A$197="",NA(),Calc!$BT$4)</f>
        <v/>
      </c>
      <c r="V197" s="62">
        <f>IF($A$197="",NA(),IF(COUNTIFS(Data!$AK$2:$AK$1105,1,Data!$AZ$2:$AZ$1105,$A$197)&lt;Controls!$B$19,NA(),IFERROR(COUNTIFS(Data!$AK$2:$AK$1105,1,Data!$AZ$2:$AZ$1105,$A$197,Data!$AH$2:$AH$1105,1)/COUNTIFS(Data!$AK$2:$AK$1105,1,Data!$AZ$2:$AZ$1105,$A$197),NA())))</f>
        <v/>
      </c>
      <c r="W197" s="61">
        <f>IF($A$197="","",$A$197&amp;" ("&amp;$J$197&amp;")")</f>
        <v/>
      </c>
      <c r="X197" s="61" t="n"/>
      <c r="Y197" s="61" t="n"/>
      <c r="Z197" s="61" t="n"/>
      <c r="AA197" s="61" t="n"/>
      <c r="AB197" s="61" t="n"/>
      <c r="AC197" s="61" t="n"/>
      <c r="AD197" s="61" t="n"/>
      <c r="AE197" s="61" t="n"/>
      <c r="AF197" s="61" t="n"/>
      <c r="AG197" s="61" t="n"/>
      <c r="AH197" s="61" t="n"/>
      <c r="AI197" s="61" t="n"/>
      <c r="AJ197" s="61" t="n"/>
      <c r="AK197" s="61" t="n"/>
      <c r="AL197" s="61" t="n"/>
      <c r="AM197" s="61" t="n"/>
      <c r="AN197" s="61">
        <f>Controls!$G$94</f>
        <v/>
      </c>
      <c r="AO197" s="61">
        <f>COUNTIFS(Data!$AK$2:$AK$1105,1,Data!$M$2:$M$1105,$AN$197)</f>
        <v/>
      </c>
      <c r="AP197" s="57">
        <f>SUMIFS(Data!$P$2:$P$1105,Data!$AK$2:$AK$1105,1,Data!$M$2:$M$1105,$AN$197)</f>
        <v/>
      </c>
      <c r="AQ197" s="56">
        <f>IFERROR(SUMIFS(Data!$AN$2:$AN$1105,Data!$AK$2:$AK$1105,1,Data!$M$2:$M$1105,$AN$197)/$AP$197,0)</f>
        <v/>
      </c>
      <c r="AR197" s="57">
        <f>SUMIFS(Data!$AN$2:$AN$1105,Data!$AK$2:$AK$1105,1,Data!$M$2:$M$1105,$AN$197)</f>
        <v/>
      </c>
      <c r="AS197" s="61">
        <f>Controls!$H$94</f>
        <v/>
      </c>
      <c r="AT197" s="61">
        <f>IF(OR(AO197=0,AO197&lt;Controls!$B$20),-1000000000000000,IF(AND(Controls!$B$21="Y",$AN$197="No ISO"),-1000000000000000,IF(Controls!$B$17="Selected only",IF(AS197="Y",AP197,-1000000000000000),IF(Controls!$B$17="Top by funded $",AP197,IF(Controls!$B$17="Top by funded units",AO197,IF(Controls!$B$17="Largest principal lost $",AR197,IF(Controls!$B$17="Highest net profit $",AU197,IF(AO197&lt;Controls!$B$19,-1000000000000000,IF(Controls!$B$17="Highest principal lost rate %",AQ197,IF(Controls!$B$17="Lowest principal lost rate %",1-AQ197,AP197))))))))) +55/1000000)</f>
        <v/>
      </c>
      <c r="AU197" s="57">
        <f>SUMIFS(Data!$AM$2:$AM$1105,Data!$AK$2:$AK$1105,1,Data!$M$2:$M$1105,$AN$197)</f>
        <v/>
      </c>
      <c r="AV197" s="61" t="n"/>
      <c r="AW197" s="61" t="n"/>
      <c r="AX197" s="61" t="n"/>
      <c r="AY197" s="61" t="n"/>
      <c r="AZ197" s="61" t="n"/>
      <c r="BA197" s="61" t="n"/>
      <c r="BB197" s="61">
        <f>Controls!$G$162</f>
        <v/>
      </c>
      <c r="BC197" s="61">
        <f>COUNTIFS(Data!$AK$2:$AK$1105,1,Data!$M$2:$M$1105,$BB$197)</f>
        <v/>
      </c>
      <c r="BD197" s="57">
        <f>SUMIFS(Data!$P$2:$P$1105,Data!$AK$2:$AK$1105,1,Data!$M$2:$M$1105,$BB$197)</f>
        <v/>
      </c>
      <c r="BE197" s="56">
        <f>IF(COUNTIFS(Data!$AK$2:$AK$1105,1,Data!$M$2:$M$1105,$BB$197)&lt;Controls!$B$19,"",IFERROR(SUMIFS(Data!$AN$2:$AN$1105,Data!$AK$2:$AK$1105,1,Data!$M$2:$M$1105,$BB$197)/$BD$197,""))</f>
        <v/>
      </c>
      <c r="BF197" s="56">
        <f>IF(COUNTIFS(Data!$AK$2:$AK$1105,1,Data!$M$2:$M$1105,$BB$197)&lt;Controls!$B$19,"",IFERROR(SUMIFS(Data!$AM$2:$AM$1105,Data!$AK$2:$AK$1105,1,Data!$M$2:$M$1105,$BB$197)/SUMIFS(Data!$P$2:$P$1105,Data!$AK$2:$AK$1105,1,Data!$M$2:$M$1105,$BB$197),""))</f>
        <v/>
      </c>
      <c r="BG197" s="57">
        <f>SUMIFS(Data!$AN$2:$AN$1105,Data!$AK$2:$AK$1105,1,Data!$M$2:$M$1105,$BB$197)</f>
        <v/>
      </c>
      <c r="BH197" s="61" t="n"/>
      <c r="BI197" s="61">
        <f>IF(AND($BC$197&gt;=Controls!$B$22,$BD$197&gt;=LARGE($BD$75:$BD$230,MIN(Controls!$B$18,COUNT($BD$75:$BD$230)))),$BE$197,"")</f>
        <v/>
      </c>
      <c r="BJ197" s="61" t="n"/>
      <c r="BK197" s="56">
        <f>IF($BC$197&lt;Controls!$B$22,"",$BE$197)</f>
        <v/>
      </c>
      <c r="BL197" s="56">
        <f>IF($BC$197&lt;Controls!$B$22,"",$BF$197)</f>
        <v/>
      </c>
      <c r="BM197" s="57">
        <f>IF($BC$197&lt;Controls!$B$22,"",$BG$197)</f>
        <v/>
      </c>
      <c r="BN197" s="61" t="n"/>
      <c r="BO197" s="61" t="n"/>
      <c r="BP197" s="61" t="n"/>
      <c r="BQ197" s="61" t="n"/>
      <c r="BR197" s="61" t="n"/>
      <c r="BS197" s="61" t="n"/>
      <c r="BT197" s="61" t="n"/>
    </row>
    <row r="198" ht="15.75" customHeight="1" s="79">
      <c r="A198" s="61">
        <f>IF(EDATE(Controls!$B$5,30)&gt;Controls!$B$6,"",TEXT(EDATE(Controls!$B$5,30),"YYYY")&amp;"-Q"&amp;ROUNDUP(MONTH(EDATE(Controls!$B$5,30))/3,0))</f>
        <v/>
      </c>
      <c r="B198" s="66">
        <f>IF($A$198="",NA(),IFERROR(SUMIFS(Data!$P$2:$P$1105,Data!$AK$2:$AK$1105,1,Data!$AZ$2:$AZ$1105,$A$198),NA()))</f>
        <v/>
      </c>
      <c r="C198" s="66">
        <f>IF($A$198="",NA(),IFERROR(SUMIFS(Data!$S$2:$S$1105,Data!$AK$2:$AK$1105,1,Data!$AZ$2:$AZ$1105,$A$198),NA()))</f>
        <v/>
      </c>
      <c r="D198" s="66">
        <f>IF(ISNA($B$198),NA(),$C$198-$B$198)</f>
        <v/>
      </c>
      <c r="E198" s="66">
        <f>IF($A$198="",NA(),IFERROR(SUMIFS(Data!$Q$2:$Q$1105,Data!$AK$2:$AK$1105,1,Data!$AZ$2:$AZ$1105,$A$198),NA()))</f>
        <v/>
      </c>
      <c r="F198" s="66">
        <f>IF($A$198="",NA(),IFERROR(SUMIFS(Data!$AN$2:$AN$1105,Data!$AK$2:$AK$1105,1,Data!$AZ$2:$AZ$1105,$A$198),NA()))</f>
        <v/>
      </c>
      <c r="G198" s="62">
        <f>IF($A$198="",NA(),IF(COUNTIFS(Data!$AK$2:$AK$1105,1,Data!$AZ$2:$AZ$1105,$A$198)&lt;Controls!$B$19,NA(),IFERROR(SUMIFS(Data!$AN$2:$AN$1105,Data!$AK$2:$AK$1105,1,Data!$AZ$2:$AZ$1105,$A$198)/$B$198,NA())))</f>
        <v/>
      </c>
      <c r="H198" s="62">
        <f>IF($A$198="",NA(),IF(COUNTIFS(Data!$AK$2:$AK$1105,1,Data!$AZ$2:$AZ$1105,$A$198)&lt;Controls!$B$19,NA(),IFERROR(SUMIFS(Data!$S$2:$S$1105,Data!$AK$2:$AK$1105,1,Data!$AZ$2:$AZ$1105,$A$198,Data!$AH$2:$AH$1105,1)/SUMIFS(Data!$P$2:$P$1105,Data!$AK$2:$AK$1105,1,Data!$AZ$2:$AZ$1105,$A$198,Data!$AH$2:$AH$1105,1),NA())))</f>
        <v/>
      </c>
      <c r="I198" s="62">
        <f>IF(ISNA($J$198),NA(),IF($J$198&lt;Controls!$B$19,NA(),IFERROR($D$198/$B$198,NA())))</f>
        <v/>
      </c>
      <c r="J198" s="67">
        <f>IF($A$198="",NA(),IFERROR(COUNTIFS(Data!$AK$2:$AK$1105,1,Data!$AZ$2:$AZ$1105,$A$198),NA()))</f>
        <v/>
      </c>
      <c r="K198" s="62">
        <f>IF(ISNA($B$198),NA(),IFERROR($B$198/Calc!$BT$6,NA()))</f>
        <v/>
      </c>
      <c r="L198" s="66">
        <f>IF(ISNA($J$198),NA(),IF($J$198&lt;Controls!$B$19,NA(),IFERROR($B$198/$J$198,NA())))</f>
        <v/>
      </c>
      <c r="M198" s="67">
        <f>IF($A$198="",NA(),IF(COUNTIFS(Data!$AK$2:$AK$1105,1,Data!$AZ$2:$AZ$1105,$A$198)&lt;Controls!$B$19,NA(),IFERROR(AVERAGEIFS(Data!$AE$2:$AE$1105,Data!$AK$2:$AK$1105,1,Data!$AZ$2:$AZ$1105,$A$198),NA())))</f>
        <v/>
      </c>
      <c r="N198" s="67">
        <f>IF($A$198="",NA(),IF(COUNTIFS(Data!$AK$2:$AK$1105,1,Data!$AZ$2:$AZ$1105,$A$198)&lt;Controls!$B$19,NA(),IFERROR(AVERAGEIFS(Data!$AD$2:$AD$1105,Data!$AK$2:$AK$1105,1,Data!$AZ$2:$AZ$1105,$A$198),NA())))</f>
        <v/>
      </c>
      <c r="O198" s="67">
        <f>IF($A$198="",NA(),IF(COUNTIFS(Data!$AK$2:$AK$1105,1,Data!$AZ$2:$AZ$1105,$A$198)&lt;Controls!$B$19,NA(),IFERROR(AVERAGEIFS(Data!$AS$2:$AS$1105,Data!$AK$2:$AK$1105,1,Data!$AZ$2:$AZ$1105,$A$198),NA())))</f>
        <v/>
      </c>
      <c r="P198" s="67">
        <f>IF($A$198="",NA(),IF(COUNTIFS(Data!$AK$2:$AK$1105,1,Data!$AZ$2:$AZ$1105,$A$198)&lt;Controls!$B$19,NA(),IFERROR(AVERAGEIFS(Data!$AT$2:$AT$1105,Data!$AK$2:$AK$1105,1,Data!$AZ$2:$AZ$1105,$A$198),NA())))</f>
        <v/>
      </c>
      <c r="Q198" s="62">
        <f>IF($A$198="",NA(),IF(COUNTIFS(Data!$AK$2:$AK$1105,1,Data!$AZ$2:$AZ$1105,$A$198)&lt;Controls!$B$19,NA(),IFERROR(COUNTIFS(Data!$AK$2:$AK$1105,1,Data!$AZ$2:$AZ$1105,$A$198,Data!$N$2:$N$1105,"Renewal")/COUNTIFS(Data!$AK$2:$AK$1105,1,Data!$AZ$2:$AZ$1105,$A$198),NA())))</f>
        <v/>
      </c>
      <c r="R198" s="62">
        <f>IF($A$198="",NA(),IF(COUNTIFS(Data!$AK$2:$AK$1105,1,Data!$AZ$2:$AZ$1105,$A$198)&lt;Controls!$B$19,NA(),IFERROR(SUMIFS(Data!$P$2:$P$1105,Data!$AK$2:$AK$1105,1,Data!$AZ$2:$AZ$1105,$A$198,Data!$N$2:$N$1105,"Renewal")/SUMIFS(Data!$P$2:$P$1105,Data!$AK$2:$AK$1105,1,Data!$AZ$2:$AZ$1105,$A$198),NA())))</f>
        <v/>
      </c>
      <c r="S198" s="62">
        <f>IF($A$198="",NA(),Calc!$BT$2)</f>
        <v/>
      </c>
      <c r="T198" s="62">
        <f>IF($A$198="",NA(),Calc!$BT$3)</f>
        <v/>
      </c>
      <c r="U198" s="62">
        <f>IF($A$198="",NA(),Calc!$BT$4)</f>
        <v/>
      </c>
      <c r="V198" s="62">
        <f>IF($A$198="",NA(),IF(COUNTIFS(Data!$AK$2:$AK$1105,1,Data!$AZ$2:$AZ$1105,$A$198)&lt;Controls!$B$19,NA(),IFERROR(COUNTIFS(Data!$AK$2:$AK$1105,1,Data!$AZ$2:$AZ$1105,$A$198,Data!$AH$2:$AH$1105,1)/COUNTIFS(Data!$AK$2:$AK$1105,1,Data!$AZ$2:$AZ$1105,$A$198),NA())))</f>
        <v/>
      </c>
      <c r="W198" s="61">
        <f>IF($A$198="","",$A$198&amp;" ("&amp;$J$198&amp;")")</f>
        <v/>
      </c>
      <c r="X198" s="61" t="n"/>
      <c r="Y198" s="61" t="n"/>
      <c r="Z198" s="61" t="n"/>
      <c r="AA198" s="61" t="n"/>
      <c r="AB198" s="61" t="n"/>
      <c r="AC198" s="61" t="n"/>
      <c r="AD198" s="61" t="n"/>
      <c r="AE198" s="61" t="n"/>
      <c r="AF198" s="61" t="n"/>
      <c r="AG198" s="61" t="n"/>
      <c r="AH198" s="61" t="n"/>
      <c r="AI198" s="61" t="n"/>
      <c r="AJ198" s="61" t="n"/>
      <c r="AK198" s="61" t="n"/>
      <c r="AL198" s="61" t="n"/>
      <c r="AM198" s="61" t="n"/>
      <c r="AN198" s="61">
        <f>Controls!$G$95</f>
        <v/>
      </c>
      <c r="AO198" s="61">
        <f>COUNTIFS(Data!$AK$2:$AK$1105,1,Data!$M$2:$M$1105,$AN$198)</f>
        <v/>
      </c>
      <c r="AP198" s="57">
        <f>SUMIFS(Data!$P$2:$P$1105,Data!$AK$2:$AK$1105,1,Data!$M$2:$M$1105,$AN$198)</f>
        <v/>
      </c>
      <c r="AQ198" s="56">
        <f>IFERROR(SUMIFS(Data!$AN$2:$AN$1105,Data!$AK$2:$AK$1105,1,Data!$M$2:$M$1105,$AN$198)/$AP$198,0)</f>
        <v/>
      </c>
      <c r="AR198" s="57">
        <f>SUMIFS(Data!$AN$2:$AN$1105,Data!$AK$2:$AK$1105,1,Data!$M$2:$M$1105,$AN$198)</f>
        <v/>
      </c>
      <c r="AS198" s="61">
        <f>Controls!$H$95</f>
        <v/>
      </c>
      <c r="AT198" s="61">
        <f>IF(OR(AO198=0,AO198&lt;Controls!$B$20),-1000000000000000,IF(AND(Controls!$B$21="Y",$AN$198="No ISO"),-1000000000000000,IF(Controls!$B$17="Selected only",IF(AS198="Y",AP198,-1000000000000000),IF(Controls!$B$17="Top by funded $",AP198,IF(Controls!$B$17="Top by funded units",AO198,IF(Controls!$B$17="Largest principal lost $",AR198,IF(Controls!$B$17="Highest net profit $",AU198,IF(AO198&lt;Controls!$B$19,-1000000000000000,IF(Controls!$B$17="Highest principal lost rate %",AQ198,IF(Controls!$B$17="Lowest principal lost rate %",1-AQ198,AP198))))))))) +56/1000000)</f>
        <v/>
      </c>
      <c r="AU198" s="57">
        <f>SUMIFS(Data!$AM$2:$AM$1105,Data!$AK$2:$AK$1105,1,Data!$M$2:$M$1105,$AN$198)</f>
        <v/>
      </c>
      <c r="AV198" s="61" t="n"/>
      <c r="AW198" s="61" t="n"/>
      <c r="AX198" s="61" t="n"/>
      <c r="AY198" s="61" t="n"/>
      <c r="AZ198" s="61" t="n"/>
      <c r="BA198" s="61" t="n"/>
      <c r="BB198" s="61">
        <f>Controls!$G$163</f>
        <v/>
      </c>
      <c r="BC198" s="61">
        <f>COUNTIFS(Data!$AK$2:$AK$1105,1,Data!$M$2:$M$1105,$BB$198)</f>
        <v/>
      </c>
      <c r="BD198" s="57">
        <f>SUMIFS(Data!$P$2:$P$1105,Data!$AK$2:$AK$1105,1,Data!$M$2:$M$1105,$BB$198)</f>
        <v/>
      </c>
      <c r="BE198" s="56">
        <f>IF(COUNTIFS(Data!$AK$2:$AK$1105,1,Data!$M$2:$M$1105,$BB$198)&lt;Controls!$B$19,"",IFERROR(SUMIFS(Data!$AN$2:$AN$1105,Data!$AK$2:$AK$1105,1,Data!$M$2:$M$1105,$BB$198)/$BD$198,""))</f>
        <v/>
      </c>
      <c r="BF198" s="56">
        <f>IF(COUNTIFS(Data!$AK$2:$AK$1105,1,Data!$M$2:$M$1105,$BB$198)&lt;Controls!$B$19,"",IFERROR(SUMIFS(Data!$AM$2:$AM$1105,Data!$AK$2:$AK$1105,1,Data!$M$2:$M$1105,$BB$198)/SUMIFS(Data!$P$2:$P$1105,Data!$AK$2:$AK$1105,1,Data!$M$2:$M$1105,$BB$198),""))</f>
        <v/>
      </c>
      <c r="BG198" s="57">
        <f>SUMIFS(Data!$AN$2:$AN$1105,Data!$AK$2:$AK$1105,1,Data!$M$2:$M$1105,$BB$198)</f>
        <v/>
      </c>
      <c r="BH198" s="61" t="n"/>
      <c r="BI198" s="61">
        <f>IF(AND($BC$198&gt;=Controls!$B$22,$BD$198&gt;=LARGE($BD$75:$BD$230,MIN(Controls!$B$18,COUNT($BD$75:$BD$230)))),$BE$198,"")</f>
        <v/>
      </c>
      <c r="BJ198" s="61" t="n"/>
      <c r="BK198" s="61">
        <f>IF($BC$198&lt;Controls!$B$22,"",$BE$198)</f>
        <v/>
      </c>
      <c r="BL198" s="61">
        <f>IF($BC$198&lt;Controls!$B$22,"",$BF$198)</f>
        <v/>
      </c>
      <c r="BM198" s="61">
        <f>IF($BC$198&lt;Controls!$B$22,"",$BG$198)</f>
        <v/>
      </c>
      <c r="BN198" s="61" t="n"/>
      <c r="BO198" s="61" t="n"/>
      <c r="BP198" s="61" t="n"/>
      <c r="BQ198" s="61" t="n"/>
      <c r="BR198" s="61" t="n"/>
      <c r="BS198" s="61" t="n"/>
      <c r="BT198" s="61" t="n"/>
    </row>
    <row r="199" ht="15.75" customHeight="1" s="79">
      <c r="A199" s="61">
        <f>IF(EDATE(Controls!$B$5,33)&gt;Controls!$B$6,"",TEXT(EDATE(Controls!$B$5,33),"YYYY")&amp;"-Q"&amp;ROUNDUP(MONTH(EDATE(Controls!$B$5,33))/3,0))</f>
        <v/>
      </c>
      <c r="B199" s="66">
        <f>IF($A$199="",NA(),IFERROR(SUMIFS(Data!$P$2:$P$1105,Data!$AK$2:$AK$1105,1,Data!$AZ$2:$AZ$1105,$A$199),NA()))</f>
        <v/>
      </c>
      <c r="C199" s="66">
        <f>IF($A$199="",NA(),IFERROR(SUMIFS(Data!$S$2:$S$1105,Data!$AK$2:$AK$1105,1,Data!$AZ$2:$AZ$1105,$A$199),NA()))</f>
        <v/>
      </c>
      <c r="D199" s="66">
        <f>IF(ISNA($B$199),NA(),$C$199-$B$199)</f>
        <v/>
      </c>
      <c r="E199" s="66">
        <f>IF($A$199="",NA(),IFERROR(SUMIFS(Data!$Q$2:$Q$1105,Data!$AK$2:$AK$1105,1,Data!$AZ$2:$AZ$1105,$A$199),NA()))</f>
        <v/>
      </c>
      <c r="F199" s="66">
        <f>IF($A$199="",NA(),IFERROR(SUMIFS(Data!$AN$2:$AN$1105,Data!$AK$2:$AK$1105,1,Data!$AZ$2:$AZ$1105,$A$199),NA()))</f>
        <v/>
      </c>
      <c r="G199" s="62">
        <f>IF($A$199="",NA(),IF(COUNTIFS(Data!$AK$2:$AK$1105,1,Data!$AZ$2:$AZ$1105,$A$199)&lt;Controls!$B$19,NA(),IFERROR(SUMIFS(Data!$AN$2:$AN$1105,Data!$AK$2:$AK$1105,1,Data!$AZ$2:$AZ$1105,$A$199)/$B$199,NA())))</f>
        <v/>
      </c>
      <c r="H199" s="62">
        <f>IF($A$199="",NA(),IF(COUNTIFS(Data!$AK$2:$AK$1105,1,Data!$AZ$2:$AZ$1105,$A$199)&lt;Controls!$B$19,NA(),IFERROR(SUMIFS(Data!$S$2:$S$1105,Data!$AK$2:$AK$1105,1,Data!$AZ$2:$AZ$1105,$A$199,Data!$AH$2:$AH$1105,1)/SUMIFS(Data!$P$2:$P$1105,Data!$AK$2:$AK$1105,1,Data!$AZ$2:$AZ$1105,$A$199,Data!$AH$2:$AH$1105,1),NA())))</f>
        <v/>
      </c>
      <c r="I199" s="62">
        <f>IF(ISNA($J$199),NA(),IF($J$199&lt;Controls!$B$19,NA(),IFERROR($D$199/$B$199,NA())))</f>
        <v/>
      </c>
      <c r="J199" s="67">
        <f>IF($A$199="",NA(),IFERROR(COUNTIFS(Data!$AK$2:$AK$1105,1,Data!$AZ$2:$AZ$1105,$A$199),NA()))</f>
        <v/>
      </c>
      <c r="K199" s="62">
        <f>IF(ISNA($B$199),NA(),IFERROR($B$199/Calc!$BT$6,NA()))</f>
        <v/>
      </c>
      <c r="L199" s="66">
        <f>IF(ISNA($J$199),NA(),IF($J$199&lt;Controls!$B$19,NA(),IFERROR($B$199/$J$199,NA())))</f>
        <v/>
      </c>
      <c r="M199" s="67">
        <f>IF($A$199="",NA(),IF(COUNTIFS(Data!$AK$2:$AK$1105,1,Data!$AZ$2:$AZ$1105,$A$199)&lt;Controls!$B$19,NA(),IFERROR(AVERAGEIFS(Data!$AE$2:$AE$1105,Data!$AK$2:$AK$1105,1,Data!$AZ$2:$AZ$1105,$A$199),NA())))</f>
        <v/>
      </c>
      <c r="N199" s="67">
        <f>IF($A$199="",NA(),IF(COUNTIFS(Data!$AK$2:$AK$1105,1,Data!$AZ$2:$AZ$1105,$A$199)&lt;Controls!$B$19,NA(),IFERROR(AVERAGEIFS(Data!$AD$2:$AD$1105,Data!$AK$2:$AK$1105,1,Data!$AZ$2:$AZ$1105,$A$199),NA())))</f>
        <v/>
      </c>
      <c r="O199" s="67">
        <f>IF($A$199="",NA(),IF(COUNTIFS(Data!$AK$2:$AK$1105,1,Data!$AZ$2:$AZ$1105,$A$199)&lt;Controls!$B$19,NA(),IFERROR(AVERAGEIFS(Data!$AS$2:$AS$1105,Data!$AK$2:$AK$1105,1,Data!$AZ$2:$AZ$1105,$A$199),NA())))</f>
        <v/>
      </c>
      <c r="P199" s="67">
        <f>IF($A$199="",NA(),IF(COUNTIFS(Data!$AK$2:$AK$1105,1,Data!$AZ$2:$AZ$1105,$A$199)&lt;Controls!$B$19,NA(),IFERROR(AVERAGEIFS(Data!$AT$2:$AT$1105,Data!$AK$2:$AK$1105,1,Data!$AZ$2:$AZ$1105,$A$199),NA())))</f>
        <v/>
      </c>
      <c r="Q199" s="62">
        <f>IF($A$199="",NA(),IF(COUNTIFS(Data!$AK$2:$AK$1105,1,Data!$AZ$2:$AZ$1105,$A$199)&lt;Controls!$B$19,NA(),IFERROR(COUNTIFS(Data!$AK$2:$AK$1105,1,Data!$AZ$2:$AZ$1105,$A$199,Data!$N$2:$N$1105,"Renewal")/COUNTIFS(Data!$AK$2:$AK$1105,1,Data!$AZ$2:$AZ$1105,$A$199),NA())))</f>
        <v/>
      </c>
      <c r="R199" s="62">
        <f>IF($A$199="",NA(),IF(COUNTIFS(Data!$AK$2:$AK$1105,1,Data!$AZ$2:$AZ$1105,$A$199)&lt;Controls!$B$19,NA(),IFERROR(SUMIFS(Data!$P$2:$P$1105,Data!$AK$2:$AK$1105,1,Data!$AZ$2:$AZ$1105,$A$199,Data!$N$2:$N$1105,"Renewal")/SUMIFS(Data!$P$2:$P$1105,Data!$AK$2:$AK$1105,1,Data!$AZ$2:$AZ$1105,$A$199),NA())))</f>
        <v/>
      </c>
      <c r="S199" s="62">
        <f>IF($A$199="",NA(),Calc!$BT$2)</f>
        <v/>
      </c>
      <c r="T199" s="62">
        <f>IF($A$199="",NA(),Calc!$BT$3)</f>
        <v/>
      </c>
      <c r="U199" s="62">
        <f>IF($A$199="",NA(),Calc!$BT$4)</f>
        <v/>
      </c>
      <c r="V199" s="62">
        <f>IF($A$199="",NA(),IF(COUNTIFS(Data!$AK$2:$AK$1105,1,Data!$AZ$2:$AZ$1105,$A$199)&lt;Controls!$B$19,NA(),IFERROR(COUNTIFS(Data!$AK$2:$AK$1105,1,Data!$AZ$2:$AZ$1105,$A$199,Data!$AH$2:$AH$1105,1)/COUNTIFS(Data!$AK$2:$AK$1105,1,Data!$AZ$2:$AZ$1105,$A$199),NA())))</f>
        <v/>
      </c>
      <c r="W199" s="61">
        <f>IF($A$199="","",$A$199&amp;" ("&amp;$J$199&amp;")")</f>
        <v/>
      </c>
      <c r="X199" s="61" t="n"/>
      <c r="Y199" s="61" t="n"/>
      <c r="Z199" s="61" t="n"/>
      <c r="AA199" s="61" t="n"/>
      <c r="AB199" s="61" t="n"/>
      <c r="AC199" s="61" t="n"/>
      <c r="AD199" s="61" t="n"/>
      <c r="AE199" s="61" t="n"/>
      <c r="AF199" s="61" t="n"/>
      <c r="AG199" s="61" t="n"/>
      <c r="AH199" s="61" t="n"/>
      <c r="AI199" s="61" t="n"/>
      <c r="AJ199" s="61" t="n"/>
      <c r="AK199" s="61" t="n"/>
      <c r="AL199" s="61" t="n"/>
      <c r="AM199" s="61" t="n"/>
      <c r="AN199" s="61">
        <f>Controls!$G$96</f>
        <v/>
      </c>
      <c r="AO199" s="61">
        <f>COUNTIFS(Data!$AK$2:$AK$1105,1,Data!$M$2:$M$1105,$AN$199)</f>
        <v/>
      </c>
      <c r="AP199" s="57">
        <f>SUMIFS(Data!$P$2:$P$1105,Data!$AK$2:$AK$1105,1,Data!$M$2:$M$1105,$AN$199)</f>
        <v/>
      </c>
      <c r="AQ199" s="56">
        <f>IFERROR(SUMIFS(Data!$AN$2:$AN$1105,Data!$AK$2:$AK$1105,1,Data!$M$2:$M$1105,$AN$199)/$AP$199,0)</f>
        <v/>
      </c>
      <c r="AR199" s="57">
        <f>SUMIFS(Data!$AN$2:$AN$1105,Data!$AK$2:$AK$1105,1,Data!$M$2:$M$1105,$AN$199)</f>
        <v/>
      </c>
      <c r="AS199" s="61">
        <f>Controls!$H$96</f>
        <v/>
      </c>
      <c r="AT199" s="61">
        <f>IF(OR(AO199=0,AO199&lt;Controls!$B$20),-1000000000000000,IF(AND(Controls!$B$21="Y",$AN$199="No ISO"),-1000000000000000,IF(Controls!$B$17="Selected only",IF(AS199="Y",AP199,-1000000000000000),IF(Controls!$B$17="Top by funded $",AP199,IF(Controls!$B$17="Top by funded units",AO199,IF(Controls!$B$17="Largest principal lost $",AR199,IF(Controls!$B$17="Highest net profit $",AU199,IF(AO199&lt;Controls!$B$19,-1000000000000000,IF(Controls!$B$17="Highest principal lost rate %",AQ199,IF(Controls!$B$17="Lowest principal lost rate %",1-AQ199,AP199))))))))) +57/1000000)</f>
        <v/>
      </c>
      <c r="AU199" s="57">
        <f>SUMIFS(Data!$AM$2:$AM$1105,Data!$AK$2:$AK$1105,1,Data!$M$2:$M$1105,$AN$199)</f>
        <v/>
      </c>
      <c r="AV199" s="61" t="n"/>
      <c r="AW199" s="61" t="n"/>
      <c r="AX199" s="61" t="n"/>
      <c r="AY199" s="61" t="n"/>
      <c r="AZ199" s="61" t="n"/>
      <c r="BA199" s="61" t="n"/>
      <c r="BB199" s="61">
        <f>Controls!$G$164</f>
        <v/>
      </c>
      <c r="BC199" s="61">
        <f>COUNTIFS(Data!$AK$2:$AK$1105,1,Data!$M$2:$M$1105,$BB$199)</f>
        <v/>
      </c>
      <c r="BD199" s="57">
        <f>SUMIFS(Data!$P$2:$P$1105,Data!$AK$2:$AK$1105,1,Data!$M$2:$M$1105,$BB$199)</f>
        <v/>
      </c>
      <c r="BE199" s="56">
        <f>IF(COUNTIFS(Data!$AK$2:$AK$1105,1,Data!$M$2:$M$1105,$BB$199)&lt;Controls!$B$19,"",IFERROR(SUMIFS(Data!$AN$2:$AN$1105,Data!$AK$2:$AK$1105,1,Data!$M$2:$M$1105,$BB$199)/$BD$199,""))</f>
        <v/>
      </c>
      <c r="BF199" s="56">
        <f>IF(COUNTIFS(Data!$AK$2:$AK$1105,1,Data!$M$2:$M$1105,$BB$199)&lt;Controls!$B$19,"",IFERROR(SUMIFS(Data!$AM$2:$AM$1105,Data!$AK$2:$AK$1105,1,Data!$M$2:$M$1105,$BB$199)/SUMIFS(Data!$P$2:$P$1105,Data!$AK$2:$AK$1105,1,Data!$M$2:$M$1105,$BB$199),""))</f>
        <v/>
      </c>
      <c r="BG199" s="57">
        <f>SUMIFS(Data!$AN$2:$AN$1105,Data!$AK$2:$AK$1105,1,Data!$M$2:$M$1105,$BB$199)</f>
        <v/>
      </c>
      <c r="BH199" s="61" t="n"/>
      <c r="BI199" s="61">
        <f>IF(AND($BC$199&gt;=Controls!$B$22,$BD$199&gt;=LARGE($BD$75:$BD$230,MIN(Controls!$B$18,COUNT($BD$75:$BD$230)))),$BE$199,"")</f>
        <v/>
      </c>
      <c r="BJ199" s="61" t="n"/>
      <c r="BK199" s="61">
        <f>IF($BC$199&lt;Controls!$B$22,"",$BE$199)</f>
        <v/>
      </c>
      <c r="BL199" s="61">
        <f>IF($BC$199&lt;Controls!$B$22,"",$BF$199)</f>
        <v/>
      </c>
      <c r="BM199" s="61">
        <f>IF($BC$199&lt;Controls!$B$22,"",$BG$199)</f>
        <v/>
      </c>
      <c r="BN199" s="61" t="n"/>
      <c r="BO199" s="61" t="n"/>
      <c r="BP199" s="61" t="n"/>
      <c r="BQ199" s="61" t="n"/>
      <c r="BR199" s="61" t="n"/>
      <c r="BS199" s="61" t="n"/>
      <c r="BT199" s="61" t="n"/>
    </row>
    <row r="200" ht="15.75" customHeight="1" s="79">
      <c r="A200" s="61">
        <f>IF(EDATE(Controls!$B$5,36)&gt;Controls!$B$6,"",TEXT(EDATE(Controls!$B$5,36),"YYYY")&amp;"-Q"&amp;ROUNDUP(MONTH(EDATE(Controls!$B$5,36))/3,0))</f>
        <v/>
      </c>
      <c r="B200" s="66">
        <f>IF($A$200="",NA(),IFERROR(SUMIFS(Data!$P$2:$P$1105,Data!$AK$2:$AK$1105,1,Data!$AZ$2:$AZ$1105,$A$200),NA()))</f>
        <v/>
      </c>
      <c r="C200" s="66">
        <f>IF($A$200="",NA(),IFERROR(SUMIFS(Data!$S$2:$S$1105,Data!$AK$2:$AK$1105,1,Data!$AZ$2:$AZ$1105,$A$200),NA()))</f>
        <v/>
      </c>
      <c r="D200" s="66">
        <f>IF(ISNA($B$200),NA(),$C$200-$B$200)</f>
        <v/>
      </c>
      <c r="E200" s="66">
        <f>IF($A$200="",NA(),IFERROR(SUMIFS(Data!$Q$2:$Q$1105,Data!$AK$2:$AK$1105,1,Data!$AZ$2:$AZ$1105,$A$200),NA()))</f>
        <v/>
      </c>
      <c r="F200" s="66">
        <f>IF($A$200="",NA(),IFERROR(SUMIFS(Data!$AN$2:$AN$1105,Data!$AK$2:$AK$1105,1,Data!$AZ$2:$AZ$1105,$A$200),NA()))</f>
        <v/>
      </c>
      <c r="G200" s="62">
        <f>IF($A$200="",NA(),IF(COUNTIFS(Data!$AK$2:$AK$1105,1,Data!$AZ$2:$AZ$1105,$A$200)&lt;Controls!$B$19,NA(),IFERROR(SUMIFS(Data!$AN$2:$AN$1105,Data!$AK$2:$AK$1105,1,Data!$AZ$2:$AZ$1105,$A$200)/$B$200,NA())))</f>
        <v/>
      </c>
      <c r="H200" s="62">
        <f>IF($A$200="",NA(),IF(COUNTIFS(Data!$AK$2:$AK$1105,1,Data!$AZ$2:$AZ$1105,$A$200)&lt;Controls!$B$19,NA(),IFERROR(SUMIFS(Data!$S$2:$S$1105,Data!$AK$2:$AK$1105,1,Data!$AZ$2:$AZ$1105,$A$200,Data!$AH$2:$AH$1105,1)/SUMIFS(Data!$P$2:$P$1105,Data!$AK$2:$AK$1105,1,Data!$AZ$2:$AZ$1105,$A$200,Data!$AH$2:$AH$1105,1),NA())))</f>
        <v/>
      </c>
      <c r="I200" s="62">
        <f>IF(ISNA($J$200),NA(),IF($J$200&lt;Controls!$B$19,NA(),IFERROR($D$200/$B$200,NA())))</f>
        <v/>
      </c>
      <c r="J200" s="67">
        <f>IF($A$200="",NA(),IFERROR(COUNTIFS(Data!$AK$2:$AK$1105,1,Data!$AZ$2:$AZ$1105,$A$200),NA()))</f>
        <v/>
      </c>
      <c r="K200" s="62">
        <f>IF(ISNA($B$200),NA(),IFERROR($B$200/Calc!$BT$6,NA()))</f>
        <v/>
      </c>
      <c r="L200" s="66">
        <f>IF(ISNA($J$200),NA(),IF($J$200&lt;Controls!$B$19,NA(),IFERROR($B$200/$J$200,NA())))</f>
        <v/>
      </c>
      <c r="M200" s="67">
        <f>IF($A$200="",NA(),IF(COUNTIFS(Data!$AK$2:$AK$1105,1,Data!$AZ$2:$AZ$1105,$A$200)&lt;Controls!$B$19,NA(),IFERROR(AVERAGEIFS(Data!$AE$2:$AE$1105,Data!$AK$2:$AK$1105,1,Data!$AZ$2:$AZ$1105,$A$200),NA())))</f>
        <v/>
      </c>
      <c r="N200" s="67">
        <f>IF($A$200="",NA(),IF(COUNTIFS(Data!$AK$2:$AK$1105,1,Data!$AZ$2:$AZ$1105,$A$200)&lt;Controls!$B$19,NA(),IFERROR(AVERAGEIFS(Data!$AD$2:$AD$1105,Data!$AK$2:$AK$1105,1,Data!$AZ$2:$AZ$1105,$A$200),NA())))</f>
        <v/>
      </c>
      <c r="O200" s="67">
        <f>IF($A$200="",NA(),IF(COUNTIFS(Data!$AK$2:$AK$1105,1,Data!$AZ$2:$AZ$1105,$A$200)&lt;Controls!$B$19,NA(),IFERROR(AVERAGEIFS(Data!$AS$2:$AS$1105,Data!$AK$2:$AK$1105,1,Data!$AZ$2:$AZ$1105,$A$200),NA())))</f>
        <v/>
      </c>
      <c r="P200" s="67">
        <f>IF($A$200="",NA(),IF(COUNTIFS(Data!$AK$2:$AK$1105,1,Data!$AZ$2:$AZ$1105,$A$200)&lt;Controls!$B$19,NA(),IFERROR(AVERAGEIFS(Data!$AT$2:$AT$1105,Data!$AK$2:$AK$1105,1,Data!$AZ$2:$AZ$1105,$A$200),NA())))</f>
        <v/>
      </c>
      <c r="Q200" s="62">
        <f>IF($A$200="",NA(),IF(COUNTIFS(Data!$AK$2:$AK$1105,1,Data!$AZ$2:$AZ$1105,$A$200)&lt;Controls!$B$19,NA(),IFERROR(COUNTIFS(Data!$AK$2:$AK$1105,1,Data!$AZ$2:$AZ$1105,$A$200,Data!$N$2:$N$1105,"Renewal")/COUNTIFS(Data!$AK$2:$AK$1105,1,Data!$AZ$2:$AZ$1105,$A$200),NA())))</f>
        <v/>
      </c>
      <c r="R200" s="62">
        <f>IF($A$200="",NA(),IF(COUNTIFS(Data!$AK$2:$AK$1105,1,Data!$AZ$2:$AZ$1105,$A$200)&lt;Controls!$B$19,NA(),IFERROR(SUMIFS(Data!$P$2:$P$1105,Data!$AK$2:$AK$1105,1,Data!$AZ$2:$AZ$1105,$A$200,Data!$N$2:$N$1105,"Renewal")/SUMIFS(Data!$P$2:$P$1105,Data!$AK$2:$AK$1105,1,Data!$AZ$2:$AZ$1105,$A$200),NA())))</f>
        <v/>
      </c>
      <c r="S200" s="62">
        <f>IF($A$200="",NA(),Calc!$BT$2)</f>
        <v/>
      </c>
      <c r="T200" s="62">
        <f>IF($A$200="",NA(),Calc!$BT$3)</f>
        <v/>
      </c>
      <c r="U200" s="62">
        <f>IF($A$200="",NA(),Calc!$BT$4)</f>
        <v/>
      </c>
      <c r="V200" s="62">
        <f>IF($A$200="",NA(),IF(COUNTIFS(Data!$AK$2:$AK$1105,1,Data!$AZ$2:$AZ$1105,$A$200)&lt;Controls!$B$19,NA(),IFERROR(COUNTIFS(Data!$AK$2:$AK$1105,1,Data!$AZ$2:$AZ$1105,$A$200,Data!$AH$2:$AH$1105,1)/COUNTIFS(Data!$AK$2:$AK$1105,1,Data!$AZ$2:$AZ$1105,$A$200),NA())))</f>
        <v/>
      </c>
      <c r="W200" s="61">
        <f>IF($A$200="","",$A$200&amp;" ("&amp;$J$200&amp;")")</f>
        <v/>
      </c>
      <c r="X200" s="61" t="n"/>
      <c r="Y200" s="61" t="n"/>
      <c r="Z200" s="61" t="n"/>
      <c r="AA200" s="61" t="n"/>
      <c r="AB200" s="61" t="n"/>
      <c r="AC200" s="61" t="n"/>
      <c r="AD200" s="61" t="n"/>
      <c r="AE200" s="61" t="n"/>
      <c r="AF200" s="61" t="n"/>
      <c r="AG200" s="61" t="n"/>
      <c r="AH200" s="61" t="n"/>
      <c r="AI200" s="61" t="n"/>
      <c r="AJ200" s="61" t="n"/>
      <c r="AK200" s="61" t="n"/>
      <c r="AL200" s="61" t="n"/>
      <c r="AM200" s="61" t="n"/>
      <c r="AN200" s="61">
        <f>Controls!$G$97</f>
        <v/>
      </c>
      <c r="AO200" s="61">
        <f>COUNTIFS(Data!$AK$2:$AK$1105,1,Data!$M$2:$M$1105,$AN$200)</f>
        <v/>
      </c>
      <c r="AP200" s="57">
        <f>SUMIFS(Data!$P$2:$P$1105,Data!$AK$2:$AK$1105,1,Data!$M$2:$M$1105,$AN$200)</f>
        <v/>
      </c>
      <c r="AQ200" s="56">
        <f>IFERROR(SUMIFS(Data!$AN$2:$AN$1105,Data!$AK$2:$AK$1105,1,Data!$M$2:$M$1105,$AN$200)/$AP$200,0)</f>
        <v/>
      </c>
      <c r="AR200" s="57">
        <f>SUMIFS(Data!$AN$2:$AN$1105,Data!$AK$2:$AK$1105,1,Data!$M$2:$M$1105,$AN$200)</f>
        <v/>
      </c>
      <c r="AS200" s="61">
        <f>Controls!$H$97</f>
        <v/>
      </c>
      <c r="AT200" s="61">
        <f>IF(OR(AO200=0,AO200&lt;Controls!$B$20),-1000000000000000,IF(AND(Controls!$B$21="Y",$AN$200="No ISO"),-1000000000000000,IF(Controls!$B$17="Selected only",IF(AS200="Y",AP200,-1000000000000000),IF(Controls!$B$17="Top by funded $",AP200,IF(Controls!$B$17="Top by funded units",AO200,IF(Controls!$B$17="Largest principal lost $",AR200,IF(Controls!$B$17="Highest net profit $",AU200,IF(AO200&lt;Controls!$B$19,-1000000000000000,IF(Controls!$B$17="Highest principal lost rate %",AQ200,IF(Controls!$B$17="Lowest principal lost rate %",1-AQ200,AP200))))))))) +58/1000000)</f>
        <v/>
      </c>
      <c r="AU200" s="57">
        <f>SUMIFS(Data!$AM$2:$AM$1105,Data!$AK$2:$AK$1105,1,Data!$M$2:$M$1105,$AN$200)</f>
        <v/>
      </c>
      <c r="AV200" s="61" t="n"/>
      <c r="AW200" s="61" t="n"/>
      <c r="AX200" s="61" t="n"/>
      <c r="AY200" s="61" t="n"/>
      <c r="AZ200" s="61" t="n"/>
      <c r="BA200" s="61" t="n"/>
      <c r="BB200" s="61">
        <f>Controls!$G$165</f>
        <v/>
      </c>
      <c r="BC200" s="61">
        <f>COUNTIFS(Data!$AK$2:$AK$1105,1,Data!$M$2:$M$1105,$BB$200)</f>
        <v/>
      </c>
      <c r="BD200" s="57">
        <f>SUMIFS(Data!$P$2:$P$1105,Data!$AK$2:$AK$1105,1,Data!$M$2:$M$1105,$BB$200)</f>
        <v/>
      </c>
      <c r="BE200" s="56">
        <f>IF(COUNTIFS(Data!$AK$2:$AK$1105,1,Data!$M$2:$M$1105,$BB$200)&lt;Controls!$B$19,"",IFERROR(SUMIFS(Data!$AN$2:$AN$1105,Data!$AK$2:$AK$1105,1,Data!$M$2:$M$1105,$BB$200)/$BD$200,""))</f>
        <v/>
      </c>
      <c r="BF200" s="56">
        <f>IF(COUNTIFS(Data!$AK$2:$AK$1105,1,Data!$M$2:$M$1105,$BB$200)&lt;Controls!$B$19,"",IFERROR(SUMIFS(Data!$AM$2:$AM$1105,Data!$AK$2:$AK$1105,1,Data!$M$2:$M$1105,$BB$200)/SUMIFS(Data!$P$2:$P$1105,Data!$AK$2:$AK$1105,1,Data!$M$2:$M$1105,$BB$200),""))</f>
        <v/>
      </c>
      <c r="BG200" s="57">
        <f>SUMIFS(Data!$AN$2:$AN$1105,Data!$AK$2:$AK$1105,1,Data!$M$2:$M$1105,$BB$200)</f>
        <v/>
      </c>
      <c r="BH200" s="61" t="n"/>
      <c r="BI200" s="56">
        <f>IF(AND($BC$200&gt;=Controls!$B$22,$BD$200&gt;=LARGE($BD$75:$BD$230,MIN(Controls!$B$18,COUNT($BD$75:$BD$230)))),$BE$200,"")</f>
        <v/>
      </c>
      <c r="BJ200" s="61" t="n"/>
      <c r="BK200" s="56">
        <f>IF($BC$200&lt;Controls!$B$22,"",$BE$200)</f>
        <v/>
      </c>
      <c r="BL200" s="56">
        <f>IF($BC$200&lt;Controls!$B$22,"",$BF$200)</f>
        <v/>
      </c>
      <c r="BM200" s="57">
        <f>IF($BC$200&lt;Controls!$B$22,"",$BG$200)</f>
        <v/>
      </c>
      <c r="BN200" s="61" t="n"/>
      <c r="BO200" s="61" t="n"/>
      <c r="BP200" s="61" t="n"/>
      <c r="BQ200" s="61" t="n"/>
      <c r="BR200" s="61" t="n"/>
      <c r="BS200" s="61" t="n"/>
      <c r="BT200" s="61" t="n"/>
    </row>
    <row r="201" ht="15.75" customHeight="1" s="79">
      <c r="A201" s="61">
        <f>IF(EDATE(Controls!$B$5,39)&gt;Controls!$B$6,"",TEXT(EDATE(Controls!$B$5,39),"YYYY")&amp;"-Q"&amp;ROUNDUP(MONTH(EDATE(Controls!$B$5,39))/3,0))</f>
        <v/>
      </c>
      <c r="B201" s="66">
        <f>IF($A$201="",NA(),IFERROR(SUMIFS(Data!$P$2:$P$1105,Data!$AK$2:$AK$1105,1,Data!$AZ$2:$AZ$1105,$A$201),NA()))</f>
        <v/>
      </c>
      <c r="C201" s="66">
        <f>IF($A$201="",NA(),IFERROR(SUMIFS(Data!$S$2:$S$1105,Data!$AK$2:$AK$1105,1,Data!$AZ$2:$AZ$1105,$A$201),NA()))</f>
        <v/>
      </c>
      <c r="D201" s="66">
        <f>IF(ISNA($B$201),NA(),$C$201-$B$201)</f>
        <v/>
      </c>
      <c r="E201" s="66">
        <f>IF($A$201="",NA(),IFERROR(SUMIFS(Data!$Q$2:$Q$1105,Data!$AK$2:$AK$1105,1,Data!$AZ$2:$AZ$1105,$A$201),NA()))</f>
        <v/>
      </c>
      <c r="F201" s="66">
        <f>IF($A$201="",NA(),IFERROR(SUMIFS(Data!$AN$2:$AN$1105,Data!$AK$2:$AK$1105,1,Data!$AZ$2:$AZ$1105,$A$201),NA()))</f>
        <v/>
      </c>
      <c r="G201" s="62">
        <f>IF($A$201="",NA(),IF(COUNTIFS(Data!$AK$2:$AK$1105,1,Data!$AZ$2:$AZ$1105,$A$201)&lt;Controls!$B$19,NA(),IFERROR(SUMIFS(Data!$AN$2:$AN$1105,Data!$AK$2:$AK$1105,1,Data!$AZ$2:$AZ$1105,$A$201)/$B$201,NA())))</f>
        <v/>
      </c>
      <c r="H201" s="62">
        <f>IF($A$201="",NA(),IF(COUNTIFS(Data!$AK$2:$AK$1105,1,Data!$AZ$2:$AZ$1105,$A$201)&lt;Controls!$B$19,NA(),IFERROR(SUMIFS(Data!$S$2:$S$1105,Data!$AK$2:$AK$1105,1,Data!$AZ$2:$AZ$1105,$A$201,Data!$AH$2:$AH$1105,1)/SUMIFS(Data!$P$2:$P$1105,Data!$AK$2:$AK$1105,1,Data!$AZ$2:$AZ$1105,$A$201,Data!$AH$2:$AH$1105,1),NA())))</f>
        <v/>
      </c>
      <c r="I201" s="62">
        <f>IF(ISNA($J$201),NA(),IF($J$201&lt;Controls!$B$19,NA(),IFERROR($D$201/$B$201,NA())))</f>
        <v/>
      </c>
      <c r="J201" s="67">
        <f>IF($A$201="",NA(),IFERROR(COUNTIFS(Data!$AK$2:$AK$1105,1,Data!$AZ$2:$AZ$1105,$A$201),NA()))</f>
        <v/>
      </c>
      <c r="K201" s="62">
        <f>IF(ISNA($B$201),NA(),IFERROR($B$201/Calc!$BT$6,NA()))</f>
        <v/>
      </c>
      <c r="L201" s="66">
        <f>IF(ISNA($J$201),NA(),IF($J$201&lt;Controls!$B$19,NA(),IFERROR($B$201/$J$201,NA())))</f>
        <v/>
      </c>
      <c r="M201" s="67">
        <f>IF($A$201="",NA(),IF(COUNTIFS(Data!$AK$2:$AK$1105,1,Data!$AZ$2:$AZ$1105,$A$201)&lt;Controls!$B$19,NA(),IFERROR(AVERAGEIFS(Data!$AE$2:$AE$1105,Data!$AK$2:$AK$1105,1,Data!$AZ$2:$AZ$1105,$A$201),NA())))</f>
        <v/>
      </c>
      <c r="N201" s="67">
        <f>IF($A$201="",NA(),IF(COUNTIFS(Data!$AK$2:$AK$1105,1,Data!$AZ$2:$AZ$1105,$A$201)&lt;Controls!$B$19,NA(),IFERROR(AVERAGEIFS(Data!$AD$2:$AD$1105,Data!$AK$2:$AK$1105,1,Data!$AZ$2:$AZ$1105,$A$201),NA())))</f>
        <v/>
      </c>
      <c r="O201" s="67">
        <f>IF($A$201="",NA(),IF(COUNTIFS(Data!$AK$2:$AK$1105,1,Data!$AZ$2:$AZ$1105,$A$201)&lt;Controls!$B$19,NA(),IFERROR(AVERAGEIFS(Data!$AS$2:$AS$1105,Data!$AK$2:$AK$1105,1,Data!$AZ$2:$AZ$1105,$A$201),NA())))</f>
        <v/>
      </c>
      <c r="P201" s="67">
        <f>IF($A$201="",NA(),IF(COUNTIFS(Data!$AK$2:$AK$1105,1,Data!$AZ$2:$AZ$1105,$A$201)&lt;Controls!$B$19,NA(),IFERROR(AVERAGEIFS(Data!$AT$2:$AT$1105,Data!$AK$2:$AK$1105,1,Data!$AZ$2:$AZ$1105,$A$201),NA())))</f>
        <v/>
      </c>
      <c r="Q201" s="62">
        <f>IF($A$201="",NA(),IF(COUNTIFS(Data!$AK$2:$AK$1105,1,Data!$AZ$2:$AZ$1105,$A$201)&lt;Controls!$B$19,NA(),IFERROR(COUNTIFS(Data!$AK$2:$AK$1105,1,Data!$AZ$2:$AZ$1105,$A$201,Data!$N$2:$N$1105,"Renewal")/COUNTIFS(Data!$AK$2:$AK$1105,1,Data!$AZ$2:$AZ$1105,$A$201),NA())))</f>
        <v/>
      </c>
      <c r="R201" s="62">
        <f>IF($A$201="",NA(),IF(COUNTIFS(Data!$AK$2:$AK$1105,1,Data!$AZ$2:$AZ$1105,$A$201)&lt;Controls!$B$19,NA(),IFERROR(SUMIFS(Data!$P$2:$P$1105,Data!$AK$2:$AK$1105,1,Data!$AZ$2:$AZ$1105,$A$201,Data!$N$2:$N$1105,"Renewal")/SUMIFS(Data!$P$2:$P$1105,Data!$AK$2:$AK$1105,1,Data!$AZ$2:$AZ$1105,$A$201),NA())))</f>
        <v/>
      </c>
      <c r="S201" s="62">
        <f>IF($A$201="",NA(),Calc!$BT$2)</f>
        <v/>
      </c>
      <c r="T201" s="62">
        <f>IF($A$201="",NA(),Calc!$BT$3)</f>
        <v/>
      </c>
      <c r="U201" s="62">
        <f>IF($A$201="",NA(),Calc!$BT$4)</f>
        <v/>
      </c>
      <c r="V201" s="62">
        <f>IF($A$201="",NA(),IF(COUNTIFS(Data!$AK$2:$AK$1105,1,Data!$AZ$2:$AZ$1105,$A$201)&lt;Controls!$B$19,NA(),IFERROR(COUNTIFS(Data!$AK$2:$AK$1105,1,Data!$AZ$2:$AZ$1105,$A$201,Data!$AH$2:$AH$1105,1)/COUNTIFS(Data!$AK$2:$AK$1105,1,Data!$AZ$2:$AZ$1105,$A$201),NA())))</f>
        <v/>
      </c>
      <c r="W201" s="61">
        <f>IF($A$201="","",$A$201&amp;" ("&amp;$J$201&amp;")")</f>
        <v/>
      </c>
      <c r="X201" s="61" t="n"/>
      <c r="Y201" s="61" t="n"/>
      <c r="Z201" s="61" t="n"/>
      <c r="AA201" s="61" t="n"/>
      <c r="AB201" s="61" t="n"/>
      <c r="AC201" s="61" t="n"/>
      <c r="AD201" s="61" t="n"/>
      <c r="AE201" s="61" t="n"/>
      <c r="AF201" s="61" t="n"/>
      <c r="AG201" s="61" t="n"/>
      <c r="AH201" s="61" t="n"/>
      <c r="AI201" s="61" t="n"/>
      <c r="AJ201" s="61" t="n"/>
      <c r="AK201" s="61" t="n"/>
      <c r="AL201" s="61" t="n"/>
      <c r="AM201" s="61" t="n"/>
      <c r="AN201" s="61">
        <f>Controls!$G$98</f>
        <v/>
      </c>
      <c r="AO201" s="61">
        <f>COUNTIFS(Data!$AK$2:$AK$1105,1,Data!$M$2:$M$1105,$AN$201)</f>
        <v/>
      </c>
      <c r="AP201" s="57">
        <f>SUMIFS(Data!$P$2:$P$1105,Data!$AK$2:$AK$1105,1,Data!$M$2:$M$1105,$AN$201)</f>
        <v/>
      </c>
      <c r="AQ201" s="56">
        <f>IFERROR(SUMIFS(Data!$AN$2:$AN$1105,Data!$AK$2:$AK$1105,1,Data!$M$2:$M$1105,$AN$201)/$AP$201,0)</f>
        <v/>
      </c>
      <c r="AR201" s="57">
        <f>SUMIFS(Data!$AN$2:$AN$1105,Data!$AK$2:$AK$1105,1,Data!$M$2:$M$1105,$AN$201)</f>
        <v/>
      </c>
      <c r="AS201" s="61">
        <f>Controls!$H$98</f>
        <v/>
      </c>
      <c r="AT201" s="61">
        <f>IF(OR(AO201=0,AO201&lt;Controls!$B$20),-1000000000000000,IF(AND(Controls!$B$21="Y",$AN$201="No ISO"),-1000000000000000,IF(Controls!$B$17="Selected only",IF(AS201="Y",AP201,-1000000000000000),IF(Controls!$B$17="Top by funded $",AP201,IF(Controls!$B$17="Top by funded units",AO201,IF(Controls!$B$17="Largest principal lost $",AR201,IF(Controls!$B$17="Highest net profit $",AU201,IF(AO201&lt;Controls!$B$19,-1000000000000000,IF(Controls!$B$17="Highest principal lost rate %",AQ201,IF(Controls!$B$17="Lowest principal lost rate %",1-AQ201,AP201))))))))) +59/1000000)</f>
        <v/>
      </c>
      <c r="AU201" s="57">
        <f>SUMIFS(Data!$AM$2:$AM$1105,Data!$AK$2:$AK$1105,1,Data!$M$2:$M$1105,$AN$201)</f>
        <v/>
      </c>
      <c r="AV201" s="61" t="n"/>
      <c r="AW201" s="61" t="n"/>
      <c r="AX201" s="61" t="n"/>
      <c r="AY201" s="61" t="n"/>
      <c r="AZ201" s="61" t="n"/>
      <c r="BA201" s="61" t="n"/>
      <c r="BB201" s="61">
        <f>Controls!$G$166</f>
        <v/>
      </c>
      <c r="BC201" s="61">
        <f>COUNTIFS(Data!$AK$2:$AK$1105,1,Data!$M$2:$M$1105,$BB$201)</f>
        <v/>
      </c>
      <c r="BD201" s="57">
        <f>SUMIFS(Data!$P$2:$P$1105,Data!$AK$2:$AK$1105,1,Data!$M$2:$M$1105,$BB$201)</f>
        <v/>
      </c>
      <c r="BE201" s="56">
        <f>IF(COUNTIFS(Data!$AK$2:$AK$1105,1,Data!$M$2:$M$1105,$BB$201)&lt;Controls!$B$19,"",IFERROR(SUMIFS(Data!$AN$2:$AN$1105,Data!$AK$2:$AK$1105,1,Data!$M$2:$M$1105,$BB$201)/$BD$201,""))</f>
        <v/>
      </c>
      <c r="BF201" s="56">
        <f>IF(COUNTIFS(Data!$AK$2:$AK$1105,1,Data!$M$2:$M$1105,$BB$201)&lt;Controls!$B$19,"",IFERROR(SUMIFS(Data!$AM$2:$AM$1105,Data!$AK$2:$AK$1105,1,Data!$M$2:$M$1105,$BB$201)/SUMIFS(Data!$P$2:$P$1105,Data!$AK$2:$AK$1105,1,Data!$M$2:$M$1105,$BB$201),""))</f>
        <v/>
      </c>
      <c r="BG201" s="57">
        <f>SUMIFS(Data!$AN$2:$AN$1105,Data!$AK$2:$AK$1105,1,Data!$M$2:$M$1105,$BB$201)</f>
        <v/>
      </c>
      <c r="BH201" s="61" t="n"/>
      <c r="BI201" s="61">
        <f>IF(AND($BC$201&gt;=Controls!$B$22,$BD$201&gt;=LARGE($BD$75:$BD$230,MIN(Controls!$B$18,COUNT($BD$75:$BD$230)))),$BE$201,"")</f>
        <v/>
      </c>
      <c r="BJ201" s="61" t="n"/>
      <c r="BK201" s="61">
        <f>IF($BC$201&lt;Controls!$B$22,"",$BE$201)</f>
        <v/>
      </c>
      <c r="BL201" s="61">
        <f>IF($BC$201&lt;Controls!$B$22,"",$BF$201)</f>
        <v/>
      </c>
      <c r="BM201" s="61">
        <f>IF($BC$201&lt;Controls!$B$22,"",$BG$201)</f>
        <v/>
      </c>
      <c r="BN201" s="61" t="n"/>
      <c r="BO201" s="61" t="n"/>
      <c r="BP201" s="61" t="n"/>
      <c r="BQ201" s="61" t="n"/>
      <c r="BR201" s="61" t="n"/>
      <c r="BS201" s="61" t="n"/>
      <c r="BT201" s="61" t="n"/>
    </row>
    <row r="202" ht="15.75" customHeight="1" s="79">
      <c r="A202" s="61">
        <f>IF(EDATE(Controls!$B$5,42)&gt;Controls!$B$6,"",TEXT(EDATE(Controls!$B$5,42),"YYYY")&amp;"-Q"&amp;ROUNDUP(MONTH(EDATE(Controls!$B$5,42))/3,0))</f>
        <v/>
      </c>
      <c r="B202" s="66">
        <f>IF($A$202="",NA(),IFERROR(SUMIFS(Data!$P$2:$P$1105,Data!$AK$2:$AK$1105,1,Data!$AZ$2:$AZ$1105,$A$202),NA()))</f>
        <v/>
      </c>
      <c r="C202" s="66">
        <f>IF($A$202="",NA(),IFERROR(SUMIFS(Data!$S$2:$S$1105,Data!$AK$2:$AK$1105,1,Data!$AZ$2:$AZ$1105,$A$202),NA()))</f>
        <v/>
      </c>
      <c r="D202" s="66">
        <f>IF(ISNA($B$202),NA(),$C$202-$B$202)</f>
        <v/>
      </c>
      <c r="E202" s="66">
        <f>IF($A$202="",NA(),IFERROR(SUMIFS(Data!$Q$2:$Q$1105,Data!$AK$2:$AK$1105,1,Data!$AZ$2:$AZ$1105,$A$202),NA()))</f>
        <v/>
      </c>
      <c r="F202" s="66">
        <f>IF($A$202="",NA(),IFERROR(SUMIFS(Data!$AN$2:$AN$1105,Data!$AK$2:$AK$1105,1,Data!$AZ$2:$AZ$1105,$A$202),NA()))</f>
        <v/>
      </c>
      <c r="G202" s="62">
        <f>IF($A$202="",NA(),IF(COUNTIFS(Data!$AK$2:$AK$1105,1,Data!$AZ$2:$AZ$1105,$A$202)&lt;Controls!$B$19,NA(),IFERROR(SUMIFS(Data!$AN$2:$AN$1105,Data!$AK$2:$AK$1105,1,Data!$AZ$2:$AZ$1105,$A$202)/$B$202,NA())))</f>
        <v/>
      </c>
      <c r="H202" s="62">
        <f>IF($A$202="",NA(),IF(COUNTIFS(Data!$AK$2:$AK$1105,1,Data!$AZ$2:$AZ$1105,$A$202)&lt;Controls!$B$19,NA(),IFERROR(SUMIFS(Data!$S$2:$S$1105,Data!$AK$2:$AK$1105,1,Data!$AZ$2:$AZ$1105,$A$202,Data!$AH$2:$AH$1105,1)/SUMIFS(Data!$P$2:$P$1105,Data!$AK$2:$AK$1105,1,Data!$AZ$2:$AZ$1105,$A$202,Data!$AH$2:$AH$1105,1),NA())))</f>
        <v/>
      </c>
      <c r="I202" s="62">
        <f>IF(ISNA($J$202),NA(),IF($J$202&lt;Controls!$B$19,NA(),IFERROR($D$202/$B$202,NA())))</f>
        <v/>
      </c>
      <c r="J202" s="67">
        <f>IF($A$202="",NA(),IFERROR(COUNTIFS(Data!$AK$2:$AK$1105,1,Data!$AZ$2:$AZ$1105,$A$202),NA()))</f>
        <v/>
      </c>
      <c r="K202" s="62">
        <f>IF(ISNA($B$202),NA(),IFERROR($B$202/Calc!$BT$6,NA()))</f>
        <v/>
      </c>
      <c r="L202" s="66">
        <f>IF(ISNA($J$202),NA(),IF($J$202&lt;Controls!$B$19,NA(),IFERROR($B$202/$J$202,NA())))</f>
        <v/>
      </c>
      <c r="M202" s="67">
        <f>IF($A$202="",NA(),IF(COUNTIFS(Data!$AK$2:$AK$1105,1,Data!$AZ$2:$AZ$1105,$A$202)&lt;Controls!$B$19,NA(),IFERROR(AVERAGEIFS(Data!$AE$2:$AE$1105,Data!$AK$2:$AK$1105,1,Data!$AZ$2:$AZ$1105,$A$202),NA())))</f>
        <v/>
      </c>
      <c r="N202" s="67">
        <f>IF($A$202="",NA(),IF(COUNTIFS(Data!$AK$2:$AK$1105,1,Data!$AZ$2:$AZ$1105,$A$202)&lt;Controls!$B$19,NA(),IFERROR(AVERAGEIFS(Data!$AD$2:$AD$1105,Data!$AK$2:$AK$1105,1,Data!$AZ$2:$AZ$1105,$A$202),NA())))</f>
        <v/>
      </c>
      <c r="O202" s="67">
        <f>IF($A$202="",NA(),IF(COUNTIFS(Data!$AK$2:$AK$1105,1,Data!$AZ$2:$AZ$1105,$A$202)&lt;Controls!$B$19,NA(),IFERROR(AVERAGEIFS(Data!$AS$2:$AS$1105,Data!$AK$2:$AK$1105,1,Data!$AZ$2:$AZ$1105,$A$202),NA())))</f>
        <v/>
      </c>
      <c r="P202" s="67">
        <f>IF($A$202="",NA(),IF(COUNTIFS(Data!$AK$2:$AK$1105,1,Data!$AZ$2:$AZ$1105,$A$202)&lt;Controls!$B$19,NA(),IFERROR(AVERAGEIFS(Data!$AT$2:$AT$1105,Data!$AK$2:$AK$1105,1,Data!$AZ$2:$AZ$1105,$A$202),NA())))</f>
        <v/>
      </c>
      <c r="Q202" s="62">
        <f>IF($A$202="",NA(),IF(COUNTIFS(Data!$AK$2:$AK$1105,1,Data!$AZ$2:$AZ$1105,$A$202)&lt;Controls!$B$19,NA(),IFERROR(COUNTIFS(Data!$AK$2:$AK$1105,1,Data!$AZ$2:$AZ$1105,$A$202,Data!$N$2:$N$1105,"Renewal")/COUNTIFS(Data!$AK$2:$AK$1105,1,Data!$AZ$2:$AZ$1105,$A$202),NA())))</f>
        <v/>
      </c>
      <c r="R202" s="62">
        <f>IF($A$202="",NA(),IF(COUNTIFS(Data!$AK$2:$AK$1105,1,Data!$AZ$2:$AZ$1105,$A$202)&lt;Controls!$B$19,NA(),IFERROR(SUMIFS(Data!$P$2:$P$1105,Data!$AK$2:$AK$1105,1,Data!$AZ$2:$AZ$1105,$A$202,Data!$N$2:$N$1105,"Renewal")/SUMIFS(Data!$P$2:$P$1105,Data!$AK$2:$AK$1105,1,Data!$AZ$2:$AZ$1105,$A$202),NA())))</f>
        <v/>
      </c>
      <c r="S202" s="62">
        <f>IF($A$202="",NA(),Calc!$BT$2)</f>
        <v/>
      </c>
      <c r="T202" s="62">
        <f>IF($A$202="",NA(),Calc!$BT$3)</f>
        <v/>
      </c>
      <c r="U202" s="62">
        <f>IF($A$202="",NA(),Calc!$BT$4)</f>
        <v/>
      </c>
      <c r="V202" s="62">
        <f>IF($A$202="",NA(),IF(COUNTIFS(Data!$AK$2:$AK$1105,1,Data!$AZ$2:$AZ$1105,$A$202)&lt;Controls!$B$19,NA(),IFERROR(COUNTIFS(Data!$AK$2:$AK$1105,1,Data!$AZ$2:$AZ$1105,$A$202,Data!$AH$2:$AH$1105,1)/COUNTIFS(Data!$AK$2:$AK$1105,1,Data!$AZ$2:$AZ$1105,$A$202),NA())))</f>
        <v/>
      </c>
      <c r="W202" s="61">
        <f>IF($A$202="","",$A$202&amp;" ("&amp;$J$202&amp;")")</f>
        <v/>
      </c>
      <c r="X202" s="61" t="n"/>
      <c r="Y202" s="61" t="n"/>
      <c r="Z202" s="61" t="n"/>
      <c r="AA202" s="61" t="n"/>
      <c r="AB202" s="61" t="n"/>
      <c r="AC202" s="61" t="n"/>
      <c r="AD202" s="61" t="n"/>
      <c r="AE202" s="61" t="n"/>
      <c r="AF202" s="61" t="n"/>
      <c r="AG202" s="61" t="n"/>
      <c r="AH202" s="61" t="n"/>
      <c r="AI202" s="61" t="n"/>
      <c r="AJ202" s="61" t="n"/>
      <c r="AK202" s="61" t="n"/>
      <c r="AL202" s="61" t="n"/>
      <c r="AM202" s="61" t="n"/>
      <c r="AN202" s="61">
        <f>Controls!$G$99</f>
        <v/>
      </c>
      <c r="AO202" s="61">
        <f>COUNTIFS(Data!$AK$2:$AK$1105,1,Data!$M$2:$M$1105,$AN$202)</f>
        <v/>
      </c>
      <c r="AP202" s="57">
        <f>SUMIFS(Data!$P$2:$P$1105,Data!$AK$2:$AK$1105,1,Data!$M$2:$M$1105,$AN$202)</f>
        <v/>
      </c>
      <c r="AQ202" s="56">
        <f>IFERROR(SUMIFS(Data!$AN$2:$AN$1105,Data!$AK$2:$AK$1105,1,Data!$M$2:$M$1105,$AN$202)/$AP$202,0)</f>
        <v/>
      </c>
      <c r="AR202" s="57">
        <f>SUMIFS(Data!$AN$2:$AN$1105,Data!$AK$2:$AK$1105,1,Data!$M$2:$M$1105,$AN$202)</f>
        <v/>
      </c>
      <c r="AS202" s="61">
        <f>Controls!$H$99</f>
        <v/>
      </c>
      <c r="AT202" s="61">
        <f>IF(OR(AO202=0,AO202&lt;Controls!$B$20),-1000000000000000,IF(AND(Controls!$B$21="Y",$AN$202="No ISO"),-1000000000000000,IF(Controls!$B$17="Selected only",IF(AS202="Y",AP202,-1000000000000000),IF(Controls!$B$17="Top by funded $",AP202,IF(Controls!$B$17="Top by funded units",AO202,IF(Controls!$B$17="Largest principal lost $",AR202,IF(Controls!$B$17="Highest net profit $",AU202,IF(AO202&lt;Controls!$B$19,-1000000000000000,IF(Controls!$B$17="Highest principal lost rate %",AQ202,IF(Controls!$B$17="Lowest principal lost rate %",1-AQ202,AP202))))))))) +60/1000000)</f>
        <v/>
      </c>
      <c r="AU202" s="57">
        <f>SUMIFS(Data!$AM$2:$AM$1105,Data!$AK$2:$AK$1105,1,Data!$M$2:$M$1105,$AN$202)</f>
        <v/>
      </c>
      <c r="AV202" s="61" t="n"/>
      <c r="AW202" s="61" t="n"/>
      <c r="AX202" s="61" t="n"/>
      <c r="AY202" s="61" t="n"/>
      <c r="AZ202" s="61" t="n"/>
      <c r="BA202" s="61" t="n"/>
      <c r="BB202" s="61">
        <f>Controls!$G$167</f>
        <v/>
      </c>
      <c r="BC202" s="61">
        <f>COUNTIFS(Data!$AK$2:$AK$1105,1,Data!$M$2:$M$1105,$BB$202)</f>
        <v/>
      </c>
      <c r="BD202" s="57">
        <f>SUMIFS(Data!$P$2:$P$1105,Data!$AK$2:$AK$1105,1,Data!$M$2:$M$1105,$BB$202)</f>
        <v/>
      </c>
      <c r="BE202" s="56">
        <f>IF(COUNTIFS(Data!$AK$2:$AK$1105,1,Data!$M$2:$M$1105,$BB$202)&lt;Controls!$B$19,"",IFERROR(SUMIFS(Data!$AN$2:$AN$1105,Data!$AK$2:$AK$1105,1,Data!$M$2:$M$1105,$BB$202)/$BD$202,""))</f>
        <v/>
      </c>
      <c r="BF202" s="56">
        <f>IF(COUNTIFS(Data!$AK$2:$AK$1105,1,Data!$M$2:$M$1105,$BB$202)&lt;Controls!$B$19,"",IFERROR(SUMIFS(Data!$AM$2:$AM$1105,Data!$AK$2:$AK$1105,1,Data!$M$2:$M$1105,$BB$202)/SUMIFS(Data!$P$2:$P$1105,Data!$AK$2:$AK$1105,1,Data!$M$2:$M$1105,$BB$202),""))</f>
        <v/>
      </c>
      <c r="BG202" s="57">
        <f>SUMIFS(Data!$AN$2:$AN$1105,Data!$AK$2:$AK$1105,1,Data!$M$2:$M$1105,$BB$202)</f>
        <v/>
      </c>
      <c r="BH202" s="61" t="n"/>
      <c r="BI202" s="61">
        <f>IF(AND($BC$202&gt;=Controls!$B$22,$BD$202&gt;=LARGE($BD$75:$BD$230,MIN(Controls!$B$18,COUNT($BD$75:$BD$230)))),$BE$202,"")</f>
        <v/>
      </c>
      <c r="BJ202" s="61" t="n"/>
      <c r="BK202" s="61">
        <f>IF($BC$202&lt;Controls!$B$22,"",$BE$202)</f>
        <v/>
      </c>
      <c r="BL202" s="61">
        <f>IF($BC$202&lt;Controls!$B$22,"",$BF$202)</f>
        <v/>
      </c>
      <c r="BM202" s="61">
        <f>IF($BC$202&lt;Controls!$B$22,"",$BG$202)</f>
        <v/>
      </c>
      <c r="BN202" s="61" t="n"/>
      <c r="BO202" s="61" t="n"/>
      <c r="BP202" s="61" t="n"/>
      <c r="BQ202" s="61" t="n"/>
      <c r="BR202" s="61" t="n"/>
      <c r="BS202" s="61" t="n"/>
      <c r="BT202" s="61" t="n"/>
    </row>
    <row r="203" ht="15.75" customHeight="1" s="79">
      <c r="A203" s="61">
        <f>IF(EDATE(Controls!$B$5,45)&gt;Controls!$B$6,"",TEXT(EDATE(Controls!$B$5,45),"YYYY")&amp;"-Q"&amp;ROUNDUP(MONTH(EDATE(Controls!$B$5,45))/3,0))</f>
        <v/>
      </c>
      <c r="B203" s="66">
        <f>IF($A$203="",NA(),IFERROR(SUMIFS(Data!$P$2:$P$1105,Data!$AK$2:$AK$1105,1,Data!$AZ$2:$AZ$1105,$A$203),NA()))</f>
        <v/>
      </c>
      <c r="C203" s="66">
        <f>IF($A$203="",NA(),IFERROR(SUMIFS(Data!$S$2:$S$1105,Data!$AK$2:$AK$1105,1,Data!$AZ$2:$AZ$1105,$A$203),NA()))</f>
        <v/>
      </c>
      <c r="D203" s="66">
        <f>IF(ISNA($B$203),NA(),$C$203-$B$203)</f>
        <v/>
      </c>
      <c r="E203" s="66">
        <f>IF($A$203="",NA(),IFERROR(SUMIFS(Data!$Q$2:$Q$1105,Data!$AK$2:$AK$1105,1,Data!$AZ$2:$AZ$1105,$A$203),NA()))</f>
        <v/>
      </c>
      <c r="F203" s="66">
        <f>IF($A$203="",NA(),IFERROR(SUMIFS(Data!$AN$2:$AN$1105,Data!$AK$2:$AK$1105,1,Data!$AZ$2:$AZ$1105,$A$203),NA()))</f>
        <v/>
      </c>
      <c r="G203" s="62">
        <f>IF($A$203="",NA(),IF(COUNTIFS(Data!$AK$2:$AK$1105,1,Data!$AZ$2:$AZ$1105,$A$203)&lt;Controls!$B$19,NA(),IFERROR(SUMIFS(Data!$AN$2:$AN$1105,Data!$AK$2:$AK$1105,1,Data!$AZ$2:$AZ$1105,$A$203)/$B$203,NA())))</f>
        <v/>
      </c>
      <c r="H203" s="62">
        <f>IF($A$203="",NA(),IF(COUNTIFS(Data!$AK$2:$AK$1105,1,Data!$AZ$2:$AZ$1105,$A$203)&lt;Controls!$B$19,NA(),IFERROR(SUMIFS(Data!$S$2:$S$1105,Data!$AK$2:$AK$1105,1,Data!$AZ$2:$AZ$1105,$A$203,Data!$AH$2:$AH$1105,1)/SUMIFS(Data!$P$2:$P$1105,Data!$AK$2:$AK$1105,1,Data!$AZ$2:$AZ$1105,$A$203,Data!$AH$2:$AH$1105,1),NA())))</f>
        <v/>
      </c>
      <c r="I203" s="62">
        <f>IF(ISNA($J$203),NA(),IF($J$203&lt;Controls!$B$19,NA(),IFERROR($D$203/$B$203,NA())))</f>
        <v/>
      </c>
      <c r="J203" s="67">
        <f>IF($A$203="",NA(),IFERROR(COUNTIFS(Data!$AK$2:$AK$1105,1,Data!$AZ$2:$AZ$1105,$A$203),NA()))</f>
        <v/>
      </c>
      <c r="K203" s="62">
        <f>IF(ISNA($B$203),NA(),IFERROR($B$203/Calc!$BT$6,NA()))</f>
        <v/>
      </c>
      <c r="L203" s="66">
        <f>IF(ISNA($J$203),NA(),IF($J$203&lt;Controls!$B$19,NA(),IFERROR($B$203/$J$203,NA())))</f>
        <v/>
      </c>
      <c r="M203" s="67">
        <f>IF($A$203="",NA(),IF(COUNTIFS(Data!$AK$2:$AK$1105,1,Data!$AZ$2:$AZ$1105,$A$203)&lt;Controls!$B$19,NA(),IFERROR(AVERAGEIFS(Data!$AE$2:$AE$1105,Data!$AK$2:$AK$1105,1,Data!$AZ$2:$AZ$1105,$A$203),NA())))</f>
        <v/>
      </c>
      <c r="N203" s="67">
        <f>IF($A$203="",NA(),IF(COUNTIFS(Data!$AK$2:$AK$1105,1,Data!$AZ$2:$AZ$1105,$A$203)&lt;Controls!$B$19,NA(),IFERROR(AVERAGEIFS(Data!$AD$2:$AD$1105,Data!$AK$2:$AK$1105,1,Data!$AZ$2:$AZ$1105,$A$203),NA())))</f>
        <v/>
      </c>
      <c r="O203" s="67">
        <f>IF($A$203="",NA(),IF(COUNTIFS(Data!$AK$2:$AK$1105,1,Data!$AZ$2:$AZ$1105,$A$203)&lt;Controls!$B$19,NA(),IFERROR(AVERAGEIFS(Data!$AS$2:$AS$1105,Data!$AK$2:$AK$1105,1,Data!$AZ$2:$AZ$1105,$A$203),NA())))</f>
        <v/>
      </c>
      <c r="P203" s="67">
        <f>IF($A$203="",NA(),IF(COUNTIFS(Data!$AK$2:$AK$1105,1,Data!$AZ$2:$AZ$1105,$A$203)&lt;Controls!$B$19,NA(),IFERROR(AVERAGEIFS(Data!$AT$2:$AT$1105,Data!$AK$2:$AK$1105,1,Data!$AZ$2:$AZ$1105,$A$203),NA())))</f>
        <v/>
      </c>
      <c r="Q203" s="62">
        <f>IF($A$203="",NA(),IF(COUNTIFS(Data!$AK$2:$AK$1105,1,Data!$AZ$2:$AZ$1105,$A$203)&lt;Controls!$B$19,NA(),IFERROR(COUNTIFS(Data!$AK$2:$AK$1105,1,Data!$AZ$2:$AZ$1105,$A$203,Data!$N$2:$N$1105,"Renewal")/COUNTIFS(Data!$AK$2:$AK$1105,1,Data!$AZ$2:$AZ$1105,$A$203),NA())))</f>
        <v/>
      </c>
      <c r="R203" s="62">
        <f>IF($A$203="",NA(),IF(COUNTIFS(Data!$AK$2:$AK$1105,1,Data!$AZ$2:$AZ$1105,$A$203)&lt;Controls!$B$19,NA(),IFERROR(SUMIFS(Data!$P$2:$P$1105,Data!$AK$2:$AK$1105,1,Data!$AZ$2:$AZ$1105,$A$203,Data!$N$2:$N$1105,"Renewal")/SUMIFS(Data!$P$2:$P$1105,Data!$AK$2:$AK$1105,1,Data!$AZ$2:$AZ$1105,$A$203),NA())))</f>
        <v/>
      </c>
      <c r="S203" s="62">
        <f>IF($A$203="",NA(),Calc!$BT$2)</f>
        <v/>
      </c>
      <c r="T203" s="62">
        <f>IF($A$203="",NA(),Calc!$BT$3)</f>
        <v/>
      </c>
      <c r="U203" s="62">
        <f>IF($A$203="",NA(),Calc!$BT$4)</f>
        <v/>
      </c>
      <c r="V203" s="62">
        <f>IF($A$203="",NA(),IF(COUNTIFS(Data!$AK$2:$AK$1105,1,Data!$AZ$2:$AZ$1105,$A$203)&lt;Controls!$B$19,NA(),IFERROR(COUNTIFS(Data!$AK$2:$AK$1105,1,Data!$AZ$2:$AZ$1105,$A$203,Data!$AH$2:$AH$1105,1)/COUNTIFS(Data!$AK$2:$AK$1105,1,Data!$AZ$2:$AZ$1105,$A$203),NA())))</f>
        <v/>
      </c>
      <c r="W203" s="61">
        <f>IF($A$203="","",$A$203&amp;" ("&amp;$J$203&amp;")")</f>
        <v/>
      </c>
      <c r="X203" s="61" t="n"/>
      <c r="Y203" s="61" t="n"/>
      <c r="Z203" s="61" t="n"/>
      <c r="AA203" s="61" t="n"/>
      <c r="AB203" s="61" t="n"/>
      <c r="AC203" s="61" t="n"/>
      <c r="AD203" s="61" t="n"/>
      <c r="AE203" s="61" t="n"/>
      <c r="AF203" s="61" t="n"/>
      <c r="AG203" s="61" t="n"/>
      <c r="AH203" s="61" t="n"/>
      <c r="AI203" s="61" t="n"/>
      <c r="AJ203" s="61" t="n"/>
      <c r="AK203" s="61" t="n"/>
      <c r="AL203" s="61" t="n"/>
      <c r="AM203" s="61" t="n"/>
      <c r="AN203" s="61">
        <f>Controls!$G$100</f>
        <v/>
      </c>
      <c r="AO203" s="61">
        <f>COUNTIFS(Data!$AK$2:$AK$1105,1,Data!$M$2:$M$1105,$AN$203)</f>
        <v/>
      </c>
      <c r="AP203" s="57">
        <f>SUMIFS(Data!$P$2:$P$1105,Data!$AK$2:$AK$1105,1,Data!$M$2:$M$1105,$AN$203)</f>
        <v/>
      </c>
      <c r="AQ203" s="56">
        <f>IFERROR(SUMIFS(Data!$AN$2:$AN$1105,Data!$AK$2:$AK$1105,1,Data!$M$2:$M$1105,$AN$203)/$AP$203,0)</f>
        <v/>
      </c>
      <c r="AR203" s="57">
        <f>SUMIFS(Data!$AN$2:$AN$1105,Data!$AK$2:$AK$1105,1,Data!$M$2:$M$1105,$AN$203)</f>
        <v/>
      </c>
      <c r="AS203" s="61">
        <f>Controls!$H$100</f>
        <v/>
      </c>
      <c r="AT203" s="61">
        <f>IF(OR(AO203=0,AO203&lt;Controls!$B$20),-1000000000000000,IF(AND(Controls!$B$21="Y",$AN$203="No ISO"),-1000000000000000,IF(Controls!$B$17="Selected only",IF(AS203="Y",AP203,-1000000000000000),IF(Controls!$B$17="Top by funded $",AP203,IF(Controls!$B$17="Top by funded units",AO203,IF(Controls!$B$17="Largest principal lost $",AR203,IF(Controls!$B$17="Highest net profit $",AU203,IF(AO203&lt;Controls!$B$19,-1000000000000000,IF(Controls!$B$17="Highest principal lost rate %",AQ203,IF(Controls!$B$17="Lowest principal lost rate %",1-AQ203,AP203))))))))) +61/1000000)</f>
        <v/>
      </c>
      <c r="AU203" s="57">
        <f>SUMIFS(Data!$AM$2:$AM$1105,Data!$AK$2:$AK$1105,1,Data!$M$2:$M$1105,$AN$203)</f>
        <v/>
      </c>
      <c r="AV203" s="61" t="n"/>
      <c r="AW203" s="61" t="n"/>
      <c r="AX203" s="61" t="n"/>
      <c r="AY203" s="61" t="n"/>
      <c r="AZ203" s="61" t="n"/>
      <c r="BA203" s="61" t="n"/>
      <c r="BB203" s="61">
        <f>Controls!$G$168</f>
        <v/>
      </c>
      <c r="BC203" s="61">
        <f>COUNTIFS(Data!$AK$2:$AK$1105,1,Data!$M$2:$M$1105,$BB$203)</f>
        <v/>
      </c>
      <c r="BD203" s="57">
        <f>SUMIFS(Data!$P$2:$P$1105,Data!$AK$2:$AK$1105,1,Data!$M$2:$M$1105,$BB$203)</f>
        <v/>
      </c>
      <c r="BE203" s="56">
        <f>IF(COUNTIFS(Data!$AK$2:$AK$1105,1,Data!$M$2:$M$1105,$BB$203)&lt;Controls!$B$19,"",IFERROR(SUMIFS(Data!$AN$2:$AN$1105,Data!$AK$2:$AK$1105,1,Data!$M$2:$M$1105,$BB$203)/$BD$203,""))</f>
        <v/>
      </c>
      <c r="BF203" s="56">
        <f>IF(COUNTIFS(Data!$AK$2:$AK$1105,1,Data!$M$2:$M$1105,$BB$203)&lt;Controls!$B$19,"",IFERROR(SUMIFS(Data!$AM$2:$AM$1105,Data!$AK$2:$AK$1105,1,Data!$M$2:$M$1105,$BB$203)/SUMIFS(Data!$P$2:$P$1105,Data!$AK$2:$AK$1105,1,Data!$M$2:$M$1105,$BB$203),""))</f>
        <v/>
      </c>
      <c r="BG203" s="57">
        <f>SUMIFS(Data!$AN$2:$AN$1105,Data!$AK$2:$AK$1105,1,Data!$M$2:$M$1105,$BB$203)</f>
        <v/>
      </c>
      <c r="BH203" s="61" t="n"/>
      <c r="BI203" s="61">
        <f>IF(AND($BC$203&gt;=Controls!$B$22,$BD$203&gt;=LARGE($BD$75:$BD$230,MIN(Controls!$B$18,COUNT($BD$75:$BD$230)))),$BE$203,"")</f>
        <v/>
      </c>
      <c r="BJ203" s="61" t="n"/>
      <c r="BK203" s="56">
        <f>IF($BC$203&lt;Controls!$B$22,"",$BE$203)</f>
        <v/>
      </c>
      <c r="BL203" s="56">
        <f>IF($BC$203&lt;Controls!$B$22,"",$BF$203)</f>
        <v/>
      </c>
      <c r="BM203" s="57">
        <f>IF($BC$203&lt;Controls!$B$22,"",$BG$203)</f>
        <v/>
      </c>
      <c r="BN203" s="61" t="n"/>
      <c r="BO203" s="61" t="n"/>
      <c r="BP203" s="61" t="n"/>
      <c r="BQ203" s="61" t="n"/>
      <c r="BR203" s="61" t="n"/>
      <c r="BS203" s="61" t="n"/>
      <c r="BT203" s="61" t="n"/>
    </row>
    <row r="204" ht="15.75" customHeight="1" s="79">
      <c r="A204" s="61" t="n"/>
      <c r="B204" s="61" t="n"/>
      <c r="C204" s="61" t="n"/>
      <c r="D204" s="61" t="n"/>
      <c r="E204" s="61" t="n"/>
      <c r="F204" s="61" t="n"/>
      <c r="G204" s="61" t="n"/>
      <c r="H204" s="61" t="n"/>
      <c r="I204" s="61" t="n"/>
      <c r="J204" s="61" t="n"/>
      <c r="K204" s="61" t="n"/>
      <c r="L204" s="61" t="n"/>
      <c r="M204" s="61" t="n"/>
      <c r="N204" s="61" t="n"/>
      <c r="O204" s="61" t="n"/>
      <c r="P204" s="61" t="n"/>
      <c r="Q204" s="61" t="n"/>
      <c r="R204" s="61" t="n"/>
      <c r="S204" s="61" t="n"/>
      <c r="T204" s="61" t="n"/>
      <c r="U204" s="61" t="n"/>
      <c r="V204" s="61" t="n"/>
      <c r="W204" s="61" t="n"/>
      <c r="X204" s="61" t="n"/>
      <c r="Y204" s="61" t="n"/>
      <c r="Z204" s="61" t="n"/>
      <c r="AA204" s="61" t="n"/>
      <c r="AB204" s="61" t="n"/>
      <c r="AC204" s="61" t="n"/>
      <c r="AD204" s="61" t="n"/>
      <c r="AE204" s="61" t="n"/>
      <c r="AF204" s="61" t="n"/>
      <c r="AG204" s="61" t="n"/>
      <c r="AH204" s="61" t="n"/>
      <c r="AI204" s="61" t="n"/>
      <c r="AJ204" s="61" t="n"/>
      <c r="AK204" s="61" t="n"/>
      <c r="AL204" s="61" t="n"/>
      <c r="AM204" s="61" t="n"/>
      <c r="AN204" s="61">
        <f>Controls!$G$101</f>
        <v/>
      </c>
      <c r="AO204" s="61">
        <f>COUNTIFS(Data!$AK$2:$AK$1105,1,Data!$M$2:$M$1105,$AN$204)</f>
        <v/>
      </c>
      <c r="AP204" s="57">
        <f>SUMIFS(Data!$P$2:$P$1105,Data!$AK$2:$AK$1105,1,Data!$M$2:$M$1105,$AN$204)</f>
        <v/>
      </c>
      <c r="AQ204" s="56">
        <f>IFERROR(SUMIFS(Data!$AN$2:$AN$1105,Data!$AK$2:$AK$1105,1,Data!$M$2:$M$1105,$AN$204)/$AP$204,0)</f>
        <v/>
      </c>
      <c r="AR204" s="57">
        <f>SUMIFS(Data!$AN$2:$AN$1105,Data!$AK$2:$AK$1105,1,Data!$M$2:$M$1105,$AN$204)</f>
        <v/>
      </c>
      <c r="AS204" s="61">
        <f>Controls!$H$101</f>
        <v/>
      </c>
      <c r="AT204" s="61">
        <f>IF(OR(AO204=0,AO204&lt;Controls!$B$20),-1000000000000000,IF(AND(Controls!$B$21="Y",$AN$204="No ISO"),-1000000000000000,IF(Controls!$B$17="Selected only",IF(AS204="Y",AP204,-1000000000000000),IF(Controls!$B$17="Top by funded $",AP204,IF(Controls!$B$17="Top by funded units",AO204,IF(Controls!$B$17="Largest principal lost $",AR204,IF(Controls!$B$17="Highest net profit $",AU204,IF(AO204&lt;Controls!$B$19,-1000000000000000,IF(Controls!$B$17="Highest principal lost rate %",AQ204,IF(Controls!$B$17="Lowest principal lost rate %",1-AQ204,AP204))))))))) +62/1000000)</f>
        <v/>
      </c>
      <c r="AU204" s="57">
        <f>SUMIFS(Data!$AM$2:$AM$1105,Data!$AK$2:$AK$1105,1,Data!$M$2:$M$1105,$AN$204)</f>
        <v/>
      </c>
      <c r="AV204" s="61" t="n"/>
      <c r="AW204" s="61" t="n"/>
      <c r="AX204" s="61" t="n"/>
      <c r="AY204" s="61" t="n"/>
      <c r="AZ204" s="61" t="n"/>
      <c r="BA204" s="61" t="n"/>
      <c r="BB204" s="61">
        <f>Controls!$G$169</f>
        <v/>
      </c>
      <c r="BC204" s="61">
        <f>COUNTIFS(Data!$AK$2:$AK$1105,1,Data!$M$2:$M$1105,$BB$204)</f>
        <v/>
      </c>
      <c r="BD204" s="57">
        <f>SUMIFS(Data!$P$2:$P$1105,Data!$AK$2:$AK$1105,1,Data!$M$2:$M$1105,$BB$204)</f>
        <v/>
      </c>
      <c r="BE204" s="56">
        <f>IF(COUNTIFS(Data!$AK$2:$AK$1105,1,Data!$M$2:$M$1105,$BB$204)&lt;Controls!$B$19,"",IFERROR(SUMIFS(Data!$AN$2:$AN$1105,Data!$AK$2:$AK$1105,1,Data!$M$2:$M$1105,$BB$204)/$BD$204,""))</f>
        <v/>
      </c>
      <c r="BF204" s="56">
        <f>IF(COUNTIFS(Data!$AK$2:$AK$1105,1,Data!$M$2:$M$1105,$BB$204)&lt;Controls!$B$19,"",IFERROR(SUMIFS(Data!$AM$2:$AM$1105,Data!$AK$2:$AK$1105,1,Data!$M$2:$M$1105,$BB$204)/SUMIFS(Data!$P$2:$P$1105,Data!$AK$2:$AK$1105,1,Data!$M$2:$M$1105,$BB$204),""))</f>
        <v/>
      </c>
      <c r="BG204" s="57">
        <f>SUMIFS(Data!$AN$2:$AN$1105,Data!$AK$2:$AK$1105,1,Data!$M$2:$M$1105,$BB$204)</f>
        <v/>
      </c>
      <c r="BH204" s="61" t="n"/>
      <c r="BI204" s="61">
        <f>IF(AND($BC$204&gt;=Controls!$B$22,$BD$204&gt;=LARGE($BD$75:$BD$230,MIN(Controls!$B$18,COUNT($BD$75:$BD$230)))),$BE$204,"")</f>
        <v/>
      </c>
      <c r="BJ204" s="61" t="n"/>
      <c r="BK204" s="61">
        <f>IF($BC$204&lt;Controls!$B$22,"",$BE$204)</f>
        <v/>
      </c>
      <c r="BL204" s="61">
        <f>IF($BC$204&lt;Controls!$B$22,"",$BF$204)</f>
        <v/>
      </c>
      <c r="BM204" s="61">
        <f>IF($BC$204&lt;Controls!$B$22,"",$BG$204)</f>
        <v/>
      </c>
      <c r="BN204" s="61" t="n"/>
      <c r="BO204" s="61" t="n"/>
      <c r="BP204" s="61" t="n"/>
      <c r="BQ204" s="61" t="n"/>
      <c r="BR204" s="61" t="n"/>
      <c r="BS204" s="61" t="n"/>
      <c r="BT204" s="61" t="n"/>
    </row>
    <row r="205" ht="15.75" customHeight="1" s="79">
      <c r="A205" s="61" t="n"/>
      <c r="B205" s="61" t="n"/>
      <c r="C205" s="61" t="n"/>
      <c r="D205" s="61" t="n"/>
      <c r="E205" s="61" t="n"/>
      <c r="F205" s="61" t="n"/>
      <c r="G205" s="61" t="n"/>
      <c r="H205" s="61" t="n"/>
      <c r="I205" s="61" t="n"/>
      <c r="J205" s="61" t="n"/>
      <c r="K205" s="61" t="n"/>
      <c r="L205" s="61" t="n"/>
      <c r="M205" s="61" t="n"/>
      <c r="N205" s="61" t="n"/>
      <c r="O205" s="61" t="n"/>
      <c r="P205" s="61" t="n"/>
      <c r="Q205" s="61" t="n"/>
      <c r="R205" s="61" t="n"/>
      <c r="S205" s="61" t="n"/>
      <c r="T205" s="61" t="n"/>
      <c r="U205" s="61" t="n"/>
      <c r="V205" s="61" t="n"/>
      <c r="W205" s="61" t="n"/>
      <c r="X205" s="61" t="n"/>
      <c r="Y205" s="61" t="n"/>
      <c r="Z205" s="61" t="n"/>
      <c r="AA205" s="61" t="n"/>
      <c r="AB205" s="61" t="n"/>
      <c r="AC205" s="61" t="n"/>
      <c r="AD205" s="61" t="n"/>
      <c r="AE205" s="61" t="n"/>
      <c r="AF205" s="61" t="n"/>
      <c r="AG205" s="61" t="n"/>
      <c r="AH205" s="61" t="n"/>
      <c r="AI205" s="61" t="n"/>
      <c r="AJ205" s="61" t="n"/>
      <c r="AK205" s="61" t="n"/>
      <c r="AL205" s="61" t="n"/>
      <c r="AM205" s="61" t="n"/>
      <c r="AN205" s="61">
        <f>Controls!$G$102</f>
        <v/>
      </c>
      <c r="AO205" s="61">
        <f>COUNTIFS(Data!$AK$2:$AK$1105,1,Data!$M$2:$M$1105,$AN$205)</f>
        <v/>
      </c>
      <c r="AP205" s="57">
        <f>SUMIFS(Data!$P$2:$P$1105,Data!$AK$2:$AK$1105,1,Data!$M$2:$M$1105,$AN$205)</f>
        <v/>
      </c>
      <c r="AQ205" s="56">
        <f>IFERROR(SUMIFS(Data!$AN$2:$AN$1105,Data!$AK$2:$AK$1105,1,Data!$M$2:$M$1105,$AN$205)/$AP$205,0)</f>
        <v/>
      </c>
      <c r="AR205" s="57">
        <f>SUMIFS(Data!$AN$2:$AN$1105,Data!$AK$2:$AK$1105,1,Data!$M$2:$M$1105,$AN$205)</f>
        <v/>
      </c>
      <c r="AS205" s="61">
        <f>Controls!$H$102</f>
        <v/>
      </c>
      <c r="AT205" s="61">
        <f>IF(OR(AO205=0,AO205&lt;Controls!$B$20),-1000000000000000,IF(AND(Controls!$B$21="Y",$AN$205="No ISO"),-1000000000000000,IF(Controls!$B$17="Selected only",IF(AS205="Y",AP205,-1000000000000000),IF(Controls!$B$17="Top by funded $",AP205,IF(Controls!$B$17="Top by funded units",AO205,IF(Controls!$B$17="Largest principal lost $",AR205,IF(Controls!$B$17="Highest net profit $",AU205,IF(AO205&lt;Controls!$B$19,-1000000000000000,IF(Controls!$B$17="Highest principal lost rate %",AQ205,IF(Controls!$B$17="Lowest principal lost rate %",1-AQ205,AP205))))))))) +63/1000000)</f>
        <v/>
      </c>
      <c r="AU205" s="57">
        <f>SUMIFS(Data!$AM$2:$AM$1105,Data!$AK$2:$AK$1105,1,Data!$M$2:$M$1105,$AN$205)</f>
        <v/>
      </c>
      <c r="AV205" s="61" t="n"/>
      <c r="AW205" s="61" t="n"/>
      <c r="AX205" s="61" t="n"/>
      <c r="AY205" s="61" t="n"/>
      <c r="AZ205" s="61" t="n"/>
      <c r="BA205" s="61" t="n"/>
      <c r="BB205" s="61">
        <f>Controls!$G$170</f>
        <v/>
      </c>
      <c r="BC205" s="61">
        <f>COUNTIFS(Data!$AK$2:$AK$1105,1,Data!$M$2:$M$1105,$BB$205)</f>
        <v/>
      </c>
      <c r="BD205" s="57">
        <f>SUMIFS(Data!$P$2:$P$1105,Data!$AK$2:$AK$1105,1,Data!$M$2:$M$1105,$BB$205)</f>
        <v/>
      </c>
      <c r="BE205" s="56">
        <f>IF(COUNTIFS(Data!$AK$2:$AK$1105,1,Data!$M$2:$M$1105,$BB$205)&lt;Controls!$B$19,"",IFERROR(SUMIFS(Data!$AN$2:$AN$1105,Data!$AK$2:$AK$1105,1,Data!$M$2:$M$1105,$BB$205)/$BD$205,""))</f>
        <v/>
      </c>
      <c r="BF205" s="56">
        <f>IF(COUNTIFS(Data!$AK$2:$AK$1105,1,Data!$M$2:$M$1105,$BB$205)&lt;Controls!$B$19,"",IFERROR(SUMIFS(Data!$AM$2:$AM$1105,Data!$AK$2:$AK$1105,1,Data!$M$2:$M$1105,$BB$205)/SUMIFS(Data!$P$2:$P$1105,Data!$AK$2:$AK$1105,1,Data!$M$2:$M$1105,$BB$205),""))</f>
        <v/>
      </c>
      <c r="BG205" s="57">
        <f>SUMIFS(Data!$AN$2:$AN$1105,Data!$AK$2:$AK$1105,1,Data!$M$2:$M$1105,$BB$205)</f>
        <v/>
      </c>
      <c r="BH205" s="61" t="n"/>
      <c r="BI205" s="61">
        <f>IF(AND($BC$205&gt;=Controls!$B$22,$BD$205&gt;=LARGE($BD$75:$BD$230,MIN(Controls!$B$18,COUNT($BD$75:$BD$230)))),$BE$205,"")</f>
        <v/>
      </c>
      <c r="BJ205" s="61" t="n"/>
      <c r="BK205" s="61">
        <f>IF($BC$205&lt;Controls!$B$22,"",$BE$205)</f>
        <v/>
      </c>
      <c r="BL205" s="61">
        <f>IF($BC$205&lt;Controls!$B$22,"",$BF$205)</f>
        <v/>
      </c>
      <c r="BM205" s="61">
        <f>IF($BC$205&lt;Controls!$B$22,"",$BG$205)</f>
        <v/>
      </c>
      <c r="BN205" s="61" t="n"/>
      <c r="BO205" s="61" t="n"/>
      <c r="BP205" s="61" t="n"/>
      <c r="BQ205" s="61" t="n"/>
      <c r="BR205" s="61" t="n"/>
      <c r="BS205" s="61" t="n"/>
      <c r="BT205" s="61" t="n"/>
    </row>
    <row r="206" ht="15.75" customHeight="1" s="79">
      <c r="A206" s="61" t="inlineStr">
        <is>
          <t xml:space="preserve">Funding year - </t>
        </is>
      </c>
      <c r="B206" s="61" t="n"/>
      <c r="C206" s="61" t="n"/>
      <c r="D206" s="61" t="n"/>
      <c r="E206" s="61" t="n"/>
      <c r="F206" s="61" t="n"/>
      <c r="G206" s="61" t="n"/>
      <c r="H206" s="61" t="n"/>
      <c r="I206" s="61" t="n"/>
      <c r="J206" s="61" t="n"/>
      <c r="K206" s="61" t="n"/>
      <c r="L206" s="61" t="n"/>
      <c r="M206" s="61" t="n"/>
      <c r="N206" s="61" t="n"/>
      <c r="O206" s="61" t="n"/>
      <c r="P206" s="61" t="n"/>
      <c r="Q206" s="61" t="n"/>
      <c r="R206" s="61" t="n"/>
      <c r="S206" s="61" t="n"/>
      <c r="T206" s="61" t="n"/>
      <c r="U206" s="61" t="n"/>
      <c r="V206" s="61" t="n"/>
      <c r="W206" s="61" t="n"/>
      <c r="X206" s="61" t="n"/>
      <c r="Y206" s="61" t="n"/>
      <c r="Z206" s="61" t="n"/>
      <c r="AA206" s="61" t="n"/>
      <c r="AB206" s="61" t="n"/>
      <c r="AC206" s="61" t="n"/>
      <c r="AD206" s="61" t="n"/>
      <c r="AE206" s="61" t="n"/>
      <c r="AF206" s="61" t="n"/>
      <c r="AG206" s="61" t="n"/>
      <c r="AH206" s="61" t="n"/>
      <c r="AI206" s="61" t="n"/>
      <c r="AJ206" s="61" t="n"/>
      <c r="AK206" s="61" t="n"/>
      <c r="AL206" s="61" t="n"/>
      <c r="AM206" s="61" t="n"/>
      <c r="AN206" s="61">
        <f>Controls!$G$103</f>
        <v/>
      </c>
      <c r="AO206" s="61">
        <f>COUNTIFS(Data!$AK$2:$AK$1105,1,Data!$M$2:$M$1105,$AN$206)</f>
        <v/>
      </c>
      <c r="AP206" s="57">
        <f>SUMIFS(Data!$P$2:$P$1105,Data!$AK$2:$AK$1105,1,Data!$M$2:$M$1105,$AN$206)</f>
        <v/>
      </c>
      <c r="AQ206" s="56">
        <f>IFERROR(SUMIFS(Data!$AN$2:$AN$1105,Data!$AK$2:$AK$1105,1,Data!$M$2:$M$1105,$AN$206)/$AP$206,0)</f>
        <v/>
      </c>
      <c r="AR206" s="57">
        <f>SUMIFS(Data!$AN$2:$AN$1105,Data!$AK$2:$AK$1105,1,Data!$M$2:$M$1105,$AN$206)</f>
        <v/>
      </c>
      <c r="AS206" s="61">
        <f>Controls!$H$103</f>
        <v/>
      </c>
      <c r="AT206" s="61">
        <f>IF(OR(AO206=0,AO206&lt;Controls!$B$20),-1000000000000000,IF(AND(Controls!$B$21="Y",$AN$206="No ISO"),-1000000000000000,IF(Controls!$B$17="Selected only",IF(AS206="Y",AP206,-1000000000000000),IF(Controls!$B$17="Top by funded $",AP206,IF(Controls!$B$17="Top by funded units",AO206,IF(Controls!$B$17="Largest principal lost $",AR206,IF(Controls!$B$17="Highest net profit $",AU206,IF(AO206&lt;Controls!$B$19,-1000000000000000,IF(Controls!$B$17="Highest principal lost rate %",AQ206,IF(Controls!$B$17="Lowest principal lost rate %",1-AQ206,AP206))))))))) +64/1000000)</f>
        <v/>
      </c>
      <c r="AU206" s="57">
        <f>SUMIFS(Data!$AM$2:$AM$1105,Data!$AK$2:$AK$1105,1,Data!$M$2:$M$1105,$AN$206)</f>
        <v/>
      </c>
      <c r="AV206" s="61" t="n"/>
      <c r="AW206" s="61" t="n"/>
      <c r="AX206" s="61" t="n"/>
      <c r="AY206" s="61" t="n"/>
      <c r="AZ206" s="61" t="n"/>
      <c r="BA206" s="61" t="n"/>
      <c r="BB206" s="61">
        <f>Controls!$G$171</f>
        <v/>
      </c>
      <c r="BC206" s="61">
        <f>COUNTIFS(Data!$AK$2:$AK$1105,1,Data!$M$2:$M$1105,$BB$206)</f>
        <v/>
      </c>
      <c r="BD206" s="57">
        <f>SUMIFS(Data!$P$2:$P$1105,Data!$AK$2:$AK$1105,1,Data!$M$2:$M$1105,$BB$206)</f>
        <v/>
      </c>
      <c r="BE206" s="56">
        <f>IF(COUNTIFS(Data!$AK$2:$AK$1105,1,Data!$M$2:$M$1105,$BB$206)&lt;Controls!$B$19,"",IFERROR(SUMIFS(Data!$AN$2:$AN$1105,Data!$AK$2:$AK$1105,1,Data!$M$2:$M$1105,$BB$206)/$BD$206,""))</f>
        <v/>
      </c>
      <c r="BF206" s="56">
        <f>IF(COUNTIFS(Data!$AK$2:$AK$1105,1,Data!$M$2:$M$1105,$BB$206)&lt;Controls!$B$19,"",IFERROR(SUMIFS(Data!$AM$2:$AM$1105,Data!$AK$2:$AK$1105,1,Data!$M$2:$M$1105,$BB$206)/SUMIFS(Data!$P$2:$P$1105,Data!$AK$2:$AK$1105,1,Data!$M$2:$M$1105,$BB$206),""))</f>
        <v/>
      </c>
      <c r="BG206" s="57">
        <f>SUMIFS(Data!$AN$2:$AN$1105,Data!$AK$2:$AK$1105,1,Data!$M$2:$M$1105,$BB$206)</f>
        <v/>
      </c>
      <c r="BH206" s="61" t="n"/>
      <c r="BI206" s="61">
        <f>IF(AND($BC$206&gt;=Controls!$B$22,$BD$206&gt;=LARGE($BD$75:$BD$230,MIN(Controls!$B$18,COUNT($BD$75:$BD$230)))),$BE$206,"")</f>
        <v/>
      </c>
      <c r="BJ206" s="61" t="n"/>
      <c r="BK206" s="61">
        <f>IF($BC$206&lt;Controls!$B$22,"",$BE$206)</f>
        <v/>
      </c>
      <c r="BL206" s="61">
        <f>IF($BC$206&lt;Controls!$B$22,"",$BF$206)</f>
        <v/>
      </c>
      <c r="BM206" s="61">
        <f>IF($BC$206&lt;Controls!$B$22,"",$BG$206)</f>
        <v/>
      </c>
      <c r="BN206" s="61" t="n"/>
      <c r="BO206" s="61" t="n"/>
      <c r="BP206" s="61" t="n"/>
      <c r="BQ206" s="61" t="n"/>
      <c r="BR206" s="61" t="n"/>
      <c r="BS206" s="61" t="n"/>
      <c r="BT206" s="61" t="n"/>
    </row>
    <row r="207" ht="15.75" customHeight="1" s="79">
      <c r="A207" s="61" t="inlineStr">
        <is>
          <t>Label</t>
        </is>
      </c>
      <c r="B207" s="61" t="inlineStr">
        <is>
          <t>Funded $</t>
        </is>
      </c>
      <c r="C207" s="61" t="inlineStr">
        <is>
          <t>Collected $</t>
        </is>
      </c>
      <c r="D207" s="61" t="inlineStr">
        <is>
          <t>Net profit / loss $</t>
        </is>
      </c>
      <c r="E207" s="61" t="inlineStr">
        <is>
          <t>Commission $</t>
        </is>
      </c>
      <c r="F207" s="61" t="inlineStr">
        <is>
          <t>Principal lost $</t>
        </is>
      </c>
      <c r="G207" s="61" t="inlineStr">
        <is>
          <t>Principal lost rate</t>
        </is>
      </c>
      <c r="H207" s="61" t="inlineStr">
        <is>
          <t>Recovery rate</t>
        </is>
      </c>
      <c r="I207" s="61" t="inlineStr">
        <is>
          <t>Return on funded capital (%)</t>
        </is>
      </c>
      <c r="J207" s="61" t="inlineStr">
        <is>
          <t>Deals</t>
        </is>
      </c>
      <c r="K207" s="61" t="inlineStr">
        <is>
          <t>Share of funded dollars</t>
        </is>
      </c>
      <c r="L207" s="61" t="inlineStr">
        <is>
          <t>Avg deal size</t>
        </is>
      </c>
      <c r="M207" s="61" t="inlineStr">
        <is>
          <t>Avg expected term (business days)</t>
        </is>
      </c>
      <c r="N207" s="61" t="inlineStr">
        <is>
          <t>Avg expected term (payments)</t>
        </is>
      </c>
      <c r="O207" s="61" t="inlineStr">
        <is>
          <t>Avg days on book, defaulted</t>
        </is>
      </c>
      <c r="P207" s="61" t="inlineStr">
        <is>
          <t>Avg days to close</t>
        </is>
      </c>
      <c r="Q207" s="61" t="inlineStr">
        <is>
          <t>% of deals that were renewals</t>
        </is>
      </c>
      <c r="R207" s="61" t="inlineStr">
        <is>
          <t>% of funded dollars from renewals</t>
        </is>
      </c>
      <c r="S207" s="61" t="inlineStr">
        <is>
          <t>Book lost rate</t>
        </is>
      </c>
      <c r="T207" s="61" t="inlineStr">
        <is>
          <t>Book recovery</t>
        </is>
      </c>
      <c r="U207" s="61" t="inlineStr">
        <is>
          <t>Book return on funded capital</t>
        </is>
      </c>
      <c r="V207" s="61" t="inlineStr">
        <is>
          <t>Default rate (#)</t>
        </is>
      </c>
      <c r="W207" s="61" t="inlineStr">
        <is>
          <t>Chart label (name + deals)</t>
        </is>
      </c>
      <c r="X207" s="61" t="n"/>
      <c r="Y207" s="61" t="n"/>
      <c r="Z207" s="61" t="n"/>
      <c r="AA207" s="61" t="n"/>
      <c r="AB207" s="61" t="n"/>
      <c r="AC207" s="61" t="n"/>
      <c r="AD207" s="61" t="n"/>
      <c r="AE207" s="61" t="n"/>
      <c r="AF207" s="61" t="n"/>
      <c r="AG207" s="61" t="n"/>
      <c r="AH207" s="61" t="n"/>
      <c r="AI207" s="61" t="n"/>
      <c r="AJ207" s="61" t="n"/>
      <c r="AK207" s="61" t="n"/>
      <c r="AL207" s="61" t="n"/>
      <c r="AM207" s="61" t="n"/>
      <c r="AN207" s="61">
        <f>Controls!$G$104</f>
        <v/>
      </c>
      <c r="AO207" s="61">
        <f>COUNTIFS(Data!$AK$2:$AK$1105,1,Data!$M$2:$M$1105,$AN$207)</f>
        <v/>
      </c>
      <c r="AP207" s="57">
        <f>SUMIFS(Data!$P$2:$P$1105,Data!$AK$2:$AK$1105,1,Data!$M$2:$M$1105,$AN$207)</f>
        <v/>
      </c>
      <c r="AQ207" s="56">
        <f>IFERROR(SUMIFS(Data!$AN$2:$AN$1105,Data!$AK$2:$AK$1105,1,Data!$M$2:$M$1105,$AN$207)/$AP$207,0)</f>
        <v/>
      </c>
      <c r="AR207" s="57">
        <f>SUMIFS(Data!$AN$2:$AN$1105,Data!$AK$2:$AK$1105,1,Data!$M$2:$M$1105,$AN$207)</f>
        <v/>
      </c>
      <c r="AS207" s="61">
        <f>Controls!$H$104</f>
        <v/>
      </c>
      <c r="AT207" s="61">
        <f>IF(OR(AO207=0,AO207&lt;Controls!$B$20),-1000000000000000,IF(AND(Controls!$B$21="Y",$AN$207="No ISO"),-1000000000000000,IF(Controls!$B$17="Selected only",IF(AS207="Y",AP207,-1000000000000000),IF(Controls!$B$17="Top by funded $",AP207,IF(Controls!$B$17="Top by funded units",AO207,IF(Controls!$B$17="Largest principal lost $",AR207,IF(Controls!$B$17="Highest net profit $",AU207,IF(AO207&lt;Controls!$B$19,-1000000000000000,IF(Controls!$B$17="Highest principal lost rate %",AQ207,IF(Controls!$B$17="Lowest principal lost rate %",1-AQ207,AP207))))))))) +65/1000000)</f>
        <v/>
      </c>
      <c r="AU207" s="57">
        <f>SUMIFS(Data!$AM$2:$AM$1105,Data!$AK$2:$AK$1105,1,Data!$M$2:$M$1105,$AN$207)</f>
        <v/>
      </c>
      <c r="AV207" s="61" t="n"/>
      <c r="AW207" s="61" t="n"/>
      <c r="AX207" s="61" t="n"/>
      <c r="AY207" s="61" t="n"/>
      <c r="AZ207" s="61" t="n"/>
      <c r="BA207" s="61" t="n"/>
      <c r="BB207" s="61">
        <f>Controls!$G$172</f>
        <v/>
      </c>
      <c r="BC207" s="61">
        <f>COUNTIFS(Data!$AK$2:$AK$1105,1,Data!$M$2:$M$1105,$BB$207)</f>
        <v/>
      </c>
      <c r="BD207" s="57">
        <f>SUMIFS(Data!$P$2:$P$1105,Data!$AK$2:$AK$1105,1,Data!$M$2:$M$1105,$BB$207)</f>
        <v/>
      </c>
      <c r="BE207" s="56">
        <f>IF(COUNTIFS(Data!$AK$2:$AK$1105,1,Data!$M$2:$M$1105,$BB$207)&lt;Controls!$B$19,"",IFERROR(SUMIFS(Data!$AN$2:$AN$1105,Data!$AK$2:$AK$1105,1,Data!$M$2:$M$1105,$BB$207)/$BD$207,""))</f>
        <v/>
      </c>
      <c r="BF207" s="56">
        <f>IF(COUNTIFS(Data!$AK$2:$AK$1105,1,Data!$M$2:$M$1105,$BB$207)&lt;Controls!$B$19,"",IFERROR(SUMIFS(Data!$AM$2:$AM$1105,Data!$AK$2:$AK$1105,1,Data!$M$2:$M$1105,$BB$207)/SUMIFS(Data!$P$2:$P$1105,Data!$AK$2:$AK$1105,1,Data!$M$2:$M$1105,$BB$207),""))</f>
        <v/>
      </c>
      <c r="BG207" s="57">
        <f>SUMIFS(Data!$AN$2:$AN$1105,Data!$AK$2:$AK$1105,1,Data!$M$2:$M$1105,$BB$207)</f>
        <v/>
      </c>
      <c r="BH207" s="61" t="n"/>
      <c r="BI207" s="61">
        <f>IF(AND($BC$207&gt;=Controls!$B$22,$BD$207&gt;=LARGE($BD$75:$BD$230,MIN(Controls!$B$18,COUNT($BD$75:$BD$230)))),$BE$207,"")</f>
        <v/>
      </c>
      <c r="BJ207" s="61" t="n"/>
      <c r="BK207" s="61">
        <f>IF($BC$207&lt;Controls!$B$22,"",$BE$207)</f>
        <v/>
      </c>
      <c r="BL207" s="61">
        <f>IF($BC$207&lt;Controls!$B$22,"",$BF$207)</f>
        <v/>
      </c>
      <c r="BM207" s="61">
        <f>IF($BC$207&lt;Controls!$B$22,"",$BG$207)</f>
        <v/>
      </c>
      <c r="BN207" s="61" t="n"/>
      <c r="BO207" s="61" t="n"/>
      <c r="BP207" s="61" t="n"/>
      <c r="BQ207" s="61" t="n"/>
      <c r="BR207" s="61" t="n"/>
      <c r="BS207" s="61" t="n"/>
      <c r="BT207" s="61" t="n"/>
    </row>
    <row r="208" ht="15.75" customHeight="1" s="79">
      <c r="A208" s="61">
        <f>IF(YEAR(Controls!$B$5)+0&gt;YEAR(Controls!$B$6),"",TEXT(YEAR(Controls!$B$5)+0,"0"))</f>
        <v/>
      </c>
      <c r="B208" s="66">
        <f>IF($A$208="",NA(),IFERROR(SUMIFS(Data!$P$2:$P$1105,Data!$AK$2:$AK$1105,1,Data!$BB$2:$BB$1105,$A$208),NA()))</f>
        <v/>
      </c>
      <c r="C208" s="66">
        <f>IF($A$208="",NA(),IFERROR(SUMIFS(Data!$S$2:$S$1105,Data!$AK$2:$AK$1105,1,Data!$BB$2:$BB$1105,$A$208),NA()))</f>
        <v/>
      </c>
      <c r="D208" s="66">
        <f>IF(ISNA($B$208),NA(),$C$208-$B$208)</f>
        <v/>
      </c>
      <c r="E208" s="66">
        <f>IF($A$208="",NA(),IFERROR(SUMIFS(Data!$Q$2:$Q$1105,Data!$AK$2:$AK$1105,1,Data!$BB$2:$BB$1105,$A$208),NA()))</f>
        <v/>
      </c>
      <c r="F208" s="66">
        <f>IF($A$208="",NA(),IFERROR(SUMIFS(Data!$AN$2:$AN$1105,Data!$AK$2:$AK$1105,1,Data!$BB$2:$BB$1105,$A$208),NA()))</f>
        <v/>
      </c>
      <c r="G208" s="62">
        <f>IF($A$208="",NA(),IF(COUNTIFS(Data!$AK$2:$AK$1105,1,Data!$BB$2:$BB$1105,$A$208)&lt;Controls!$B$19,NA(),IFERROR(SUMIFS(Data!$AN$2:$AN$1105,Data!$AK$2:$AK$1105,1,Data!$BB$2:$BB$1105,$A$208)/$B$208,NA())))</f>
        <v/>
      </c>
      <c r="H208" s="62">
        <f>IF($A$208="",NA(),IF(COUNTIFS(Data!$AK$2:$AK$1105,1,Data!$BB$2:$BB$1105,$A$208)&lt;Controls!$B$19,NA(),IFERROR(SUMIFS(Data!$S$2:$S$1105,Data!$AK$2:$AK$1105,1,Data!$BB$2:$BB$1105,$A$208,Data!$AH$2:$AH$1105,1)/SUMIFS(Data!$P$2:$P$1105,Data!$AK$2:$AK$1105,1,Data!$BB$2:$BB$1105,$A$208,Data!$AH$2:$AH$1105,1),NA())))</f>
        <v/>
      </c>
      <c r="I208" s="62">
        <f>IF(ISNA($J$208),NA(),IF($J$208&lt;Controls!$B$19,NA(),IFERROR($D$208/$B$208,NA())))</f>
        <v/>
      </c>
      <c r="J208" s="67">
        <f>IF($A$208="",NA(),IFERROR(COUNTIFS(Data!$AK$2:$AK$1105,1,Data!$BB$2:$BB$1105,$A$208),NA()))</f>
        <v/>
      </c>
      <c r="K208" s="62">
        <f>IF(ISNA($B$208),NA(),IFERROR($B$208/Calc!$BT$6,NA()))</f>
        <v/>
      </c>
      <c r="L208" s="66">
        <f>IF(ISNA($J$208),NA(),IF($J$208&lt;Controls!$B$19,NA(),IFERROR($B$208/$J$208,NA())))</f>
        <v/>
      </c>
      <c r="M208" s="67">
        <f>IF($A$208="",NA(),IF(COUNTIFS(Data!$AK$2:$AK$1105,1,Data!$BB$2:$BB$1105,$A$208)&lt;Controls!$B$19,NA(),IFERROR(AVERAGEIFS(Data!$AE$2:$AE$1105,Data!$AK$2:$AK$1105,1,Data!$BB$2:$BB$1105,$A$208),NA())))</f>
        <v/>
      </c>
      <c r="N208" s="67">
        <f>IF($A$208="",NA(),IF(COUNTIFS(Data!$AK$2:$AK$1105,1,Data!$BB$2:$BB$1105,$A$208)&lt;Controls!$B$19,NA(),IFERROR(AVERAGEIFS(Data!$AD$2:$AD$1105,Data!$AK$2:$AK$1105,1,Data!$BB$2:$BB$1105,$A$208),NA())))</f>
        <v/>
      </c>
      <c r="O208" s="67">
        <f>IF($A$208="",NA(),IF(COUNTIFS(Data!$AK$2:$AK$1105,1,Data!$BB$2:$BB$1105,$A$208)&lt;Controls!$B$19,NA(),IFERROR(AVERAGEIFS(Data!$AS$2:$AS$1105,Data!$AK$2:$AK$1105,1,Data!$BB$2:$BB$1105,$A$208),NA())))</f>
        <v/>
      </c>
      <c r="P208" s="67">
        <f>IF($A$208="",NA(),IF(COUNTIFS(Data!$AK$2:$AK$1105,1,Data!$BB$2:$BB$1105,$A$208)&lt;Controls!$B$19,NA(),IFERROR(AVERAGEIFS(Data!$AT$2:$AT$1105,Data!$AK$2:$AK$1105,1,Data!$BB$2:$BB$1105,$A$208),NA())))</f>
        <v/>
      </c>
      <c r="Q208" s="62">
        <f>IF($A$208="",NA(),IF(COUNTIFS(Data!$AK$2:$AK$1105,1,Data!$BB$2:$BB$1105,$A$208)&lt;Controls!$B$19,NA(),IFERROR(COUNTIFS(Data!$AK$2:$AK$1105,1,Data!$BB$2:$BB$1105,$A$208,Data!$N$2:$N$1105,"Renewal")/COUNTIFS(Data!$AK$2:$AK$1105,1,Data!$BB$2:$BB$1105,$A$208),NA())))</f>
        <v/>
      </c>
      <c r="R208" s="62">
        <f>IF($A$208="",NA(),IF(COUNTIFS(Data!$AK$2:$AK$1105,1,Data!$BB$2:$BB$1105,$A$208)&lt;Controls!$B$19,NA(),IFERROR(SUMIFS(Data!$P$2:$P$1105,Data!$AK$2:$AK$1105,1,Data!$BB$2:$BB$1105,$A$208,Data!$N$2:$N$1105,"Renewal")/SUMIFS(Data!$P$2:$P$1105,Data!$AK$2:$AK$1105,1,Data!$BB$2:$BB$1105,$A$208),NA())))</f>
        <v/>
      </c>
      <c r="S208" s="62">
        <f>IF($A$208="",NA(),Calc!$BT$2)</f>
        <v/>
      </c>
      <c r="T208" s="62">
        <f>IF($A$208="",NA(),Calc!$BT$3)</f>
        <v/>
      </c>
      <c r="U208" s="62">
        <f>IF($A$208="",NA(),Calc!$BT$4)</f>
        <v/>
      </c>
      <c r="V208" s="62">
        <f>IF($A$208="",NA(),IF(COUNTIFS(Data!$AK$2:$AK$1105,1,Data!$BB$2:$BB$1105,$A$208)&lt;Controls!$B$19,NA(),IFERROR(COUNTIFS(Data!$AK$2:$AK$1105,1,Data!$BB$2:$BB$1105,$A$208,Data!$AH$2:$AH$1105,1)/COUNTIFS(Data!$AK$2:$AK$1105,1,Data!$BB$2:$BB$1105,$A$208),NA())))</f>
        <v/>
      </c>
      <c r="W208" s="61">
        <f>IF($A$208="","",$A$208&amp;" ("&amp;$J$208&amp;")")</f>
        <v/>
      </c>
      <c r="X208" s="61" t="n"/>
      <c r="Y208" s="61" t="n"/>
      <c r="Z208" s="61" t="n"/>
      <c r="AA208" s="61" t="n"/>
      <c r="AB208" s="61" t="n"/>
      <c r="AC208" s="61" t="n"/>
      <c r="AD208" s="61" t="n"/>
      <c r="AE208" s="61" t="n"/>
      <c r="AF208" s="61" t="n"/>
      <c r="AG208" s="61" t="n"/>
      <c r="AH208" s="61" t="n"/>
      <c r="AI208" s="61" t="n"/>
      <c r="AJ208" s="61" t="n"/>
      <c r="AK208" s="61" t="n"/>
      <c r="AL208" s="61" t="n"/>
      <c r="AM208" s="61" t="n"/>
      <c r="AN208" s="61">
        <f>Controls!$G$105</f>
        <v/>
      </c>
      <c r="AO208" s="61">
        <f>COUNTIFS(Data!$AK$2:$AK$1105,1,Data!$M$2:$M$1105,$AN$208)</f>
        <v/>
      </c>
      <c r="AP208" s="57">
        <f>SUMIFS(Data!$P$2:$P$1105,Data!$AK$2:$AK$1105,1,Data!$M$2:$M$1105,$AN$208)</f>
        <v/>
      </c>
      <c r="AQ208" s="56">
        <f>IFERROR(SUMIFS(Data!$AN$2:$AN$1105,Data!$AK$2:$AK$1105,1,Data!$M$2:$M$1105,$AN$208)/$AP$208,0)</f>
        <v/>
      </c>
      <c r="AR208" s="57">
        <f>SUMIFS(Data!$AN$2:$AN$1105,Data!$AK$2:$AK$1105,1,Data!$M$2:$M$1105,$AN$208)</f>
        <v/>
      </c>
      <c r="AS208" s="61">
        <f>Controls!$H$105</f>
        <v/>
      </c>
      <c r="AT208" s="61">
        <f>IF(OR(AO208=0,AO208&lt;Controls!$B$20),-1000000000000000,IF(AND(Controls!$B$21="Y",$AN$208="No ISO"),-1000000000000000,IF(Controls!$B$17="Selected only",IF(AS208="Y",AP208,-1000000000000000),IF(Controls!$B$17="Top by funded $",AP208,IF(Controls!$B$17="Top by funded units",AO208,IF(Controls!$B$17="Largest principal lost $",AR208,IF(Controls!$B$17="Highest net profit $",AU208,IF(AO208&lt;Controls!$B$19,-1000000000000000,IF(Controls!$B$17="Highest principal lost rate %",AQ208,IF(Controls!$B$17="Lowest principal lost rate %",1-AQ208,AP208))))))))) +66/1000000)</f>
        <v/>
      </c>
      <c r="AU208" s="57">
        <f>SUMIFS(Data!$AM$2:$AM$1105,Data!$AK$2:$AK$1105,1,Data!$M$2:$M$1105,$AN$208)</f>
        <v/>
      </c>
      <c r="AV208" s="61" t="n"/>
      <c r="AW208" s="61" t="n"/>
      <c r="AX208" s="61" t="n"/>
      <c r="AY208" s="61" t="n"/>
      <c r="AZ208" s="61" t="n"/>
      <c r="BA208" s="61" t="n"/>
      <c r="BB208" s="61">
        <f>Controls!$G$173</f>
        <v/>
      </c>
      <c r="BC208" s="61">
        <f>COUNTIFS(Data!$AK$2:$AK$1105,1,Data!$M$2:$M$1105,$BB$208)</f>
        <v/>
      </c>
      <c r="BD208" s="57">
        <f>SUMIFS(Data!$P$2:$P$1105,Data!$AK$2:$AK$1105,1,Data!$M$2:$M$1105,$BB$208)</f>
        <v/>
      </c>
      <c r="BE208" s="56">
        <f>IF(COUNTIFS(Data!$AK$2:$AK$1105,1,Data!$M$2:$M$1105,$BB$208)&lt;Controls!$B$19,"",IFERROR(SUMIFS(Data!$AN$2:$AN$1105,Data!$AK$2:$AK$1105,1,Data!$M$2:$M$1105,$BB$208)/$BD$208,""))</f>
        <v/>
      </c>
      <c r="BF208" s="56">
        <f>IF(COUNTIFS(Data!$AK$2:$AK$1105,1,Data!$M$2:$M$1105,$BB$208)&lt;Controls!$B$19,"",IFERROR(SUMIFS(Data!$AM$2:$AM$1105,Data!$AK$2:$AK$1105,1,Data!$M$2:$M$1105,$BB$208)/SUMIFS(Data!$P$2:$P$1105,Data!$AK$2:$AK$1105,1,Data!$M$2:$M$1105,$BB$208),""))</f>
        <v/>
      </c>
      <c r="BG208" s="57">
        <f>SUMIFS(Data!$AN$2:$AN$1105,Data!$AK$2:$AK$1105,1,Data!$M$2:$M$1105,$BB$208)</f>
        <v/>
      </c>
      <c r="BH208" s="61" t="n"/>
      <c r="BI208" s="56">
        <f>IF(AND($BC$208&gt;=Controls!$B$22,$BD$208&gt;=LARGE($BD$75:$BD$230,MIN(Controls!$B$18,COUNT($BD$75:$BD$230)))),$BE$208,"")</f>
        <v/>
      </c>
      <c r="BJ208" s="61" t="n"/>
      <c r="BK208" s="56">
        <f>IF($BC$208&lt;Controls!$B$22,"",$BE$208)</f>
        <v/>
      </c>
      <c r="BL208" s="56">
        <f>IF($BC$208&lt;Controls!$B$22,"",$BF$208)</f>
        <v/>
      </c>
      <c r="BM208" s="57">
        <f>IF($BC$208&lt;Controls!$B$22,"",$BG$208)</f>
        <v/>
      </c>
      <c r="BN208" s="61" t="n"/>
      <c r="BO208" s="61" t="n"/>
      <c r="BP208" s="61" t="n"/>
      <c r="BQ208" s="61" t="n"/>
      <c r="BR208" s="61" t="n"/>
      <c r="BS208" s="61" t="n"/>
      <c r="BT208" s="61" t="n"/>
    </row>
    <row r="209" ht="15.75" customHeight="1" s="79">
      <c r="A209" s="61">
        <f>IF(YEAR(Controls!$B$5)+1&gt;YEAR(Controls!$B$6),"",TEXT(YEAR(Controls!$B$5)+1,"0"))</f>
        <v/>
      </c>
      <c r="B209" s="66">
        <f>IF($A$209="",NA(),IFERROR(SUMIFS(Data!$P$2:$P$1105,Data!$AK$2:$AK$1105,1,Data!$BB$2:$BB$1105,$A$209),NA()))</f>
        <v/>
      </c>
      <c r="C209" s="66">
        <f>IF($A$209="",NA(),IFERROR(SUMIFS(Data!$S$2:$S$1105,Data!$AK$2:$AK$1105,1,Data!$BB$2:$BB$1105,$A$209),NA()))</f>
        <v/>
      </c>
      <c r="D209" s="66">
        <f>IF(ISNA($B$209),NA(),$C$209-$B$209)</f>
        <v/>
      </c>
      <c r="E209" s="66">
        <f>IF($A$209="",NA(),IFERROR(SUMIFS(Data!$Q$2:$Q$1105,Data!$AK$2:$AK$1105,1,Data!$BB$2:$BB$1105,$A$209),NA()))</f>
        <v/>
      </c>
      <c r="F209" s="66">
        <f>IF($A$209="",NA(),IFERROR(SUMIFS(Data!$AN$2:$AN$1105,Data!$AK$2:$AK$1105,1,Data!$BB$2:$BB$1105,$A$209),NA()))</f>
        <v/>
      </c>
      <c r="G209" s="62">
        <f>IF($A$209="",NA(),IF(COUNTIFS(Data!$AK$2:$AK$1105,1,Data!$BB$2:$BB$1105,$A$209)&lt;Controls!$B$19,NA(),IFERROR(SUMIFS(Data!$AN$2:$AN$1105,Data!$AK$2:$AK$1105,1,Data!$BB$2:$BB$1105,$A$209)/$B$209,NA())))</f>
        <v/>
      </c>
      <c r="H209" s="62">
        <f>IF($A$209="",NA(),IF(COUNTIFS(Data!$AK$2:$AK$1105,1,Data!$BB$2:$BB$1105,$A$209)&lt;Controls!$B$19,NA(),IFERROR(SUMIFS(Data!$S$2:$S$1105,Data!$AK$2:$AK$1105,1,Data!$BB$2:$BB$1105,$A$209,Data!$AH$2:$AH$1105,1)/SUMIFS(Data!$P$2:$P$1105,Data!$AK$2:$AK$1105,1,Data!$BB$2:$BB$1105,$A$209,Data!$AH$2:$AH$1105,1),NA())))</f>
        <v/>
      </c>
      <c r="I209" s="62">
        <f>IF(ISNA($J$209),NA(),IF($J$209&lt;Controls!$B$19,NA(),IFERROR($D$209/$B$209,NA())))</f>
        <v/>
      </c>
      <c r="J209" s="67">
        <f>IF($A$209="",NA(),IFERROR(COUNTIFS(Data!$AK$2:$AK$1105,1,Data!$BB$2:$BB$1105,$A$209),NA()))</f>
        <v/>
      </c>
      <c r="K209" s="62">
        <f>IF(ISNA($B$209),NA(),IFERROR($B$209/Calc!$BT$6,NA()))</f>
        <v/>
      </c>
      <c r="L209" s="66">
        <f>IF(ISNA($J$209),NA(),IF($J$209&lt;Controls!$B$19,NA(),IFERROR($B$209/$J$209,NA())))</f>
        <v/>
      </c>
      <c r="M209" s="67">
        <f>IF($A$209="",NA(),IF(COUNTIFS(Data!$AK$2:$AK$1105,1,Data!$BB$2:$BB$1105,$A$209)&lt;Controls!$B$19,NA(),IFERROR(AVERAGEIFS(Data!$AE$2:$AE$1105,Data!$AK$2:$AK$1105,1,Data!$BB$2:$BB$1105,$A$209),NA())))</f>
        <v/>
      </c>
      <c r="N209" s="67">
        <f>IF($A$209="",NA(),IF(COUNTIFS(Data!$AK$2:$AK$1105,1,Data!$BB$2:$BB$1105,$A$209)&lt;Controls!$B$19,NA(),IFERROR(AVERAGEIFS(Data!$AD$2:$AD$1105,Data!$AK$2:$AK$1105,1,Data!$BB$2:$BB$1105,$A$209),NA())))</f>
        <v/>
      </c>
      <c r="O209" s="67">
        <f>IF($A$209="",NA(),IF(COUNTIFS(Data!$AK$2:$AK$1105,1,Data!$BB$2:$BB$1105,$A$209)&lt;Controls!$B$19,NA(),IFERROR(AVERAGEIFS(Data!$AS$2:$AS$1105,Data!$AK$2:$AK$1105,1,Data!$BB$2:$BB$1105,$A$209),NA())))</f>
        <v/>
      </c>
      <c r="P209" s="67">
        <f>IF($A$209="",NA(),IF(COUNTIFS(Data!$AK$2:$AK$1105,1,Data!$BB$2:$BB$1105,$A$209)&lt;Controls!$B$19,NA(),IFERROR(AVERAGEIFS(Data!$AT$2:$AT$1105,Data!$AK$2:$AK$1105,1,Data!$BB$2:$BB$1105,$A$209),NA())))</f>
        <v/>
      </c>
      <c r="Q209" s="62">
        <f>IF($A$209="",NA(),IF(COUNTIFS(Data!$AK$2:$AK$1105,1,Data!$BB$2:$BB$1105,$A$209)&lt;Controls!$B$19,NA(),IFERROR(COUNTIFS(Data!$AK$2:$AK$1105,1,Data!$BB$2:$BB$1105,$A$209,Data!$N$2:$N$1105,"Renewal")/COUNTIFS(Data!$AK$2:$AK$1105,1,Data!$BB$2:$BB$1105,$A$209),NA())))</f>
        <v/>
      </c>
      <c r="R209" s="62">
        <f>IF($A$209="",NA(),IF(COUNTIFS(Data!$AK$2:$AK$1105,1,Data!$BB$2:$BB$1105,$A$209)&lt;Controls!$B$19,NA(),IFERROR(SUMIFS(Data!$P$2:$P$1105,Data!$AK$2:$AK$1105,1,Data!$BB$2:$BB$1105,$A$209,Data!$N$2:$N$1105,"Renewal")/SUMIFS(Data!$P$2:$P$1105,Data!$AK$2:$AK$1105,1,Data!$BB$2:$BB$1105,$A$209),NA())))</f>
        <v/>
      </c>
      <c r="S209" s="62">
        <f>IF($A$209="",NA(),Calc!$BT$2)</f>
        <v/>
      </c>
      <c r="T209" s="62">
        <f>IF($A$209="",NA(),Calc!$BT$3)</f>
        <v/>
      </c>
      <c r="U209" s="62">
        <f>IF($A$209="",NA(),Calc!$BT$4)</f>
        <v/>
      </c>
      <c r="V209" s="62">
        <f>IF($A$209="",NA(),IF(COUNTIFS(Data!$AK$2:$AK$1105,1,Data!$BB$2:$BB$1105,$A$209)&lt;Controls!$B$19,NA(),IFERROR(COUNTIFS(Data!$AK$2:$AK$1105,1,Data!$BB$2:$BB$1105,$A$209,Data!$AH$2:$AH$1105,1)/COUNTIFS(Data!$AK$2:$AK$1105,1,Data!$BB$2:$BB$1105,$A$209),NA())))</f>
        <v/>
      </c>
      <c r="W209" s="61">
        <f>IF($A$209="","",$A$209&amp;" ("&amp;$J$209&amp;")")</f>
        <v/>
      </c>
      <c r="X209" s="61" t="n"/>
      <c r="Y209" s="61" t="n"/>
      <c r="Z209" s="61" t="n"/>
      <c r="AA209" s="61" t="n"/>
      <c r="AB209" s="61" t="n"/>
      <c r="AC209" s="61" t="n"/>
      <c r="AD209" s="61" t="n"/>
      <c r="AE209" s="61" t="n"/>
      <c r="AF209" s="61" t="n"/>
      <c r="AG209" s="61" t="n"/>
      <c r="AH209" s="61" t="n"/>
      <c r="AI209" s="61" t="n"/>
      <c r="AJ209" s="61" t="n"/>
      <c r="AK209" s="61" t="n"/>
      <c r="AL209" s="61" t="n"/>
      <c r="AM209" s="61" t="n"/>
      <c r="AN209" s="61">
        <f>Controls!$G$106</f>
        <v/>
      </c>
      <c r="AO209" s="61">
        <f>COUNTIFS(Data!$AK$2:$AK$1105,1,Data!$M$2:$M$1105,$AN$209)</f>
        <v/>
      </c>
      <c r="AP209" s="57">
        <f>SUMIFS(Data!$P$2:$P$1105,Data!$AK$2:$AK$1105,1,Data!$M$2:$M$1105,$AN$209)</f>
        <v/>
      </c>
      <c r="AQ209" s="56">
        <f>IFERROR(SUMIFS(Data!$AN$2:$AN$1105,Data!$AK$2:$AK$1105,1,Data!$M$2:$M$1105,$AN$209)/$AP$209,0)</f>
        <v/>
      </c>
      <c r="AR209" s="57">
        <f>SUMIFS(Data!$AN$2:$AN$1105,Data!$AK$2:$AK$1105,1,Data!$M$2:$M$1105,$AN$209)</f>
        <v/>
      </c>
      <c r="AS209" s="61">
        <f>Controls!$H$106</f>
        <v/>
      </c>
      <c r="AT209" s="61">
        <f>IF(OR(AO209=0,AO209&lt;Controls!$B$20),-1000000000000000,IF(AND(Controls!$B$21="Y",$AN$209="No ISO"),-1000000000000000,IF(Controls!$B$17="Selected only",IF(AS209="Y",AP209,-1000000000000000),IF(Controls!$B$17="Top by funded $",AP209,IF(Controls!$B$17="Top by funded units",AO209,IF(Controls!$B$17="Largest principal lost $",AR209,IF(Controls!$B$17="Highest net profit $",AU209,IF(AO209&lt;Controls!$B$19,-1000000000000000,IF(Controls!$B$17="Highest principal lost rate %",AQ209,IF(Controls!$B$17="Lowest principal lost rate %",1-AQ209,AP209))))))))) +67/1000000)</f>
        <v/>
      </c>
      <c r="AU209" s="57">
        <f>SUMIFS(Data!$AM$2:$AM$1105,Data!$AK$2:$AK$1105,1,Data!$M$2:$M$1105,$AN$209)</f>
        <v/>
      </c>
      <c r="AV209" s="61" t="n"/>
      <c r="AW209" s="61" t="n"/>
      <c r="AX209" s="61" t="n"/>
      <c r="AY209" s="61" t="n"/>
      <c r="AZ209" s="61" t="n"/>
      <c r="BA209" s="61" t="n"/>
      <c r="BB209" s="61">
        <f>Controls!$G$174</f>
        <v/>
      </c>
      <c r="BC209" s="61">
        <f>COUNTIFS(Data!$AK$2:$AK$1105,1,Data!$M$2:$M$1105,$BB$209)</f>
        <v/>
      </c>
      <c r="BD209" s="57">
        <f>SUMIFS(Data!$P$2:$P$1105,Data!$AK$2:$AK$1105,1,Data!$M$2:$M$1105,$BB$209)</f>
        <v/>
      </c>
      <c r="BE209" s="56">
        <f>IF(COUNTIFS(Data!$AK$2:$AK$1105,1,Data!$M$2:$M$1105,$BB$209)&lt;Controls!$B$19,"",IFERROR(SUMIFS(Data!$AN$2:$AN$1105,Data!$AK$2:$AK$1105,1,Data!$M$2:$M$1105,$BB$209)/$BD$209,""))</f>
        <v/>
      </c>
      <c r="BF209" s="56">
        <f>IF(COUNTIFS(Data!$AK$2:$AK$1105,1,Data!$M$2:$M$1105,$BB$209)&lt;Controls!$B$19,"",IFERROR(SUMIFS(Data!$AM$2:$AM$1105,Data!$AK$2:$AK$1105,1,Data!$M$2:$M$1105,$BB$209)/SUMIFS(Data!$P$2:$P$1105,Data!$AK$2:$AK$1105,1,Data!$M$2:$M$1105,$BB$209),""))</f>
        <v/>
      </c>
      <c r="BG209" s="57">
        <f>SUMIFS(Data!$AN$2:$AN$1105,Data!$AK$2:$AK$1105,1,Data!$M$2:$M$1105,$BB$209)</f>
        <v/>
      </c>
      <c r="BH209" s="61" t="n"/>
      <c r="BI209" s="61">
        <f>IF(AND($BC$209&gt;=Controls!$B$22,$BD$209&gt;=LARGE($BD$75:$BD$230,MIN(Controls!$B$18,COUNT($BD$75:$BD$230)))),$BE$209,"")</f>
        <v/>
      </c>
      <c r="BJ209" s="61" t="n"/>
      <c r="BK209" s="61">
        <f>IF($BC$209&lt;Controls!$B$22,"",$BE$209)</f>
        <v/>
      </c>
      <c r="BL209" s="61">
        <f>IF($BC$209&lt;Controls!$B$22,"",$BF$209)</f>
        <v/>
      </c>
      <c r="BM209" s="61">
        <f>IF($BC$209&lt;Controls!$B$22,"",$BG$209)</f>
        <v/>
      </c>
      <c r="BN209" s="61" t="n"/>
      <c r="BO209" s="61" t="n"/>
      <c r="BP209" s="61" t="n"/>
      <c r="BQ209" s="61" t="n"/>
      <c r="BR209" s="61" t="n"/>
      <c r="BS209" s="61" t="n"/>
      <c r="BT209" s="61" t="n"/>
    </row>
    <row r="210" ht="15.75" customHeight="1" s="79">
      <c r="A210" s="61">
        <f>IF(YEAR(Controls!$B$5)+2&gt;YEAR(Controls!$B$6),"",TEXT(YEAR(Controls!$B$5)+2,"0"))</f>
        <v/>
      </c>
      <c r="B210" s="66">
        <f>IF($A$210="",NA(),IFERROR(SUMIFS(Data!$P$2:$P$1105,Data!$AK$2:$AK$1105,1,Data!$BB$2:$BB$1105,$A$210),NA()))</f>
        <v/>
      </c>
      <c r="C210" s="66">
        <f>IF($A$210="",NA(),IFERROR(SUMIFS(Data!$S$2:$S$1105,Data!$AK$2:$AK$1105,1,Data!$BB$2:$BB$1105,$A$210),NA()))</f>
        <v/>
      </c>
      <c r="D210" s="66">
        <f>IF(ISNA($B$210),NA(),$C$210-$B$210)</f>
        <v/>
      </c>
      <c r="E210" s="66">
        <f>IF($A$210="",NA(),IFERROR(SUMIFS(Data!$Q$2:$Q$1105,Data!$AK$2:$AK$1105,1,Data!$BB$2:$BB$1105,$A$210),NA()))</f>
        <v/>
      </c>
      <c r="F210" s="66">
        <f>IF($A$210="",NA(),IFERROR(SUMIFS(Data!$AN$2:$AN$1105,Data!$AK$2:$AK$1105,1,Data!$BB$2:$BB$1105,$A$210),NA()))</f>
        <v/>
      </c>
      <c r="G210" s="62">
        <f>IF($A$210="",NA(),IF(COUNTIFS(Data!$AK$2:$AK$1105,1,Data!$BB$2:$BB$1105,$A$210)&lt;Controls!$B$19,NA(),IFERROR(SUMIFS(Data!$AN$2:$AN$1105,Data!$AK$2:$AK$1105,1,Data!$BB$2:$BB$1105,$A$210)/$B$210,NA())))</f>
        <v/>
      </c>
      <c r="H210" s="62">
        <f>IF($A$210="",NA(),IF(COUNTIFS(Data!$AK$2:$AK$1105,1,Data!$BB$2:$BB$1105,$A$210)&lt;Controls!$B$19,NA(),IFERROR(SUMIFS(Data!$S$2:$S$1105,Data!$AK$2:$AK$1105,1,Data!$BB$2:$BB$1105,$A$210,Data!$AH$2:$AH$1105,1)/SUMIFS(Data!$P$2:$P$1105,Data!$AK$2:$AK$1105,1,Data!$BB$2:$BB$1105,$A$210,Data!$AH$2:$AH$1105,1),NA())))</f>
        <v/>
      </c>
      <c r="I210" s="62">
        <f>IF(ISNA($J$210),NA(),IF($J$210&lt;Controls!$B$19,NA(),IFERROR($D$210/$B$210,NA())))</f>
        <v/>
      </c>
      <c r="J210" s="67">
        <f>IF($A$210="",NA(),IFERROR(COUNTIFS(Data!$AK$2:$AK$1105,1,Data!$BB$2:$BB$1105,$A$210),NA()))</f>
        <v/>
      </c>
      <c r="K210" s="62">
        <f>IF(ISNA($B$210),NA(),IFERROR($B$210/Calc!$BT$6,NA()))</f>
        <v/>
      </c>
      <c r="L210" s="66">
        <f>IF(ISNA($J$210),NA(),IF($J$210&lt;Controls!$B$19,NA(),IFERROR($B$210/$J$210,NA())))</f>
        <v/>
      </c>
      <c r="M210" s="67">
        <f>IF($A$210="",NA(),IF(COUNTIFS(Data!$AK$2:$AK$1105,1,Data!$BB$2:$BB$1105,$A$210)&lt;Controls!$B$19,NA(),IFERROR(AVERAGEIFS(Data!$AE$2:$AE$1105,Data!$AK$2:$AK$1105,1,Data!$BB$2:$BB$1105,$A$210),NA())))</f>
        <v/>
      </c>
      <c r="N210" s="67">
        <f>IF($A$210="",NA(),IF(COUNTIFS(Data!$AK$2:$AK$1105,1,Data!$BB$2:$BB$1105,$A$210)&lt;Controls!$B$19,NA(),IFERROR(AVERAGEIFS(Data!$AD$2:$AD$1105,Data!$AK$2:$AK$1105,1,Data!$BB$2:$BB$1105,$A$210),NA())))</f>
        <v/>
      </c>
      <c r="O210" s="67">
        <f>IF($A$210="",NA(),IF(COUNTIFS(Data!$AK$2:$AK$1105,1,Data!$BB$2:$BB$1105,$A$210)&lt;Controls!$B$19,NA(),IFERROR(AVERAGEIFS(Data!$AS$2:$AS$1105,Data!$AK$2:$AK$1105,1,Data!$BB$2:$BB$1105,$A$210),NA())))</f>
        <v/>
      </c>
      <c r="P210" s="67">
        <f>IF($A$210="",NA(),IF(COUNTIFS(Data!$AK$2:$AK$1105,1,Data!$BB$2:$BB$1105,$A$210)&lt;Controls!$B$19,NA(),IFERROR(AVERAGEIFS(Data!$AT$2:$AT$1105,Data!$AK$2:$AK$1105,1,Data!$BB$2:$BB$1105,$A$210),NA())))</f>
        <v/>
      </c>
      <c r="Q210" s="62">
        <f>IF($A$210="",NA(),IF(COUNTIFS(Data!$AK$2:$AK$1105,1,Data!$BB$2:$BB$1105,$A$210)&lt;Controls!$B$19,NA(),IFERROR(COUNTIFS(Data!$AK$2:$AK$1105,1,Data!$BB$2:$BB$1105,$A$210,Data!$N$2:$N$1105,"Renewal")/COUNTIFS(Data!$AK$2:$AK$1105,1,Data!$BB$2:$BB$1105,$A$210),NA())))</f>
        <v/>
      </c>
      <c r="R210" s="62">
        <f>IF($A$210="",NA(),IF(COUNTIFS(Data!$AK$2:$AK$1105,1,Data!$BB$2:$BB$1105,$A$210)&lt;Controls!$B$19,NA(),IFERROR(SUMIFS(Data!$P$2:$P$1105,Data!$AK$2:$AK$1105,1,Data!$BB$2:$BB$1105,$A$210,Data!$N$2:$N$1105,"Renewal")/SUMIFS(Data!$P$2:$P$1105,Data!$AK$2:$AK$1105,1,Data!$BB$2:$BB$1105,$A$210),NA())))</f>
        <v/>
      </c>
      <c r="S210" s="62">
        <f>IF($A$210="",NA(),Calc!$BT$2)</f>
        <v/>
      </c>
      <c r="T210" s="62">
        <f>IF($A$210="",NA(),Calc!$BT$3)</f>
        <v/>
      </c>
      <c r="U210" s="62">
        <f>IF($A$210="",NA(),Calc!$BT$4)</f>
        <v/>
      </c>
      <c r="V210" s="62">
        <f>IF($A$210="",NA(),IF(COUNTIFS(Data!$AK$2:$AK$1105,1,Data!$BB$2:$BB$1105,$A$210)&lt;Controls!$B$19,NA(),IFERROR(COUNTIFS(Data!$AK$2:$AK$1105,1,Data!$BB$2:$BB$1105,$A$210,Data!$AH$2:$AH$1105,1)/COUNTIFS(Data!$AK$2:$AK$1105,1,Data!$BB$2:$BB$1105,$A$210),NA())))</f>
        <v/>
      </c>
      <c r="W210" s="61">
        <f>IF($A$210="","",$A$210&amp;" ("&amp;$J$210&amp;")")</f>
        <v/>
      </c>
      <c r="X210" s="61" t="n"/>
      <c r="Y210" s="61" t="n"/>
      <c r="Z210" s="61" t="n"/>
      <c r="AA210" s="61" t="n"/>
      <c r="AB210" s="61" t="n"/>
      <c r="AC210" s="61" t="n"/>
      <c r="AD210" s="61" t="n"/>
      <c r="AE210" s="61" t="n"/>
      <c r="AF210" s="61" t="n"/>
      <c r="AG210" s="61" t="n"/>
      <c r="AH210" s="61" t="n"/>
      <c r="AI210" s="61" t="n"/>
      <c r="AJ210" s="61" t="n"/>
      <c r="AK210" s="61" t="n"/>
      <c r="AL210" s="61" t="n"/>
      <c r="AM210" s="61" t="n"/>
      <c r="AN210" s="61">
        <f>Controls!$G$107</f>
        <v/>
      </c>
      <c r="AO210" s="61">
        <f>COUNTIFS(Data!$AK$2:$AK$1105,1,Data!$M$2:$M$1105,$AN$210)</f>
        <v/>
      </c>
      <c r="AP210" s="57">
        <f>SUMIFS(Data!$P$2:$P$1105,Data!$AK$2:$AK$1105,1,Data!$M$2:$M$1105,$AN$210)</f>
        <v/>
      </c>
      <c r="AQ210" s="56">
        <f>IFERROR(SUMIFS(Data!$AN$2:$AN$1105,Data!$AK$2:$AK$1105,1,Data!$M$2:$M$1105,$AN$210)/$AP$210,0)</f>
        <v/>
      </c>
      <c r="AR210" s="57">
        <f>SUMIFS(Data!$AN$2:$AN$1105,Data!$AK$2:$AK$1105,1,Data!$M$2:$M$1105,$AN$210)</f>
        <v/>
      </c>
      <c r="AS210" s="61">
        <f>Controls!$H$107</f>
        <v/>
      </c>
      <c r="AT210" s="61">
        <f>IF(OR(AO210=0,AO210&lt;Controls!$B$20),-1000000000000000,IF(AND(Controls!$B$21="Y",$AN$210="No ISO"),-1000000000000000,IF(Controls!$B$17="Selected only",IF(AS210="Y",AP210,-1000000000000000),IF(Controls!$B$17="Top by funded $",AP210,IF(Controls!$B$17="Top by funded units",AO210,IF(Controls!$B$17="Largest principal lost $",AR210,IF(Controls!$B$17="Highest net profit $",AU210,IF(AO210&lt;Controls!$B$19,-1000000000000000,IF(Controls!$B$17="Highest principal lost rate %",AQ210,IF(Controls!$B$17="Lowest principal lost rate %",1-AQ210,AP210))))))))) +68/1000000)</f>
        <v/>
      </c>
      <c r="AU210" s="57">
        <f>SUMIFS(Data!$AM$2:$AM$1105,Data!$AK$2:$AK$1105,1,Data!$M$2:$M$1105,$AN$210)</f>
        <v/>
      </c>
      <c r="AV210" s="61" t="n"/>
      <c r="AW210" s="61" t="n"/>
      <c r="AX210" s="61" t="n"/>
      <c r="AY210" s="61" t="n"/>
      <c r="AZ210" s="61" t="n"/>
      <c r="BA210" s="61" t="n"/>
      <c r="BB210" s="61">
        <f>Controls!$G$175</f>
        <v/>
      </c>
      <c r="BC210" s="61">
        <f>COUNTIFS(Data!$AK$2:$AK$1105,1,Data!$M$2:$M$1105,$BB$210)</f>
        <v/>
      </c>
      <c r="BD210" s="57">
        <f>SUMIFS(Data!$P$2:$P$1105,Data!$AK$2:$AK$1105,1,Data!$M$2:$M$1105,$BB$210)</f>
        <v/>
      </c>
      <c r="BE210" s="56">
        <f>IF(COUNTIFS(Data!$AK$2:$AK$1105,1,Data!$M$2:$M$1105,$BB$210)&lt;Controls!$B$19,"",IFERROR(SUMIFS(Data!$AN$2:$AN$1105,Data!$AK$2:$AK$1105,1,Data!$M$2:$M$1105,$BB$210)/$BD$210,""))</f>
        <v/>
      </c>
      <c r="BF210" s="56">
        <f>IF(COUNTIFS(Data!$AK$2:$AK$1105,1,Data!$M$2:$M$1105,$BB$210)&lt;Controls!$B$19,"",IFERROR(SUMIFS(Data!$AM$2:$AM$1105,Data!$AK$2:$AK$1105,1,Data!$M$2:$M$1105,$BB$210)/SUMIFS(Data!$P$2:$P$1105,Data!$AK$2:$AK$1105,1,Data!$M$2:$M$1105,$BB$210),""))</f>
        <v/>
      </c>
      <c r="BG210" s="57">
        <f>SUMIFS(Data!$AN$2:$AN$1105,Data!$AK$2:$AK$1105,1,Data!$M$2:$M$1105,$BB$210)</f>
        <v/>
      </c>
      <c r="BH210" s="61" t="n"/>
      <c r="BI210" s="61">
        <f>IF(AND($BC$210&gt;=Controls!$B$22,$BD$210&gt;=LARGE($BD$75:$BD$230,MIN(Controls!$B$18,COUNT($BD$75:$BD$230)))),$BE$210,"")</f>
        <v/>
      </c>
      <c r="BJ210" s="61" t="n"/>
      <c r="BK210" s="61">
        <f>IF($BC$210&lt;Controls!$B$22,"",$BE$210)</f>
        <v/>
      </c>
      <c r="BL210" s="61">
        <f>IF($BC$210&lt;Controls!$B$22,"",$BF$210)</f>
        <v/>
      </c>
      <c r="BM210" s="61">
        <f>IF($BC$210&lt;Controls!$B$22,"",$BG$210)</f>
        <v/>
      </c>
      <c r="BN210" s="61" t="n"/>
      <c r="BO210" s="61" t="n"/>
      <c r="BP210" s="61" t="n"/>
      <c r="BQ210" s="61" t="n"/>
      <c r="BR210" s="61" t="n"/>
      <c r="BS210" s="61" t="n"/>
      <c r="BT210" s="61" t="n"/>
    </row>
    <row r="211" ht="15.75" customHeight="1" s="79">
      <c r="A211" s="61">
        <f>IF(YEAR(Controls!$B$5)+3&gt;YEAR(Controls!$B$6),"",TEXT(YEAR(Controls!$B$5)+3,"0"))</f>
        <v/>
      </c>
      <c r="B211" s="66">
        <f>IF($A$211="",NA(),IFERROR(SUMIFS(Data!$P$2:$P$1105,Data!$AK$2:$AK$1105,1,Data!$BB$2:$BB$1105,$A$211),NA()))</f>
        <v/>
      </c>
      <c r="C211" s="66">
        <f>IF($A$211="",NA(),IFERROR(SUMIFS(Data!$S$2:$S$1105,Data!$AK$2:$AK$1105,1,Data!$BB$2:$BB$1105,$A$211),NA()))</f>
        <v/>
      </c>
      <c r="D211" s="66">
        <f>IF(ISNA($B$211),NA(),$C$211-$B$211)</f>
        <v/>
      </c>
      <c r="E211" s="66">
        <f>IF($A$211="",NA(),IFERROR(SUMIFS(Data!$Q$2:$Q$1105,Data!$AK$2:$AK$1105,1,Data!$BB$2:$BB$1105,$A$211),NA()))</f>
        <v/>
      </c>
      <c r="F211" s="66">
        <f>IF($A$211="",NA(),IFERROR(SUMIFS(Data!$AN$2:$AN$1105,Data!$AK$2:$AK$1105,1,Data!$BB$2:$BB$1105,$A$211),NA()))</f>
        <v/>
      </c>
      <c r="G211" s="62">
        <f>IF($A$211="",NA(),IF(COUNTIFS(Data!$AK$2:$AK$1105,1,Data!$BB$2:$BB$1105,$A$211)&lt;Controls!$B$19,NA(),IFERROR(SUMIFS(Data!$AN$2:$AN$1105,Data!$AK$2:$AK$1105,1,Data!$BB$2:$BB$1105,$A$211)/$B$211,NA())))</f>
        <v/>
      </c>
      <c r="H211" s="62">
        <f>IF($A$211="",NA(),IF(COUNTIFS(Data!$AK$2:$AK$1105,1,Data!$BB$2:$BB$1105,$A$211)&lt;Controls!$B$19,NA(),IFERROR(SUMIFS(Data!$S$2:$S$1105,Data!$AK$2:$AK$1105,1,Data!$BB$2:$BB$1105,$A$211,Data!$AH$2:$AH$1105,1)/SUMIFS(Data!$P$2:$P$1105,Data!$AK$2:$AK$1105,1,Data!$BB$2:$BB$1105,$A$211,Data!$AH$2:$AH$1105,1),NA())))</f>
        <v/>
      </c>
      <c r="I211" s="62">
        <f>IF(ISNA($J$211),NA(),IF($J$211&lt;Controls!$B$19,NA(),IFERROR($D$211/$B$211,NA())))</f>
        <v/>
      </c>
      <c r="J211" s="67">
        <f>IF($A$211="",NA(),IFERROR(COUNTIFS(Data!$AK$2:$AK$1105,1,Data!$BB$2:$BB$1105,$A$211),NA()))</f>
        <v/>
      </c>
      <c r="K211" s="62">
        <f>IF(ISNA($B$211),NA(),IFERROR($B$211/Calc!$BT$6,NA()))</f>
        <v/>
      </c>
      <c r="L211" s="66">
        <f>IF(ISNA($J$211),NA(),IF($J$211&lt;Controls!$B$19,NA(),IFERROR($B$211/$J$211,NA())))</f>
        <v/>
      </c>
      <c r="M211" s="67">
        <f>IF($A$211="",NA(),IF(COUNTIFS(Data!$AK$2:$AK$1105,1,Data!$BB$2:$BB$1105,$A$211)&lt;Controls!$B$19,NA(),IFERROR(AVERAGEIFS(Data!$AE$2:$AE$1105,Data!$AK$2:$AK$1105,1,Data!$BB$2:$BB$1105,$A$211),NA())))</f>
        <v/>
      </c>
      <c r="N211" s="67">
        <f>IF($A$211="",NA(),IF(COUNTIFS(Data!$AK$2:$AK$1105,1,Data!$BB$2:$BB$1105,$A$211)&lt;Controls!$B$19,NA(),IFERROR(AVERAGEIFS(Data!$AD$2:$AD$1105,Data!$AK$2:$AK$1105,1,Data!$BB$2:$BB$1105,$A$211),NA())))</f>
        <v/>
      </c>
      <c r="O211" s="67">
        <f>IF($A$211="",NA(),IF(COUNTIFS(Data!$AK$2:$AK$1105,1,Data!$BB$2:$BB$1105,$A$211)&lt;Controls!$B$19,NA(),IFERROR(AVERAGEIFS(Data!$AS$2:$AS$1105,Data!$AK$2:$AK$1105,1,Data!$BB$2:$BB$1105,$A$211),NA())))</f>
        <v/>
      </c>
      <c r="P211" s="67">
        <f>IF($A$211="",NA(),IF(COUNTIFS(Data!$AK$2:$AK$1105,1,Data!$BB$2:$BB$1105,$A$211)&lt;Controls!$B$19,NA(),IFERROR(AVERAGEIFS(Data!$AT$2:$AT$1105,Data!$AK$2:$AK$1105,1,Data!$BB$2:$BB$1105,$A$211),NA())))</f>
        <v/>
      </c>
      <c r="Q211" s="62">
        <f>IF($A$211="",NA(),IF(COUNTIFS(Data!$AK$2:$AK$1105,1,Data!$BB$2:$BB$1105,$A$211)&lt;Controls!$B$19,NA(),IFERROR(COUNTIFS(Data!$AK$2:$AK$1105,1,Data!$BB$2:$BB$1105,$A$211,Data!$N$2:$N$1105,"Renewal")/COUNTIFS(Data!$AK$2:$AK$1105,1,Data!$BB$2:$BB$1105,$A$211),NA())))</f>
        <v/>
      </c>
      <c r="R211" s="62">
        <f>IF($A$211="",NA(),IF(COUNTIFS(Data!$AK$2:$AK$1105,1,Data!$BB$2:$BB$1105,$A$211)&lt;Controls!$B$19,NA(),IFERROR(SUMIFS(Data!$P$2:$P$1105,Data!$AK$2:$AK$1105,1,Data!$BB$2:$BB$1105,$A$211,Data!$N$2:$N$1105,"Renewal")/SUMIFS(Data!$P$2:$P$1105,Data!$AK$2:$AK$1105,1,Data!$BB$2:$BB$1105,$A$211),NA())))</f>
        <v/>
      </c>
      <c r="S211" s="62">
        <f>IF($A$211="",NA(),Calc!$BT$2)</f>
        <v/>
      </c>
      <c r="T211" s="62">
        <f>IF($A$211="",NA(),Calc!$BT$3)</f>
        <v/>
      </c>
      <c r="U211" s="62">
        <f>IF($A$211="",NA(),Calc!$BT$4)</f>
        <v/>
      </c>
      <c r="V211" s="62">
        <f>IF($A$211="",NA(),IF(COUNTIFS(Data!$AK$2:$AK$1105,1,Data!$BB$2:$BB$1105,$A$211)&lt;Controls!$B$19,NA(),IFERROR(COUNTIFS(Data!$AK$2:$AK$1105,1,Data!$BB$2:$BB$1105,$A$211,Data!$AH$2:$AH$1105,1)/COUNTIFS(Data!$AK$2:$AK$1105,1,Data!$BB$2:$BB$1105,$A$211),NA())))</f>
        <v/>
      </c>
      <c r="W211" s="61">
        <f>IF($A$211="","",$A$211&amp;" ("&amp;$J$211&amp;")")</f>
        <v/>
      </c>
      <c r="X211" s="61" t="n"/>
      <c r="Y211" s="61" t="n"/>
      <c r="Z211" s="61" t="n"/>
      <c r="AA211" s="61" t="n"/>
      <c r="AB211" s="61" t="n"/>
      <c r="AC211" s="61" t="n"/>
      <c r="AD211" s="61" t="n"/>
      <c r="AE211" s="61" t="n"/>
      <c r="AF211" s="61" t="n"/>
      <c r="AG211" s="61" t="n"/>
      <c r="AH211" s="61" t="n"/>
      <c r="AI211" s="61" t="n"/>
      <c r="AJ211" s="61" t="n"/>
      <c r="AK211" s="61" t="n"/>
      <c r="AL211" s="61" t="n"/>
      <c r="AM211" s="61" t="n"/>
      <c r="AN211" s="61">
        <f>Controls!$G$108</f>
        <v/>
      </c>
      <c r="AO211" s="61">
        <f>COUNTIFS(Data!$AK$2:$AK$1105,1,Data!$M$2:$M$1105,$AN$211)</f>
        <v/>
      </c>
      <c r="AP211" s="57">
        <f>SUMIFS(Data!$P$2:$P$1105,Data!$AK$2:$AK$1105,1,Data!$M$2:$M$1105,$AN$211)</f>
        <v/>
      </c>
      <c r="AQ211" s="56">
        <f>IFERROR(SUMIFS(Data!$AN$2:$AN$1105,Data!$AK$2:$AK$1105,1,Data!$M$2:$M$1105,$AN$211)/$AP$211,0)</f>
        <v/>
      </c>
      <c r="AR211" s="57">
        <f>SUMIFS(Data!$AN$2:$AN$1105,Data!$AK$2:$AK$1105,1,Data!$M$2:$M$1105,$AN$211)</f>
        <v/>
      </c>
      <c r="AS211" s="61">
        <f>Controls!$H$108</f>
        <v/>
      </c>
      <c r="AT211" s="61">
        <f>IF(OR(AO211=0,AO211&lt;Controls!$B$20),-1000000000000000,IF(AND(Controls!$B$21="Y",$AN$211="No ISO"),-1000000000000000,IF(Controls!$B$17="Selected only",IF(AS211="Y",AP211,-1000000000000000),IF(Controls!$B$17="Top by funded $",AP211,IF(Controls!$B$17="Top by funded units",AO211,IF(Controls!$B$17="Largest principal lost $",AR211,IF(Controls!$B$17="Highest net profit $",AU211,IF(AO211&lt;Controls!$B$19,-1000000000000000,IF(Controls!$B$17="Highest principal lost rate %",AQ211,IF(Controls!$B$17="Lowest principal lost rate %",1-AQ211,AP211))))))))) +69/1000000)</f>
        <v/>
      </c>
      <c r="AU211" s="57">
        <f>SUMIFS(Data!$AM$2:$AM$1105,Data!$AK$2:$AK$1105,1,Data!$M$2:$M$1105,$AN$211)</f>
        <v/>
      </c>
      <c r="AV211" s="61" t="n"/>
      <c r="AW211" s="61" t="n"/>
      <c r="AX211" s="61" t="n"/>
      <c r="AY211" s="61" t="n"/>
      <c r="AZ211" s="61" t="n"/>
      <c r="BA211" s="61" t="n"/>
      <c r="BB211" s="61">
        <f>Controls!$G$176</f>
        <v/>
      </c>
      <c r="BC211" s="61">
        <f>COUNTIFS(Data!$AK$2:$AK$1105,1,Data!$M$2:$M$1105,$BB$211)</f>
        <v/>
      </c>
      <c r="BD211" s="57">
        <f>SUMIFS(Data!$P$2:$P$1105,Data!$AK$2:$AK$1105,1,Data!$M$2:$M$1105,$BB$211)</f>
        <v/>
      </c>
      <c r="BE211" s="56">
        <f>IF(COUNTIFS(Data!$AK$2:$AK$1105,1,Data!$M$2:$M$1105,$BB$211)&lt;Controls!$B$19,"",IFERROR(SUMIFS(Data!$AN$2:$AN$1105,Data!$AK$2:$AK$1105,1,Data!$M$2:$M$1105,$BB$211)/$BD$211,""))</f>
        <v/>
      </c>
      <c r="BF211" s="56">
        <f>IF(COUNTIFS(Data!$AK$2:$AK$1105,1,Data!$M$2:$M$1105,$BB$211)&lt;Controls!$B$19,"",IFERROR(SUMIFS(Data!$AM$2:$AM$1105,Data!$AK$2:$AK$1105,1,Data!$M$2:$M$1105,$BB$211)/SUMIFS(Data!$P$2:$P$1105,Data!$AK$2:$AK$1105,1,Data!$M$2:$M$1105,$BB$211),""))</f>
        <v/>
      </c>
      <c r="BG211" s="57">
        <f>SUMIFS(Data!$AN$2:$AN$1105,Data!$AK$2:$AK$1105,1,Data!$M$2:$M$1105,$BB$211)</f>
        <v/>
      </c>
      <c r="BH211" s="61" t="n"/>
      <c r="BI211" s="61">
        <f>IF(AND($BC$211&gt;=Controls!$B$22,$BD$211&gt;=LARGE($BD$75:$BD$230,MIN(Controls!$B$18,COUNT($BD$75:$BD$230)))),$BE$211,"")</f>
        <v/>
      </c>
      <c r="BJ211" s="61" t="n"/>
      <c r="BK211" s="61">
        <f>IF($BC$211&lt;Controls!$B$22,"",$BE$211)</f>
        <v/>
      </c>
      <c r="BL211" s="61">
        <f>IF($BC$211&lt;Controls!$B$22,"",$BF$211)</f>
        <v/>
      </c>
      <c r="BM211" s="61">
        <f>IF($BC$211&lt;Controls!$B$22,"",$BG$211)</f>
        <v/>
      </c>
      <c r="BN211" s="61" t="n"/>
      <c r="BO211" s="61" t="n"/>
      <c r="BP211" s="61" t="n"/>
      <c r="BQ211" s="61" t="n"/>
      <c r="BR211" s="61" t="n"/>
      <c r="BS211" s="61" t="n"/>
      <c r="BT211" s="61" t="n"/>
    </row>
    <row r="212" ht="15.75" customHeight="1" s="79">
      <c r="A212" s="61">
        <f>IF(YEAR(Controls!$B$5)+4&gt;YEAR(Controls!$B$6),"",TEXT(YEAR(Controls!$B$5)+4,"0"))</f>
        <v/>
      </c>
      <c r="B212" s="66">
        <f>IF($A$212="",NA(),IFERROR(SUMIFS(Data!$P$2:$P$1105,Data!$AK$2:$AK$1105,1,Data!$BB$2:$BB$1105,$A$212),NA()))</f>
        <v/>
      </c>
      <c r="C212" s="66">
        <f>IF($A$212="",NA(),IFERROR(SUMIFS(Data!$S$2:$S$1105,Data!$AK$2:$AK$1105,1,Data!$BB$2:$BB$1105,$A$212),NA()))</f>
        <v/>
      </c>
      <c r="D212" s="66">
        <f>IF(ISNA($B$212),NA(),$C$212-$B$212)</f>
        <v/>
      </c>
      <c r="E212" s="66">
        <f>IF($A$212="",NA(),IFERROR(SUMIFS(Data!$Q$2:$Q$1105,Data!$AK$2:$AK$1105,1,Data!$BB$2:$BB$1105,$A$212),NA()))</f>
        <v/>
      </c>
      <c r="F212" s="66">
        <f>IF($A$212="",NA(),IFERROR(SUMIFS(Data!$AN$2:$AN$1105,Data!$AK$2:$AK$1105,1,Data!$BB$2:$BB$1105,$A$212),NA()))</f>
        <v/>
      </c>
      <c r="G212" s="62">
        <f>IF($A$212="",NA(),IF(COUNTIFS(Data!$AK$2:$AK$1105,1,Data!$BB$2:$BB$1105,$A$212)&lt;Controls!$B$19,NA(),IFERROR(SUMIFS(Data!$AN$2:$AN$1105,Data!$AK$2:$AK$1105,1,Data!$BB$2:$BB$1105,$A$212)/$B$212,NA())))</f>
        <v/>
      </c>
      <c r="H212" s="62">
        <f>IF($A$212="",NA(),IF(COUNTIFS(Data!$AK$2:$AK$1105,1,Data!$BB$2:$BB$1105,$A$212)&lt;Controls!$B$19,NA(),IFERROR(SUMIFS(Data!$S$2:$S$1105,Data!$AK$2:$AK$1105,1,Data!$BB$2:$BB$1105,$A$212,Data!$AH$2:$AH$1105,1)/SUMIFS(Data!$P$2:$P$1105,Data!$AK$2:$AK$1105,1,Data!$BB$2:$BB$1105,$A$212,Data!$AH$2:$AH$1105,1),NA())))</f>
        <v/>
      </c>
      <c r="I212" s="62">
        <f>IF(ISNA($J$212),NA(),IF($J$212&lt;Controls!$B$19,NA(),IFERROR($D$212/$B$212,NA())))</f>
        <v/>
      </c>
      <c r="J212" s="67">
        <f>IF($A$212="",NA(),IFERROR(COUNTIFS(Data!$AK$2:$AK$1105,1,Data!$BB$2:$BB$1105,$A$212),NA()))</f>
        <v/>
      </c>
      <c r="K212" s="62">
        <f>IF(ISNA($B$212),NA(),IFERROR($B$212/Calc!$BT$6,NA()))</f>
        <v/>
      </c>
      <c r="L212" s="66">
        <f>IF(ISNA($J$212),NA(),IF($J$212&lt;Controls!$B$19,NA(),IFERROR($B$212/$J$212,NA())))</f>
        <v/>
      </c>
      <c r="M212" s="67">
        <f>IF($A$212="",NA(),IF(COUNTIFS(Data!$AK$2:$AK$1105,1,Data!$BB$2:$BB$1105,$A$212)&lt;Controls!$B$19,NA(),IFERROR(AVERAGEIFS(Data!$AE$2:$AE$1105,Data!$AK$2:$AK$1105,1,Data!$BB$2:$BB$1105,$A$212),NA())))</f>
        <v/>
      </c>
      <c r="N212" s="67">
        <f>IF($A$212="",NA(),IF(COUNTIFS(Data!$AK$2:$AK$1105,1,Data!$BB$2:$BB$1105,$A$212)&lt;Controls!$B$19,NA(),IFERROR(AVERAGEIFS(Data!$AD$2:$AD$1105,Data!$AK$2:$AK$1105,1,Data!$BB$2:$BB$1105,$A$212),NA())))</f>
        <v/>
      </c>
      <c r="O212" s="67">
        <f>IF($A$212="",NA(),IF(COUNTIFS(Data!$AK$2:$AK$1105,1,Data!$BB$2:$BB$1105,$A$212)&lt;Controls!$B$19,NA(),IFERROR(AVERAGEIFS(Data!$AS$2:$AS$1105,Data!$AK$2:$AK$1105,1,Data!$BB$2:$BB$1105,$A$212),NA())))</f>
        <v/>
      </c>
      <c r="P212" s="67">
        <f>IF($A$212="",NA(),IF(COUNTIFS(Data!$AK$2:$AK$1105,1,Data!$BB$2:$BB$1105,$A$212)&lt;Controls!$B$19,NA(),IFERROR(AVERAGEIFS(Data!$AT$2:$AT$1105,Data!$AK$2:$AK$1105,1,Data!$BB$2:$BB$1105,$A$212),NA())))</f>
        <v/>
      </c>
      <c r="Q212" s="62">
        <f>IF($A$212="",NA(),IF(COUNTIFS(Data!$AK$2:$AK$1105,1,Data!$BB$2:$BB$1105,$A$212)&lt;Controls!$B$19,NA(),IFERROR(COUNTIFS(Data!$AK$2:$AK$1105,1,Data!$BB$2:$BB$1105,$A$212,Data!$N$2:$N$1105,"Renewal")/COUNTIFS(Data!$AK$2:$AK$1105,1,Data!$BB$2:$BB$1105,$A$212),NA())))</f>
        <v/>
      </c>
      <c r="R212" s="62">
        <f>IF($A$212="",NA(),IF(COUNTIFS(Data!$AK$2:$AK$1105,1,Data!$BB$2:$BB$1105,$A$212)&lt;Controls!$B$19,NA(),IFERROR(SUMIFS(Data!$P$2:$P$1105,Data!$AK$2:$AK$1105,1,Data!$BB$2:$BB$1105,$A$212,Data!$N$2:$N$1105,"Renewal")/SUMIFS(Data!$P$2:$P$1105,Data!$AK$2:$AK$1105,1,Data!$BB$2:$BB$1105,$A$212),NA())))</f>
        <v/>
      </c>
      <c r="S212" s="62">
        <f>IF($A$212="",NA(),Calc!$BT$2)</f>
        <v/>
      </c>
      <c r="T212" s="62">
        <f>IF($A$212="",NA(),Calc!$BT$3)</f>
        <v/>
      </c>
      <c r="U212" s="62">
        <f>IF($A$212="",NA(),Calc!$BT$4)</f>
        <v/>
      </c>
      <c r="V212" s="62">
        <f>IF($A$212="",NA(),IF(COUNTIFS(Data!$AK$2:$AK$1105,1,Data!$BB$2:$BB$1105,$A$212)&lt;Controls!$B$19,NA(),IFERROR(COUNTIFS(Data!$AK$2:$AK$1105,1,Data!$BB$2:$BB$1105,$A$212,Data!$AH$2:$AH$1105,1)/COUNTIFS(Data!$AK$2:$AK$1105,1,Data!$BB$2:$BB$1105,$A$212),NA())))</f>
        <v/>
      </c>
      <c r="W212" s="61">
        <f>IF($A$212="","",$A$212&amp;" ("&amp;$J$212&amp;")")</f>
        <v/>
      </c>
      <c r="X212" s="61" t="n"/>
      <c r="Y212" s="61" t="n"/>
      <c r="Z212" s="61" t="n"/>
      <c r="AA212" s="61" t="n"/>
      <c r="AB212" s="61" t="n"/>
      <c r="AC212" s="61" t="n"/>
      <c r="AD212" s="61" t="n"/>
      <c r="AE212" s="61" t="n"/>
      <c r="AF212" s="61" t="n"/>
      <c r="AG212" s="61" t="n"/>
      <c r="AH212" s="61" t="n"/>
      <c r="AI212" s="61" t="n"/>
      <c r="AJ212" s="61" t="n"/>
      <c r="AK212" s="61" t="n"/>
      <c r="AL212" s="61" t="n"/>
      <c r="AM212" s="61" t="n"/>
      <c r="AN212" s="61">
        <f>Controls!$G$109</f>
        <v/>
      </c>
      <c r="AO212" s="61">
        <f>COUNTIFS(Data!$AK$2:$AK$1105,1,Data!$M$2:$M$1105,$AN$212)</f>
        <v/>
      </c>
      <c r="AP212" s="57">
        <f>SUMIFS(Data!$P$2:$P$1105,Data!$AK$2:$AK$1105,1,Data!$M$2:$M$1105,$AN$212)</f>
        <v/>
      </c>
      <c r="AQ212" s="56">
        <f>IFERROR(SUMIFS(Data!$AN$2:$AN$1105,Data!$AK$2:$AK$1105,1,Data!$M$2:$M$1105,$AN$212)/$AP$212,0)</f>
        <v/>
      </c>
      <c r="AR212" s="57">
        <f>SUMIFS(Data!$AN$2:$AN$1105,Data!$AK$2:$AK$1105,1,Data!$M$2:$M$1105,$AN$212)</f>
        <v/>
      </c>
      <c r="AS212" s="61">
        <f>Controls!$H$109</f>
        <v/>
      </c>
      <c r="AT212" s="61">
        <f>IF(OR(AO212=0,AO212&lt;Controls!$B$20),-1000000000000000,IF(AND(Controls!$B$21="Y",$AN$212="No ISO"),-1000000000000000,IF(Controls!$B$17="Selected only",IF(AS212="Y",AP212,-1000000000000000),IF(Controls!$B$17="Top by funded $",AP212,IF(Controls!$B$17="Top by funded units",AO212,IF(Controls!$B$17="Largest principal lost $",AR212,IF(Controls!$B$17="Highest net profit $",AU212,IF(AO212&lt;Controls!$B$19,-1000000000000000,IF(Controls!$B$17="Highest principal lost rate %",AQ212,IF(Controls!$B$17="Lowest principal lost rate %",1-AQ212,AP212))))))))) +70/1000000)</f>
        <v/>
      </c>
      <c r="AU212" s="57">
        <f>SUMIFS(Data!$AM$2:$AM$1105,Data!$AK$2:$AK$1105,1,Data!$M$2:$M$1105,$AN$212)</f>
        <v/>
      </c>
      <c r="AV212" s="61" t="n"/>
      <c r="AW212" s="61" t="n"/>
      <c r="AX212" s="61" t="n"/>
      <c r="AY212" s="61" t="n"/>
      <c r="AZ212" s="61" t="n"/>
      <c r="BA212" s="61" t="n"/>
      <c r="BB212" s="61">
        <f>Controls!$G$177</f>
        <v/>
      </c>
      <c r="BC212" s="61">
        <f>COUNTIFS(Data!$AK$2:$AK$1105,1,Data!$M$2:$M$1105,$BB$212)</f>
        <v/>
      </c>
      <c r="BD212" s="57">
        <f>SUMIFS(Data!$P$2:$P$1105,Data!$AK$2:$AK$1105,1,Data!$M$2:$M$1105,$BB$212)</f>
        <v/>
      </c>
      <c r="BE212" s="56">
        <f>IF(COUNTIFS(Data!$AK$2:$AK$1105,1,Data!$M$2:$M$1105,$BB$212)&lt;Controls!$B$19,"",IFERROR(SUMIFS(Data!$AN$2:$AN$1105,Data!$AK$2:$AK$1105,1,Data!$M$2:$M$1105,$BB$212)/$BD$212,""))</f>
        <v/>
      </c>
      <c r="BF212" s="56">
        <f>IF(COUNTIFS(Data!$AK$2:$AK$1105,1,Data!$M$2:$M$1105,$BB$212)&lt;Controls!$B$19,"",IFERROR(SUMIFS(Data!$AM$2:$AM$1105,Data!$AK$2:$AK$1105,1,Data!$M$2:$M$1105,$BB$212)/SUMIFS(Data!$P$2:$P$1105,Data!$AK$2:$AK$1105,1,Data!$M$2:$M$1105,$BB$212),""))</f>
        <v/>
      </c>
      <c r="BG212" s="57">
        <f>SUMIFS(Data!$AN$2:$AN$1105,Data!$AK$2:$AK$1105,1,Data!$M$2:$M$1105,$BB$212)</f>
        <v/>
      </c>
      <c r="BH212" s="61" t="n"/>
      <c r="BI212" s="61">
        <f>IF(AND($BC$212&gt;=Controls!$B$22,$BD$212&gt;=LARGE($BD$75:$BD$230,MIN(Controls!$B$18,COUNT($BD$75:$BD$230)))),$BE$212,"")</f>
        <v/>
      </c>
      <c r="BJ212" s="61" t="n"/>
      <c r="BK212" s="61">
        <f>IF($BC$212&lt;Controls!$B$22,"",$BE$212)</f>
        <v/>
      </c>
      <c r="BL212" s="61">
        <f>IF($BC$212&lt;Controls!$B$22,"",$BF$212)</f>
        <v/>
      </c>
      <c r="BM212" s="61">
        <f>IF($BC$212&lt;Controls!$B$22,"",$BG$212)</f>
        <v/>
      </c>
      <c r="BN212" s="61" t="n"/>
      <c r="BO212" s="61" t="n"/>
      <c r="BP212" s="61" t="n"/>
      <c r="BQ212" s="61" t="n"/>
      <c r="BR212" s="61" t="n"/>
      <c r="BS212" s="61" t="n"/>
      <c r="BT212" s="61" t="n"/>
    </row>
    <row r="213" ht="15.75" customHeight="1" s="79">
      <c r="A213" s="61">
        <f>IF(YEAR(Controls!$B$5)+5&gt;YEAR(Controls!$B$6),"",TEXT(YEAR(Controls!$B$5)+5,"0"))</f>
        <v/>
      </c>
      <c r="B213" s="66">
        <f>IF($A$213="",NA(),IFERROR(SUMIFS(Data!$P$2:$P$1105,Data!$AK$2:$AK$1105,1,Data!$BB$2:$BB$1105,$A$213),NA()))</f>
        <v/>
      </c>
      <c r="C213" s="66">
        <f>IF($A$213="",NA(),IFERROR(SUMIFS(Data!$S$2:$S$1105,Data!$AK$2:$AK$1105,1,Data!$BB$2:$BB$1105,$A$213),NA()))</f>
        <v/>
      </c>
      <c r="D213" s="66">
        <f>IF(ISNA($B$213),NA(),$C$213-$B$213)</f>
        <v/>
      </c>
      <c r="E213" s="66">
        <f>IF($A$213="",NA(),IFERROR(SUMIFS(Data!$Q$2:$Q$1105,Data!$AK$2:$AK$1105,1,Data!$BB$2:$BB$1105,$A$213),NA()))</f>
        <v/>
      </c>
      <c r="F213" s="66">
        <f>IF($A$213="",NA(),IFERROR(SUMIFS(Data!$AN$2:$AN$1105,Data!$AK$2:$AK$1105,1,Data!$BB$2:$BB$1105,$A$213),NA()))</f>
        <v/>
      </c>
      <c r="G213" s="62">
        <f>IF($A$213="",NA(),IF(COUNTIFS(Data!$AK$2:$AK$1105,1,Data!$BB$2:$BB$1105,$A$213)&lt;Controls!$B$19,NA(),IFERROR(SUMIFS(Data!$AN$2:$AN$1105,Data!$AK$2:$AK$1105,1,Data!$BB$2:$BB$1105,$A$213)/$B$213,NA())))</f>
        <v/>
      </c>
      <c r="H213" s="62">
        <f>IF($A$213="",NA(),IF(COUNTIFS(Data!$AK$2:$AK$1105,1,Data!$BB$2:$BB$1105,$A$213)&lt;Controls!$B$19,NA(),IFERROR(SUMIFS(Data!$S$2:$S$1105,Data!$AK$2:$AK$1105,1,Data!$BB$2:$BB$1105,$A$213,Data!$AH$2:$AH$1105,1)/SUMIFS(Data!$P$2:$P$1105,Data!$AK$2:$AK$1105,1,Data!$BB$2:$BB$1105,$A$213,Data!$AH$2:$AH$1105,1),NA())))</f>
        <v/>
      </c>
      <c r="I213" s="62">
        <f>IF(ISNA($J$213),NA(),IF($J$213&lt;Controls!$B$19,NA(),IFERROR($D$213/$B$213,NA())))</f>
        <v/>
      </c>
      <c r="J213" s="67">
        <f>IF($A$213="",NA(),IFERROR(COUNTIFS(Data!$AK$2:$AK$1105,1,Data!$BB$2:$BB$1105,$A$213),NA()))</f>
        <v/>
      </c>
      <c r="K213" s="62">
        <f>IF(ISNA($B$213),NA(),IFERROR($B$213/Calc!$BT$6,NA()))</f>
        <v/>
      </c>
      <c r="L213" s="66">
        <f>IF(ISNA($J$213),NA(),IF($J$213&lt;Controls!$B$19,NA(),IFERROR($B$213/$J$213,NA())))</f>
        <v/>
      </c>
      <c r="M213" s="67">
        <f>IF($A$213="",NA(),IF(COUNTIFS(Data!$AK$2:$AK$1105,1,Data!$BB$2:$BB$1105,$A$213)&lt;Controls!$B$19,NA(),IFERROR(AVERAGEIFS(Data!$AE$2:$AE$1105,Data!$AK$2:$AK$1105,1,Data!$BB$2:$BB$1105,$A$213),NA())))</f>
        <v/>
      </c>
      <c r="N213" s="67">
        <f>IF($A$213="",NA(),IF(COUNTIFS(Data!$AK$2:$AK$1105,1,Data!$BB$2:$BB$1105,$A$213)&lt;Controls!$B$19,NA(),IFERROR(AVERAGEIFS(Data!$AD$2:$AD$1105,Data!$AK$2:$AK$1105,1,Data!$BB$2:$BB$1105,$A$213),NA())))</f>
        <v/>
      </c>
      <c r="O213" s="67">
        <f>IF($A$213="",NA(),IF(COUNTIFS(Data!$AK$2:$AK$1105,1,Data!$BB$2:$BB$1105,$A$213)&lt;Controls!$B$19,NA(),IFERROR(AVERAGEIFS(Data!$AS$2:$AS$1105,Data!$AK$2:$AK$1105,1,Data!$BB$2:$BB$1105,$A$213),NA())))</f>
        <v/>
      </c>
      <c r="P213" s="67">
        <f>IF($A$213="",NA(),IF(COUNTIFS(Data!$AK$2:$AK$1105,1,Data!$BB$2:$BB$1105,$A$213)&lt;Controls!$B$19,NA(),IFERROR(AVERAGEIFS(Data!$AT$2:$AT$1105,Data!$AK$2:$AK$1105,1,Data!$BB$2:$BB$1105,$A$213),NA())))</f>
        <v/>
      </c>
      <c r="Q213" s="62">
        <f>IF($A$213="",NA(),IF(COUNTIFS(Data!$AK$2:$AK$1105,1,Data!$BB$2:$BB$1105,$A$213)&lt;Controls!$B$19,NA(),IFERROR(COUNTIFS(Data!$AK$2:$AK$1105,1,Data!$BB$2:$BB$1105,$A$213,Data!$N$2:$N$1105,"Renewal")/COUNTIFS(Data!$AK$2:$AK$1105,1,Data!$BB$2:$BB$1105,$A$213),NA())))</f>
        <v/>
      </c>
      <c r="R213" s="62">
        <f>IF($A$213="",NA(),IF(COUNTIFS(Data!$AK$2:$AK$1105,1,Data!$BB$2:$BB$1105,$A$213)&lt;Controls!$B$19,NA(),IFERROR(SUMIFS(Data!$P$2:$P$1105,Data!$AK$2:$AK$1105,1,Data!$BB$2:$BB$1105,$A$213,Data!$N$2:$N$1105,"Renewal")/SUMIFS(Data!$P$2:$P$1105,Data!$AK$2:$AK$1105,1,Data!$BB$2:$BB$1105,$A$213),NA())))</f>
        <v/>
      </c>
      <c r="S213" s="62">
        <f>IF($A$213="",NA(),Calc!$BT$2)</f>
        <v/>
      </c>
      <c r="T213" s="62">
        <f>IF($A$213="",NA(),Calc!$BT$3)</f>
        <v/>
      </c>
      <c r="U213" s="62">
        <f>IF($A$213="",NA(),Calc!$BT$4)</f>
        <v/>
      </c>
      <c r="V213" s="62">
        <f>IF($A$213="",NA(),IF(COUNTIFS(Data!$AK$2:$AK$1105,1,Data!$BB$2:$BB$1105,$A$213)&lt;Controls!$B$19,NA(),IFERROR(COUNTIFS(Data!$AK$2:$AK$1105,1,Data!$BB$2:$BB$1105,$A$213,Data!$AH$2:$AH$1105,1)/COUNTIFS(Data!$AK$2:$AK$1105,1,Data!$BB$2:$BB$1105,$A$213),NA())))</f>
        <v/>
      </c>
      <c r="W213" s="61">
        <f>IF($A$213="","",$A$213&amp;" ("&amp;$J$213&amp;")")</f>
        <v/>
      </c>
      <c r="X213" s="61" t="n"/>
      <c r="Y213" s="61" t="n"/>
      <c r="Z213" s="61" t="n"/>
      <c r="AA213" s="61" t="n"/>
      <c r="AB213" s="61" t="n"/>
      <c r="AC213" s="61" t="n"/>
      <c r="AD213" s="61" t="n"/>
      <c r="AE213" s="61" t="n"/>
      <c r="AF213" s="61" t="n"/>
      <c r="AG213" s="61" t="n"/>
      <c r="AH213" s="61" t="n"/>
      <c r="AI213" s="61" t="n"/>
      <c r="AJ213" s="61" t="n"/>
      <c r="AK213" s="61" t="n"/>
      <c r="AL213" s="61" t="n"/>
      <c r="AM213" s="61" t="n"/>
      <c r="AN213" s="61">
        <f>Controls!$G$110</f>
        <v/>
      </c>
      <c r="AO213" s="61">
        <f>COUNTIFS(Data!$AK$2:$AK$1105,1,Data!$M$2:$M$1105,$AN$213)</f>
        <v/>
      </c>
      <c r="AP213" s="57">
        <f>SUMIFS(Data!$P$2:$P$1105,Data!$AK$2:$AK$1105,1,Data!$M$2:$M$1105,$AN$213)</f>
        <v/>
      </c>
      <c r="AQ213" s="56">
        <f>IFERROR(SUMIFS(Data!$AN$2:$AN$1105,Data!$AK$2:$AK$1105,1,Data!$M$2:$M$1105,$AN$213)/$AP$213,0)</f>
        <v/>
      </c>
      <c r="AR213" s="57">
        <f>SUMIFS(Data!$AN$2:$AN$1105,Data!$AK$2:$AK$1105,1,Data!$M$2:$M$1105,$AN$213)</f>
        <v/>
      </c>
      <c r="AS213" s="61">
        <f>Controls!$H$110</f>
        <v/>
      </c>
      <c r="AT213" s="61">
        <f>IF(OR(AO213=0,AO213&lt;Controls!$B$20),-1000000000000000,IF(AND(Controls!$B$21="Y",$AN$213="No ISO"),-1000000000000000,IF(Controls!$B$17="Selected only",IF(AS213="Y",AP213,-1000000000000000),IF(Controls!$B$17="Top by funded $",AP213,IF(Controls!$B$17="Top by funded units",AO213,IF(Controls!$B$17="Largest principal lost $",AR213,IF(Controls!$B$17="Highest net profit $",AU213,IF(AO213&lt;Controls!$B$19,-1000000000000000,IF(Controls!$B$17="Highest principal lost rate %",AQ213,IF(Controls!$B$17="Lowest principal lost rate %",1-AQ213,AP213))))))))) +71/1000000)</f>
        <v/>
      </c>
      <c r="AU213" s="57">
        <f>SUMIFS(Data!$AM$2:$AM$1105,Data!$AK$2:$AK$1105,1,Data!$M$2:$M$1105,$AN$213)</f>
        <v/>
      </c>
      <c r="AV213" s="61" t="n"/>
      <c r="AW213" s="61" t="n"/>
      <c r="AX213" s="61" t="n"/>
      <c r="AY213" s="61" t="n"/>
      <c r="AZ213" s="61" t="n"/>
      <c r="BA213" s="61" t="n"/>
      <c r="BB213" s="61">
        <f>Controls!$G$178</f>
        <v/>
      </c>
      <c r="BC213" s="61">
        <f>COUNTIFS(Data!$AK$2:$AK$1105,1,Data!$M$2:$M$1105,$BB$213)</f>
        <v/>
      </c>
      <c r="BD213" s="57">
        <f>SUMIFS(Data!$P$2:$P$1105,Data!$AK$2:$AK$1105,1,Data!$M$2:$M$1105,$BB$213)</f>
        <v/>
      </c>
      <c r="BE213" s="56">
        <f>IF(COUNTIFS(Data!$AK$2:$AK$1105,1,Data!$M$2:$M$1105,$BB$213)&lt;Controls!$B$19,"",IFERROR(SUMIFS(Data!$AN$2:$AN$1105,Data!$AK$2:$AK$1105,1,Data!$M$2:$M$1105,$BB$213)/$BD$213,""))</f>
        <v/>
      </c>
      <c r="BF213" s="56">
        <f>IF(COUNTIFS(Data!$AK$2:$AK$1105,1,Data!$M$2:$M$1105,$BB$213)&lt;Controls!$B$19,"",IFERROR(SUMIFS(Data!$AM$2:$AM$1105,Data!$AK$2:$AK$1105,1,Data!$M$2:$M$1105,$BB$213)/SUMIFS(Data!$P$2:$P$1105,Data!$AK$2:$AK$1105,1,Data!$M$2:$M$1105,$BB$213),""))</f>
        <v/>
      </c>
      <c r="BG213" s="57">
        <f>SUMIFS(Data!$AN$2:$AN$1105,Data!$AK$2:$AK$1105,1,Data!$M$2:$M$1105,$BB$213)</f>
        <v/>
      </c>
      <c r="BH213" s="61" t="n"/>
      <c r="BI213" s="61">
        <f>IF(AND($BC$213&gt;=Controls!$B$22,$BD$213&gt;=LARGE($BD$75:$BD$230,MIN(Controls!$B$18,COUNT($BD$75:$BD$230)))),$BE$213,"")</f>
        <v/>
      </c>
      <c r="BJ213" s="61" t="n"/>
      <c r="BK213" s="61">
        <f>IF($BC$213&lt;Controls!$B$22,"",$BE$213)</f>
        <v/>
      </c>
      <c r="BL213" s="61">
        <f>IF($BC$213&lt;Controls!$B$22,"",$BF$213)</f>
        <v/>
      </c>
      <c r="BM213" s="61">
        <f>IF($BC$213&lt;Controls!$B$22,"",$BG$213)</f>
        <v/>
      </c>
      <c r="BN213" s="61" t="n"/>
      <c r="BO213" s="61" t="n"/>
      <c r="BP213" s="61" t="n"/>
      <c r="BQ213" s="61" t="n"/>
      <c r="BR213" s="61" t="n"/>
      <c r="BS213" s="61" t="n"/>
      <c r="BT213" s="61" t="n"/>
    </row>
    <row r="214" ht="15.75" customHeight="1" s="79">
      <c r="A214" s="61" t="n"/>
      <c r="B214" s="61" t="n"/>
      <c r="C214" s="61" t="n"/>
      <c r="D214" s="61" t="n"/>
      <c r="E214" s="61" t="n"/>
      <c r="F214" s="61" t="n"/>
      <c r="G214" s="61" t="n"/>
      <c r="H214" s="61" t="n"/>
      <c r="I214" s="61" t="n"/>
      <c r="J214" s="61" t="n"/>
      <c r="K214" s="61" t="n"/>
      <c r="L214" s="61" t="n"/>
      <c r="M214" s="61" t="n"/>
      <c r="N214" s="61" t="n"/>
      <c r="O214" s="61" t="n"/>
      <c r="P214" s="61" t="n"/>
      <c r="Q214" s="61" t="n"/>
      <c r="R214" s="61" t="n"/>
      <c r="S214" s="61" t="n"/>
      <c r="T214" s="61" t="n"/>
      <c r="U214" s="61" t="n"/>
      <c r="V214" s="61" t="n"/>
      <c r="W214" s="61" t="n"/>
      <c r="X214" s="61" t="n"/>
      <c r="Y214" s="61" t="n"/>
      <c r="Z214" s="61" t="n"/>
      <c r="AA214" s="61" t="n"/>
      <c r="AB214" s="61" t="n"/>
      <c r="AC214" s="61" t="n"/>
      <c r="AD214" s="61" t="n"/>
      <c r="AE214" s="61" t="n"/>
      <c r="AF214" s="61" t="n"/>
      <c r="AG214" s="61" t="n"/>
      <c r="AH214" s="61" t="n"/>
      <c r="AI214" s="61" t="n"/>
      <c r="AJ214" s="61" t="n"/>
      <c r="AK214" s="61" t="n"/>
      <c r="AL214" s="61" t="n"/>
      <c r="AM214" s="61" t="n"/>
      <c r="AN214" s="61">
        <f>Controls!$G$111</f>
        <v/>
      </c>
      <c r="AO214" s="61">
        <f>COUNTIFS(Data!$AK$2:$AK$1105,1,Data!$M$2:$M$1105,$AN$214)</f>
        <v/>
      </c>
      <c r="AP214" s="57">
        <f>SUMIFS(Data!$P$2:$P$1105,Data!$AK$2:$AK$1105,1,Data!$M$2:$M$1105,$AN$214)</f>
        <v/>
      </c>
      <c r="AQ214" s="56">
        <f>IFERROR(SUMIFS(Data!$AN$2:$AN$1105,Data!$AK$2:$AK$1105,1,Data!$M$2:$M$1105,$AN$214)/$AP$214,0)</f>
        <v/>
      </c>
      <c r="AR214" s="57">
        <f>SUMIFS(Data!$AN$2:$AN$1105,Data!$AK$2:$AK$1105,1,Data!$M$2:$M$1105,$AN$214)</f>
        <v/>
      </c>
      <c r="AS214" s="61">
        <f>Controls!$H$111</f>
        <v/>
      </c>
      <c r="AT214" s="61">
        <f>IF(OR(AO214=0,AO214&lt;Controls!$B$20),-1000000000000000,IF(AND(Controls!$B$21="Y",$AN$214="No ISO"),-1000000000000000,IF(Controls!$B$17="Selected only",IF(AS214="Y",AP214,-1000000000000000),IF(Controls!$B$17="Top by funded $",AP214,IF(Controls!$B$17="Top by funded units",AO214,IF(Controls!$B$17="Largest principal lost $",AR214,IF(Controls!$B$17="Highest net profit $",AU214,IF(AO214&lt;Controls!$B$19,-1000000000000000,IF(Controls!$B$17="Highest principal lost rate %",AQ214,IF(Controls!$B$17="Lowest principal lost rate %",1-AQ214,AP214))))))))) +72/1000000)</f>
        <v/>
      </c>
      <c r="AU214" s="57">
        <f>SUMIFS(Data!$AM$2:$AM$1105,Data!$AK$2:$AK$1105,1,Data!$M$2:$M$1105,$AN$214)</f>
        <v/>
      </c>
      <c r="AV214" s="61" t="n"/>
      <c r="AW214" s="61" t="n"/>
      <c r="AX214" s="61" t="n"/>
      <c r="AY214" s="61" t="n"/>
      <c r="AZ214" s="61" t="n"/>
      <c r="BA214" s="61" t="n"/>
      <c r="BB214" s="61">
        <f>Controls!$G$179</f>
        <v/>
      </c>
      <c r="BC214" s="61">
        <f>COUNTIFS(Data!$AK$2:$AK$1105,1,Data!$M$2:$M$1105,$BB$214)</f>
        <v/>
      </c>
      <c r="BD214" s="57">
        <f>SUMIFS(Data!$P$2:$P$1105,Data!$AK$2:$AK$1105,1,Data!$M$2:$M$1105,$BB$214)</f>
        <v/>
      </c>
      <c r="BE214" s="56">
        <f>IF(COUNTIFS(Data!$AK$2:$AK$1105,1,Data!$M$2:$M$1105,$BB$214)&lt;Controls!$B$19,"",IFERROR(SUMIFS(Data!$AN$2:$AN$1105,Data!$AK$2:$AK$1105,1,Data!$M$2:$M$1105,$BB$214)/$BD$214,""))</f>
        <v/>
      </c>
      <c r="BF214" s="56">
        <f>IF(COUNTIFS(Data!$AK$2:$AK$1105,1,Data!$M$2:$M$1105,$BB$214)&lt;Controls!$B$19,"",IFERROR(SUMIFS(Data!$AM$2:$AM$1105,Data!$AK$2:$AK$1105,1,Data!$M$2:$M$1105,$BB$214)/SUMIFS(Data!$P$2:$P$1105,Data!$AK$2:$AK$1105,1,Data!$M$2:$M$1105,$BB$214),""))</f>
        <v/>
      </c>
      <c r="BG214" s="57">
        <f>SUMIFS(Data!$AN$2:$AN$1105,Data!$AK$2:$AK$1105,1,Data!$M$2:$M$1105,$BB$214)</f>
        <v/>
      </c>
      <c r="BH214" s="61" t="n"/>
      <c r="BI214" s="61">
        <f>IF(AND($BC$214&gt;=Controls!$B$22,$BD$214&gt;=LARGE($BD$75:$BD$230,MIN(Controls!$B$18,COUNT($BD$75:$BD$230)))),$BE$214,"")</f>
        <v/>
      </c>
      <c r="BJ214" s="61" t="n"/>
      <c r="BK214" s="61">
        <f>IF($BC$214&lt;Controls!$B$22,"",$BE$214)</f>
        <v/>
      </c>
      <c r="BL214" s="61">
        <f>IF($BC$214&lt;Controls!$B$22,"",$BF$214)</f>
        <v/>
      </c>
      <c r="BM214" s="61">
        <f>IF($BC$214&lt;Controls!$B$22,"",$BG$214)</f>
        <v/>
      </c>
      <c r="BN214" s="61" t="n"/>
      <c r="BO214" s="61" t="n"/>
      <c r="BP214" s="61" t="n"/>
      <c r="BQ214" s="61" t="n"/>
      <c r="BR214" s="61" t="n"/>
      <c r="BS214" s="61" t="n"/>
      <c r="BT214" s="61" t="n"/>
    </row>
    <row r="215" ht="15.75" customHeight="1" s="79">
      <c r="A215" s="61" t="n"/>
      <c r="B215" s="61" t="n"/>
      <c r="C215" s="61" t="n"/>
      <c r="D215" s="61" t="n"/>
      <c r="E215" s="61" t="n"/>
      <c r="F215" s="61" t="n"/>
      <c r="G215" s="61" t="n"/>
      <c r="H215" s="61" t="n"/>
      <c r="I215" s="61" t="n"/>
      <c r="J215" s="61" t="n"/>
      <c r="K215" s="61" t="n"/>
      <c r="L215" s="61" t="n"/>
      <c r="M215" s="61" t="n"/>
      <c r="N215" s="61" t="n"/>
      <c r="O215" s="61" t="n"/>
      <c r="P215" s="61" t="n"/>
      <c r="Q215" s="61" t="n"/>
      <c r="R215" s="61" t="n"/>
      <c r="S215" s="61" t="n"/>
      <c r="T215" s="61" t="n"/>
      <c r="U215" s="61" t="n"/>
      <c r="V215" s="61" t="n"/>
      <c r="W215" s="61" t="n"/>
      <c r="X215" s="61" t="n"/>
      <c r="Y215" s="61" t="n"/>
      <c r="Z215" s="61" t="n"/>
      <c r="AA215" s="61" t="n"/>
      <c r="AB215" s="61" t="n"/>
      <c r="AC215" s="61" t="n"/>
      <c r="AD215" s="61" t="n"/>
      <c r="AE215" s="61" t="n"/>
      <c r="AF215" s="61" t="n"/>
      <c r="AG215" s="61" t="n"/>
      <c r="AH215" s="61" t="n"/>
      <c r="AI215" s="61" t="n"/>
      <c r="AJ215" s="61" t="n"/>
      <c r="AK215" s="61" t="n"/>
      <c r="AL215" s="61" t="n"/>
      <c r="AM215" s="61" t="n"/>
      <c r="AN215" s="61">
        <f>Controls!$G$112</f>
        <v/>
      </c>
      <c r="AO215" s="61">
        <f>COUNTIFS(Data!$AK$2:$AK$1105,1,Data!$M$2:$M$1105,$AN$215)</f>
        <v/>
      </c>
      <c r="AP215" s="57">
        <f>SUMIFS(Data!$P$2:$P$1105,Data!$AK$2:$AK$1105,1,Data!$M$2:$M$1105,$AN$215)</f>
        <v/>
      </c>
      <c r="AQ215" s="56">
        <f>IFERROR(SUMIFS(Data!$AN$2:$AN$1105,Data!$AK$2:$AK$1105,1,Data!$M$2:$M$1105,$AN$215)/$AP$215,0)</f>
        <v/>
      </c>
      <c r="AR215" s="57">
        <f>SUMIFS(Data!$AN$2:$AN$1105,Data!$AK$2:$AK$1105,1,Data!$M$2:$M$1105,$AN$215)</f>
        <v/>
      </c>
      <c r="AS215" s="61">
        <f>Controls!$H$112</f>
        <v/>
      </c>
      <c r="AT215" s="61">
        <f>IF(OR(AO215=0,AO215&lt;Controls!$B$20),-1000000000000000,IF(AND(Controls!$B$21="Y",$AN$215="No ISO"),-1000000000000000,IF(Controls!$B$17="Selected only",IF(AS215="Y",AP215,-1000000000000000),IF(Controls!$B$17="Top by funded $",AP215,IF(Controls!$B$17="Top by funded units",AO215,IF(Controls!$B$17="Largest principal lost $",AR215,IF(Controls!$B$17="Highest net profit $",AU215,IF(AO215&lt;Controls!$B$19,-1000000000000000,IF(Controls!$B$17="Highest principal lost rate %",AQ215,IF(Controls!$B$17="Lowest principal lost rate %",1-AQ215,AP215))))))))) +73/1000000)</f>
        <v/>
      </c>
      <c r="AU215" s="57">
        <f>SUMIFS(Data!$AM$2:$AM$1105,Data!$AK$2:$AK$1105,1,Data!$M$2:$M$1105,$AN$215)</f>
        <v/>
      </c>
      <c r="AV215" s="61" t="n"/>
      <c r="AW215" s="61" t="n"/>
      <c r="AX215" s="61" t="n"/>
      <c r="AY215" s="61" t="n"/>
      <c r="AZ215" s="61" t="n"/>
      <c r="BA215" s="61" t="n"/>
      <c r="BB215" s="61">
        <f>Controls!$G$180</f>
        <v/>
      </c>
      <c r="BC215" s="61">
        <f>COUNTIFS(Data!$AK$2:$AK$1105,1,Data!$M$2:$M$1105,$BB$215)</f>
        <v/>
      </c>
      <c r="BD215" s="57">
        <f>SUMIFS(Data!$P$2:$P$1105,Data!$AK$2:$AK$1105,1,Data!$M$2:$M$1105,$BB$215)</f>
        <v/>
      </c>
      <c r="BE215" s="56">
        <f>IF(COUNTIFS(Data!$AK$2:$AK$1105,1,Data!$M$2:$M$1105,$BB$215)&lt;Controls!$B$19,"",IFERROR(SUMIFS(Data!$AN$2:$AN$1105,Data!$AK$2:$AK$1105,1,Data!$M$2:$M$1105,$BB$215)/$BD$215,""))</f>
        <v/>
      </c>
      <c r="BF215" s="56">
        <f>IF(COUNTIFS(Data!$AK$2:$AK$1105,1,Data!$M$2:$M$1105,$BB$215)&lt;Controls!$B$19,"",IFERROR(SUMIFS(Data!$AM$2:$AM$1105,Data!$AK$2:$AK$1105,1,Data!$M$2:$M$1105,$BB$215)/SUMIFS(Data!$P$2:$P$1105,Data!$AK$2:$AK$1105,1,Data!$M$2:$M$1105,$BB$215),""))</f>
        <v/>
      </c>
      <c r="BG215" s="57">
        <f>SUMIFS(Data!$AN$2:$AN$1105,Data!$AK$2:$AK$1105,1,Data!$M$2:$M$1105,$BB$215)</f>
        <v/>
      </c>
      <c r="BH215" s="61" t="n"/>
      <c r="BI215" s="61">
        <f>IF(AND($BC$215&gt;=Controls!$B$22,$BD$215&gt;=LARGE($BD$75:$BD$230,MIN(Controls!$B$18,COUNT($BD$75:$BD$230)))),$BE$215,"")</f>
        <v/>
      </c>
      <c r="BJ215" s="61" t="n"/>
      <c r="BK215" s="61">
        <f>IF($BC$215&lt;Controls!$B$22,"",$BE$215)</f>
        <v/>
      </c>
      <c r="BL215" s="61">
        <f>IF($BC$215&lt;Controls!$B$22,"",$BF$215)</f>
        <v/>
      </c>
      <c r="BM215" s="61">
        <f>IF($BC$215&lt;Controls!$B$22,"",$BG$215)</f>
        <v/>
      </c>
      <c r="BN215" s="61" t="n"/>
      <c r="BO215" s="61" t="n"/>
      <c r="BP215" s="61" t="n"/>
      <c r="BQ215" s="61" t="n"/>
      <c r="BR215" s="61" t="n"/>
      <c r="BS215" s="61" t="n"/>
      <c r="BT215" s="61" t="n"/>
    </row>
    <row r="216" ht="15.75" customHeight="1" s="79">
      <c r="A216" s="61" t="inlineStr">
        <is>
          <t xml:space="preserve">Advance to revenue - </t>
        </is>
      </c>
      <c r="B216" s="61" t="n"/>
      <c r="C216" s="61" t="n"/>
      <c r="D216" s="61" t="n"/>
      <c r="E216" s="61" t="n"/>
      <c r="F216" s="61" t="n"/>
      <c r="G216" s="61" t="n"/>
      <c r="H216" s="61" t="n"/>
      <c r="I216" s="61" t="n"/>
      <c r="J216" s="61" t="n"/>
      <c r="K216" s="61" t="n"/>
      <c r="L216" s="61" t="n"/>
      <c r="M216" s="61" t="n"/>
      <c r="N216" s="61" t="n"/>
      <c r="O216" s="61" t="n"/>
      <c r="P216" s="61" t="n"/>
      <c r="Q216" s="61" t="n"/>
      <c r="R216" s="61" t="n"/>
      <c r="S216" s="61" t="n"/>
      <c r="T216" s="61" t="n"/>
      <c r="U216" s="61" t="n"/>
      <c r="V216" s="61" t="n"/>
      <c r="W216" s="61" t="n"/>
      <c r="X216" s="61" t="n"/>
      <c r="Y216" s="61" t="n"/>
      <c r="Z216" s="61" t="n"/>
      <c r="AA216" s="61" t="n"/>
      <c r="AB216" s="61" t="n"/>
      <c r="AC216" s="61" t="n"/>
      <c r="AD216" s="61" t="n"/>
      <c r="AE216" s="61" t="n"/>
      <c r="AF216" s="61" t="n"/>
      <c r="AG216" s="61" t="n"/>
      <c r="AH216" s="61" t="n"/>
      <c r="AI216" s="61" t="n"/>
      <c r="AJ216" s="61" t="n"/>
      <c r="AK216" s="61" t="n"/>
      <c r="AL216" s="61" t="n"/>
      <c r="AM216" s="61" t="n"/>
      <c r="AN216" s="61">
        <f>Controls!$G$113</f>
        <v/>
      </c>
      <c r="AO216" s="61">
        <f>COUNTIFS(Data!$AK$2:$AK$1105,1,Data!$M$2:$M$1105,$AN$216)</f>
        <v/>
      </c>
      <c r="AP216" s="57">
        <f>SUMIFS(Data!$P$2:$P$1105,Data!$AK$2:$AK$1105,1,Data!$M$2:$M$1105,$AN$216)</f>
        <v/>
      </c>
      <c r="AQ216" s="56">
        <f>IFERROR(SUMIFS(Data!$AN$2:$AN$1105,Data!$AK$2:$AK$1105,1,Data!$M$2:$M$1105,$AN$216)/$AP$216,0)</f>
        <v/>
      </c>
      <c r="AR216" s="57">
        <f>SUMIFS(Data!$AN$2:$AN$1105,Data!$AK$2:$AK$1105,1,Data!$M$2:$M$1105,$AN$216)</f>
        <v/>
      </c>
      <c r="AS216" s="61">
        <f>Controls!$H$113</f>
        <v/>
      </c>
      <c r="AT216" s="61">
        <f>IF(OR(AO216=0,AO216&lt;Controls!$B$20),-1000000000000000,IF(AND(Controls!$B$21="Y",$AN$216="No ISO"),-1000000000000000,IF(Controls!$B$17="Selected only",IF(AS216="Y",AP216,-1000000000000000),IF(Controls!$B$17="Top by funded $",AP216,IF(Controls!$B$17="Top by funded units",AO216,IF(Controls!$B$17="Largest principal lost $",AR216,IF(Controls!$B$17="Highest net profit $",AU216,IF(AO216&lt;Controls!$B$19,-1000000000000000,IF(Controls!$B$17="Highest principal lost rate %",AQ216,IF(Controls!$B$17="Lowest principal lost rate %",1-AQ216,AP216))))))))) +74/1000000)</f>
        <v/>
      </c>
      <c r="AU216" s="57">
        <f>SUMIFS(Data!$AM$2:$AM$1105,Data!$AK$2:$AK$1105,1,Data!$M$2:$M$1105,$AN$216)</f>
        <v/>
      </c>
      <c r="AV216" s="61" t="n"/>
      <c r="AW216" s="61" t="n"/>
      <c r="AX216" s="61" t="n"/>
      <c r="AY216" s="61" t="n"/>
      <c r="AZ216" s="61" t="n"/>
      <c r="BA216" s="61" t="n"/>
      <c r="BB216" s="61">
        <f>Controls!$G$181</f>
        <v/>
      </c>
      <c r="BC216" s="61">
        <f>COUNTIFS(Data!$AK$2:$AK$1105,1,Data!$M$2:$M$1105,$BB$216)</f>
        <v/>
      </c>
      <c r="BD216" s="57">
        <f>SUMIFS(Data!$P$2:$P$1105,Data!$AK$2:$AK$1105,1,Data!$M$2:$M$1105,$BB$216)</f>
        <v/>
      </c>
      <c r="BE216" s="56">
        <f>IF(COUNTIFS(Data!$AK$2:$AK$1105,1,Data!$M$2:$M$1105,$BB$216)&lt;Controls!$B$19,"",IFERROR(SUMIFS(Data!$AN$2:$AN$1105,Data!$AK$2:$AK$1105,1,Data!$M$2:$M$1105,$BB$216)/$BD$216,""))</f>
        <v/>
      </c>
      <c r="BF216" s="56">
        <f>IF(COUNTIFS(Data!$AK$2:$AK$1105,1,Data!$M$2:$M$1105,$BB$216)&lt;Controls!$B$19,"",IFERROR(SUMIFS(Data!$AM$2:$AM$1105,Data!$AK$2:$AK$1105,1,Data!$M$2:$M$1105,$BB$216)/SUMIFS(Data!$P$2:$P$1105,Data!$AK$2:$AK$1105,1,Data!$M$2:$M$1105,$BB$216),""))</f>
        <v/>
      </c>
      <c r="BG216" s="57">
        <f>SUMIFS(Data!$AN$2:$AN$1105,Data!$AK$2:$AK$1105,1,Data!$M$2:$M$1105,$BB$216)</f>
        <v/>
      </c>
      <c r="BH216" s="61" t="n"/>
      <c r="BI216" s="61">
        <f>IF(AND($BC$216&gt;=Controls!$B$22,$BD$216&gt;=LARGE($BD$75:$BD$230,MIN(Controls!$B$18,COUNT($BD$75:$BD$230)))),$BE$216,"")</f>
        <v/>
      </c>
      <c r="BJ216" s="61" t="n"/>
      <c r="BK216" s="61">
        <f>IF($BC$216&lt;Controls!$B$22,"",$BE$216)</f>
        <v/>
      </c>
      <c r="BL216" s="61">
        <f>IF($BC$216&lt;Controls!$B$22,"",$BF$216)</f>
        <v/>
      </c>
      <c r="BM216" s="61">
        <f>IF($BC$216&lt;Controls!$B$22,"",$BG$216)</f>
        <v/>
      </c>
      <c r="BN216" s="61" t="n"/>
      <c r="BO216" s="61" t="n"/>
      <c r="BP216" s="61" t="n"/>
      <c r="BQ216" s="61" t="n"/>
      <c r="BR216" s="61" t="n"/>
      <c r="BS216" s="61" t="n"/>
      <c r="BT216" s="61" t="n"/>
    </row>
    <row r="217" ht="15.75" customHeight="1" s="79">
      <c r="A217" s="61" t="inlineStr">
        <is>
          <t>Label</t>
        </is>
      </c>
      <c r="B217" s="61" t="inlineStr">
        <is>
          <t>Funded $</t>
        </is>
      </c>
      <c r="C217" s="61" t="inlineStr">
        <is>
          <t>Collected $</t>
        </is>
      </c>
      <c r="D217" s="61" t="inlineStr">
        <is>
          <t>Net profit / loss $</t>
        </is>
      </c>
      <c r="E217" s="61" t="inlineStr">
        <is>
          <t>Commission $</t>
        </is>
      </c>
      <c r="F217" s="61" t="inlineStr">
        <is>
          <t>Principal lost $</t>
        </is>
      </c>
      <c r="G217" s="61" t="inlineStr">
        <is>
          <t>Principal lost rate</t>
        </is>
      </c>
      <c r="H217" s="61" t="inlineStr">
        <is>
          <t>Recovery rate</t>
        </is>
      </c>
      <c r="I217" s="61" t="inlineStr">
        <is>
          <t>Return on funded capital (%)</t>
        </is>
      </c>
      <c r="J217" s="61" t="inlineStr">
        <is>
          <t>Deals</t>
        </is>
      </c>
      <c r="K217" s="61" t="inlineStr">
        <is>
          <t>Share of funded dollars</t>
        </is>
      </c>
      <c r="L217" s="61" t="inlineStr">
        <is>
          <t>Avg deal size</t>
        </is>
      </c>
      <c r="M217" s="61" t="inlineStr">
        <is>
          <t>Avg expected term (business days)</t>
        </is>
      </c>
      <c r="N217" s="61" t="inlineStr">
        <is>
          <t>Avg expected term (payments)</t>
        </is>
      </c>
      <c r="O217" s="61" t="inlineStr">
        <is>
          <t>Avg days on book, defaulted</t>
        </is>
      </c>
      <c r="P217" s="61" t="inlineStr">
        <is>
          <t>Avg days to close</t>
        </is>
      </c>
      <c r="Q217" s="61" t="inlineStr">
        <is>
          <t>% of deals that were renewals</t>
        </is>
      </c>
      <c r="R217" s="61" t="inlineStr">
        <is>
          <t>% of funded dollars from renewals</t>
        </is>
      </c>
      <c r="S217" s="61" t="inlineStr">
        <is>
          <t>Book lost rate</t>
        </is>
      </c>
      <c r="T217" s="61" t="inlineStr">
        <is>
          <t>Book recovery</t>
        </is>
      </c>
      <c r="U217" s="61" t="inlineStr">
        <is>
          <t>Book return on funded capital</t>
        </is>
      </c>
      <c r="V217" s="61" t="inlineStr">
        <is>
          <t>Default rate (#)</t>
        </is>
      </c>
      <c r="W217" s="61" t="inlineStr">
        <is>
          <t>Chart label (name + deals)</t>
        </is>
      </c>
      <c r="X217" s="61" t="n"/>
      <c r="Y217" s="61" t="n"/>
      <c r="Z217" s="61" t="n"/>
      <c r="AA217" s="61" t="n"/>
      <c r="AB217" s="61" t="n"/>
      <c r="AC217" s="61" t="n"/>
      <c r="AD217" s="61" t="n"/>
      <c r="AE217" s="61" t="n"/>
      <c r="AF217" s="61" t="n"/>
      <c r="AG217" s="61" t="n"/>
      <c r="AH217" s="61" t="n"/>
      <c r="AI217" s="61" t="n"/>
      <c r="AJ217" s="61" t="n"/>
      <c r="AK217" s="61" t="n"/>
      <c r="AL217" s="61" t="n"/>
      <c r="AM217" s="61" t="n"/>
      <c r="AN217" s="61">
        <f>Controls!$G$114</f>
        <v/>
      </c>
      <c r="AO217" s="61">
        <f>COUNTIFS(Data!$AK$2:$AK$1105,1,Data!$M$2:$M$1105,$AN$217)</f>
        <v/>
      </c>
      <c r="AP217" s="57">
        <f>SUMIFS(Data!$P$2:$P$1105,Data!$AK$2:$AK$1105,1,Data!$M$2:$M$1105,$AN$217)</f>
        <v/>
      </c>
      <c r="AQ217" s="56">
        <f>IFERROR(SUMIFS(Data!$AN$2:$AN$1105,Data!$AK$2:$AK$1105,1,Data!$M$2:$M$1105,$AN$217)/$AP$217,0)</f>
        <v/>
      </c>
      <c r="AR217" s="57">
        <f>SUMIFS(Data!$AN$2:$AN$1105,Data!$AK$2:$AK$1105,1,Data!$M$2:$M$1105,$AN$217)</f>
        <v/>
      </c>
      <c r="AS217" s="61">
        <f>Controls!$H$114</f>
        <v/>
      </c>
      <c r="AT217" s="61">
        <f>IF(OR(AO217=0,AO217&lt;Controls!$B$20),-1000000000000000,IF(AND(Controls!$B$21="Y",$AN$217="No ISO"),-1000000000000000,IF(Controls!$B$17="Selected only",IF(AS217="Y",AP217,-1000000000000000),IF(Controls!$B$17="Top by funded $",AP217,IF(Controls!$B$17="Top by funded units",AO217,IF(Controls!$B$17="Largest principal lost $",AR217,IF(Controls!$B$17="Highest net profit $",AU217,IF(AO217&lt;Controls!$B$19,-1000000000000000,IF(Controls!$B$17="Highest principal lost rate %",AQ217,IF(Controls!$B$17="Lowest principal lost rate %",1-AQ217,AP217))))))))) +75/1000000)</f>
        <v/>
      </c>
      <c r="AU217" s="57">
        <f>SUMIFS(Data!$AM$2:$AM$1105,Data!$AK$2:$AK$1105,1,Data!$M$2:$M$1105,$AN$217)</f>
        <v/>
      </c>
      <c r="AV217" s="61" t="n"/>
      <c r="AW217" s="61" t="n"/>
      <c r="AX217" s="61" t="n"/>
      <c r="AY217" s="61" t="n"/>
      <c r="AZ217" s="61" t="n"/>
      <c r="BA217" s="61" t="n"/>
      <c r="BB217" s="61">
        <f>Controls!$G$182</f>
        <v/>
      </c>
      <c r="BC217" s="61">
        <f>COUNTIFS(Data!$AK$2:$AK$1105,1,Data!$M$2:$M$1105,$BB$217)</f>
        <v/>
      </c>
      <c r="BD217" s="57">
        <f>SUMIFS(Data!$P$2:$P$1105,Data!$AK$2:$AK$1105,1,Data!$M$2:$M$1105,$BB$217)</f>
        <v/>
      </c>
      <c r="BE217" s="56">
        <f>IF(COUNTIFS(Data!$AK$2:$AK$1105,1,Data!$M$2:$M$1105,$BB$217)&lt;Controls!$B$19,"",IFERROR(SUMIFS(Data!$AN$2:$AN$1105,Data!$AK$2:$AK$1105,1,Data!$M$2:$M$1105,$BB$217)/$BD$217,""))</f>
        <v/>
      </c>
      <c r="BF217" s="56">
        <f>IF(COUNTIFS(Data!$AK$2:$AK$1105,1,Data!$M$2:$M$1105,$BB$217)&lt;Controls!$B$19,"",IFERROR(SUMIFS(Data!$AM$2:$AM$1105,Data!$AK$2:$AK$1105,1,Data!$M$2:$M$1105,$BB$217)/SUMIFS(Data!$P$2:$P$1105,Data!$AK$2:$AK$1105,1,Data!$M$2:$M$1105,$BB$217),""))</f>
        <v/>
      </c>
      <c r="BG217" s="57">
        <f>SUMIFS(Data!$AN$2:$AN$1105,Data!$AK$2:$AK$1105,1,Data!$M$2:$M$1105,$BB$217)</f>
        <v/>
      </c>
      <c r="BH217" s="61" t="n"/>
      <c r="BI217" s="61">
        <f>IF(AND($BC$217&gt;=Controls!$B$22,$BD$217&gt;=LARGE($BD$75:$BD$230,MIN(Controls!$B$18,COUNT($BD$75:$BD$230)))),$BE$217,"")</f>
        <v/>
      </c>
      <c r="BJ217" s="61" t="n"/>
      <c r="BK217" s="61">
        <f>IF($BC$217&lt;Controls!$B$22,"",$BE$217)</f>
        <v/>
      </c>
      <c r="BL217" s="61">
        <f>IF($BC$217&lt;Controls!$B$22,"",$BF$217)</f>
        <v/>
      </c>
      <c r="BM217" s="61">
        <f>IF($BC$217&lt;Controls!$B$22,"",$BG$217)</f>
        <v/>
      </c>
      <c r="BN217" s="61" t="n"/>
      <c r="BO217" s="61" t="n"/>
      <c r="BP217" s="61" t="n"/>
      <c r="BQ217" s="61" t="n"/>
      <c r="BR217" s="61" t="n"/>
      <c r="BS217" s="61" t="n"/>
      <c r="BT217" s="61" t="n"/>
    </row>
    <row r="218" ht="15.75" customHeight="1" s="79">
      <c r="A218" s="61">
        <f>IF(COUNTIFS(Data!$AK$2:$AK$1105,1,Data!$AX$2:$AX$1105,"Under 0.15x")=0,"","Under 0.15x")</f>
        <v/>
      </c>
      <c r="B218" s="66">
        <f>IF($A$218="",NA(),IFERROR(SUMIFS(Data!$P$2:$P$1105,Data!$AK$2:$AK$1105,1,Data!$AX$2:$AX$1105,$A$218),NA()))</f>
        <v/>
      </c>
      <c r="C218" s="66">
        <f>IF($A$218="",NA(),IFERROR(SUMIFS(Data!$S$2:$S$1105,Data!$AK$2:$AK$1105,1,Data!$AX$2:$AX$1105,$A$218),NA()))</f>
        <v/>
      </c>
      <c r="D218" s="66">
        <f>IF(ISNA($B$218),NA(),$C$218-$B$218)</f>
        <v/>
      </c>
      <c r="E218" s="66">
        <f>IF($A$218="",NA(),IFERROR(SUMIFS(Data!$Q$2:$Q$1105,Data!$AK$2:$AK$1105,1,Data!$AX$2:$AX$1105,$A$218),NA()))</f>
        <v/>
      </c>
      <c r="F218" s="66">
        <f>IF($A$218="",NA(),IFERROR(SUMIFS(Data!$AN$2:$AN$1105,Data!$AK$2:$AK$1105,1,Data!$AX$2:$AX$1105,$A$218),NA()))</f>
        <v/>
      </c>
      <c r="G218" s="62">
        <f>IF($A$218="",NA(),IF(COUNTIFS(Data!$AK$2:$AK$1105,1,Data!$AX$2:$AX$1105,$A$218)&lt;Controls!$B$19,NA(),IFERROR(SUMIFS(Data!$AN$2:$AN$1105,Data!$AK$2:$AK$1105,1,Data!$AX$2:$AX$1105,$A$218)/$B$218,NA())))</f>
        <v/>
      </c>
      <c r="H218" s="62">
        <f>IF($A$218="",NA(),IF(COUNTIFS(Data!$AK$2:$AK$1105,1,Data!$AX$2:$AX$1105,$A$218)&lt;Controls!$B$19,NA(),IFERROR(SUMIFS(Data!$S$2:$S$1105,Data!$AK$2:$AK$1105,1,Data!$AX$2:$AX$1105,$A$218,Data!$AH$2:$AH$1105,1)/SUMIFS(Data!$P$2:$P$1105,Data!$AK$2:$AK$1105,1,Data!$AX$2:$AX$1105,$A$218,Data!$AH$2:$AH$1105,1),NA())))</f>
        <v/>
      </c>
      <c r="I218" s="62">
        <f>IF(ISNA($J$218),NA(),IF($J$218&lt;Controls!$B$19,NA(),IFERROR($D$218/$B$218,NA())))</f>
        <v/>
      </c>
      <c r="J218" s="67">
        <f>IF($A$218="",NA(),IFERROR(COUNTIFS(Data!$AK$2:$AK$1105,1,Data!$AX$2:$AX$1105,$A$218),NA()))</f>
        <v/>
      </c>
      <c r="K218" s="62">
        <f>IF(ISNA($B$218),NA(),IFERROR($B$218/Calc!$BT$6,NA()))</f>
        <v/>
      </c>
      <c r="L218" s="66">
        <f>IF(ISNA($J$218),NA(),IF($J$218&lt;Controls!$B$19,NA(),IFERROR($B$218/$J$218,NA())))</f>
        <v/>
      </c>
      <c r="M218" s="67">
        <f>IF($A$218="",NA(),IF(COUNTIFS(Data!$AK$2:$AK$1105,1,Data!$AX$2:$AX$1105,$A$218)&lt;Controls!$B$19,NA(),IFERROR(AVERAGEIFS(Data!$AE$2:$AE$1105,Data!$AK$2:$AK$1105,1,Data!$AX$2:$AX$1105,$A$218),NA())))</f>
        <v/>
      </c>
      <c r="N218" s="67">
        <f>IF($A$218="",NA(),IF(COUNTIFS(Data!$AK$2:$AK$1105,1,Data!$AX$2:$AX$1105,$A$218)&lt;Controls!$B$19,NA(),IFERROR(AVERAGEIFS(Data!$AD$2:$AD$1105,Data!$AK$2:$AK$1105,1,Data!$AX$2:$AX$1105,$A$218),NA())))</f>
        <v/>
      </c>
      <c r="O218" s="67">
        <f>IF($A$218="",NA(),IF(COUNTIFS(Data!$AK$2:$AK$1105,1,Data!$AX$2:$AX$1105,$A$218)&lt;Controls!$B$19,NA(),IFERROR(AVERAGEIFS(Data!$AS$2:$AS$1105,Data!$AK$2:$AK$1105,1,Data!$AX$2:$AX$1105,$A$218),NA())))</f>
        <v/>
      </c>
      <c r="P218" s="67">
        <f>IF($A$218="",NA(),IF(COUNTIFS(Data!$AK$2:$AK$1105,1,Data!$AX$2:$AX$1105,$A$218)&lt;Controls!$B$19,NA(),IFERROR(AVERAGEIFS(Data!$AT$2:$AT$1105,Data!$AK$2:$AK$1105,1,Data!$AX$2:$AX$1105,$A$218),NA())))</f>
        <v/>
      </c>
      <c r="Q218" s="62">
        <f>IF($A$218="",NA(),IF(COUNTIFS(Data!$AK$2:$AK$1105,1,Data!$AX$2:$AX$1105,$A$218)&lt;Controls!$B$19,NA(),IFERROR(COUNTIFS(Data!$AK$2:$AK$1105,1,Data!$AX$2:$AX$1105,$A$218,Data!$N$2:$N$1105,"Renewal")/COUNTIFS(Data!$AK$2:$AK$1105,1,Data!$AX$2:$AX$1105,$A$218),NA())))</f>
        <v/>
      </c>
      <c r="R218" s="62">
        <f>IF($A$218="",NA(),IF(COUNTIFS(Data!$AK$2:$AK$1105,1,Data!$AX$2:$AX$1105,$A$218)&lt;Controls!$B$19,NA(),IFERROR(SUMIFS(Data!$P$2:$P$1105,Data!$AK$2:$AK$1105,1,Data!$AX$2:$AX$1105,$A$218,Data!$N$2:$N$1105,"Renewal")/SUMIFS(Data!$P$2:$P$1105,Data!$AK$2:$AK$1105,1,Data!$AX$2:$AX$1105,$A$218),NA())))</f>
        <v/>
      </c>
      <c r="S218" s="62">
        <f>IF($A$218="",NA(),Calc!$BT$2)</f>
        <v/>
      </c>
      <c r="T218" s="62">
        <f>IF($A$218="",NA(),Calc!$BT$3)</f>
        <v/>
      </c>
      <c r="U218" s="62">
        <f>IF($A$218="",NA(),Calc!$BT$4)</f>
        <v/>
      </c>
      <c r="V218" s="62">
        <f>IF($A$218="",NA(),IF(COUNTIFS(Data!$AK$2:$AK$1105,1,Data!$AX$2:$AX$1105,$A$218)&lt;Controls!$B$19,NA(),IFERROR(COUNTIFS(Data!$AK$2:$AK$1105,1,Data!$AX$2:$AX$1105,$A$218,Data!$AH$2:$AH$1105,1)/COUNTIFS(Data!$AK$2:$AK$1105,1,Data!$AX$2:$AX$1105,$A$218),NA())))</f>
        <v/>
      </c>
      <c r="W218" s="61">
        <f>IF($A$218="","",$A$218&amp;" ("&amp;$J$218&amp;")")</f>
        <v/>
      </c>
      <c r="X218" s="61" t="n"/>
      <c r="Y218" s="61" t="n"/>
      <c r="Z218" s="61" t="n"/>
      <c r="AA218" s="61" t="n"/>
      <c r="AB218" s="61" t="n"/>
      <c r="AC218" s="61" t="n"/>
      <c r="AD218" s="61" t="n"/>
      <c r="AE218" s="61" t="n"/>
      <c r="AF218" s="61" t="n"/>
      <c r="AG218" s="61" t="n"/>
      <c r="AH218" s="61" t="n"/>
      <c r="AI218" s="61" t="n"/>
      <c r="AJ218" s="61" t="n"/>
      <c r="AK218" s="61" t="n"/>
      <c r="AL218" s="61" t="n"/>
      <c r="AM218" s="61" t="n"/>
      <c r="AN218" s="61">
        <f>Controls!$G$115</f>
        <v/>
      </c>
      <c r="AO218" s="61">
        <f>COUNTIFS(Data!$AK$2:$AK$1105,1,Data!$M$2:$M$1105,$AN$218)</f>
        <v/>
      </c>
      <c r="AP218" s="57">
        <f>SUMIFS(Data!$P$2:$P$1105,Data!$AK$2:$AK$1105,1,Data!$M$2:$M$1105,$AN$218)</f>
        <v/>
      </c>
      <c r="AQ218" s="56">
        <f>IFERROR(SUMIFS(Data!$AN$2:$AN$1105,Data!$AK$2:$AK$1105,1,Data!$M$2:$M$1105,$AN$218)/$AP$218,0)</f>
        <v/>
      </c>
      <c r="AR218" s="57">
        <f>SUMIFS(Data!$AN$2:$AN$1105,Data!$AK$2:$AK$1105,1,Data!$M$2:$M$1105,$AN$218)</f>
        <v/>
      </c>
      <c r="AS218" s="61">
        <f>Controls!$H$115</f>
        <v/>
      </c>
      <c r="AT218" s="61">
        <f>IF(OR(AO218=0,AO218&lt;Controls!$B$20),-1000000000000000,IF(AND(Controls!$B$21="Y",$AN$218="No ISO"),-1000000000000000,IF(Controls!$B$17="Selected only",IF(AS218="Y",AP218,-1000000000000000),IF(Controls!$B$17="Top by funded $",AP218,IF(Controls!$B$17="Top by funded units",AO218,IF(Controls!$B$17="Largest principal lost $",AR218,IF(Controls!$B$17="Highest net profit $",AU218,IF(AO218&lt;Controls!$B$19,-1000000000000000,IF(Controls!$B$17="Highest principal lost rate %",AQ218,IF(Controls!$B$17="Lowest principal lost rate %",1-AQ218,AP218))))))))) +76/1000000)</f>
        <v/>
      </c>
      <c r="AU218" s="57">
        <f>SUMIFS(Data!$AM$2:$AM$1105,Data!$AK$2:$AK$1105,1,Data!$M$2:$M$1105,$AN$218)</f>
        <v/>
      </c>
      <c r="AV218" s="61" t="n"/>
      <c r="AW218" s="61" t="n"/>
      <c r="AX218" s="61" t="n"/>
      <c r="AY218" s="61" t="n"/>
      <c r="AZ218" s="61" t="n"/>
      <c r="BA218" s="61" t="n"/>
      <c r="BB218" s="61">
        <f>Controls!$G$183</f>
        <v/>
      </c>
      <c r="BC218" s="61">
        <f>COUNTIFS(Data!$AK$2:$AK$1105,1,Data!$M$2:$M$1105,$BB$218)</f>
        <v/>
      </c>
      <c r="BD218" s="57">
        <f>SUMIFS(Data!$P$2:$P$1105,Data!$AK$2:$AK$1105,1,Data!$M$2:$M$1105,$BB$218)</f>
        <v/>
      </c>
      <c r="BE218" s="56">
        <f>IF(COUNTIFS(Data!$AK$2:$AK$1105,1,Data!$M$2:$M$1105,$BB$218)&lt;Controls!$B$19,"",IFERROR(SUMIFS(Data!$AN$2:$AN$1105,Data!$AK$2:$AK$1105,1,Data!$M$2:$M$1105,$BB$218)/$BD$218,""))</f>
        <v/>
      </c>
      <c r="BF218" s="56">
        <f>IF(COUNTIFS(Data!$AK$2:$AK$1105,1,Data!$M$2:$M$1105,$BB$218)&lt;Controls!$B$19,"",IFERROR(SUMIFS(Data!$AM$2:$AM$1105,Data!$AK$2:$AK$1105,1,Data!$M$2:$M$1105,$BB$218)/SUMIFS(Data!$P$2:$P$1105,Data!$AK$2:$AK$1105,1,Data!$M$2:$M$1105,$BB$218),""))</f>
        <v/>
      </c>
      <c r="BG218" s="57">
        <f>SUMIFS(Data!$AN$2:$AN$1105,Data!$AK$2:$AK$1105,1,Data!$M$2:$M$1105,$BB$218)</f>
        <v/>
      </c>
      <c r="BH218" s="61" t="n"/>
      <c r="BI218" s="61">
        <f>IF(AND($BC$218&gt;=Controls!$B$22,$BD$218&gt;=LARGE($BD$75:$BD$230,MIN(Controls!$B$18,COUNT($BD$75:$BD$230)))),$BE$218,"")</f>
        <v/>
      </c>
      <c r="BJ218" s="61" t="n"/>
      <c r="BK218" s="61">
        <f>IF($BC$218&lt;Controls!$B$22,"",$BE$218)</f>
        <v/>
      </c>
      <c r="BL218" s="61">
        <f>IF($BC$218&lt;Controls!$B$22,"",$BF$218)</f>
        <v/>
      </c>
      <c r="BM218" s="61">
        <f>IF($BC$218&lt;Controls!$B$22,"",$BG$218)</f>
        <v/>
      </c>
      <c r="BN218" s="61" t="n"/>
      <c r="BO218" s="61" t="n"/>
      <c r="BP218" s="61" t="n"/>
      <c r="BQ218" s="61" t="n"/>
      <c r="BR218" s="61" t="n"/>
      <c r="BS218" s="61" t="n"/>
      <c r="BT218" s="61" t="n"/>
    </row>
    <row r="219" ht="15.75" customHeight="1" s="79">
      <c r="A219" s="61">
        <f>IF(COUNTIFS(Data!$AK$2:$AK$1105,1,Data!$AX$2:$AX$1105,"0.15-0.30x")=0,"","0.15-0.30x")</f>
        <v/>
      </c>
      <c r="B219" s="66">
        <f>IF($A$219="",NA(),IFERROR(SUMIFS(Data!$P$2:$P$1105,Data!$AK$2:$AK$1105,1,Data!$AX$2:$AX$1105,$A$219),NA()))</f>
        <v/>
      </c>
      <c r="C219" s="66">
        <f>IF($A$219="",NA(),IFERROR(SUMIFS(Data!$S$2:$S$1105,Data!$AK$2:$AK$1105,1,Data!$AX$2:$AX$1105,$A$219),NA()))</f>
        <v/>
      </c>
      <c r="D219" s="66">
        <f>IF(ISNA($B$219),NA(),$C$219-$B$219)</f>
        <v/>
      </c>
      <c r="E219" s="66">
        <f>IF($A$219="",NA(),IFERROR(SUMIFS(Data!$Q$2:$Q$1105,Data!$AK$2:$AK$1105,1,Data!$AX$2:$AX$1105,$A$219),NA()))</f>
        <v/>
      </c>
      <c r="F219" s="66">
        <f>IF($A$219="",NA(),IFERROR(SUMIFS(Data!$AN$2:$AN$1105,Data!$AK$2:$AK$1105,1,Data!$AX$2:$AX$1105,$A$219),NA()))</f>
        <v/>
      </c>
      <c r="G219" s="62">
        <f>IF($A$219="",NA(),IF(COUNTIFS(Data!$AK$2:$AK$1105,1,Data!$AX$2:$AX$1105,$A$219)&lt;Controls!$B$19,NA(),IFERROR(SUMIFS(Data!$AN$2:$AN$1105,Data!$AK$2:$AK$1105,1,Data!$AX$2:$AX$1105,$A$219)/$B$219,NA())))</f>
        <v/>
      </c>
      <c r="H219" s="62">
        <f>IF($A$219="",NA(),IF(COUNTIFS(Data!$AK$2:$AK$1105,1,Data!$AX$2:$AX$1105,$A$219)&lt;Controls!$B$19,NA(),IFERROR(SUMIFS(Data!$S$2:$S$1105,Data!$AK$2:$AK$1105,1,Data!$AX$2:$AX$1105,$A$219,Data!$AH$2:$AH$1105,1)/SUMIFS(Data!$P$2:$P$1105,Data!$AK$2:$AK$1105,1,Data!$AX$2:$AX$1105,$A$219,Data!$AH$2:$AH$1105,1),NA())))</f>
        <v/>
      </c>
      <c r="I219" s="62">
        <f>IF(ISNA($J$219),NA(),IF($J$219&lt;Controls!$B$19,NA(),IFERROR($D$219/$B$219,NA())))</f>
        <v/>
      </c>
      <c r="J219" s="67">
        <f>IF($A$219="",NA(),IFERROR(COUNTIFS(Data!$AK$2:$AK$1105,1,Data!$AX$2:$AX$1105,$A$219),NA()))</f>
        <v/>
      </c>
      <c r="K219" s="62">
        <f>IF(ISNA($B$219),NA(),IFERROR($B$219/Calc!$BT$6,NA()))</f>
        <v/>
      </c>
      <c r="L219" s="66">
        <f>IF(ISNA($J$219),NA(),IF($J$219&lt;Controls!$B$19,NA(),IFERROR($B$219/$J$219,NA())))</f>
        <v/>
      </c>
      <c r="M219" s="67">
        <f>IF($A$219="",NA(),IF(COUNTIFS(Data!$AK$2:$AK$1105,1,Data!$AX$2:$AX$1105,$A$219)&lt;Controls!$B$19,NA(),IFERROR(AVERAGEIFS(Data!$AE$2:$AE$1105,Data!$AK$2:$AK$1105,1,Data!$AX$2:$AX$1105,$A$219),NA())))</f>
        <v/>
      </c>
      <c r="N219" s="67">
        <f>IF($A$219="",NA(),IF(COUNTIFS(Data!$AK$2:$AK$1105,1,Data!$AX$2:$AX$1105,$A$219)&lt;Controls!$B$19,NA(),IFERROR(AVERAGEIFS(Data!$AD$2:$AD$1105,Data!$AK$2:$AK$1105,1,Data!$AX$2:$AX$1105,$A$219),NA())))</f>
        <v/>
      </c>
      <c r="O219" s="67">
        <f>IF($A$219="",NA(),IF(COUNTIFS(Data!$AK$2:$AK$1105,1,Data!$AX$2:$AX$1105,$A$219)&lt;Controls!$B$19,NA(),IFERROR(AVERAGEIFS(Data!$AS$2:$AS$1105,Data!$AK$2:$AK$1105,1,Data!$AX$2:$AX$1105,$A$219),NA())))</f>
        <v/>
      </c>
      <c r="P219" s="67">
        <f>IF($A$219="",NA(),IF(COUNTIFS(Data!$AK$2:$AK$1105,1,Data!$AX$2:$AX$1105,$A$219)&lt;Controls!$B$19,NA(),IFERROR(AVERAGEIFS(Data!$AT$2:$AT$1105,Data!$AK$2:$AK$1105,1,Data!$AX$2:$AX$1105,$A$219),NA())))</f>
        <v/>
      </c>
      <c r="Q219" s="62">
        <f>IF($A$219="",NA(),IF(COUNTIFS(Data!$AK$2:$AK$1105,1,Data!$AX$2:$AX$1105,$A$219)&lt;Controls!$B$19,NA(),IFERROR(COUNTIFS(Data!$AK$2:$AK$1105,1,Data!$AX$2:$AX$1105,$A$219,Data!$N$2:$N$1105,"Renewal")/COUNTIFS(Data!$AK$2:$AK$1105,1,Data!$AX$2:$AX$1105,$A$219),NA())))</f>
        <v/>
      </c>
      <c r="R219" s="62">
        <f>IF($A$219="",NA(),IF(COUNTIFS(Data!$AK$2:$AK$1105,1,Data!$AX$2:$AX$1105,$A$219)&lt;Controls!$B$19,NA(),IFERROR(SUMIFS(Data!$P$2:$P$1105,Data!$AK$2:$AK$1105,1,Data!$AX$2:$AX$1105,$A$219,Data!$N$2:$N$1105,"Renewal")/SUMIFS(Data!$P$2:$P$1105,Data!$AK$2:$AK$1105,1,Data!$AX$2:$AX$1105,$A$219),NA())))</f>
        <v/>
      </c>
      <c r="S219" s="62">
        <f>IF($A$219="",NA(),Calc!$BT$2)</f>
        <v/>
      </c>
      <c r="T219" s="62">
        <f>IF($A$219="",NA(),Calc!$BT$3)</f>
        <v/>
      </c>
      <c r="U219" s="62">
        <f>IF($A$219="",NA(),Calc!$BT$4)</f>
        <v/>
      </c>
      <c r="V219" s="62">
        <f>IF($A$219="",NA(),IF(COUNTIFS(Data!$AK$2:$AK$1105,1,Data!$AX$2:$AX$1105,$A$219)&lt;Controls!$B$19,NA(),IFERROR(COUNTIFS(Data!$AK$2:$AK$1105,1,Data!$AX$2:$AX$1105,$A$219,Data!$AH$2:$AH$1105,1)/COUNTIFS(Data!$AK$2:$AK$1105,1,Data!$AX$2:$AX$1105,$A$219),NA())))</f>
        <v/>
      </c>
      <c r="W219" s="61">
        <f>IF($A$219="","",$A$219&amp;" ("&amp;$J$219&amp;")")</f>
        <v/>
      </c>
      <c r="X219" s="61" t="n"/>
      <c r="Y219" s="61" t="n"/>
      <c r="Z219" s="61" t="n"/>
      <c r="AA219" s="61" t="n"/>
      <c r="AB219" s="61" t="n"/>
      <c r="AC219" s="61" t="n"/>
      <c r="AD219" s="61" t="n"/>
      <c r="AE219" s="61" t="n"/>
      <c r="AF219" s="61" t="n"/>
      <c r="AG219" s="61" t="n"/>
      <c r="AH219" s="61" t="n"/>
      <c r="AI219" s="61" t="n"/>
      <c r="AJ219" s="61" t="n"/>
      <c r="AK219" s="61" t="n"/>
      <c r="AL219" s="61" t="n"/>
      <c r="AM219" s="61" t="n"/>
      <c r="AN219" s="61">
        <f>Controls!$G$116</f>
        <v/>
      </c>
      <c r="AO219" s="61">
        <f>COUNTIFS(Data!$AK$2:$AK$1105,1,Data!$M$2:$M$1105,$AN$219)</f>
        <v/>
      </c>
      <c r="AP219" s="57">
        <f>SUMIFS(Data!$P$2:$P$1105,Data!$AK$2:$AK$1105,1,Data!$M$2:$M$1105,$AN$219)</f>
        <v/>
      </c>
      <c r="AQ219" s="56">
        <f>IFERROR(SUMIFS(Data!$AN$2:$AN$1105,Data!$AK$2:$AK$1105,1,Data!$M$2:$M$1105,$AN$219)/$AP$219,0)</f>
        <v/>
      </c>
      <c r="AR219" s="57">
        <f>SUMIFS(Data!$AN$2:$AN$1105,Data!$AK$2:$AK$1105,1,Data!$M$2:$M$1105,$AN$219)</f>
        <v/>
      </c>
      <c r="AS219" s="61">
        <f>Controls!$H$116</f>
        <v/>
      </c>
      <c r="AT219" s="61">
        <f>IF(OR(AO219=0,AO219&lt;Controls!$B$20),-1000000000000000,IF(AND(Controls!$B$21="Y",$AN$219="No ISO"),-1000000000000000,IF(Controls!$B$17="Selected only",IF(AS219="Y",AP219,-1000000000000000),IF(Controls!$B$17="Top by funded $",AP219,IF(Controls!$B$17="Top by funded units",AO219,IF(Controls!$B$17="Largest principal lost $",AR219,IF(Controls!$B$17="Highest net profit $",AU219,IF(AO219&lt;Controls!$B$19,-1000000000000000,IF(Controls!$B$17="Highest principal lost rate %",AQ219,IF(Controls!$B$17="Lowest principal lost rate %",1-AQ219,AP219))))))))) +77/1000000)</f>
        <v/>
      </c>
      <c r="AU219" s="57">
        <f>SUMIFS(Data!$AM$2:$AM$1105,Data!$AK$2:$AK$1105,1,Data!$M$2:$M$1105,$AN$219)</f>
        <v/>
      </c>
      <c r="AV219" s="61" t="n"/>
      <c r="AW219" s="61" t="n"/>
      <c r="AX219" s="61" t="n"/>
      <c r="AY219" s="61" t="n"/>
      <c r="AZ219" s="61" t="n"/>
      <c r="BA219" s="61" t="n"/>
      <c r="BB219" s="61">
        <f>Controls!$G$184</f>
        <v/>
      </c>
      <c r="BC219" s="61">
        <f>COUNTIFS(Data!$AK$2:$AK$1105,1,Data!$M$2:$M$1105,$BB$219)</f>
        <v/>
      </c>
      <c r="BD219" s="57">
        <f>SUMIFS(Data!$P$2:$P$1105,Data!$AK$2:$AK$1105,1,Data!$M$2:$M$1105,$BB$219)</f>
        <v/>
      </c>
      <c r="BE219" s="56">
        <f>IF(COUNTIFS(Data!$AK$2:$AK$1105,1,Data!$M$2:$M$1105,$BB$219)&lt;Controls!$B$19,"",IFERROR(SUMIFS(Data!$AN$2:$AN$1105,Data!$AK$2:$AK$1105,1,Data!$M$2:$M$1105,$BB$219)/$BD$219,""))</f>
        <v/>
      </c>
      <c r="BF219" s="56">
        <f>IF(COUNTIFS(Data!$AK$2:$AK$1105,1,Data!$M$2:$M$1105,$BB$219)&lt;Controls!$B$19,"",IFERROR(SUMIFS(Data!$AM$2:$AM$1105,Data!$AK$2:$AK$1105,1,Data!$M$2:$M$1105,$BB$219)/SUMIFS(Data!$P$2:$P$1105,Data!$AK$2:$AK$1105,1,Data!$M$2:$M$1105,$BB$219),""))</f>
        <v/>
      </c>
      <c r="BG219" s="57">
        <f>SUMIFS(Data!$AN$2:$AN$1105,Data!$AK$2:$AK$1105,1,Data!$M$2:$M$1105,$BB$219)</f>
        <v/>
      </c>
      <c r="BH219" s="61" t="n"/>
      <c r="BI219" s="61">
        <f>IF(AND($BC$219&gt;=Controls!$B$22,$BD$219&gt;=LARGE($BD$75:$BD$230,MIN(Controls!$B$18,COUNT($BD$75:$BD$230)))),$BE$219,"")</f>
        <v/>
      </c>
      <c r="BJ219" s="61" t="n"/>
      <c r="BK219" s="61">
        <f>IF($BC$219&lt;Controls!$B$22,"",$BE$219)</f>
        <v/>
      </c>
      <c r="BL219" s="61">
        <f>IF($BC$219&lt;Controls!$B$22,"",$BF$219)</f>
        <v/>
      </c>
      <c r="BM219" s="61">
        <f>IF($BC$219&lt;Controls!$B$22,"",$BG$219)</f>
        <v/>
      </c>
      <c r="BN219" s="61" t="n"/>
      <c r="BO219" s="61" t="n"/>
      <c r="BP219" s="61" t="n"/>
      <c r="BQ219" s="61" t="n"/>
      <c r="BR219" s="61" t="n"/>
      <c r="BS219" s="61" t="n"/>
      <c r="BT219" s="61" t="n"/>
    </row>
    <row r="220" ht="15.75" customHeight="1" s="79">
      <c r="A220" s="61">
        <f>IF(COUNTIFS(Data!$AK$2:$AK$1105,1,Data!$AX$2:$AX$1105,"0.30-0.50x")=0,"","0.30-0.50x")</f>
        <v/>
      </c>
      <c r="B220" s="66">
        <f>IF($A$220="",NA(),IFERROR(SUMIFS(Data!$P$2:$P$1105,Data!$AK$2:$AK$1105,1,Data!$AX$2:$AX$1105,$A$220),NA()))</f>
        <v/>
      </c>
      <c r="C220" s="66">
        <f>IF($A$220="",NA(),IFERROR(SUMIFS(Data!$S$2:$S$1105,Data!$AK$2:$AK$1105,1,Data!$AX$2:$AX$1105,$A$220),NA()))</f>
        <v/>
      </c>
      <c r="D220" s="66">
        <f>IF(ISNA($B$220),NA(),$C$220-$B$220)</f>
        <v/>
      </c>
      <c r="E220" s="66">
        <f>IF($A$220="",NA(),IFERROR(SUMIFS(Data!$Q$2:$Q$1105,Data!$AK$2:$AK$1105,1,Data!$AX$2:$AX$1105,$A$220),NA()))</f>
        <v/>
      </c>
      <c r="F220" s="66">
        <f>IF($A$220="",NA(),IFERROR(SUMIFS(Data!$AN$2:$AN$1105,Data!$AK$2:$AK$1105,1,Data!$AX$2:$AX$1105,$A$220),NA()))</f>
        <v/>
      </c>
      <c r="G220" s="62">
        <f>IF($A$220="",NA(),IF(COUNTIFS(Data!$AK$2:$AK$1105,1,Data!$AX$2:$AX$1105,$A$220)&lt;Controls!$B$19,NA(),IFERROR(SUMIFS(Data!$AN$2:$AN$1105,Data!$AK$2:$AK$1105,1,Data!$AX$2:$AX$1105,$A$220)/$B$220,NA())))</f>
        <v/>
      </c>
      <c r="H220" s="62">
        <f>IF($A$220="",NA(),IF(COUNTIFS(Data!$AK$2:$AK$1105,1,Data!$AX$2:$AX$1105,$A$220)&lt;Controls!$B$19,NA(),IFERROR(SUMIFS(Data!$S$2:$S$1105,Data!$AK$2:$AK$1105,1,Data!$AX$2:$AX$1105,$A$220,Data!$AH$2:$AH$1105,1)/SUMIFS(Data!$P$2:$P$1105,Data!$AK$2:$AK$1105,1,Data!$AX$2:$AX$1105,$A$220,Data!$AH$2:$AH$1105,1),NA())))</f>
        <v/>
      </c>
      <c r="I220" s="62">
        <f>IF(ISNA($J$220),NA(),IF($J$220&lt;Controls!$B$19,NA(),IFERROR($D$220/$B$220,NA())))</f>
        <v/>
      </c>
      <c r="J220" s="67">
        <f>IF($A$220="",NA(),IFERROR(COUNTIFS(Data!$AK$2:$AK$1105,1,Data!$AX$2:$AX$1105,$A$220),NA()))</f>
        <v/>
      </c>
      <c r="K220" s="62">
        <f>IF(ISNA($B$220),NA(),IFERROR($B$220/Calc!$BT$6,NA()))</f>
        <v/>
      </c>
      <c r="L220" s="66">
        <f>IF(ISNA($J$220),NA(),IF($J$220&lt;Controls!$B$19,NA(),IFERROR($B$220/$J$220,NA())))</f>
        <v/>
      </c>
      <c r="M220" s="67">
        <f>IF($A$220="",NA(),IF(COUNTIFS(Data!$AK$2:$AK$1105,1,Data!$AX$2:$AX$1105,$A$220)&lt;Controls!$B$19,NA(),IFERROR(AVERAGEIFS(Data!$AE$2:$AE$1105,Data!$AK$2:$AK$1105,1,Data!$AX$2:$AX$1105,$A$220),NA())))</f>
        <v/>
      </c>
      <c r="N220" s="67">
        <f>IF($A$220="",NA(),IF(COUNTIFS(Data!$AK$2:$AK$1105,1,Data!$AX$2:$AX$1105,$A$220)&lt;Controls!$B$19,NA(),IFERROR(AVERAGEIFS(Data!$AD$2:$AD$1105,Data!$AK$2:$AK$1105,1,Data!$AX$2:$AX$1105,$A$220),NA())))</f>
        <v/>
      </c>
      <c r="O220" s="67">
        <f>IF($A$220="",NA(),IF(COUNTIFS(Data!$AK$2:$AK$1105,1,Data!$AX$2:$AX$1105,$A$220)&lt;Controls!$B$19,NA(),IFERROR(AVERAGEIFS(Data!$AS$2:$AS$1105,Data!$AK$2:$AK$1105,1,Data!$AX$2:$AX$1105,$A$220),NA())))</f>
        <v/>
      </c>
      <c r="P220" s="67">
        <f>IF($A$220="",NA(),IF(COUNTIFS(Data!$AK$2:$AK$1105,1,Data!$AX$2:$AX$1105,$A$220)&lt;Controls!$B$19,NA(),IFERROR(AVERAGEIFS(Data!$AT$2:$AT$1105,Data!$AK$2:$AK$1105,1,Data!$AX$2:$AX$1105,$A$220),NA())))</f>
        <v/>
      </c>
      <c r="Q220" s="62">
        <f>IF($A$220="",NA(),IF(COUNTIFS(Data!$AK$2:$AK$1105,1,Data!$AX$2:$AX$1105,$A$220)&lt;Controls!$B$19,NA(),IFERROR(COUNTIFS(Data!$AK$2:$AK$1105,1,Data!$AX$2:$AX$1105,$A$220,Data!$N$2:$N$1105,"Renewal")/COUNTIFS(Data!$AK$2:$AK$1105,1,Data!$AX$2:$AX$1105,$A$220),NA())))</f>
        <v/>
      </c>
      <c r="R220" s="62">
        <f>IF($A$220="",NA(),IF(COUNTIFS(Data!$AK$2:$AK$1105,1,Data!$AX$2:$AX$1105,$A$220)&lt;Controls!$B$19,NA(),IFERROR(SUMIFS(Data!$P$2:$P$1105,Data!$AK$2:$AK$1105,1,Data!$AX$2:$AX$1105,$A$220,Data!$N$2:$N$1105,"Renewal")/SUMIFS(Data!$P$2:$P$1105,Data!$AK$2:$AK$1105,1,Data!$AX$2:$AX$1105,$A$220),NA())))</f>
        <v/>
      </c>
      <c r="S220" s="62">
        <f>IF($A$220="",NA(),Calc!$BT$2)</f>
        <v/>
      </c>
      <c r="T220" s="62">
        <f>IF($A$220="",NA(),Calc!$BT$3)</f>
        <v/>
      </c>
      <c r="U220" s="62">
        <f>IF($A$220="",NA(),Calc!$BT$4)</f>
        <v/>
      </c>
      <c r="V220" s="62">
        <f>IF($A$220="",NA(),IF(COUNTIFS(Data!$AK$2:$AK$1105,1,Data!$AX$2:$AX$1105,$A$220)&lt;Controls!$B$19,NA(),IFERROR(COUNTIFS(Data!$AK$2:$AK$1105,1,Data!$AX$2:$AX$1105,$A$220,Data!$AH$2:$AH$1105,1)/COUNTIFS(Data!$AK$2:$AK$1105,1,Data!$AX$2:$AX$1105,$A$220),NA())))</f>
        <v/>
      </c>
      <c r="W220" s="61">
        <f>IF($A$220="","",$A$220&amp;" ("&amp;$J$220&amp;")")</f>
        <v/>
      </c>
      <c r="X220" s="61" t="n"/>
      <c r="Y220" s="61" t="n"/>
      <c r="Z220" s="61" t="n"/>
      <c r="AA220" s="61" t="n"/>
      <c r="AB220" s="61" t="n"/>
      <c r="AC220" s="61" t="n"/>
      <c r="AD220" s="61" t="n"/>
      <c r="AE220" s="61" t="n"/>
      <c r="AF220" s="61" t="n"/>
      <c r="AG220" s="61" t="n"/>
      <c r="AH220" s="61" t="n"/>
      <c r="AI220" s="61" t="n"/>
      <c r="AJ220" s="61" t="n"/>
      <c r="AK220" s="61" t="n"/>
      <c r="AL220" s="61" t="n"/>
      <c r="AM220" s="61" t="n"/>
      <c r="AN220" s="61">
        <f>Controls!$G$117</f>
        <v/>
      </c>
      <c r="AO220" s="61">
        <f>COUNTIFS(Data!$AK$2:$AK$1105,1,Data!$M$2:$M$1105,$AN$220)</f>
        <v/>
      </c>
      <c r="AP220" s="57">
        <f>SUMIFS(Data!$P$2:$P$1105,Data!$AK$2:$AK$1105,1,Data!$M$2:$M$1105,$AN$220)</f>
        <v/>
      </c>
      <c r="AQ220" s="56">
        <f>IFERROR(SUMIFS(Data!$AN$2:$AN$1105,Data!$AK$2:$AK$1105,1,Data!$M$2:$M$1105,$AN$220)/$AP$220,0)</f>
        <v/>
      </c>
      <c r="AR220" s="57">
        <f>SUMIFS(Data!$AN$2:$AN$1105,Data!$AK$2:$AK$1105,1,Data!$M$2:$M$1105,$AN$220)</f>
        <v/>
      </c>
      <c r="AS220" s="61">
        <f>Controls!$H$117</f>
        <v/>
      </c>
      <c r="AT220" s="61">
        <f>IF(OR(AO220=0,AO220&lt;Controls!$B$20),-1000000000000000,IF(AND(Controls!$B$21="Y",$AN$220="No ISO"),-1000000000000000,IF(Controls!$B$17="Selected only",IF(AS220="Y",AP220,-1000000000000000),IF(Controls!$B$17="Top by funded $",AP220,IF(Controls!$B$17="Top by funded units",AO220,IF(Controls!$B$17="Largest principal lost $",AR220,IF(Controls!$B$17="Highest net profit $",AU220,IF(AO220&lt;Controls!$B$19,-1000000000000000,IF(Controls!$B$17="Highest principal lost rate %",AQ220,IF(Controls!$B$17="Lowest principal lost rate %",1-AQ220,AP220))))))))) +78/1000000)</f>
        <v/>
      </c>
      <c r="AU220" s="57">
        <f>SUMIFS(Data!$AM$2:$AM$1105,Data!$AK$2:$AK$1105,1,Data!$M$2:$M$1105,$AN$220)</f>
        <v/>
      </c>
      <c r="AV220" s="61" t="n"/>
      <c r="AW220" s="61" t="n"/>
      <c r="AX220" s="61" t="n"/>
      <c r="AY220" s="61" t="n"/>
      <c r="AZ220" s="61" t="n"/>
      <c r="BA220" s="61" t="n"/>
      <c r="BB220" s="61">
        <f>Controls!$G$185</f>
        <v/>
      </c>
      <c r="BC220" s="61">
        <f>COUNTIFS(Data!$AK$2:$AK$1105,1,Data!$M$2:$M$1105,$BB$220)</f>
        <v/>
      </c>
      <c r="BD220" s="57">
        <f>SUMIFS(Data!$P$2:$P$1105,Data!$AK$2:$AK$1105,1,Data!$M$2:$M$1105,$BB$220)</f>
        <v/>
      </c>
      <c r="BE220" s="56">
        <f>IF(COUNTIFS(Data!$AK$2:$AK$1105,1,Data!$M$2:$M$1105,$BB$220)&lt;Controls!$B$19,"",IFERROR(SUMIFS(Data!$AN$2:$AN$1105,Data!$AK$2:$AK$1105,1,Data!$M$2:$M$1105,$BB$220)/$BD$220,""))</f>
        <v/>
      </c>
      <c r="BF220" s="56">
        <f>IF(COUNTIFS(Data!$AK$2:$AK$1105,1,Data!$M$2:$M$1105,$BB$220)&lt;Controls!$B$19,"",IFERROR(SUMIFS(Data!$AM$2:$AM$1105,Data!$AK$2:$AK$1105,1,Data!$M$2:$M$1105,$BB$220)/SUMIFS(Data!$P$2:$P$1105,Data!$AK$2:$AK$1105,1,Data!$M$2:$M$1105,$BB$220),""))</f>
        <v/>
      </c>
      <c r="BG220" s="57">
        <f>SUMIFS(Data!$AN$2:$AN$1105,Data!$AK$2:$AK$1105,1,Data!$M$2:$M$1105,$BB$220)</f>
        <v/>
      </c>
      <c r="BH220" s="61" t="n"/>
      <c r="BI220" s="61">
        <f>IF(AND($BC$220&gt;=Controls!$B$22,$BD$220&gt;=LARGE($BD$75:$BD$230,MIN(Controls!$B$18,COUNT($BD$75:$BD$230)))),$BE$220,"")</f>
        <v/>
      </c>
      <c r="BJ220" s="61" t="n"/>
      <c r="BK220" s="61">
        <f>IF($BC$220&lt;Controls!$B$22,"",$BE$220)</f>
        <v/>
      </c>
      <c r="BL220" s="61">
        <f>IF($BC$220&lt;Controls!$B$22,"",$BF$220)</f>
        <v/>
      </c>
      <c r="BM220" s="61">
        <f>IF($BC$220&lt;Controls!$B$22,"",$BG$220)</f>
        <v/>
      </c>
      <c r="BN220" s="61" t="n"/>
      <c r="BO220" s="61" t="n"/>
      <c r="BP220" s="61" t="n"/>
      <c r="BQ220" s="61" t="n"/>
      <c r="BR220" s="61" t="n"/>
      <c r="BS220" s="61" t="n"/>
      <c r="BT220" s="61" t="n"/>
    </row>
    <row r="221" ht="15.75" customHeight="1" s="79">
      <c r="A221" s="61">
        <f>IF(COUNTIFS(Data!$AK$2:$AK$1105,1,Data!$AX$2:$AX$1105,"0.50-1.00x")=0,"","0.50-1.00x")</f>
        <v/>
      </c>
      <c r="B221" s="66">
        <f>IF($A$221="",NA(),IFERROR(SUMIFS(Data!$P$2:$P$1105,Data!$AK$2:$AK$1105,1,Data!$AX$2:$AX$1105,$A$221),NA()))</f>
        <v/>
      </c>
      <c r="C221" s="66">
        <f>IF($A$221="",NA(),IFERROR(SUMIFS(Data!$S$2:$S$1105,Data!$AK$2:$AK$1105,1,Data!$AX$2:$AX$1105,$A$221),NA()))</f>
        <v/>
      </c>
      <c r="D221" s="66">
        <f>IF(ISNA($B$221),NA(),$C$221-$B$221)</f>
        <v/>
      </c>
      <c r="E221" s="66">
        <f>IF($A$221="",NA(),IFERROR(SUMIFS(Data!$Q$2:$Q$1105,Data!$AK$2:$AK$1105,1,Data!$AX$2:$AX$1105,$A$221),NA()))</f>
        <v/>
      </c>
      <c r="F221" s="66">
        <f>IF($A$221="",NA(),IFERROR(SUMIFS(Data!$AN$2:$AN$1105,Data!$AK$2:$AK$1105,1,Data!$AX$2:$AX$1105,$A$221),NA()))</f>
        <v/>
      </c>
      <c r="G221" s="62">
        <f>IF($A$221="",NA(),IF(COUNTIFS(Data!$AK$2:$AK$1105,1,Data!$AX$2:$AX$1105,$A$221)&lt;Controls!$B$19,NA(),IFERROR(SUMIFS(Data!$AN$2:$AN$1105,Data!$AK$2:$AK$1105,1,Data!$AX$2:$AX$1105,$A$221)/$B$221,NA())))</f>
        <v/>
      </c>
      <c r="H221" s="62">
        <f>IF($A$221="",NA(),IF(COUNTIFS(Data!$AK$2:$AK$1105,1,Data!$AX$2:$AX$1105,$A$221)&lt;Controls!$B$19,NA(),IFERROR(SUMIFS(Data!$S$2:$S$1105,Data!$AK$2:$AK$1105,1,Data!$AX$2:$AX$1105,$A$221,Data!$AH$2:$AH$1105,1)/SUMIFS(Data!$P$2:$P$1105,Data!$AK$2:$AK$1105,1,Data!$AX$2:$AX$1105,$A$221,Data!$AH$2:$AH$1105,1),NA())))</f>
        <v/>
      </c>
      <c r="I221" s="62">
        <f>IF(ISNA($J$221),NA(),IF($J$221&lt;Controls!$B$19,NA(),IFERROR($D$221/$B$221,NA())))</f>
        <v/>
      </c>
      <c r="J221" s="67">
        <f>IF($A$221="",NA(),IFERROR(COUNTIFS(Data!$AK$2:$AK$1105,1,Data!$AX$2:$AX$1105,$A$221),NA()))</f>
        <v/>
      </c>
      <c r="K221" s="62">
        <f>IF(ISNA($B$221),NA(),IFERROR($B$221/Calc!$BT$6,NA()))</f>
        <v/>
      </c>
      <c r="L221" s="66">
        <f>IF(ISNA($J$221),NA(),IF($J$221&lt;Controls!$B$19,NA(),IFERROR($B$221/$J$221,NA())))</f>
        <v/>
      </c>
      <c r="M221" s="67">
        <f>IF($A$221="",NA(),IF(COUNTIFS(Data!$AK$2:$AK$1105,1,Data!$AX$2:$AX$1105,$A$221)&lt;Controls!$B$19,NA(),IFERROR(AVERAGEIFS(Data!$AE$2:$AE$1105,Data!$AK$2:$AK$1105,1,Data!$AX$2:$AX$1105,$A$221),NA())))</f>
        <v/>
      </c>
      <c r="N221" s="67">
        <f>IF($A$221="",NA(),IF(COUNTIFS(Data!$AK$2:$AK$1105,1,Data!$AX$2:$AX$1105,$A$221)&lt;Controls!$B$19,NA(),IFERROR(AVERAGEIFS(Data!$AD$2:$AD$1105,Data!$AK$2:$AK$1105,1,Data!$AX$2:$AX$1105,$A$221),NA())))</f>
        <v/>
      </c>
      <c r="O221" s="67">
        <f>IF($A$221="",NA(),IF(COUNTIFS(Data!$AK$2:$AK$1105,1,Data!$AX$2:$AX$1105,$A$221)&lt;Controls!$B$19,NA(),IFERROR(AVERAGEIFS(Data!$AS$2:$AS$1105,Data!$AK$2:$AK$1105,1,Data!$AX$2:$AX$1105,$A$221),NA())))</f>
        <v/>
      </c>
      <c r="P221" s="67">
        <f>IF($A$221="",NA(),IF(COUNTIFS(Data!$AK$2:$AK$1105,1,Data!$AX$2:$AX$1105,$A$221)&lt;Controls!$B$19,NA(),IFERROR(AVERAGEIFS(Data!$AT$2:$AT$1105,Data!$AK$2:$AK$1105,1,Data!$AX$2:$AX$1105,$A$221),NA())))</f>
        <v/>
      </c>
      <c r="Q221" s="62">
        <f>IF($A$221="",NA(),IF(COUNTIFS(Data!$AK$2:$AK$1105,1,Data!$AX$2:$AX$1105,$A$221)&lt;Controls!$B$19,NA(),IFERROR(COUNTIFS(Data!$AK$2:$AK$1105,1,Data!$AX$2:$AX$1105,$A$221,Data!$N$2:$N$1105,"Renewal")/COUNTIFS(Data!$AK$2:$AK$1105,1,Data!$AX$2:$AX$1105,$A$221),NA())))</f>
        <v/>
      </c>
      <c r="R221" s="62">
        <f>IF($A$221="",NA(),IF(COUNTIFS(Data!$AK$2:$AK$1105,1,Data!$AX$2:$AX$1105,$A$221)&lt;Controls!$B$19,NA(),IFERROR(SUMIFS(Data!$P$2:$P$1105,Data!$AK$2:$AK$1105,1,Data!$AX$2:$AX$1105,$A$221,Data!$N$2:$N$1105,"Renewal")/SUMIFS(Data!$P$2:$P$1105,Data!$AK$2:$AK$1105,1,Data!$AX$2:$AX$1105,$A$221),NA())))</f>
        <v/>
      </c>
      <c r="S221" s="62">
        <f>IF($A$221="",NA(),Calc!$BT$2)</f>
        <v/>
      </c>
      <c r="T221" s="62">
        <f>IF($A$221="",NA(),Calc!$BT$3)</f>
        <v/>
      </c>
      <c r="U221" s="62">
        <f>IF($A$221="",NA(),Calc!$BT$4)</f>
        <v/>
      </c>
      <c r="V221" s="62">
        <f>IF($A$221="",NA(),IF(COUNTIFS(Data!$AK$2:$AK$1105,1,Data!$AX$2:$AX$1105,$A$221)&lt;Controls!$B$19,NA(),IFERROR(COUNTIFS(Data!$AK$2:$AK$1105,1,Data!$AX$2:$AX$1105,$A$221,Data!$AH$2:$AH$1105,1)/COUNTIFS(Data!$AK$2:$AK$1105,1,Data!$AX$2:$AX$1105,$A$221),NA())))</f>
        <v/>
      </c>
      <c r="W221" s="61">
        <f>IF($A$221="","",$A$221&amp;" ("&amp;$J$221&amp;")")</f>
        <v/>
      </c>
      <c r="X221" s="61" t="n"/>
      <c r="Y221" s="61" t="n"/>
      <c r="Z221" s="61" t="n"/>
      <c r="AA221" s="61" t="n"/>
      <c r="AB221" s="61" t="n"/>
      <c r="AC221" s="61" t="n"/>
      <c r="AD221" s="61" t="n"/>
      <c r="AE221" s="61" t="n"/>
      <c r="AF221" s="61" t="n"/>
      <c r="AG221" s="61" t="n"/>
      <c r="AH221" s="61" t="n"/>
      <c r="AI221" s="61" t="n"/>
      <c r="AJ221" s="61" t="n"/>
      <c r="AK221" s="61" t="n"/>
      <c r="AL221" s="61" t="n"/>
      <c r="AM221" s="61" t="n"/>
      <c r="AN221" s="61">
        <f>Controls!$G$118</f>
        <v/>
      </c>
      <c r="AO221" s="61">
        <f>COUNTIFS(Data!$AK$2:$AK$1105,1,Data!$M$2:$M$1105,$AN$221)</f>
        <v/>
      </c>
      <c r="AP221" s="57">
        <f>SUMIFS(Data!$P$2:$P$1105,Data!$AK$2:$AK$1105,1,Data!$M$2:$M$1105,$AN$221)</f>
        <v/>
      </c>
      <c r="AQ221" s="56">
        <f>IFERROR(SUMIFS(Data!$AN$2:$AN$1105,Data!$AK$2:$AK$1105,1,Data!$M$2:$M$1105,$AN$221)/$AP$221,0)</f>
        <v/>
      </c>
      <c r="AR221" s="57">
        <f>SUMIFS(Data!$AN$2:$AN$1105,Data!$AK$2:$AK$1105,1,Data!$M$2:$M$1105,$AN$221)</f>
        <v/>
      </c>
      <c r="AS221" s="61">
        <f>Controls!$H$118</f>
        <v/>
      </c>
      <c r="AT221" s="61">
        <f>IF(OR(AO221=0,AO221&lt;Controls!$B$20),-1000000000000000,IF(AND(Controls!$B$21="Y",$AN$221="No ISO"),-1000000000000000,IF(Controls!$B$17="Selected only",IF(AS221="Y",AP221,-1000000000000000),IF(Controls!$B$17="Top by funded $",AP221,IF(Controls!$B$17="Top by funded units",AO221,IF(Controls!$B$17="Largest principal lost $",AR221,IF(Controls!$B$17="Highest net profit $",AU221,IF(AO221&lt;Controls!$B$19,-1000000000000000,IF(Controls!$B$17="Highest principal lost rate %",AQ221,IF(Controls!$B$17="Lowest principal lost rate %",1-AQ221,AP221))))))))) +79/1000000)</f>
        <v/>
      </c>
      <c r="AU221" s="57">
        <f>SUMIFS(Data!$AM$2:$AM$1105,Data!$AK$2:$AK$1105,1,Data!$M$2:$M$1105,$AN$221)</f>
        <v/>
      </c>
      <c r="AV221" s="61" t="n"/>
      <c r="AW221" s="61" t="n"/>
      <c r="AX221" s="61" t="n"/>
      <c r="AY221" s="61" t="n"/>
      <c r="AZ221" s="61" t="n"/>
      <c r="BA221" s="61" t="n"/>
      <c r="BB221" s="61">
        <f>Controls!$G$186</f>
        <v/>
      </c>
      <c r="BC221" s="61">
        <f>COUNTIFS(Data!$AK$2:$AK$1105,1,Data!$M$2:$M$1105,$BB$221)</f>
        <v/>
      </c>
      <c r="BD221" s="57">
        <f>SUMIFS(Data!$P$2:$P$1105,Data!$AK$2:$AK$1105,1,Data!$M$2:$M$1105,$BB$221)</f>
        <v/>
      </c>
      <c r="BE221" s="56">
        <f>IF(COUNTIFS(Data!$AK$2:$AK$1105,1,Data!$M$2:$M$1105,$BB$221)&lt;Controls!$B$19,"",IFERROR(SUMIFS(Data!$AN$2:$AN$1105,Data!$AK$2:$AK$1105,1,Data!$M$2:$M$1105,$BB$221)/$BD$221,""))</f>
        <v/>
      </c>
      <c r="BF221" s="56">
        <f>IF(COUNTIFS(Data!$AK$2:$AK$1105,1,Data!$M$2:$M$1105,$BB$221)&lt;Controls!$B$19,"",IFERROR(SUMIFS(Data!$AM$2:$AM$1105,Data!$AK$2:$AK$1105,1,Data!$M$2:$M$1105,$BB$221)/SUMIFS(Data!$P$2:$P$1105,Data!$AK$2:$AK$1105,1,Data!$M$2:$M$1105,$BB$221),""))</f>
        <v/>
      </c>
      <c r="BG221" s="57">
        <f>SUMIFS(Data!$AN$2:$AN$1105,Data!$AK$2:$AK$1105,1,Data!$M$2:$M$1105,$BB$221)</f>
        <v/>
      </c>
      <c r="BH221" s="61" t="n"/>
      <c r="BI221" s="61">
        <f>IF(AND($BC$221&gt;=Controls!$B$22,$BD$221&gt;=LARGE($BD$75:$BD$230,MIN(Controls!$B$18,COUNT($BD$75:$BD$230)))),$BE$221,"")</f>
        <v/>
      </c>
      <c r="BJ221" s="61" t="n"/>
      <c r="BK221" s="61">
        <f>IF($BC$221&lt;Controls!$B$22,"",$BE$221)</f>
        <v/>
      </c>
      <c r="BL221" s="61">
        <f>IF($BC$221&lt;Controls!$B$22,"",$BF$221)</f>
        <v/>
      </c>
      <c r="BM221" s="61">
        <f>IF($BC$221&lt;Controls!$B$22,"",$BG$221)</f>
        <v/>
      </c>
      <c r="BN221" s="61" t="n"/>
      <c r="BO221" s="61" t="n"/>
      <c r="BP221" s="61" t="n"/>
      <c r="BQ221" s="61" t="n"/>
      <c r="BR221" s="61" t="n"/>
      <c r="BS221" s="61" t="n"/>
      <c r="BT221" s="61" t="n"/>
    </row>
    <row r="222" ht="15.75" customHeight="1" s="79">
      <c r="A222" s="61">
        <f>IF(COUNTIFS(Data!$AK$2:$AK$1105,1,Data!$AX$2:$AX$1105,"1.00x+")=0,"","1.00x+")</f>
        <v/>
      </c>
      <c r="B222" s="66">
        <f>IF($A$222="",NA(),IFERROR(SUMIFS(Data!$P$2:$P$1105,Data!$AK$2:$AK$1105,1,Data!$AX$2:$AX$1105,$A$222),NA()))</f>
        <v/>
      </c>
      <c r="C222" s="66">
        <f>IF($A$222="",NA(),IFERROR(SUMIFS(Data!$S$2:$S$1105,Data!$AK$2:$AK$1105,1,Data!$AX$2:$AX$1105,$A$222),NA()))</f>
        <v/>
      </c>
      <c r="D222" s="66">
        <f>IF(ISNA($B$222),NA(),$C$222-$B$222)</f>
        <v/>
      </c>
      <c r="E222" s="66">
        <f>IF($A$222="",NA(),IFERROR(SUMIFS(Data!$Q$2:$Q$1105,Data!$AK$2:$AK$1105,1,Data!$AX$2:$AX$1105,$A$222),NA()))</f>
        <v/>
      </c>
      <c r="F222" s="66">
        <f>IF($A$222="",NA(),IFERROR(SUMIFS(Data!$AN$2:$AN$1105,Data!$AK$2:$AK$1105,1,Data!$AX$2:$AX$1105,$A$222),NA()))</f>
        <v/>
      </c>
      <c r="G222" s="62">
        <f>IF($A$222="",NA(),IF(COUNTIFS(Data!$AK$2:$AK$1105,1,Data!$AX$2:$AX$1105,$A$222)&lt;Controls!$B$19,NA(),IFERROR(SUMIFS(Data!$AN$2:$AN$1105,Data!$AK$2:$AK$1105,1,Data!$AX$2:$AX$1105,$A$222)/$B$222,NA())))</f>
        <v/>
      </c>
      <c r="H222" s="62">
        <f>IF($A$222="",NA(),IF(COUNTIFS(Data!$AK$2:$AK$1105,1,Data!$AX$2:$AX$1105,$A$222)&lt;Controls!$B$19,NA(),IFERROR(SUMIFS(Data!$S$2:$S$1105,Data!$AK$2:$AK$1105,1,Data!$AX$2:$AX$1105,$A$222,Data!$AH$2:$AH$1105,1)/SUMIFS(Data!$P$2:$P$1105,Data!$AK$2:$AK$1105,1,Data!$AX$2:$AX$1105,$A$222,Data!$AH$2:$AH$1105,1),NA())))</f>
        <v/>
      </c>
      <c r="I222" s="62">
        <f>IF(ISNA($J$222),NA(),IF($J$222&lt;Controls!$B$19,NA(),IFERROR($D$222/$B$222,NA())))</f>
        <v/>
      </c>
      <c r="J222" s="67">
        <f>IF($A$222="",NA(),IFERROR(COUNTIFS(Data!$AK$2:$AK$1105,1,Data!$AX$2:$AX$1105,$A$222),NA()))</f>
        <v/>
      </c>
      <c r="K222" s="62">
        <f>IF(ISNA($B$222),NA(),IFERROR($B$222/Calc!$BT$6,NA()))</f>
        <v/>
      </c>
      <c r="L222" s="66">
        <f>IF(ISNA($J$222),NA(),IF($J$222&lt;Controls!$B$19,NA(),IFERROR($B$222/$J$222,NA())))</f>
        <v/>
      </c>
      <c r="M222" s="67">
        <f>IF($A$222="",NA(),IF(COUNTIFS(Data!$AK$2:$AK$1105,1,Data!$AX$2:$AX$1105,$A$222)&lt;Controls!$B$19,NA(),IFERROR(AVERAGEIFS(Data!$AE$2:$AE$1105,Data!$AK$2:$AK$1105,1,Data!$AX$2:$AX$1105,$A$222),NA())))</f>
        <v/>
      </c>
      <c r="N222" s="67">
        <f>IF($A$222="",NA(),IF(COUNTIFS(Data!$AK$2:$AK$1105,1,Data!$AX$2:$AX$1105,$A$222)&lt;Controls!$B$19,NA(),IFERROR(AVERAGEIFS(Data!$AD$2:$AD$1105,Data!$AK$2:$AK$1105,1,Data!$AX$2:$AX$1105,$A$222),NA())))</f>
        <v/>
      </c>
      <c r="O222" s="67">
        <f>IF($A$222="",NA(),IF(COUNTIFS(Data!$AK$2:$AK$1105,1,Data!$AX$2:$AX$1105,$A$222)&lt;Controls!$B$19,NA(),IFERROR(AVERAGEIFS(Data!$AS$2:$AS$1105,Data!$AK$2:$AK$1105,1,Data!$AX$2:$AX$1105,$A$222),NA())))</f>
        <v/>
      </c>
      <c r="P222" s="67">
        <f>IF($A$222="",NA(),IF(COUNTIFS(Data!$AK$2:$AK$1105,1,Data!$AX$2:$AX$1105,$A$222)&lt;Controls!$B$19,NA(),IFERROR(AVERAGEIFS(Data!$AT$2:$AT$1105,Data!$AK$2:$AK$1105,1,Data!$AX$2:$AX$1105,$A$222),NA())))</f>
        <v/>
      </c>
      <c r="Q222" s="62">
        <f>IF($A$222="",NA(),IF(COUNTIFS(Data!$AK$2:$AK$1105,1,Data!$AX$2:$AX$1105,$A$222)&lt;Controls!$B$19,NA(),IFERROR(COUNTIFS(Data!$AK$2:$AK$1105,1,Data!$AX$2:$AX$1105,$A$222,Data!$N$2:$N$1105,"Renewal")/COUNTIFS(Data!$AK$2:$AK$1105,1,Data!$AX$2:$AX$1105,$A$222),NA())))</f>
        <v/>
      </c>
      <c r="R222" s="62">
        <f>IF($A$222="",NA(),IF(COUNTIFS(Data!$AK$2:$AK$1105,1,Data!$AX$2:$AX$1105,$A$222)&lt;Controls!$B$19,NA(),IFERROR(SUMIFS(Data!$P$2:$P$1105,Data!$AK$2:$AK$1105,1,Data!$AX$2:$AX$1105,$A$222,Data!$N$2:$N$1105,"Renewal")/SUMIFS(Data!$P$2:$P$1105,Data!$AK$2:$AK$1105,1,Data!$AX$2:$AX$1105,$A$222),NA())))</f>
        <v/>
      </c>
      <c r="S222" s="62">
        <f>IF($A$222="",NA(),Calc!$BT$2)</f>
        <v/>
      </c>
      <c r="T222" s="62">
        <f>IF($A$222="",NA(),Calc!$BT$3)</f>
        <v/>
      </c>
      <c r="U222" s="62">
        <f>IF($A$222="",NA(),Calc!$BT$4)</f>
        <v/>
      </c>
      <c r="V222" s="62">
        <f>IF($A$222="",NA(),IF(COUNTIFS(Data!$AK$2:$AK$1105,1,Data!$AX$2:$AX$1105,$A$222)&lt;Controls!$B$19,NA(),IFERROR(COUNTIFS(Data!$AK$2:$AK$1105,1,Data!$AX$2:$AX$1105,$A$222,Data!$AH$2:$AH$1105,1)/COUNTIFS(Data!$AK$2:$AK$1105,1,Data!$AX$2:$AX$1105,$A$222),NA())))</f>
        <v/>
      </c>
      <c r="W222" s="61">
        <f>IF($A$222="","",$A$222&amp;" ("&amp;$J$222&amp;")")</f>
        <v/>
      </c>
      <c r="X222" s="61" t="n"/>
      <c r="Y222" s="61" t="n"/>
      <c r="Z222" s="61" t="n"/>
      <c r="AA222" s="61" t="n"/>
      <c r="AB222" s="61" t="n"/>
      <c r="AC222" s="61" t="n"/>
      <c r="AD222" s="61" t="n"/>
      <c r="AE222" s="61" t="n"/>
      <c r="AF222" s="61" t="n"/>
      <c r="AG222" s="61" t="n"/>
      <c r="AH222" s="61" t="n"/>
      <c r="AI222" s="61" t="n"/>
      <c r="AJ222" s="61" t="n"/>
      <c r="AK222" s="61" t="n"/>
      <c r="AL222" s="61" t="n"/>
      <c r="AM222" s="61" t="n"/>
      <c r="AN222" s="61">
        <f>Controls!$G$119</f>
        <v/>
      </c>
      <c r="AO222" s="61">
        <f>COUNTIFS(Data!$AK$2:$AK$1105,1,Data!$M$2:$M$1105,$AN$222)</f>
        <v/>
      </c>
      <c r="AP222" s="57">
        <f>SUMIFS(Data!$P$2:$P$1105,Data!$AK$2:$AK$1105,1,Data!$M$2:$M$1105,$AN$222)</f>
        <v/>
      </c>
      <c r="AQ222" s="56">
        <f>IFERROR(SUMIFS(Data!$AN$2:$AN$1105,Data!$AK$2:$AK$1105,1,Data!$M$2:$M$1105,$AN$222)/$AP$222,0)</f>
        <v/>
      </c>
      <c r="AR222" s="57">
        <f>SUMIFS(Data!$AN$2:$AN$1105,Data!$AK$2:$AK$1105,1,Data!$M$2:$M$1105,$AN$222)</f>
        <v/>
      </c>
      <c r="AS222" s="61">
        <f>Controls!$H$119</f>
        <v/>
      </c>
      <c r="AT222" s="61">
        <f>IF(OR(AO222=0,AO222&lt;Controls!$B$20),-1000000000000000,IF(AND(Controls!$B$21="Y",$AN$222="No ISO"),-1000000000000000,IF(Controls!$B$17="Selected only",IF(AS222="Y",AP222,-1000000000000000),IF(Controls!$B$17="Top by funded $",AP222,IF(Controls!$B$17="Top by funded units",AO222,IF(Controls!$B$17="Largest principal lost $",AR222,IF(Controls!$B$17="Highest net profit $",AU222,IF(AO222&lt;Controls!$B$19,-1000000000000000,IF(Controls!$B$17="Highest principal lost rate %",AQ222,IF(Controls!$B$17="Lowest principal lost rate %",1-AQ222,AP222))))))))) +80/1000000)</f>
        <v/>
      </c>
      <c r="AU222" s="57">
        <f>SUMIFS(Data!$AM$2:$AM$1105,Data!$AK$2:$AK$1105,1,Data!$M$2:$M$1105,$AN$222)</f>
        <v/>
      </c>
      <c r="AV222" s="61" t="n"/>
      <c r="AW222" s="61" t="n"/>
      <c r="AX222" s="61" t="n"/>
      <c r="AY222" s="61" t="n"/>
      <c r="AZ222" s="61" t="n"/>
      <c r="BA222" s="61" t="n"/>
      <c r="BB222" s="61">
        <f>Controls!$G$187</f>
        <v/>
      </c>
      <c r="BC222" s="61">
        <f>COUNTIFS(Data!$AK$2:$AK$1105,1,Data!$M$2:$M$1105,$BB$222)</f>
        <v/>
      </c>
      <c r="BD222" s="57">
        <f>SUMIFS(Data!$P$2:$P$1105,Data!$AK$2:$AK$1105,1,Data!$M$2:$M$1105,$BB$222)</f>
        <v/>
      </c>
      <c r="BE222" s="56">
        <f>IF(COUNTIFS(Data!$AK$2:$AK$1105,1,Data!$M$2:$M$1105,$BB$222)&lt;Controls!$B$19,"",IFERROR(SUMIFS(Data!$AN$2:$AN$1105,Data!$AK$2:$AK$1105,1,Data!$M$2:$M$1105,$BB$222)/$BD$222,""))</f>
        <v/>
      </c>
      <c r="BF222" s="56">
        <f>IF(COUNTIFS(Data!$AK$2:$AK$1105,1,Data!$M$2:$M$1105,$BB$222)&lt;Controls!$B$19,"",IFERROR(SUMIFS(Data!$AM$2:$AM$1105,Data!$AK$2:$AK$1105,1,Data!$M$2:$M$1105,$BB$222)/SUMIFS(Data!$P$2:$P$1105,Data!$AK$2:$AK$1105,1,Data!$M$2:$M$1105,$BB$222),""))</f>
        <v/>
      </c>
      <c r="BG222" s="57">
        <f>SUMIFS(Data!$AN$2:$AN$1105,Data!$AK$2:$AK$1105,1,Data!$M$2:$M$1105,$BB$222)</f>
        <v/>
      </c>
      <c r="BH222" s="61" t="n"/>
      <c r="BI222" s="61">
        <f>IF(AND($BC$222&gt;=Controls!$B$22,$BD$222&gt;=LARGE($BD$75:$BD$230,MIN(Controls!$B$18,COUNT($BD$75:$BD$230)))),$BE$222,"")</f>
        <v/>
      </c>
      <c r="BJ222" s="61" t="n"/>
      <c r="BK222" s="56">
        <f>IF($BC$222&lt;Controls!$B$22,"",$BE$222)</f>
        <v/>
      </c>
      <c r="BL222" s="56">
        <f>IF($BC$222&lt;Controls!$B$22,"",$BF$222)</f>
        <v/>
      </c>
      <c r="BM222" s="57">
        <f>IF($BC$222&lt;Controls!$B$22,"",$BG$222)</f>
        <v/>
      </c>
      <c r="BN222" s="61" t="n"/>
      <c r="BO222" s="61" t="n"/>
      <c r="BP222" s="61" t="n"/>
      <c r="BQ222" s="61" t="n"/>
      <c r="BR222" s="61" t="n"/>
      <c r="BS222" s="61" t="n"/>
      <c r="BT222" s="61" t="n"/>
    </row>
    <row r="223" ht="15.75" customHeight="1" s="79">
      <c r="A223" s="61">
        <f>IF(OR(Controls!$B$21="Y",COUNTIFS(Data!$AK$2:$AK$1105,1,Data!$AX$2:$AX$1105,"No revenue data")=0),"","No revenue data")</f>
        <v/>
      </c>
      <c r="B223" s="66">
        <f>IF($A$223="",NA(),IFERROR(SUMIFS(Data!$P$2:$P$1105,Data!$AK$2:$AK$1105,1,Data!$AX$2:$AX$1105,$A$223),NA()))</f>
        <v/>
      </c>
      <c r="C223" s="66">
        <f>IF($A$223="",NA(),IFERROR(SUMIFS(Data!$S$2:$S$1105,Data!$AK$2:$AK$1105,1,Data!$AX$2:$AX$1105,$A$223),NA()))</f>
        <v/>
      </c>
      <c r="D223" s="66">
        <f>IF(ISNA($B$223),NA(),$C$223-$B$223)</f>
        <v/>
      </c>
      <c r="E223" s="66">
        <f>IF($A$223="",NA(),IFERROR(SUMIFS(Data!$Q$2:$Q$1105,Data!$AK$2:$AK$1105,1,Data!$AX$2:$AX$1105,$A$223),NA()))</f>
        <v/>
      </c>
      <c r="F223" s="66">
        <f>IF($A$223="",NA(),IFERROR(SUMIFS(Data!$AN$2:$AN$1105,Data!$AK$2:$AK$1105,1,Data!$AX$2:$AX$1105,$A$223),NA()))</f>
        <v/>
      </c>
      <c r="G223" s="62">
        <f>IF($A$223="",NA(),IF(COUNTIFS(Data!$AK$2:$AK$1105,1,Data!$AX$2:$AX$1105,$A$223)&lt;Controls!$B$19,NA(),IFERROR(SUMIFS(Data!$AN$2:$AN$1105,Data!$AK$2:$AK$1105,1,Data!$AX$2:$AX$1105,$A$223)/$B$223,NA())))</f>
        <v/>
      </c>
      <c r="H223" s="62">
        <f>IF($A$223="",NA(),IF(COUNTIFS(Data!$AK$2:$AK$1105,1,Data!$AX$2:$AX$1105,$A$223)&lt;Controls!$B$19,NA(),IFERROR(SUMIFS(Data!$S$2:$S$1105,Data!$AK$2:$AK$1105,1,Data!$AX$2:$AX$1105,$A$223,Data!$AH$2:$AH$1105,1)/SUMIFS(Data!$P$2:$P$1105,Data!$AK$2:$AK$1105,1,Data!$AX$2:$AX$1105,$A$223,Data!$AH$2:$AH$1105,1),NA())))</f>
        <v/>
      </c>
      <c r="I223" s="62">
        <f>IF(ISNA($J$223),NA(),IF($J$223&lt;Controls!$B$19,NA(),IFERROR($D$223/$B$223,NA())))</f>
        <v/>
      </c>
      <c r="J223" s="67">
        <f>IF($A$223="",NA(),IFERROR(COUNTIFS(Data!$AK$2:$AK$1105,1,Data!$AX$2:$AX$1105,$A$223),NA()))</f>
        <v/>
      </c>
      <c r="K223" s="62">
        <f>IF(ISNA($B$223),NA(),IFERROR($B$223/Calc!$BT$6,NA()))</f>
        <v/>
      </c>
      <c r="L223" s="66">
        <f>IF(ISNA($J$223),NA(),IF($J$223&lt;Controls!$B$19,NA(),IFERROR($B$223/$J$223,NA())))</f>
        <v/>
      </c>
      <c r="M223" s="67">
        <f>IF($A$223="",NA(),IF(COUNTIFS(Data!$AK$2:$AK$1105,1,Data!$AX$2:$AX$1105,$A$223)&lt;Controls!$B$19,NA(),IFERROR(AVERAGEIFS(Data!$AE$2:$AE$1105,Data!$AK$2:$AK$1105,1,Data!$AX$2:$AX$1105,$A$223),NA())))</f>
        <v/>
      </c>
      <c r="N223" s="67">
        <f>IF($A$223="",NA(),IF(COUNTIFS(Data!$AK$2:$AK$1105,1,Data!$AX$2:$AX$1105,$A$223)&lt;Controls!$B$19,NA(),IFERROR(AVERAGEIFS(Data!$AD$2:$AD$1105,Data!$AK$2:$AK$1105,1,Data!$AX$2:$AX$1105,$A$223),NA())))</f>
        <v/>
      </c>
      <c r="O223" s="67">
        <f>IF($A$223="",NA(),IF(COUNTIFS(Data!$AK$2:$AK$1105,1,Data!$AX$2:$AX$1105,$A$223)&lt;Controls!$B$19,NA(),IFERROR(AVERAGEIFS(Data!$AS$2:$AS$1105,Data!$AK$2:$AK$1105,1,Data!$AX$2:$AX$1105,$A$223),NA())))</f>
        <v/>
      </c>
      <c r="P223" s="67">
        <f>IF($A$223="",NA(),IF(COUNTIFS(Data!$AK$2:$AK$1105,1,Data!$AX$2:$AX$1105,$A$223)&lt;Controls!$B$19,NA(),IFERROR(AVERAGEIFS(Data!$AT$2:$AT$1105,Data!$AK$2:$AK$1105,1,Data!$AX$2:$AX$1105,$A$223),NA())))</f>
        <v/>
      </c>
      <c r="Q223" s="62">
        <f>IF($A$223="",NA(),IF(COUNTIFS(Data!$AK$2:$AK$1105,1,Data!$AX$2:$AX$1105,$A$223)&lt;Controls!$B$19,NA(),IFERROR(COUNTIFS(Data!$AK$2:$AK$1105,1,Data!$AX$2:$AX$1105,$A$223,Data!$N$2:$N$1105,"Renewal")/COUNTIFS(Data!$AK$2:$AK$1105,1,Data!$AX$2:$AX$1105,$A$223),NA())))</f>
        <v/>
      </c>
      <c r="R223" s="62">
        <f>IF($A$223="",NA(),IF(COUNTIFS(Data!$AK$2:$AK$1105,1,Data!$AX$2:$AX$1105,$A$223)&lt;Controls!$B$19,NA(),IFERROR(SUMIFS(Data!$P$2:$P$1105,Data!$AK$2:$AK$1105,1,Data!$AX$2:$AX$1105,$A$223,Data!$N$2:$N$1105,"Renewal")/SUMIFS(Data!$P$2:$P$1105,Data!$AK$2:$AK$1105,1,Data!$AX$2:$AX$1105,$A$223),NA())))</f>
        <v/>
      </c>
      <c r="S223" s="62">
        <f>IF($A$223="",NA(),Calc!$BT$2)</f>
        <v/>
      </c>
      <c r="T223" s="62">
        <f>IF($A$223="",NA(),Calc!$BT$3)</f>
        <v/>
      </c>
      <c r="U223" s="62">
        <f>IF($A$223="",NA(),Calc!$BT$4)</f>
        <v/>
      </c>
      <c r="V223" s="62">
        <f>IF($A$223="",NA(),IF(COUNTIFS(Data!$AK$2:$AK$1105,1,Data!$AX$2:$AX$1105,$A$223)&lt;Controls!$B$19,NA(),IFERROR(COUNTIFS(Data!$AK$2:$AK$1105,1,Data!$AX$2:$AX$1105,$A$223,Data!$AH$2:$AH$1105,1)/COUNTIFS(Data!$AK$2:$AK$1105,1,Data!$AX$2:$AX$1105,$A$223),NA())))</f>
        <v/>
      </c>
      <c r="W223" s="61">
        <f>IF($A$223="","",$A$223&amp;" ("&amp;$J$223&amp;")")</f>
        <v/>
      </c>
      <c r="X223" s="61" t="n"/>
      <c r="Y223" s="61" t="n"/>
      <c r="Z223" s="61" t="n"/>
      <c r="AA223" s="61" t="n"/>
      <c r="AB223" s="61" t="n"/>
      <c r="AC223" s="61" t="n"/>
      <c r="AD223" s="61" t="n"/>
      <c r="AE223" s="61" t="n"/>
      <c r="AF223" s="61" t="n"/>
      <c r="AG223" s="61" t="n"/>
      <c r="AH223" s="61" t="n"/>
      <c r="AI223" s="61" t="n"/>
      <c r="AJ223" s="61" t="n"/>
      <c r="AK223" s="61" t="n"/>
      <c r="AL223" s="61" t="n"/>
      <c r="AM223" s="61" t="n"/>
      <c r="AN223" s="61">
        <f>Controls!$G$120</f>
        <v/>
      </c>
      <c r="AO223" s="61">
        <f>COUNTIFS(Data!$AK$2:$AK$1105,1,Data!$M$2:$M$1105,$AN$223)</f>
        <v/>
      </c>
      <c r="AP223" s="57">
        <f>SUMIFS(Data!$P$2:$P$1105,Data!$AK$2:$AK$1105,1,Data!$M$2:$M$1105,$AN$223)</f>
        <v/>
      </c>
      <c r="AQ223" s="56">
        <f>IFERROR(SUMIFS(Data!$AN$2:$AN$1105,Data!$AK$2:$AK$1105,1,Data!$M$2:$M$1105,$AN$223)/$AP$223,0)</f>
        <v/>
      </c>
      <c r="AR223" s="57">
        <f>SUMIFS(Data!$AN$2:$AN$1105,Data!$AK$2:$AK$1105,1,Data!$M$2:$M$1105,$AN$223)</f>
        <v/>
      </c>
      <c r="AS223" s="61">
        <f>Controls!$H$120</f>
        <v/>
      </c>
      <c r="AT223" s="61">
        <f>IF(OR(AO223=0,AO223&lt;Controls!$B$20),-1000000000000000,IF(AND(Controls!$B$21="Y",$AN$223="No ISO"),-1000000000000000,IF(Controls!$B$17="Selected only",IF(AS223="Y",AP223,-1000000000000000),IF(Controls!$B$17="Top by funded $",AP223,IF(Controls!$B$17="Top by funded units",AO223,IF(Controls!$B$17="Largest principal lost $",AR223,IF(Controls!$B$17="Highest net profit $",AU223,IF(AO223&lt;Controls!$B$19,-1000000000000000,IF(Controls!$B$17="Highest principal lost rate %",AQ223,IF(Controls!$B$17="Lowest principal lost rate %",1-AQ223,AP223))))))))) +81/1000000)</f>
        <v/>
      </c>
      <c r="AU223" s="57">
        <f>SUMIFS(Data!$AM$2:$AM$1105,Data!$AK$2:$AK$1105,1,Data!$M$2:$M$1105,$AN$223)</f>
        <v/>
      </c>
      <c r="AV223" s="61" t="n"/>
      <c r="AW223" s="61" t="n"/>
      <c r="AX223" s="61" t="n"/>
      <c r="AY223" s="61" t="n"/>
      <c r="AZ223" s="61" t="n"/>
      <c r="BA223" s="61" t="n"/>
      <c r="BB223" s="61">
        <f>Controls!$G$188</f>
        <v/>
      </c>
      <c r="BC223" s="61">
        <f>COUNTIFS(Data!$AK$2:$AK$1105,1,Data!$M$2:$M$1105,$BB$223)</f>
        <v/>
      </c>
      <c r="BD223" s="57">
        <f>SUMIFS(Data!$P$2:$P$1105,Data!$AK$2:$AK$1105,1,Data!$M$2:$M$1105,$BB$223)</f>
        <v/>
      </c>
      <c r="BE223" s="56">
        <f>IF(COUNTIFS(Data!$AK$2:$AK$1105,1,Data!$M$2:$M$1105,$BB$223)&lt;Controls!$B$19,"",IFERROR(SUMIFS(Data!$AN$2:$AN$1105,Data!$AK$2:$AK$1105,1,Data!$M$2:$M$1105,$BB$223)/$BD$223,""))</f>
        <v/>
      </c>
      <c r="BF223" s="56">
        <f>IF(COUNTIFS(Data!$AK$2:$AK$1105,1,Data!$M$2:$M$1105,$BB$223)&lt;Controls!$B$19,"",IFERROR(SUMIFS(Data!$AM$2:$AM$1105,Data!$AK$2:$AK$1105,1,Data!$M$2:$M$1105,$BB$223)/SUMIFS(Data!$P$2:$P$1105,Data!$AK$2:$AK$1105,1,Data!$M$2:$M$1105,$BB$223),""))</f>
        <v/>
      </c>
      <c r="BG223" s="57">
        <f>SUMIFS(Data!$AN$2:$AN$1105,Data!$AK$2:$AK$1105,1,Data!$M$2:$M$1105,$BB$223)</f>
        <v/>
      </c>
      <c r="BH223" s="61" t="n"/>
      <c r="BI223" s="61">
        <f>IF(AND($BC$223&gt;=Controls!$B$22,$BD$223&gt;=LARGE($BD$75:$BD$230,MIN(Controls!$B$18,COUNT($BD$75:$BD$230)))),$BE$223,"")</f>
        <v/>
      </c>
      <c r="BJ223" s="61" t="n"/>
      <c r="BK223" s="61">
        <f>IF($BC$223&lt;Controls!$B$22,"",$BE$223)</f>
        <v/>
      </c>
      <c r="BL223" s="61">
        <f>IF($BC$223&lt;Controls!$B$22,"",$BF$223)</f>
        <v/>
      </c>
      <c r="BM223" s="61">
        <f>IF($BC$223&lt;Controls!$B$22,"",$BG$223)</f>
        <v/>
      </c>
      <c r="BN223" s="61" t="n"/>
      <c r="BO223" s="61" t="n"/>
      <c r="BP223" s="61" t="n"/>
      <c r="BQ223" s="61" t="n"/>
      <c r="BR223" s="61" t="n"/>
      <c r="BS223" s="61" t="n"/>
      <c r="BT223" s="61" t="n"/>
    </row>
    <row r="224" ht="15.75" customHeight="1" s="79">
      <c r="A224" s="61" t="n"/>
      <c r="B224" s="61" t="n"/>
      <c r="C224" s="61" t="n"/>
      <c r="D224" s="61" t="n"/>
      <c r="E224" s="61" t="n"/>
      <c r="F224" s="61" t="n"/>
      <c r="G224" s="61" t="n"/>
      <c r="H224" s="61" t="n"/>
      <c r="I224" s="61" t="n"/>
      <c r="J224" s="61" t="n"/>
      <c r="K224" s="61" t="n"/>
      <c r="L224" s="61" t="n"/>
      <c r="M224" s="61" t="n"/>
      <c r="N224" s="61" t="n"/>
      <c r="O224" s="61" t="n"/>
      <c r="P224" s="61" t="n"/>
      <c r="Q224" s="61" t="n"/>
      <c r="R224" s="61" t="n"/>
      <c r="S224" s="61" t="n"/>
      <c r="T224" s="61" t="n"/>
      <c r="U224" s="61" t="n"/>
      <c r="V224" s="61" t="n"/>
      <c r="W224" s="61" t="n"/>
      <c r="X224" s="61" t="n"/>
      <c r="Y224" s="61" t="n"/>
      <c r="Z224" s="61" t="n"/>
      <c r="AA224" s="61" t="n"/>
      <c r="AB224" s="61" t="n"/>
      <c r="AC224" s="61" t="n"/>
      <c r="AD224" s="61" t="n"/>
      <c r="AE224" s="61" t="n"/>
      <c r="AF224" s="61" t="n"/>
      <c r="AG224" s="61" t="n"/>
      <c r="AH224" s="61" t="n"/>
      <c r="AI224" s="61" t="n"/>
      <c r="AJ224" s="61" t="n"/>
      <c r="AK224" s="61" t="n"/>
      <c r="AL224" s="61" t="n"/>
      <c r="AM224" s="61" t="n"/>
      <c r="AN224" s="61">
        <f>Controls!$G$121</f>
        <v/>
      </c>
      <c r="AO224" s="61">
        <f>COUNTIFS(Data!$AK$2:$AK$1105,1,Data!$M$2:$M$1105,$AN$224)</f>
        <v/>
      </c>
      <c r="AP224" s="57">
        <f>SUMIFS(Data!$P$2:$P$1105,Data!$AK$2:$AK$1105,1,Data!$M$2:$M$1105,$AN$224)</f>
        <v/>
      </c>
      <c r="AQ224" s="56">
        <f>IFERROR(SUMIFS(Data!$AN$2:$AN$1105,Data!$AK$2:$AK$1105,1,Data!$M$2:$M$1105,$AN$224)/$AP$224,0)</f>
        <v/>
      </c>
      <c r="AR224" s="57">
        <f>SUMIFS(Data!$AN$2:$AN$1105,Data!$AK$2:$AK$1105,1,Data!$M$2:$M$1105,$AN$224)</f>
        <v/>
      </c>
      <c r="AS224" s="61">
        <f>Controls!$H$121</f>
        <v/>
      </c>
      <c r="AT224" s="61">
        <f>IF(OR(AO224=0,AO224&lt;Controls!$B$20),-1000000000000000,IF(AND(Controls!$B$21="Y",$AN$224="No ISO"),-1000000000000000,IF(Controls!$B$17="Selected only",IF(AS224="Y",AP224,-1000000000000000),IF(Controls!$B$17="Top by funded $",AP224,IF(Controls!$B$17="Top by funded units",AO224,IF(Controls!$B$17="Largest principal lost $",AR224,IF(Controls!$B$17="Highest net profit $",AU224,IF(AO224&lt;Controls!$B$19,-1000000000000000,IF(Controls!$B$17="Highest principal lost rate %",AQ224,IF(Controls!$B$17="Lowest principal lost rate %",1-AQ224,AP224))))))))) +82/1000000)</f>
        <v/>
      </c>
      <c r="AU224" s="57">
        <f>SUMIFS(Data!$AM$2:$AM$1105,Data!$AK$2:$AK$1105,1,Data!$M$2:$M$1105,$AN$224)</f>
        <v/>
      </c>
      <c r="AV224" s="61" t="n"/>
      <c r="AW224" s="61" t="n"/>
      <c r="AX224" s="61" t="n"/>
      <c r="AY224" s="61" t="n"/>
      <c r="AZ224" s="61" t="n"/>
      <c r="BA224" s="61" t="n"/>
      <c r="BB224" s="61">
        <f>Controls!$G$189</f>
        <v/>
      </c>
      <c r="BC224" s="61">
        <f>COUNTIFS(Data!$AK$2:$AK$1105,1,Data!$M$2:$M$1105,$BB$224)</f>
        <v/>
      </c>
      <c r="BD224" s="57">
        <f>SUMIFS(Data!$P$2:$P$1105,Data!$AK$2:$AK$1105,1,Data!$M$2:$M$1105,$BB$224)</f>
        <v/>
      </c>
      <c r="BE224" s="56">
        <f>IF(COUNTIFS(Data!$AK$2:$AK$1105,1,Data!$M$2:$M$1105,$BB$224)&lt;Controls!$B$19,"",IFERROR(SUMIFS(Data!$AN$2:$AN$1105,Data!$AK$2:$AK$1105,1,Data!$M$2:$M$1105,$BB$224)/$BD$224,""))</f>
        <v/>
      </c>
      <c r="BF224" s="56">
        <f>IF(COUNTIFS(Data!$AK$2:$AK$1105,1,Data!$M$2:$M$1105,$BB$224)&lt;Controls!$B$19,"",IFERROR(SUMIFS(Data!$AM$2:$AM$1105,Data!$AK$2:$AK$1105,1,Data!$M$2:$M$1105,$BB$224)/SUMIFS(Data!$P$2:$P$1105,Data!$AK$2:$AK$1105,1,Data!$M$2:$M$1105,$BB$224),""))</f>
        <v/>
      </c>
      <c r="BG224" s="57">
        <f>SUMIFS(Data!$AN$2:$AN$1105,Data!$AK$2:$AK$1105,1,Data!$M$2:$M$1105,$BB$224)</f>
        <v/>
      </c>
      <c r="BH224" s="61" t="n"/>
      <c r="BI224" s="61">
        <f>IF(AND($BC$224&gt;=Controls!$B$22,$BD$224&gt;=LARGE($BD$75:$BD$230,MIN(Controls!$B$18,COUNT($BD$75:$BD$230)))),$BE$224,"")</f>
        <v/>
      </c>
      <c r="BJ224" s="61" t="n"/>
      <c r="BK224" s="61">
        <f>IF($BC$224&lt;Controls!$B$22,"",$BE$224)</f>
        <v/>
      </c>
      <c r="BL224" s="61">
        <f>IF($BC$224&lt;Controls!$B$22,"",$BF$224)</f>
        <v/>
      </c>
      <c r="BM224" s="61">
        <f>IF($BC$224&lt;Controls!$B$22,"",$BG$224)</f>
        <v/>
      </c>
      <c r="BN224" s="61" t="n"/>
      <c r="BO224" s="61" t="n"/>
      <c r="BP224" s="61" t="n"/>
      <c r="BQ224" s="61" t="n"/>
      <c r="BR224" s="61" t="n"/>
      <c r="BS224" s="61" t="n"/>
      <c r="BT224" s="61" t="n"/>
    </row>
    <row r="225" ht="15.75" customHeight="1" s="79">
      <c r="A225" s="61" t="n"/>
      <c r="B225" s="61" t="n"/>
      <c r="C225" s="61" t="n"/>
      <c r="D225" s="61" t="n"/>
      <c r="E225" s="61" t="n"/>
      <c r="F225" s="61" t="n"/>
      <c r="G225" s="61" t="n"/>
      <c r="H225" s="61" t="n"/>
      <c r="I225" s="61" t="n"/>
      <c r="J225" s="61" t="n"/>
      <c r="K225" s="61" t="n"/>
      <c r="L225" s="61" t="n"/>
      <c r="M225" s="61" t="n"/>
      <c r="N225" s="61" t="n"/>
      <c r="O225" s="61" t="n"/>
      <c r="P225" s="61" t="n"/>
      <c r="Q225" s="61" t="n"/>
      <c r="R225" s="61" t="n"/>
      <c r="S225" s="61" t="n"/>
      <c r="T225" s="61" t="n"/>
      <c r="U225" s="61" t="n"/>
      <c r="V225" s="61" t="n"/>
      <c r="W225" s="61" t="n"/>
      <c r="X225" s="61" t="n"/>
      <c r="Y225" s="61" t="n"/>
      <c r="Z225" s="61" t="n"/>
      <c r="AA225" s="61" t="n"/>
      <c r="AB225" s="61" t="n"/>
      <c r="AC225" s="61" t="n"/>
      <c r="AD225" s="61" t="n"/>
      <c r="AE225" s="61" t="n"/>
      <c r="AF225" s="61" t="n"/>
      <c r="AG225" s="61" t="n"/>
      <c r="AH225" s="61" t="n"/>
      <c r="AI225" s="61" t="n"/>
      <c r="AJ225" s="61" t="n"/>
      <c r="AK225" s="61" t="n"/>
      <c r="AL225" s="61" t="n"/>
      <c r="AM225" s="61" t="n"/>
      <c r="AN225" s="61">
        <f>Controls!$G$122</f>
        <v/>
      </c>
      <c r="AO225" s="61">
        <f>COUNTIFS(Data!$AK$2:$AK$1105,1,Data!$M$2:$M$1105,$AN$225)</f>
        <v/>
      </c>
      <c r="AP225" s="57">
        <f>SUMIFS(Data!$P$2:$P$1105,Data!$AK$2:$AK$1105,1,Data!$M$2:$M$1105,$AN$225)</f>
        <v/>
      </c>
      <c r="AQ225" s="56">
        <f>IFERROR(SUMIFS(Data!$AN$2:$AN$1105,Data!$AK$2:$AK$1105,1,Data!$M$2:$M$1105,$AN$225)/$AP$225,0)</f>
        <v/>
      </c>
      <c r="AR225" s="57">
        <f>SUMIFS(Data!$AN$2:$AN$1105,Data!$AK$2:$AK$1105,1,Data!$M$2:$M$1105,$AN$225)</f>
        <v/>
      </c>
      <c r="AS225" s="61">
        <f>Controls!$H$122</f>
        <v/>
      </c>
      <c r="AT225" s="61">
        <f>IF(OR(AO225=0,AO225&lt;Controls!$B$20),-1000000000000000,IF(AND(Controls!$B$21="Y",$AN$225="No ISO"),-1000000000000000,IF(Controls!$B$17="Selected only",IF(AS225="Y",AP225,-1000000000000000),IF(Controls!$B$17="Top by funded $",AP225,IF(Controls!$B$17="Top by funded units",AO225,IF(Controls!$B$17="Largest principal lost $",AR225,IF(Controls!$B$17="Highest net profit $",AU225,IF(AO225&lt;Controls!$B$19,-1000000000000000,IF(Controls!$B$17="Highest principal lost rate %",AQ225,IF(Controls!$B$17="Lowest principal lost rate %",1-AQ225,AP225))))))))) +83/1000000)</f>
        <v/>
      </c>
      <c r="AU225" s="57">
        <f>SUMIFS(Data!$AM$2:$AM$1105,Data!$AK$2:$AK$1105,1,Data!$M$2:$M$1105,$AN$225)</f>
        <v/>
      </c>
      <c r="AV225" s="61" t="n"/>
      <c r="AW225" s="61" t="n"/>
      <c r="AX225" s="61" t="n"/>
      <c r="AY225" s="61" t="n"/>
      <c r="AZ225" s="61" t="n"/>
      <c r="BA225" s="61" t="n"/>
      <c r="BB225" s="61">
        <f>Controls!$G$190</f>
        <v/>
      </c>
      <c r="BC225" s="61">
        <f>COUNTIFS(Data!$AK$2:$AK$1105,1,Data!$M$2:$M$1105,$BB$225)</f>
        <v/>
      </c>
      <c r="BD225" s="57">
        <f>SUMIFS(Data!$P$2:$P$1105,Data!$AK$2:$AK$1105,1,Data!$M$2:$M$1105,$BB$225)</f>
        <v/>
      </c>
      <c r="BE225" s="56">
        <f>IF(COUNTIFS(Data!$AK$2:$AK$1105,1,Data!$M$2:$M$1105,$BB$225)&lt;Controls!$B$19,"",IFERROR(SUMIFS(Data!$AN$2:$AN$1105,Data!$AK$2:$AK$1105,1,Data!$M$2:$M$1105,$BB$225)/$BD$225,""))</f>
        <v/>
      </c>
      <c r="BF225" s="56">
        <f>IF(COUNTIFS(Data!$AK$2:$AK$1105,1,Data!$M$2:$M$1105,$BB$225)&lt;Controls!$B$19,"",IFERROR(SUMIFS(Data!$AM$2:$AM$1105,Data!$AK$2:$AK$1105,1,Data!$M$2:$M$1105,$BB$225)/SUMIFS(Data!$P$2:$P$1105,Data!$AK$2:$AK$1105,1,Data!$M$2:$M$1105,$BB$225),""))</f>
        <v/>
      </c>
      <c r="BG225" s="57">
        <f>SUMIFS(Data!$AN$2:$AN$1105,Data!$AK$2:$AK$1105,1,Data!$M$2:$M$1105,$BB$225)</f>
        <v/>
      </c>
      <c r="BH225" s="61" t="n"/>
      <c r="BI225" s="61">
        <f>IF(AND($BC$225&gt;=Controls!$B$22,$BD$225&gt;=LARGE($BD$75:$BD$230,MIN(Controls!$B$18,COUNT($BD$75:$BD$230)))),$BE$225,"")</f>
        <v/>
      </c>
      <c r="BJ225" s="61" t="n"/>
      <c r="BK225" s="61">
        <f>IF($BC$225&lt;Controls!$B$22,"",$BE$225)</f>
        <v/>
      </c>
      <c r="BL225" s="61">
        <f>IF($BC$225&lt;Controls!$B$22,"",$BF$225)</f>
        <v/>
      </c>
      <c r="BM225" s="61">
        <f>IF($BC$225&lt;Controls!$B$22,"",$BG$225)</f>
        <v/>
      </c>
      <c r="BN225" s="61" t="n"/>
      <c r="BO225" s="61" t="n"/>
      <c r="BP225" s="61" t="n"/>
      <c r="BQ225" s="61" t="n"/>
      <c r="BR225" s="61" t="n"/>
      <c r="BS225" s="61" t="n"/>
      <c r="BT225" s="61" t="n"/>
    </row>
    <row r="226" ht="15.75" customHeight="1" s="79">
      <c r="A226" s="61" t="inlineStr">
        <is>
          <t xml:space="preserve">New vs renewal - </t>
        </is>
      </c>
      <c r="B226" s="61" t="n"/>
      <c r="C226" s="61" t="n"/>
      <c r="D226" s="61" t="n"/>
      <c r="E226" s="61" t="n"/>
      <c r="F226" s="61" t="n"/>
      <c r="G226" s="61" t="n"/>
      <c r="H226" s="61" t="n"/>
      <c r="I226" s="61" t="n"/>
      <c r="J226" s="61" t="n"/>
      <c r="K226" s="61" t="n"/>
      <c r="L226" s="61" t="n"/>
      <c r="M226" s="61" t="n"/>
      <c r="N226" s="61" t="n"/>
      <c r="O226" s="61" t="n"/>
      <c r="P226" s="61" t="n"/>
      <c r="Q226" s="61" t="n"/>
      <c r="R226" s="61" t="n"/>
      <c r="S226" s="61" t="n"/>
      <c r="T226" s="61" t="n"/>
      <c r="U226" s="61" t="n"/>
      <c r="V226" s="61" t="n"/>
      <c r="W226" s="61" t="n"/>
      <c r="X226" s="61" t="n"/>
      <c r="Y226" s="61" t="n"/>
      <c r="Z226" s="61" t="n"/>
      <c r="AA226" s="61" t="n"/>
      <c r="AB226" s="61" t="n"/>
      <c r="AC226" s="61" t="n"/>
      <c r="AD226" s="61" t="n"/>
      <c r="AE226" s="61" t="n"/>
      <c r="AF226" s="61" t="n"/>
      <c r="AG226" s="61" t="n"/>
      <c r="AH226" s="61" t="n"/>
      <c r="AI226" s="61" t="n"/>
      <c r="AJ226" s="61" t="n"/>
      <c r="AK226" s="61" t="n"/>
      <c r="AL226" s="61" t="n"/>
      <c r="AM226" s="61" t="n"/>
      <c r="AN226" s="61">
        <f>Controls!$G$123</f>
        <v/>
      </c>
      <c r="AO226" s="61">
        <f>COUNTIFS(Data!$AK$2:$AK$1105,1,Data!$M$2:$M$1105,$AN$226)</f>
        <v/>
      </c>
      <c r="AP226" s="57">
        <f>SUMIFS(Data!$P$2:$P$1105,Data!$AK$2:$AK$1105,1,Data!$M$2:$M$1105,$AN$226)</f>
        <v/>
      </c>
      <c r="AQ226" s="56">
        <f>IFERROR(SUMIFS(Data!$AN$2:$AN$1105,Data!$AK$2:$AK$1105,1,Data!$M$2:$M$1105,$AN$226)/$AP$226,0)</f>
        <v/>
      </c>
      <c r="AR226" s="57">
        <f>SUMIFS(Data!$AN$2:$AN$1105,Data!$AK$2:$AK$1105,1,Data!$M$2:$M$1105,$AN$226)</f>
        <v/>
      </c>
      <c r="AS226" s="61">
        <f>Controls!$H$123</f>
        <v/>
      </c>
      <c r="AT226" s="61">
        <f>IF(OR(AO226=0,AO226&lt;Controls!$B$20),-1000000000000000,IF(AND(Controls!$B$21="Y",$AN$226="No ISO"),-1000000000000000,IF(Controls!$B$17="Selected only",IF(AS226="Y",AP226,-1000000000000000),IF(Controls!$B$17="Top by funded $",AP226,IF(Controls!$B$17="Top by funded units",AO226,IF(Controls!$B$17="Largest principal lost $",AR226,IF(Controls!$B$17="Highest net profit $",AU226,IF(AO226&lt;Controls!$B$19,-1000000000000000,IF(Controls!$B$17="Highest principal lost rate %",AQ226,IF(Controls!$B$17="Lowest principal lost rate %",1-AQ226,AP226))))))))) +84/1000000)</f>
        <v/>
      </c>
      <c r="AU226" s="57">
        <f>SUMIFS(Data!$AM$2:$AM$1105,Data!$AK$2:$AK$1105,1,Data!$M$2:$M$1105,$AN$226)</f>
        <v/>
      </c>
      <c r="AV226" s="61" t="n"/>
      <c r="AW226" s="61" t="n"/>
      <c r="AX226" s="61" t="n"/>
      <c r="AY226" s="61" t="n"/>
      <c r="AZ226" s="61" t="n"/>
      <c r="BA226" s="61" t="n"/>
      <c r="BB226" s="61">
        <f>Controls!$G$191</f>
        <v/>
      </c>
      <c r="BC226" s="61">
        <f>COUNTIFS(Data!$AK$2:$AK$1105,1,Data!$M$2:$M$1105,$BB$226)</f>
        <v/>
      </c>
      <c r="BD226" s="57">
        <f>SUMIFS(Data!$P$2:$P$1105,Data!$AK$2:$AK$1105,1,Data!$M$2:$M$1105,$BB$226)</f>
        <v/>
      </c>
      <c r="BE226" s="56">
        <f>IF(COUNTIFS(Data!$AK$2:$AK$1105,1,Data!$M$2:$M$1105,$BB$226)&lt;Controls!$B$19,"",IFERROR(SUMIFS(Data!$AN$2:$AN$1105,Data!$AK$2:$AK$1105,1,Data!$M$2:$M$1105,$BB$226)/$BD$226,""))</f>
        <v/>
      </c>
      <c r="BF226" s="56">
        <f>IF(COUNTIFS(Data!$AK$2:$AK$1105,1,Data!$M$2:$M$1105,$BB$226)&lt;Controls!$B$19,"",IFERROR(SUMIFS(Data!$AM$2:$AM$1105,Data!$AK$2:$AK$1105,1,Data!$M$2:$M$1105,$BB$226)/SUMIFS(Data!$P$2:$P$1105,Data!$AK$2:$AK$1105,1,Data!$M$2:$M$1105,$BB$226),""))</f>
        <v/>
      </c>
      <c r="BG226" s="57">
        <f>SUMIFS(Data!$AN$2:$AN$1105,Data!$AK$2:$AK$1105,1,Data!$M$2:$M$1105,$BB$226)</f>
        <v/>
      </c>
      <c r="BH226" s="61" t="n"/>
      <c r="BI226" s="61">
        <f>IF(AND($BC$226&gt;=Controls!$B$22,$BD$226&gt;=LARGE($BD$75:$BD$230,MIN(Controls!$B$18,COUNT($BD$75:$BD$230)))),$BE$226,"")</f>
        <v/>
      </c>
      <c r="BJ226" s="61" t="n"/>
      <c r="BK226" s="61">
        <f>IF($BC$226&lt;Controls!$B$22,"",$BE$226)</f>
        <v/>
      </c>
      <c r="BL226" s="61">
        <f>IF($BC$226&lt;Controls!$B$22,"",$BF$226)</f>
        <v/>
      </c>
      <c r="BM226" s="61">
        <f>IF($BC$226&lt;Controls!$B$22,"",$BG$226)</f>
        <v/>
      </c>
      <c r="BN226" s="61" t="n"/>
      <c r="BO226" s="61" t="n"/>
      <c r="BP226" s="61" t="n"/>
      <c r="BQ226" s="61" t="n"/>
      <c r="BR226" s="61" t="n"/>
      <c r="BS226" s="61" t="n"/>
      <c r="BT226" s="61" t="n"/>
    </row>
    <row r="227" ht="15.75" customHeight="1" s="79">
      <c r="A227" s="61" t="inlineStr">
        <is>
          <t>Label</t>
        </is>
      </c>
      <c r="B227" s="61" t="inlineStr">
        <is>
          <t>Funded $</t>
        </is>
      </c>
      <c r="C227" s="61" t="inlineStr">
        <is>
          <t>Collected $</t>
        </is>
      </c>
      <c r="D227" s="61" t="inlineStr">
        <is>
          <t>Net profit / loss $</t>
        </is>
      </c>
      <c r="E227" s="61" t="inlineStr">
        <is>
          <t>Commission $</t>
        </is>
      </c>
      <c r="F227" s="61" t="inlineStr">
        <is>
          <t>Principal lost $</t>
        </is>
      </c>
      <c r="G227" s="61" t="inlineStr">
        <is>
          <t>Principal lost rate</t>
        </is>
      </c>
      <c r="H227" s="61" t="inlineStr">
        <is>
          <t>Recovery rate</t>
        </is>
      </c>
      <c r="I227" s="61" t="inlineStr">
        <is>
          <t>Return on funded capital (%)</t>
        </is>
      </c>
      <c r="J227" s="61" t="inlineStr">
        <is>
          <t>Deals</t>
        </is>
      </c>
      <c r="K227" s="61" t="inlineStr">
        <is>
          <t>Share of funded dollars</t>
        </is>
      </c>
      <c r="L227" s="61" t="inlineStr">
        <is>
          <t>Avg deal size</t>
        </is>
      </c>
      <c r="M227" s="61" t="inlineStr">
        <is>
          <t>Avg expected term (business days)</t>
        </is>
      </c>
      <c r="N227" s="61" t="inlineStr">
        <is>
          <t>Avg expected term (payments)</t>
        </is>
      </c>
      <c r="O227" s="61" t="inlineStr">
        <is>
          <t>Avg days on book, defaulted</t>
        </is>
      </c>
      <c r="P227" s="61" t="inlineStr">
        <is>
          <t>Avg days to close</t>
        </is>
      </c>
      <c r="Q227" s="61" t="inlineStr">
        <is>
          <t>% of deals that were renewals</t>
        </is>
      </c>
      <c r="R227" s="61" t="inlineStr">
        <is>
          <t>% of funded dollars from renewals</t>
        </is>
      </c>
      <c r="S227" s="61" t="inlineStr">
        <is>
          <t>Book lost rate</t>
        </is>
      </c>
      <c r="T227" s="61" t="inlineStr">
        <is>
          <t>Book recovery</t>
        </is>
      </c>
      <c r="U227" s="61" t="inlineStr">
        <is>
          <t>Book return on funded capital</t>
        </is>
      </c>
      <c r="V227" s="61" t="inlineStr">
        <is>
          <t>Default rate (#)</t>
        </is>
      </c>
      <c r="W227" s="61" t="inlineStr">
        <is>
          <t>Chart label (name + deals)</t>
        </is>
      </c>
      <c r="X227" s="61" t="n"/>
      <c r="Y227" s="61" t="n"/>
      <c r="Z227" s="61" t="n"/>
      <c r="AA227" s="61" t="n"/>
      <c r="AB227" s="61" t="n"/>
      <c r="AC227" s="61" t="n"/>
      <c r="AD227" s="61" t="n"/>
      <c r="AE227" s="61" t="n"/>
      <c r="AF227" s="61" t="n"/>
      <c r="AG227" s="61" t="n"/>
      <c r="AH227" s="61" t="n"/>
      <c r="AI227" s="61" t="n"/>
      <c r="AJ227" s="61" t="n"/>
      <c r="AK227" s="61" t="n"/>
      <c r="AL227" s="61" t="n"/>
      <c r="AM227" s="61" t="n"/>
      <c r="AN227" s="61">
        <f>Controls!$G$124</f>
        <v/>
      </c>
      <c r="AO227" s="61">
        <f>COUNTIFS(Data!$AK$2:$AK$1105,1,Data!$M$2:$M$1105,$AN$227)</f>
        <v/>
      </c>
      <c r="AP227" s="57">
        <f>SUMIFS(Data!$P$2:$P$1105,Data!$AK$2:$AK$1105,1,Data!$M$2:$M$1105,$AN$227)</f>
        <v/>
      </c>
      <c r="AQ227" s="56">
        <f>IFERROR(SUMIFS(Data!$AN$2:$AN$1105,Data!$AK$2:$AK$1105,1,Data!$M$2:$M$1105,$AN$227)/$AP$227,0)</f>
        <v/>
      </c>
      <c r="AR227" s="57">
        <f>SUMIFS(Data!$AN$2:$AN$1105,Data!$AK$2:$AK$1105,1,Data!$M$2:$M$1105,$AN$227)</f>
        <v/>
      </c>
      <c r="AS227" s="61">
        <f>Controls!$H$124</f>
        <v/>
      </c>
      <c r="AT227" s="61">
        <f>IF(OR(AO227=0,AO227&lt;Controls!$B$20),-1000000000000000,IF(AND(Controls!$B$21="Y",$AN$227="No ISO"),-1000000000000000,IF(Controls!$B$17="Selected only",IF(AS227="Y",AP227,-1000000000000000),IF(Controls!$B$17="Top by funded $",AP227,IF(Controls!$B$17="Top by funded units",AO227,IF(Controls!$B$17="Largest principal lost $",AR227,IF(Controls!$B$17="Highest net profit $",AU227,IF(AO227&lt;Controls!$B$19,-1000000000000000,IF(Controls!$B$17="Highest principal lost rate %",AQ227,IF(Controls!$B$17="Lowest principal lost rate %",1-AQ227,AP227))))))))) +85/1000000)</f>
        <v/>
      </c>
      <c r="AU227" s="57">
        <f>SUMIFS(Data!$AM$2:$AM$1105,Data!$AK$2:$AK$1105,1,Data!$M$2:$M$1105,$AN$227)</f>
        <v/>
      </c>
      <c r="AV227" s="61" t="n"/>
      <c r="AW227" s="61" t="n"/>
      <c r="AX227" s="61" t="n"/>
      <c r="AY227" s="61" t="n"/>
      <c r="AZ227" s="61" t="n"/>
      <c r="BA227" s="61" t="n"/>
      <c r="BB227" s="61">
        <f>Controls!$G$192</f>
        <v/>
      </c>
      <c r="BC227" s="61">
        <f>COUNTIFS(Data!$AK$2:$AK$1105,1,Data!$M$2:$M$1105,$BB$227)</f>
        <v/>
      </c>
      <c r="BD227" s="57">
        <f>SUMIFS(Data!$P$2:$P$1105,Data!$AK$2:$AK$1105,1,Data!$M$2:$M$1105,$BB$227)</f>
        <v/>
      </c>
      <c r="BE227" s="56">
        <f>IF(COUNTIFS(Data!$AK$2:$AK$1105,1,Data!$M$2:$M$1105,$BB$227)&lt;Controls!$B$19,"",IFERROR(SUMIFS(Data!$AN$2:$AN$1105,Data!$AK$2:$AK$1105,1,Data!$M$2:$M$1105,$BB$227)/$BD$227,""))</f>
        <v/>
      </c>
      <c r="BF227" s="56">
        <f>IF(COUNTIFS(Data!$AK$2:$AK$1105,1,Data!$M$2:$M$1105,$BB$227)&lt;Controls!$B$19,"",IFERROR(SUMIFS(Data!$AM$2:$AM$1105,Data!$AK$2:$AK$1105,1,Data!$M$2:$M$1105,$BB$227)/SUMIFS(Data!$P$2:$P$1105,Data!$AK$2:$AK$1105,1,Data!$M$2:$M$1105,$BB$227),""))</f>
        <v/>
      </c>
      <c r="BG227" s="57">
        <f>SUMIFS(Data!$AN$2:$AN$1105,Data!$AK$2:$AK$1105,1,Data!$M$2:$M$1105,$BB$227)</f>
        <v/>
      </c>
      <c r="BH227" s="61" t="n"/>
      <c r="BI227" s="61">
        <f>IF(AND($BC$227&gt;=Controls!$B$22,$BD$227&gt;=LARGE($BD$75:$BD$230,MIN(Controls!$B$18,COUNT($BD$75:$BD$230)))),$BE$227,"")</f>
        <v/>
      </c>
      <c r="BJ227" s="61" t="n"/>
      <c r="BK227" s="61">
        <f>IF($BC$227&lt;Controls!$B$22,"",$BE$227)</f>
        <v/>
      </c>
      <c r="BL227" s="61">
        <f>IF($BC$227&lt;Controls!$B$22,"",$BF$227)</f>
        <v/>
      </c>
      <c r="BM227" s="61">
        <f>IF($BC$227&lt;Controls!$B$22,"",$BG$227)</f>
        <v/>
      </c>
      <c r="BN227" s="61" t="n"/>
      <c r="BO227" s="61" t="n"/>
      <c r="BP227" s="61" t="n"/>
      <c r="BQ227" s="61" t="n"/>
      <c r="BR227" s="61" t="n"/>
      <c r="BS227" s="61" t="n"/>
      <c r="BT227" s="61" t="n"/>
    </row>
    <row r="228" ht="15.75" customHeight="1" s="79">
      <c r="A228" s="61">
        <f>IF(COUNTIFS(Data!$AK$2:$AK$1105,1,Data!$N$2:$N$1105,"New Deal")=0,"","New Deal")</f>
        <v/>
      </c>
      <c r="B228" s="66">
        <f>IF($A$228="",NA(),IFERROR(SUMIFS(Data!$P$2:$P$1105,Data!$AK$2:$AK$1105,1,Data!$N$2:$N$1105,$A$228),NA()))</f>
        <v/>
      </c>
      <c r="C228" s="66">
        <f>IF($A$228="",NA(),IFERROR(SUMIFS(Data!$S$2:$S$1105,Data!$AK$2:$AK$1105,1,Data!$N$2:$N$1105,$A$228),NA()))</f>
        <v/>
      </c>
      <c r="D228" s="66">
        <f>IF(ISNA($B$228),NA(),$C$228-$B$228)</f>
        <v/>
      </c>
      <c r="E228" s="66">
        <f>IF($A$228="",NA(),IFERROR(SUMIFS(Data!$Q$2:$Q$1105,Data!$AK$2:$AK$1105,1,Data!$N$2:$N$1105,$A$228),NA()))</f>
        <v/>
      </c>
      <c r="F228" s="66">
        <f>IF($A$228="",NA(),IFERROR(SUMIFS(Data!$AN$2:$AN$1105,Data!$AK$2:$AK$1105,1,Data!$N$2:$N$1105,$A$228),NA()))</f>
        <v/>
      </c>
      <c r="G228" s="62">
        <f>IF($A$228="",NA(),IF(COUNTIFS(Data!$AK$2:$AK$1105,1,Data!$N$2:$N$1105,$A$228)&lt;Controls!$B$19,NA(),IFERROR(SUMIFS(Data!$AN$2:$AN$1105,Data!$AK$2:$AK$1105,1,Data!$N$2:$N$1105,$A$228)/$B$228,NA())))</f>
        <v/>
      </c>
      <c r="H228" s="62">
        <f>IF($A$228="",NA(),IF(COUNTIFS(Data!$AK$2:$AK$1105,1,Data!$N$2:$N$1105,$A$228)&lt;Controls!$B$19,NA(),IFERROR(SUMIFS(Data!$S$2:$S$1105,Data!$AK$2:$AK$1105,1,Data!$N$2:$N$1105,$A$228,Data!$AH$2:$AH$1105,1)/SUMIFS(Data!$P$2:$P$1105,Data!$AK$2:$AK$1105,1,Data!$N$2:$N$1105,$A$228,Data!$AH$2:$AH$1105,1),NA())))</f>
        <v/>
      </c>
      <c r="I228" s="62">
        <f>IF(ISNA($J$228),NA(),IF($J$228&lt;Controls!$B$19,NA(),IFERROR($D$228/$B$228,NA())))</f>
        <v/>
      </c>
      <c r="J228" s="67">
        <f>IF($A$228="",NA(),IFERROR(COUNTIFS(Data!$AK$2:$AK$1105,1,Data!$N$2:$N$1105,$A$228),NA()))</f>
        <v/>
      </c>
      <c r="K228" s="62">
        <f>IF(ISNA($B$228),NA(),IFERROR($B$228/Calc!$BT$6,NA()))</f>
        <v/>
      </c>
      <c r="L228" s="66">
        <f>IF(ISNA($J$228),NA(),IF($J$228&lt;Controls!$B$19,NA(),IFERROR($B$228/$J$228,NA())))</f>
        <v/>
      </c>
      <c r="M228" s="67">
        <f>IF($A$228="",NA(),IF(COUNTIFS(Data!$AK$2:$AK$1105,1,Data!$N$2:$N$1105,$A$228)&lt;Controls!$B$19,NA(),IFERROR(AVERAGEIFS(Data!$AE$2:$AE$1105,Data!$AK$2:$AK$1105,1,Data!$N$2:$N$1105,$A$228),NA())))</f>
        <v/>
      </c>
      <c r="N228" s="67">
        <f>IF($A$228="",NA(),IF(COUNTIFS(Data!$AK$2:$AK$1105,1,Data!$N$2:$N$1105,$A$228)&lt;Controls!$B$19,NA(),IFERROR(AVERAGEIFS(Data!$AD$2:$AD$1105,Data!$AK$2:$AK$1105,1,Data!$N$2:$N$1105,$A$228),NA())))</f>
        <v/>
      </c>
      <c r="O228" s="67">
        <f>IF($A$228="",NA(),IF(COUNTIFS(Data!$AK$2:$AK$1105,1,Data!$N$2:$N$1105,$A$228)&lt;Controls!$B$19,NA(),IFERROR(AVERAGEIFS(Data!$AS$2:$AS$1105,Data!$AK$2:$AK$1105,1,Data!$N$2:$N$1105,$A$228),NA())))</f>
        <v/>
      </c>
      <c r="P228" s="67">
        <f>IF($A$228="",NA(),IF(COUNTIFS(Data!$AK$2:$AK$1105,1,Data!$N$2:$N$1105,$A$228)&lt;Controls!$B$19,NA(),IFERROR(AVERAGEIFS(Data!$AT$2:$AT$1105,Data!$AK$2:$AK$1105,1,Data!$N$2:$N$1105,$A$228),NA())))</f>
        <v/>
      </c>
      <c r="Q228" s="62">
        <f>IF($A$228="",NA(),IF(COUNTIFS(Data!$AK$2:$AK$1105,1,Data!$N$2:$N$1105,$A$228)&lt;Controls!$B$19,NA(),IFERROR(COUNTIFS(Data!$AK$2:$AK$1105,1,Data!$N$2:$N$1105,$A$228,Data!$N$2:$N$1105,"Renewal")/COUNTIFS(Data!$AK$2:$AK$1105,1,Data!$N$2:$N$1105,$A$228),NA())))</f>
        <v/>
      </c>
      <c r="R228" s="62">
        <f>IF($A$228="",NA(),IF(COUNTIFS(Data!$AK$2:$AK$1105,1,Data!$N$2:$N$1105,$A$228)&lt;Controls!$B$19,NA(),IFERROR(SUMIFS(Data!$P$2:$P$1105,Data!$AK$2:$AK$1105,1,Data!$N$2:$N$1105,$A$228,Data!$N$2:$N$1105,"Renewal")/SUMIFS(Data!$P$2:$P$1105,Data!$AK$2:$AK$1105,1,Data!$N$2:$N$1105,$A$228),NA())))</f>
        <v/>
      </c>
      <c r="S228" s="62">
        <f>IF($A$228="",NA(),Calc!$BT$2)</f>
        <v/>
      </c>
      <c r="T228" s="62">
        <f>IF($A$228="",NA(),Calc!$BT$3)</f>
        <v/>
      </c>
      <c r="U228" s="62">
        <f>IF($A$228="",NA(),Calc!$BT$4)</f>
        <v/>
      </c>
      <c r="V228" s="62">
        <f>IF($A$228="",NA(),IF(COUNTIFS(Data!$AK$2:$AK$1105,1,Data!$N$2:$N$1105,$A$228)&lt;Controls!$B$19,NA(),IFERROR(COUNTIFS(Data!$AK$2:$AK$1105,1,Data!$N$2:$N$1105,$A$228,Data!$AH$2:$AH$1105,1)/COUNTIFS(Data!$AK$2:$AK$1105,1,Data!$N$2:$N$1105,$A$228),NA())))</f>
        <v/>
      </c>
      <c r="W228" s="61">
        <f>IF($A$228="","",$A$228&amp;" ("&amp;$J$228&amp;")")</f>
        <v/>
      </c>
      <c r="X228" s="61" t="n"/>
      <c r="Y228" s="61" t="n"/>
      <c r="Z228" s="61" t="n"/>
      <c r="AA228" s="61" t="n"/>
      <c r="AB228" s="61" t="n"/>
      <c r="AC228" s="61" t="n"/>
      <c r="AD228" s="61" t="n"/>
      <c r="AE228" s="61" t="n"/>
      <c r="AF228" s="61" t="n"/>
      <c r="AG228" s="61" t="n"/>
      <c r="AH228" s="61" t="n"/>
      <c r="AI228" s="61" t="n"/>
      <c r="AJ228" s="61" t="n"/>
      <c r="AK228" s="61" t="n"/>
      <c r="AL228" s="61" t="n"/>
      <c r="AM228" s="61" t="n"/>
      <c r="AN228" s="61">
        <f>Controls!$G$125</f>
        <v/>
      </c>
      <c r="AO228" s="61">
        <f>COUNTIFS(Data!$AK$2:$AK$1105,1,Data!$M$2:$M$1105,$AN$228)</f>
        <v/>
      </c>
      <c r="AP228" s="57">
        <f>SUMIFS(Data!$P$2:$P$1105,Data!$AK$2:$AK$1105,1,Data!$M$2:$M$1105,$AN$228)</f>
        <v/>
      </c>
      <c r="AQ228" s="56">
        <f>IFERROR(SUMIFS(Data!$AN$2:$AN$1105,Data!$AK$2:$AK$1105,1,Data!$M$2:$M$1105,$AN$228)/$AP$228,0)</f>
        <v/>
      </c>
      <c r="AR228" s="57">
        <f>SUMIFS(Data!$AN$2:$AN$1105,Data!$AK$2:$AK$1105,1,Data!$M$2:$M$1105,$AN$228)</f>
        <v/>
      </c>
      <c r="AS228" s="61">
        <f>Controls!$H$125</f>
        <v/>
      </c>
      <c r="AT228" s="61">
        <f>IF(OR(AO228=0,AO228&lt;Controls!$B$20),-1000000000000000,IF(AND(Controls!$B$21="Y",$AN$228="No ISO"),-1000000000000000,IF(Controls!$B$17="Selected only",IF(AS228="Y",AP228,-1000000000000000),IF(Controls!$B$17="Top by funded $",AP228,IF(Controls!$B$17="Top by funded units",AO228,IF(Controls!$B$17="Largest principal lost $",AR228,IF(Controls!$B$17="Highest net profit $",AU228,IF(AO228&lt;Controls!$B$19,-1000000000000000,IF(Controls!$B$17="Highest principal lost rate %",AQ228,IF(Controls!$B$17="Lowest principal lost rate %",1-AQ228,AP228))))))))) +86/1000000)</f>
        <v/>
      </c>
      <c r="AU228" s="57">
        <f>SUMIFS(Data!$AM$2:$AM$1105,Data!$AK$2:$AK$1105,1,Data!$M$2:$M$1105,$AN$228)</f>
        <v/>
      </c>
      <c r="AV228" s="61" t="n"/>
      <c r="AW228" s="61" t="n"/>
      <c r="AX228" s="61" t="n"/>
      <c r="AY228" s="61" t="n"/>
      <c r="AZ228" s="61" t="n"/>
      <c r="BA228" s="61" t="n"/>
      <c r="BB228" s="61">
        <f>Controls!$G$193</f>
        <v/>
      </c>
      <c r="BC228" s="61">
        <f>COUNTIFS(Data!$AK$2:$AK$1105,1,Data!$M$2:$M$1105,$BB$228)</f>
        <v/>
      </c>
      <c r="BD228" s="57">
        <f>SUMIFS(Data!$P$2:$P$1105,Data!$AK$2:$AK$1105,1,Data!$M$2:$M$1105,$BB$228)</f>
        <v/>
      </c>
      <c r="BE228" s="56">
        <f>IF(COUNTIFS(Data!$AK$2:$AK$1105,1,Data!$M$2:$M$1105,$BB$228)&lt;Controls!$B$19,"",IFERROR(SUMIFS(Data!$AN$2:$AN$1105,Data!$AK$2:$AK$1105,1,Data!$M$2:$M$1105,$BB$228)/$BD$228,""))</f>
        <v/>
      </c>
      <c r="BF228" s="56">
        <f>IF(COUNTIFS(Data!$AK$2:$AK$1105,1,Data!$M$2:$M$1105,$BB$228)&lt;Controls!$B$19,"",IFERROR(SUMIFS(Data!$AM$2:$AM$1105,Data!$AK$2:$AK$1105,1,Data!$M$2:$M$1105,$BB$228)/SUMIFS(Data!$P$2:$P$1105,Data!$AK$2:$AK$1105,1,Data!$M$2:$M$1105,$BB$228),""))</f>
        <v/>
      </c>
      <c r="BG228" s="57">
        <f>SUMIFS(Data!$AN$2:$AN$1105,Data!$AK$2:$AK$1105,1,Data!$M$2:$M$1105,$BB$228)</f>
        <v/>
      </c>
      <c r="BH228" s="61" t="n"/>
      <c r="BI228" s="61">
        <f>IF(AND($BC$228&gt;=Controls!$B$22,$BD$228&gt;=LARGE($BD$75:$BD$230,MIN(Controls!$B$18,COUNT($BD$75:$BD$230)))),$BE$228,"")</f>
        <v/>
      </c>
      <c r="BJ228" s="61" t="n"/>
      <c r="BK228" s="61">
        <f>IF($BC$228&lt;Controls!$B$22,"",$BE$228)</f>
        <v/>
      </c>
      <c r="BL228" s="61">
        <f>IF($BC$228&lt;Controls!$B$22,"",$BF$228)</f>
        <v/>
      </c>
      <c r="BM228" s="61">
        <f>IF($BC$228&lt;Controls!$B$22,"",$BG$228)</f>
        <v/>
      </c>
      <c r="BN228" s="61" t="n"/>
      <c r="BO228" s="61" t="n"/>
      <c r="BP228" s="61" t="n"/>
      <c r="BQ228" s="61" t="n"/>
      <c r="BR228" s="61" t="n"/>
      <c r="BS228" s="61" t="n"/>
      <c r="BT228" s="61" t="n"/>
    </row>
    <row r="229" ht="15.75" customHeight="1" s="79">
      <c r="A229" s="61">
        <f>IF(COUNTIFS(Data!$AK$2:$AK$1105,1,Data!$N$2:$N$1105,"Renewal")=0,"","Renewal")</f>
        <v/>
      </c>
      <c r="B229" s="66">
        <f>IF($A$229="",NA(),IFERROR(SUMIFS(Data!$P$2:$P$1105,Data!$AK$2:$AK$1105,1,Data!$N$2:$N$1105,$A$229),NA()))</f>
        <v/>
      </c>
      <c r="C229" s="66">
        <f>IF($A$229="",NA(),IFERROR(SUMIFS(Data!$S$2:$S$1105,Data!$AK$2:$AK$1105,1,Data!$N$2:$N$1105,$A$229),NA()))</f>
        <v/>
      </c>
      <c r="D229" s="66">
        <f>IF(ISNA($B$229),NA(),$C$229-$B$229)</f>
        <v/>
      </c>
      <c r="E229" s="66">
        <f>IF($A$229="",NA(),IFERROR(SUMIFS(Data!$Q$2:$Q$1105,Data!$AK$2:$AK$1105,1,Data!$N$2:$N$1105,$A$229),NA()))</f>
        <v/>
      </c>
      <c r="F229" s="66">
        <f>IF($A$229="",NA(),IFERROR(SUMIFS(Data!$AN$2:$AN$1105,Data!$AK$2:$AK$1105,1,Data!$N$2:$N$1105,$A$229),NA()))</f>
        <v/>
      </c>
      <c r="G229" s="62">
        <f>IF($A$229="",NA(),IF(COUNTIFS(Data!$AK$2:$AK$1105,1,Data!$N$2:$N$1105,$A$229)&lt;Controls!$B$19,NA(),IFERROR(SUMIFS(Data!$AN$2:$AN$1105,Data!$AK$2:$AK$1105,1,Data!$N$2:$N$1105,$A$229)/$B$229,NA())))</f>
        <v/>
      </c>
      <c r="H229" s="62">
        <f>IF($A$229="",NA(),IF(COUNTIFS(Data!$AK$2:$AK$1105,1,Data!$N$2:$N$1105,$A$229)&lt;Controls!$B$19,NA(),IFERROR(SUMIFS(Data!$S$2:$S$1105,Data!$AK$2:$AK$1105,1,Data!$N$2:$N$1105,$A$229,Data!$AH$2:$AH$1105,1)/SUMIFS(Data!$P$2:$P$1105,Data!$AK$2:$AK$1105,1,Data!$N$2:$N$1105,$A$229,Data!$AH$2:$AH$1105,1),NA())))</f>
        <v/>
      </c>
      <c r="I229" s="62">
        <f>IF(ISNA($J$229),NA(),IF($J$229&lt;Controls!$B$19,NA(),IFERROR($D$229/$B$229,NA())))</f>
        <v/>
      </c>
      <c r="J229" s="67">
        <f>IF($A$229="",NA(),IFERROR(COUNTIFS(Data!$AK$2:$AK$1105,1,Data!$N$2:$N$1105,$A$229),NA()))</f>
        <v/>
      </c>
      <c r="K229" s="62">
        <f>IF(ISNA($B$229),NA(),IFERROR($B$229/Calc!$BT$6,NA()))</f>
        <v/>
      </c>
      <c r="L229" s="66">
        <f>IF(ISNA($J$229),NA(),IF($J$229&lt;Controls!$B$19,NA(),IFERROR($B$229/$J$229,NA())))</f>
        <v/>
      </c>
      <c r="M229" s="67">
        <f>IF($A$229="",NA(),IF(COUNTIFS(Data!$AK$2:$AK$1105,1,Data!$N$2:$N$1105,$A$229)&lt;Controls!$B$19,NA(),IFERROR(AVERAGEIFS(Data!$AE$2:$AE$1105,Data!$AK$2:$AK$1105,1,Data!$N$2:$N$1105,$A$229),NA())))</f>
        <v/>
      </c>
      <c r="N229" s="67">
        <f>IF($A$229="",NA(),IF(COUNTIFS(Data!$AK$2:$AK$1105,1,Data!$N$2:$N$1105,$A$229)&lt;Controls!$B$19,NA(),IFERROR(AVERAGEIFS(Data!$AD$2:$AD$1105,Data!$AK$2:$AK$1105,1,Data!$N$2:$N$1105,$A$229),NA())))</f>
        <v/>
      </c>
      <c r="O229" s="67">
        <f>IF($A$229="",NA(),IF(COUNTIFS(Data!$AK$2:$AK$1105,1,Data!$N$2:$N$1105,$A$229)&lt;Controls!$B$19,NA(),IFERROR(AVERAGEIFS(Data!$AS$2:$AS$1105,Data!$AK$2:$AK$1105,1,Data!$N$2:$N$1105,$A$229),NA())))</f>
        <v/>
      </c>
      <c r="P229" s="67">
        <f>IF($A$229="",NA(),IF(COUNTIFS(Data!$AK$2:$AK$1105,1,Data!$N$2:$N$1105,$A$229)&lt;Controls!$B$19,NA(),IFERROR(AVERAGEIFS(Data!$AT$2:$AT$1105,Data!$AK$2:$AK$1105,1,Data!$N$2:$N$1105,$A$229),NA())))</f>
        <v/>
      </c>
      <c r="Q229" s="62">
        <f>IF($A$229="",NA(),IF(COUNTIFS(Data!$AK$2:$AK$1105,1,Data!$N$2:$N$1105,$A$229)&lt;Controls!$B$19,NA(),IFERROR(COUNTIFS(Data!$AK$2:$AK$1105,1,Data!$N$2:$N$1105,$A$229,Data!$N$2:$N$1105,"Renewal")/COUNTIFS(Data!$AK$2:$AK$1105,1,Data!$N$2:$N$1105,$A$229),NA())))</f>
        <v/>
      </c>
      <c r="R229" s="62">
        <f>IF($A$229="",NA(),IF(COUNTIFS(Data!$AK$2:$AK$1105,1,Data!$N$2:$N$1105,$A$229)&lt;Controls!$B$19,NA(),IFERROR(SUMIFS(Data!$P$2:$P$1105,Data!$AK$2:$AK$1105,1,Data!$N$2:$N$1105,$A$229,Data!$N$2:$N$1105,"Renewal")/SUMIFS(Data!$P$2:$P$1105,Data!$AK$2:$AK$1105,1,Data!$N$2:$N$1105,$A$229),NA())))</f>
        <v/>
      </c>
      <c r="S229" s="62">
        <f>IF($A$229="",NA(),Calc!$BT$2)</f>
        <v/>
      </c>
      <c r="T229" s="62">
        <f>IF($A$229="",NA(),Calc!$BT$3)</f>
        <v/>
      </c>
      <c r="U229" s="62">
        <f>IF($A$229="",NA(),Calc!$BT$4)</f>
        <v/>
      </c>
      <c r="V229" s="62">
        <f>IF($A$229="",NA(),IF(COUNTIFS(Data!$AK$2:$AK$1105,1,Data!$N$2:$N$1105,$A$229)&lt;Controls!$B$19,NA(),IFERROR(COUNTIFS(Data!$AK$2:$AK$1105,1,Data!$N$2:$N$1105,$A$229,Data!$AH$2:$AH$1105,1)/COUNTIFS(Data!$AK$2:$AK$1105,1,Data!$N$2:$N$1105,$A$229),NA())))</f>
        <v/>
      </c>
      <c r="W229" s="61">
        <f>IF($A$229="","",$A$229&amp;" ("&amp;$J$229&amp;")")</f>
        <v/>
      </c>
      <c r="X229" s="61" t="n"/>
      <c r="Y229" s="61" t="n"/>
      <c r="Z229" s="61" t="n"/>
      <c r="AA229" s="61" t="n"/>
      <c r="AB229" s="61" t="n"/>
      <c r="AC229" s="61" t="n"/>
      <c r="AD229" s="61" t="n"/>
      <c r="AE229" s="61" t="n"/>
      <c r="AF229" s="61" t="n"/>
      <c r="AG229" s="61" t="n"/>
      <c r="AH229" s="61" t="n"/>
      <c r="AI229" s="61" t="n"/>
      <c r="AJ229" s="61" t="n"/>
      <c r="AK229" s="61" t="n"/>
      <c r="AL229" s="61" t="n"/>
      <c r="AM229" s="61" t="n"/>
      <c r="AN229" s="61">
        <f>Controls!$G$126</f>
        <v/>
      </c>
      <c r="AO229" s="61">
        <f>COUNTIFS(Data!$AK$2:$AK$1105,1,Data!$M$2:$M$1105,$AN$229)</f>
        <v/>
      </c>
      <c r="AP229" s="57">
        <f>SUMIFS(Data!$P$2:$P$1105,Data!$AK$2:$AK$1105,1,Data!$M$2:$M$1105,$AN$229)</f>
        <v/>
      </c>
      <c r="AQ229" s="56">
        <f>IFERROR(SUMIFS(Data!$AN$2:$AN$1105,Data!$AK$2:$AK$1105,1,Data!$M$2:$M$1105,$AN$229)/$AP$229,0)</f>
        <v/>
      </c>
      <c r="AR229" s="57">
        <f>SUMIFS(Data!$AN$2:$AN$1105,Data!$AK$2:$AK$1105,1,Data!$M$2:$M$1105,$AN$229)</f>
        <v/>
      </c>
      <c r="AS229" s="61">
        <f>Controls!$H$126</f>
        <v/>
      </c>
      <c r="AT229" s="57">
        <f>IF(OR(AO229=0,AO229&lt;Controls!$B$20),-1000000000000000,IF(AND(Controls!$B$21="Y",$AN$229="No ISO"),-1000000000000000,IF(Controls!$B$17="Selected only",IF(AS229="Y",AP229,-1000000000000000),IF(Controls!$B$17="Top by funded $",AP229,IF(Controls!$B$17="Top by funded units",AO229,IF(Controls!$B$17="Largest principal lost $",AR229,IF(Controls!$B$17="Highest net profit $",AU229,IF(AO229&lt;Controls!$B$19,-1000000000000000,IF(Controls!$B$17="Highest principal lost rate %",AQ229,IF(Controls!$B$17="Lowest principal lost rate %",1-AQ229,AP229))))))))) +87/1000000)</f>
        <v/>
      </c>
      <c r="AU229" s="57">
        <f>SUMIFS(Data!$AM$2:$AM$1105,Data!$AK$2:$AK$1105,1,Data!$M$2:$M$1105,$AN$229)</f>
        <v/>
      </c>
      <c r="AV229" s="61" t="n"/>
      <c r="AW229" s="61" t="n"/>
      <c r="AX229" s="61" t="n"/>
      <c r="AY229" s="61" t="n"/>
      <c r="AZ229" s="61" t="n"/>
      <c r="BA229" s="61" t="n"/>
      <c r="BB229" s="61">
        <f>Controls!$G$194</f>
        <v/>
      </c>
      <c r="BC229" s="61">
        <f>COUNTIFS(Data!$AK$2:$AK$1105,1,Data!$M$2:$M$1105,$BB$229)</f>
        <v/>
      </c>
      <c r="BD229" s="57">
        <f>SUMIFS(Data!$P$2:$P$1105,Data!$AK$2:$AK$1105,1,Data!$M$2:$M$1105,$BB$229)</f>
        <v/>
      </c>
      <c r="BE229" s="56">
        <f>IF(COUNTIFS(Data!$AK$2:$AK$1105,1,Data!$M$2:$M$1105,$BB$229)&lt;Controls!$B$19,"",IFERROR(SUMIFS(Data!$AN$2:$AN$1105,Data!$AK$2:$AK$1105,1,Data!$M$2:$M$1105,$BB$229)/$BD$229,""))</f>
        <v/>
      </c>
      <c r="BF229" s="56">
        <f>IF(COUNTIFS(Data!$AK$2:$AK$1105,1,Data!$M$2:$M$1105,$BB$229)&lt;Controls!$B$19,"",IFERROR(SUMIFS(Data!$AM$2:$AM$1105,Data!$AK$2:$AK$1105,1,Data!$M$2:$M$1105,$BB$229)/SUMIFS(Data!$P$2:$P$1105,Data!$AK$2:$AK$1105,1,Data!$M$2:$M$1105,$BB$229),""))</f>
        <v/>
      </c>
      <c r="BG229" s="57">
        <f>SUMIFS(Data!$AN$2:$AN$1105,Data!$AK$2:$AK$1105,1,Data!$M$2:$M$1105,$BB$229)</f>
        <v/>
      </c>
      <c r="BH229" s="61" t="n"/>
      <c r="BI229" s="61">
        <f>IF(AND($BC$229&gt;=Controls!$B$22,$BD$229&gt;=LARGE($BD$75:$BD$230,MIN(Controls!$B$18,COUNT($BD$75:$BD$230)))),$BE$229,"")</f>
        <v/>
      </c>
      <c r="BJ229" s="61" t="n"/>
      <c r="BK229" s="61">
        <f>IF($BC$229&lt;Controls!$B$22,"",$BE$229)</f>
        <v/>
      </c>
      <c r="BL229" s="61">
        <f>IF($BC$229&lt;Controls!$B$22,"",$BF$229)</f>
        <v/>
      </c>
      <c r="BM229" s="61">
        <f>IF($BC$229&lt;Controls!$B$22,"",$BG$229)</f>
        <v/>
      </c>
      <c r="BN229" s="61" t="n"/>
      <c r="BO229" s="61" t="n"/>
      <c r="BP229" s="61" t="n"/>
      <c r="BQ229" s="61" t="n"/>
      <c r="BR229" s="61" t="n"/>
      <c r="BS229" s="61" t="n"/>
      <c r="BT229" s="61" t="n"/>
    </row>
    <row r="230" ht="15.75" customHeight="1" s="79">
      <c r="A230" s="61" t="n"/>
      <c r="B230" s="61" t="n"/>
      <c r="C230" s="61" t="n"/>
      <c r="D230" s="61" t="n"/>
      <c r="E230" s="61" t="n"/>
      <c r="F230" s="61" t="n"/>
      <c r="G230" s="61" t="n"/>
      <c r="H230" s="61" t="n"/>
      <c r="I230" s="61" t="n"/>
      <c r="J230" s="61" t="n"/>
      <c r="K230" s="61" t="n"/>
      <c r="L230" s="61" t="n"/>
      <c r="M230" s="61" t="n"/>
      <c r="N230" s="61" t="n"/>
      <c r="O230" s="61" t="n"/>
      <c r="P230" s="61" t="n"/>
      <c r="Q230" s="61" t="n"/>
      <c r="R230" s="61" t="n"/>
      <c r="S230" s="61" t="n"/>
      <c r="T230" s="61" t="n"/>
      <c r="U230" s="61" t="n"/>
      <c r="V230" s="61" t="n"/>
      <c r="W230" s="61" t="n"/>
      <c r="X230" s="61" t="n"/>
      <c r="Y230" s="61" t="n"/>
      <c r="Z230" s="61" t="n"/>
      <c r="AA230" s="61" t="n"/>
      <c r="AB230" s="61" t="n"/>
      <c r="AC230" s="61" t="n"/>
      <c r="AD230" s="61" t="n"/>
      <c r="AE230" s="61" t="n"/>
      <c r="AF230" s="61" t="n"/>
      <c r="AG230" s="61" t="n"/>
      <c r="AH230" s="61" t="n"/>
      <c r="AI230" s="61" t="n"/>
      <c r="AJ230" s="61" t="n"/>
      <c r="AK230" s="61" t="n"/>
      <c r="AL230" s="61" t="n"/>
      <c r="AM230" s="61" t="n"/>
      <c r="AN230" s="61">
        <f>Controls!$G$127</f>
        <v/>
      </c>
      <c r="AO230" s="61">
        <f>COUNTIFS(Data!$AK$2:$AK$1105,1,Data!$M$2:$M$1105,$AN$230)</f>
        <v/>
      </c>
      <c r="AP230" s="57">
        <f>SUMIFS(Data!$P$2:$P$1105,Data!$AK$2:$AK$1105,1,Data!$M$2:$M$1105,$AN$230)</f>
        <v/>
      </c>
      <c r="AQ230" s="56">
        <f>IFERROR(SUMIFS(Data!$AN$2:$AN$1105,Data!$AK$2:$AK$1105,1,Data!$M$2:$M$1105,$AN$230)/$AP$230,0)</f>
        <v/>
      </c>
      <c r="AR230" s="57">
        <f>SUMIFS(Data!$AN$2:$AN$1105,Data!$AK$2:$AK$1105,1,Data!$M$2:$M$1105,$AN$230)</f>
        <v/>
      </c>
      <c r="AS230" s="61">
        <f>Controls!$H$127</f>
        <v/>
      </c>
      <c r="AT230" s="61">
        <f>IF(OR(AO230=0,AO230&lt;Controls!$B$20),-1000000000000000,IF(AND(Controls!$B$21="Y",$AN$230="No ISO"),-1000000000000000,IF(Controls!$B$17="Selected only",IF(AS230="Y",AP230,-1000000000000000),IF(Controls!$B$17="Top by funded $",AP230,IF(Controls!$B$17="Top by funded units",AO230,IF(Controls!$B$17="Largest principal lost $",AR230,IF(Controls!$B$17="Highest net profit $",AU230,IF(AO230&lt;Controls!$B$19,-1000000000000000,IF(Controls!$B$17="Highest principal lost rate %",AQ230,IF(Controls!$B$17="Lowest principal lost rate %",1-AQ230,AP230))))))))) +88/1000000)</f>
        <v/>
      </c>
      <c r="AU230" s="57">
        <f>SUMIFS(Data!$AM$2:$AM$1105,Data!$AK$2:$AK$1105,1,Data!$M$2:$M$1105,$AN$230)</f>
        <v/>
      </c>
      <c r="AV230" s="61" t="n"/>
      <c r="AW230" s="61" t="n"/>
      <c r="AX230" s="61" t="n"/>
      <c r="AY230" s="61" t="n"/>
      <c r="AZ230" s="61" t="n"/>
      <c r="BA230" s="61" t="n"/>
      <c r="BB230" s="61">
        <f>Controls!$G$195</f>
        <v/>
      </c>
      <c r="BC230" s="61">
        <f>COUNTIFS(Data!$AK$2:$AK$1105,1,Data!$M$2:$M$1105,$BB$230)</f>
        <v/>
      </c>
      <c r="BD230" s="57">
        <f>SUMIFS(Data!$P$2:$P$1105,Data!$AK$2:$AK$1105,1,Data!$M$2:$M$1105,$BB$230)</f>
        <v/>
      </c>
      <c r="BE230" s="56">
        <f>IF(COUNTIFS(Data!$AK$2:$AK$1105,1,Data!$M$2:$M$1105,$BB$230)&lt;Controls!$B$19,"",IFERROR(SUMIFS(Data!$AN$2:$AN$1105,Data!$AK$2:$AK$1105,1,Data!$M$2:$M$1105,$BB$230)/$BD$230,""))</f>
        <v/>
      </c>
      <c r="BF230" s="56">
        <f>IF(COUNTIFS(Data!$AK$2:$AK$1105,1,Data!$M$2:$M$1105,$BB$230)&lt;Controls!$B$19,"",IFERROR(SUMIFS(Data!$AM$2:$AM$1105,Data!$AK$2:$AK$1105,1,Data!$M$2:$M$1105,$BB$230)/SUMIFS(Data!$P$2:$P$1105,Data!$AK$2:$AK$1105,1,Data!$M$2:$M$1105,$BB$230),""))</f>
        <v/>
      </c>
      <c r="BG230" s="57">
        <f>SUMIFS(Data!$AN$2:$AN$1105,Data!$AK$2:$AK$1105,1,Data!$M$2:$M$1105,$BB$230)</f>
        <v/>
      </c>
      <c r="BH230" s="61" t="n"/>
      <c r="BI230" s="61">
        <f>IF(AND($BC$230&gt;=Controls!$B$22,$BD$230&gt;=LARGE($BD$75:$BD$230,MIN(Controls!$B$18,COUNT($BD$75:$BD$230)))),$BE$230,"")</f>
        <v/>
      </c>
      <c r="BJ230" s="61" t="n"/>
      <c r="BK230" s="61">
        <f>IF($BC$230&lt;Controls!$B$22,"",$BE$230)</f>
        <v/>
      </c>
      <c r="BL230" s="61">
        <f>IF($BC$230&lt;Controls!$B$22,"",$BF$230)</f>
        <v/>
      </c>
      <c r="BM230" s="61">
        <f>IF($BC$230&lt;Controls!$B$22,"",$BG$230)</f>
        <v/>
      </c>
      <c r="BN230" s="61" t="n"/>
      <c r="BO230" s="61" t="n"/>
      <c r="BP230" s="61" t="n"/>
      <c r="BQ230" s="61" t="n"/>
      <c r="BR230" s="61" t="n"/>
      <c r="BS230" s="61" t="n"/>
      <c r="BT230" s="61" t="n"/>
    </row>
    <row r="231" ht="15.75" customHeight="1" s="79">
      <c r="A231" s="61" t="n"/>
      <c r="B231" s="61" t="n"/>
      <c r="C231" s="61" t="n"/>
      <c r="D231" s="61" t="n"/>
      <c r="E231" s="61" t="n"/>
      <c r="F231" s="61" t="n"/>
      <c r="G231" s="61" t="n"/>
      <c r="H231" s="61" t="n"/>
      <c r="I231" s="61" t="n"/>
      <c r="J231" s="61" t="n"/>
      <c r="K231" s="61" t="n"/>
      <c r="L231" s="61" t="n"/>
      <c r="M231" s="61" t="n"/>
      <c r="N231" s="61" t="n"/>
      <c r="O231" s="61" t="n"/>
      <c r="P231" s="61" t="n"/>
      <c r="Q231" s="61" t="n"/>
      <c r="R231" s="61" t="n"/>
      <c r="S231" s="61" t="n"/>
      <c r="T231" s="61" t="n"/>
      <c r="U231" s="61" t="n"/>
      <c r="V231" s="61" t="n"/>
      <c r="W231" s="61" t="n"/>
      <c r="X231" s="61" t="n"/>
      <c r="Y231" s="61" t="n"/>
      <c r="Z231" s="61" t="n"/>
      <c r="AA231" s="61" t="n"/>
      <c r="AB231" s="61" t="n"/>
      <c r="AC231" s="61" t="n"/>
      <c r="AD231" s="61" t="n"/>
      <c r="AE231" s="61" t="n"/>
      <c r="AF231" s="61" t="n"/>
      <c r="AG231" s="61" t="n"/>
      <c r="AH231" s="61" t="n"/>
      <c r="AI231" s="61" t="n"/>
      <c r="AJ231" s="61" t="n"/>
      <c r="AK231" s="61" t="n"/>
      <c r="AL231" s="61" t="n"/>
      <c r="AM231" s="61" t="n"/>
      <c r="AN231" s="61">
        <f>Controls!$G$128</f>
        <v/>
      </c>
      <c r="AO231" s="61">
        <f>COUNTIFS(Data!$AK$2:$AK$1105,1,Data!$M$2:$M$1105,$AN$231)</f>
        <v/>
      </c>
      <c r="AP231" s="57">
        <f>SUMIFS(Data!$P$2:$P$1105,Data!$AK$2:$AK$1105,1,Data!$M$2:$M$1105,$AN$231)</f>
        <v/>
      </c>
      <c r="AQ231" s="56">
        <f>IFERROR(SUMIFS(Data!$AN$2:$AN$1105,Data!$AK$2:$AK$1105,1,Data!$M$2:$M$1105,$AN$231)/$AP$231,0)</f>
        <v/>
      </c>
      <c r="AR231" s="57">
        <f>SUMIFS(Data!$AN$2:$AN$1105,Data!$AK$2:$AK$1105,1,Data!$M$2:$M$1105,$AN$231)</f>
        <v/>
      </c>
      <c r="AS231" s="61">
        <f>Controls!$H$128</f>
        <v/>
      </c>
      <c r="AT231" s="61">
        <f>IF(OR(AO231=0,AO231&lt;Controls!$B$20),-1000000000000000,IF(AND(Controls!$B$21="Y",$AN$231="No ISO"),-1000000000000000,IF(Controls!$B$17="Selected only",IF(AS231="Y",AP231,-1000000000000000),IF(Controls!$B$17="Top by funded $",AP231,IF(Controls!$B$17="Top by funded units",AO231,IF(Controls!$B$17="Largest principal lost $",AR231,IF(Controls!$B$17="Highest net profit $",AU231,IF(AO231&lt;Controls!$B$19,-1000000000000000,IF(Controls!$B$17="Highest principal lost rate %",AQ231,IF(Controls!$B$17="Lowest principal lost rate %",1-AQ231,AP231))))))))) +89/1000000)</f>
        <v/>
      </c>
      <c r="AU231" s="57">
        <f>SUMIFS(Data!$AM$2:$AM$1105,Data!$AK$2:$AK$1105,1,Data!$M$2:$M$1105,$AN$231)</f>
        <v/>
      </c>
      <c r="AV231" s="61" t="n"/>
      <c r="AW231" s="61" t="n"/>
      <c r="AX231" s="61" t="n"/>
      <c r="AY231" s="61" t="n"/>
      <c r="AZ231" s="61" t="n"/>
      <c r="BA231" s="61" t="n"/>
      <c r="BB231" s="61" t="n"/>
      <c r="BC231" s="61" t="n"/>
      <c r="BD231" s="57" t="n"/>
      <c r="BE231" s="56" t="n"/>
      <c r="BF231" s="56" t="n"/>
      <c r="BG231" s="57" t="n"/>
      <c r="BH231" s="61" t="n"/>
      <c r="BI231" s="61" t="n"/>
      <c r="BJ231" s="61" t="n"/>
      <c r="BK231" s="61" t="n"/>
      <c r="BL231" s="61" t="n"/>
      <c r="BM231" s="61" t="n"/>
      <c r="BN231" s="61" t="n"/>
      <c r="BO231" s="61" t="n"/>
      <c r="BP231" s="61" t="n"/>
      <c r="BQ231" s="61" t="n"/>
      <c r="BR231" s="61" t="n"/>
      <c r="BS231" s="61" t="n"/>
      <c r="BT231" s="61" t="n"/>
    </row>
    <row r="232" ht="15.75" customHeight="1" s="79">
      <c r="A232" s="61" t="inlineStr">
        <is>
          <t xml:space="preserve">Status - </t>
        </is>
      </c>
      <c r="B232" s="61" t="n"/>
      <c r="C232" s="61" t="n"/>
      <c r="D232" s="61" t="n"/>
      <c r="E232" s="61" t="n"/>
      <c r="F232" s="61" t="n"/>
      <c r="G232" s="61" t="n"/>
      <c r="H232" s="61" t="n"/>
      <c r="I232" s="61" t="n"/>
      <c r="J232" s="61" t="n"/>
      <c r="K232" s="61" t="n"/>
      <c r="L232" s="61" t="n"/>
      <c r="M232" s="61" t="n"/>
      <c r="N232" s="61" t="n"/>
      <c r="O232" s="61" t="n"/>
      <c r="P232" s="61" t="n"/>
      <c r="Q232" s="61" t="n"/>
      <c r="R232" s="61" t="n"/>
      <c r="S232" s="61" t="n"/>
      <c r="T232" s="61" t="n"/>
      <c r="U232" s="61" t="n"/>
      <c r="V232" s="61" t="n"/>
      <c r="W232" s="61" t="n"/>
      <c r="X232" s="61" t="n"/>
      <c r="Y232" s="61" t="n"/>
      <c r="Z232" s="61" t="n"/>
      <c r="AA232" s="61" t="n"/>
      <c r="AB232" s="61" t="n"/>
      <c r="AC232" s="61" t="n"/>
      <c r="AD232" s="61" t="n"/>
      <c r="AE232" s="61" t="n"/>
      <c r="AF232" s="61" t="n"/>
      <c r="AG232" s="61" t="n"/>
      <c r="AH232" s="61" t="n"/>
      <c r="AI232" s="61" t="n"/>
      <c r="AJ232" s="61" t="n"/>
      <c r="AK232" s="61" t="n"/>
      <c r="AL232" s="61" t="n"/>
      <c r="AM232" s="61" t="n"/>
      <c r="AN232" s="61">
        <f>Controls!$G$129</f>
        <v/>
      </c>
      <c r="AO232" s="61">
        <f>COUNTIFS(Data!$AK$2:$AK$1105,1,Data!$M$2:$M$1105,$AN$232)</f>
        <v/>
      </c>
      <c r="AP232" s="57">
        <f>SUMIFS(Data!$P$2:$P$1105,Data!$AK$2:$AK$1105,1,Data!$M$2:$M$1105,$AN$232)</f>
        <v/>
      </c>
      <c r="AQ232" s="56">
        <f>IFERROR(SUMIFS(Data!$AN$2:$AN$1105,Data!$AK$2:$AK$1105,1,Data!$M$2:$M$1105,$AN$232)/$AP$232,0)</f>
        <v/>
      </c>
      <c r="AR232" s="57">
        <f>SUMIFS(Data!$AN$2:$AN$1105,Data!$AK$2:$AK$1105,1,Data!$M$2:$M$1105,$AN$232)</f>
        <v/>
      </c>
      <c r="AS232" s="61">
        <f>Controls!$H$129</f>
        <v/>
      </c>
      <c r="AT232" s="61">
        <f>IF(OR(AO232=0,AO232&lt;Controls!$B$20),-1000000000000000,IF(AND(Controls!$B$21="Y",$AN$232="No ISO"),-1000000000000000,IF(Controls!$B$17="Selected only",IF(AS232="Y",AP232,-1000000000000000),IF(Controls!$B$17="Top by funded $",AP232,IF(Controls!$B$17="Top by funded units",AO232,IF(Controls!$B$17="Largest principal lost $",AR232,IF(Controls!$B$17="Highest net profit $",AU232,IF(AO232&lt;Controls!$B$19,-1000000000000000,IF(Controls!$B$17="Highest principal lost rate %",AQ232,IF(Controls!$B$17="Lowest principal lost rate %",1-AQ232,AP232))))))))) +90/1000000)</f>
        <v/>
      </c>
      <c r="AU232" s="57">
        <f>SUMIFS(Data!$AM$2:$AM$1105,Data!$AK$2:$AK$1105,1,Data!$M$2:$M$1105,$AN$232)</f>
        <v/>
      </c>
      <c r="AV232" s="61" t="n"/>
      <c r="AW232" s="61" t="n"/>
      <c r="AX232" s="61" t="n"/>
      <c r="AY232" s="61" t="n"/>
      <c r="AZ232" s="61" t="n"/>
      <c r="BA232" s="61" t="n"/>
      <c r="BB232" s="61" t="n"/>
      <c r="BC232" s="61" t="n"/>
      <c r="BD232" s="57" t="n"/>
      <c r="BE232" s="56" t="n"/>
      <c r="BF232" s="56" t="n"/>
      <c r="BG232" s="57" t="n"/>
      <c r="BH232" s="61" t="n"/>
      <c r="BI232" s="61" t="n"/>
      <c r="BJ232" s="61" t="n"/>
      <c r="BK232" s="61" t="n"/>
      <c r="BL232" s="61" t="n"/>
      <c r="BM232" s="61" t="n"/>
      <c r="BN232" s="61" t="n"/>
      <c r="BO232" s="61" t="n"/>
      <c r="BP232" s="61" t="n"/>
      <c r="BQ232" s="61" t="n"/>
      <c r="BR232" s="61" t="n"/>
      <c r="BS232" s="61" t="n"/>
      <c r="BT232" s="61" t="n"/>
    </row>
    <row r="233" ht="15.75" customHeight="1" s="79">
      <c r="A233" s="61" t="inlineStr">
        <is>
          <t>Label</t>
        </is>
      </c>
      <c r="B233" s="61" t="inlineStr">
        <is>
          <t>Funded $</t>
        </is>
      </c>
      <c r="C233" s="61" t="inlineStr">
        <is>
          <t>Collected $</t>
        </is>
      </c>
      <c r="D233" s="61" t="inlineStr">
        <is>
          <t>Net profit / loss $</t>
        </is>
      </c>
      <c r="E233" s="61" t="inlineStr">
        <is>
          <t>Commission $</t>
        </is>
      </c>
      <c r="F233" s="61" t="inlineStr">
        <is>
          <t>Principal lost $</t>
        </is>
      </c>
      <c r="G233" s="61" t="inlineStr">
        <is>
          <t>Principal lost rate</t>
        </is>
      </c>
      <c r="H233" s="61" t="inlineStr">
        <is>
          <t>Recovery rate</t>
        </is>
      </c>
      <c r="I233" s="61" t="inlineStr">
        <is>
          <t>Return on funded capital (%)</t>
        </is>
      </c>
      <c r="J233" s="61" t="inlineStr">
        <is>
          <t>Deals</t>
        </is>
      </c>
      <c r="K233" s="61" t="inlineStr">
        <is>
          <t>Share of funded dollars</t>
        </is>
      </c>
      <c r="L233" s="61" t="inlineStr">
        <is>
          <t>Avg deal size</t>
        </is>
      </c>
      <c r="M233" s="61" t="inlineStr">
        <is>
          <t>Avg expected term (business days)</t>
        </is>
      </c>
      <c r="N233" s="61" t="inlineStr">
        <is>
          <t>Avg expected term (payments)</t>
        </is>
      </c>
      <c r="O233" s="61" t="inlineStr">
        <is>
          <t>Avg days on book, defaulted</t>
        </is>
      </c>
      <c r="P233" s="61" t="inlineStr">
        <is>
          <t>Avg days to close</t>
        </is>
      </c>
      <c r="Q233" s="61" t="inlineStr">
        <is>
          <t>% of deals that were renewals</t>
        </is>
      </c>
      <c r="R233" s="61" t="inlineStr">
        <is>
          <t>% of funded dollars from renewals</t>
        </is>
      </c>
      <c r="S233" s="61" t="inlineStr">
        <is>
          <t>Book lost rate</t>
        </is>
      </c>
      <c r="T233" s="61" t="inlineStr">
        <is>
          <t>Book recovery</t>
        </is>
      </c>
      <c r="U233" s="61" t="inlineStr">
        <is>
          <t>Book return on funded capital</t>
        </is>
      </c>
      <c r="V233" s="61" t="inlineStr">
        <is>
          <t>Default rate (#)</t>
        </is>
      </c>
      <c r="W233" s="61" t="inlineStr">
        <is>
          <t>Chart label (name + deals)</t>
        </is>
      </c>
      <c r="X233" s="61" t="n"/>
      <c r="Y233" s="61" t="n"/>
      <c r="Z233" s="61" t="n"/>
      <c r="AA233" s="61" t="n"/>
      <c r="AB233" s="61" t="n"/>
      <c r="AC233" s="61" t="n"/>
      <c r="AD233" s="61" t="n"/>
      <c r="AE233" s="61" t="n"/>
      <c r="AF233" s="61" t="n"/>
      <c r="AG233" s="61" t="n"/>
      <c r="AH233" s="61" t="n"/>
      <c r="AI233" s="61" t="n"/>
      <c r="AJ233" s="61" t="n"/>
      <c r="AK233" s="61" t="n"/>
      <c r="AL233" s="61" t="n"/>
      <c r="AM233" s="61" t="n"/>
      <c r="AN233" s="61">
        <f>Controls!$G$130</f>
        <v/>
      </c>
      <c r="AO233" s="61">
        <f>COUNTIFS(Data!$AK$2:$AK$1105,1,Data!$M$2:$M$1105,$AN$233)</f>
        <v/>
      </c>
      <c r="AP233" s="57">
        <f>SUMIFS(Data!$P$2:$P$1105,Data!$AK$2:$AK$1105,1,Data!$M$2:$M$1105,$AN$233)</f>
        <v/>
      </c>
      <c r="AQ233" s="56">
        <f>IFERROR(SUMIFS(Data!$AN$2:$AN$1105,Data!$AK$2:$AK$1105,1,Data!$M$2:$M$1105,$AN$233)/$AP$233,0)</f>
        <v/>
      </c>
      <c r="AR233" s="57">
        <f>SUMIFS(Data!$AN$2:$AN$1105,Data!$AK$2:$AK$1105,1,Data!$M$2:$M$1105,$AN$233)</f>
        <v/>
      </c>
      <c r="AS233" s="61">
        <f>Controls!$H$130</f>
        <v/>
      </c>
      <c r="AT233" s="61">
        <f>IF(OR(AO233=0,AO233&lt;Controls!$B$20),-1000000000000000,IF(AND(Controls!$B$21="Y",$AN$233="No ISO"),-1000000000000000,IF(Controls!$B$17="Selected only",IF(AS233="Y",AP233,-1000000000000000),IF(Controls!$B$17="Top by funded $",AP233,IF(Controls!$B$17="Top by funded units",AO233,IF(Controls!$B$17="Largest principal lost $",AR233,IF(Controls!$B$17="Highest net profit $",AU233,IF(AO233&lt;Controls!$B$19,-1000000000000000,IF(Controls!$B$17="Highest principal lost rate %",AQ233,IF(Controls!$B$17="Lowest principal lost rate %",1-AQ233,AP233))))))))) +91/1000000)</f>
        <v/>
      </c>
      <c r="AU233" s="57">
        <f>SUMIFS(Data!$AM$2:$AM$1105,Data!$AK$2:$AK$1105,1,Data!$M$2:$M$1105,$AN$233)</f>
        <v/>
      </c>
      <c r="AV233" s="61" t="n"/>
      <c r="AW233" s="61" t="n"/>
      <c r="AX233" s="61" t="n"/>
      <c r="AY233" s="61" t="n"/>
      <c r="AZ233" s="61" t="n"/>
      <c r="BA233" s="61" t="n"/>
      <c r="BB233" s="61" t="n"/>
      <c r="BC233" s="61" t="n"/>
      <c r="BD233" s="57" t="n"/>
      <c r="BE233" s="56" t="n"/>
      <c r="BF233" s="56" t="n"/>
      <c r="BG233" s="57" t="n"/>
      <c r="BH233" s="61" t="n"/>
      <c r="BI233" s="61" t="n"/>
      <c r="BJ233" s="61" t="n"/>
      <c r="BK233" s="61" t="n"/>
      <c r="BL233" s="61" t="n"/>
      <c r="BM233" s="61" t="n"/>
      <c r="BN233" s="61" t="n"/>
      <c r="BO233" s="61" t="n"/>
      <c r="BP233" s="61" t="n"/>
      <c r="BQ233" s="61" t="n"/>
      <c r="BR233" s="61" t="n"/>
      <c r="BS233" s="61" t="n"/>
      <c r="BT233" s="61" t="n"/>
    </row>
    <row r="234" ht="15.75" customHeight="1" s="79">
      <c r="A234" s="61">
        <f>IF(COUNTIFS(Data!$AK$2:$AK$1105,1,Data!$D$2:$D$1105,"Closed")=0,"","Closed")</f>
        <v/>
      </c>
      <c r="B234" s="66">
        <f>IF($A$234="",NA(),IFERROR(SUMIFS(Data!$P$2:$P$1105,Data!$AK$2:$AK$1105,1,Data!$D$2:$D$1105,$A$234),NA()))</f>
        <v/>
      </c>
      <c r="C234" s="66">
        <f>IF($A$234="",NA(),IFERROR(SUMIFS(Data!$S$2:$S$1105,Data!$AK$2:$AK$1105,1,Data!$D$2:$D$1105,$A$234),NA()))</f>
        <v/>
      </c>
      <c r="D234" s="66">
        <f>IF(ISNA($B$234),NA(),$C$234-$B$234)</f>
        <v/>
      </c>
      <c r="E234" s="66">
        <f>IF($A$234="",NA(),IFERROR(SUMIFS(Data!$Q$2:$Q$1105,Data!$AK$2:$AK$1105,1,Data!$D$2:$D$1105,$A$234),NA()))</f>
        <v/>
      </c>
      <c r="F234" s="66">
        <f>IF($A$234="",NA(),IFERROR(SUMIFS(Data!$AN$2:$AN$1105,Data!$AK$2:$AK$1105,1,Data!$D$2:$D$1105,$A$234),NA()))</f>
        <v/>
      </c>
      <c r="G234" s="62">
        <f>IF($A$234="",NA(),IF(COUNTIFS(Data!$AK$2:$AK$1105,1,Data!$D$2:$D$1105,$A$234)&lt;Controls!$B$19,NA(),IFERROR(SUMIFS(Data!$AN$2:$AN$1105,Data!$AK$2:$AK$1105,1,Data!$D$2:$D$1105,$A$234)/$B$234,NA())))</f>
        <v/>
      </c>
      <c r="H234" s="62">
        <f>IF($A$234="",NA(),IF(COUNTIFS(Data!$AK$2:$AK$1105,1,Data!$D$2:$D$1105,$A$234)&lt;Controls!$B$19,NA(),IFERROR(SUMIFS(Data!$S$2:$S$1105,Data!$AK$2:$AK$1105,1,Data!$D$2:$D$1105,$A$234,Data!$AH$2:$AH$1105,1)/SUMIFS(Data!$P$2:$P$1105,Data!$AK$2:$AK$1105,1,Data!$D$2:$D$1105,$A$234,Data!$AH$2:$AH$1105,1),NA())))</f>
        <v/>
      </c>
      <c r="I234" s="62">
        <f>IF(ISNA($J$234),NA(),IF($J$234&lt;Controls!$B$19,NA(),IFERROR($D$234/$B$234,NA())))</f>
        <v/>
      </c>
      <c r="J234" s="67">
        <f>IF($A$234="",NA(),IFERROR(COUNTIFS(Data!$AK$2:$AK$1105,1,Data!$D$2:$D$1105,$A$234),NA()))</f>
        <v/>
      </c>
      <c r="K234" s="62">
        <f>IF(ISNA($B$234),NA(),IFERROR($B$234/Calc!$BT$6,NA()))</f>
        <v/>
      </c>
      <c r="L234" s="66">
        <f>IF(ISNA($J$234),NA(),IF($J$234&lt;Controls!$B$19,NA(),IFERROR($B$234/$J$234,NA())))</f>
        <v/>
      </c>
      <c r="M234" s="67">
        <f>IF($A$234="",NA(),IF(COUNTIFS(Data!$AK$2:$AK$1105,1,Data!$D$2:$D$1105,$A$234)&lt;Controls!$B$19,NA(),IFERROR(AVERAGEIFS(Data!$AE$2:$AE$1105,Data!$AK$2:$AK$1105,1,Data!$D$2:$D$1105,$A$234),NA())))</f>
        <v/>
      </c>
      <c r="N234" s="67">
        <f>IF($A$234="",NA(),IF(COUNTIFS(Data!$AK$2:$AK$1105,1,Data!$D$2:$D$1105,$A$234)&lt;Controls!$B$19,NA(),IFERROR(AVERAGEIFS(Data!$AD$2:$AD$1105,Data!$AK$2:$AK$1105,1,Data!$D$2:$D$1105,$A$234),NA())))</f>
        <v/>
      </c>
      <c r="O234" s="67">
        <f>IF($A$234="",NA(),IF(COUNTIFS(Data!$AK$2:$AK$1105,1,Data!$D$2:$D$1105,$A$234)&lt;Controls!$B$19,NA(),IFERROR(AVERAGEIFS(Data!$AS$2:$AS$1105,Data!$AK$2:$AK$1105,1,Data!$D$2:$D$1105,$A$234),NA())))</f>
        <v/>
      </c>
      <c r="P234" s="67">
        <f>IF($A$234="",NA(),IF(COUNTIFS(Data!$AK$2:$AK$1105,1,Data!$D$2:$D$1105,$A$234)&lt;Controls!$B$19,NA(),IFERROR(AVERAGEIFS(Data!$AT$2:$AT$1105,Data!$AK$2:$AK$1105,1,Data!$D$2:$D$1105,$A$234),NA())))</f>
        <v/>
      </c>
      <c r="Q234" s="62">
        <f>IF($A$234="",NA(),IF(COUNTIFS(Data!$AK$2:$AK$1105,1,Data!$D$2:$D$1105,$A$234)&lt;Controls!$B$19,NA(),IFERROR(COUNTIFS(Data!$AK$2:$AK$1105,1,Data!$D$2:$D$1105,$A$234,Data!$N$2:$N$1105,"Renewal")/COUNTIFS(Data!$AK$2:$AK$1105,1,Data!$D$2:$D$1105,$A$234),NA())))</f>
        <v/>
      </c>
      <c r="R234" s="62">
        <f>IF($A$234="",NA(),IF(COUNTIFS(Data!$AK$2:$AK$1105,1,Data!$D$2:$D$1105,$A$234)&lt;Controls!$B$19,NA(),IFERROR(SUMIFS(Data!$P$2:$P$1105,Data!$AK$2:$AK$1105,1,Data!$D$2:$D$1105,$A$234,Data!$N$2:$N$1105,"Renewal")/SUMIFS(Data!$P$2:$P$1105,Data!$AK$2:$AK$1105,1,Data!$D$2:$D$1105,$A$234),NA())))</f>
        <v/>
      </c>
      <c r="S234" s="62">
        <f>IF($A$234="",NA(),Calc!$BT$2)</f>
        <v/>
      </c>
      <c r="T234" s="62">
        <f>IF($A$234="",NA(),Calc!$BT$3)</f>
        <v/>
      </c>
      <c r="U234" s="62">
        <f>IF($A$234="",NA(),Calc!$BT$4)</f>
        <v/>
      </c>
      <c r="V234" s="62">
        <f>IF($A$234="",NA(),IF(COUNTIFS(Data!$AK$2:$AK$1105,1,Data!$D$2:$D$1105,$A$234)&lt;Controls!$B$19,NA(),IFERROR(COUNTIFS(Data!$AK$2:$AK$1105,1,Data!$D$2:$D$1105,$A$234,Data!$AH$2:$AH$1105,1)/COUNTIFS(Data!$AK$2:$AK$1105,1,Data!$D$2:$D$1105,$A$234),NA())))</f>
        <v/>
      </c>
      <c r="W234" s="61">
        <f>IF($A$234="","",$A$234&amp;" ("&amp;$J$234&amp;")")</f>
        <v/>
      </c>
      <c r="X234" s="61" t="n"/>
      <c r="Y234" s="61" t="n"/>
      <c r="Z234" s="61" t="n"/>
      <c r="AA234" s="61" t="n"/>
      <c r="AB234" s="61" t="n"/>
      <c r="AC234" s="61" t="n"/>
      <c r="AD234" s="61" t="n"/>
      <c r="AE234" s="61" t="n"/>
      <c r="AF234" s="61" t="n"/>
      <c r="AG234" s="61" t="n"/>
      <c r="AH234" s="61" t="n"/>
      <c r="AI234" s="61" t="n"/>
      <c r="AJ234" s="61" t="n"/>
      <c r="AK234" s="61" t="n"/>
      <c r="AL234" s="61" t="n"/>
      <c r="AM234" s="61" t="n"/>
      <c r="AN234" s="61">
        <f>Controls!$G$131</f>
        <v/>
      </c>
      <c r="AO234" s="61">
        <f>COUNTIFS(Data!$AK$2:$AK$1105,1,Data!$M$2:$M$1105,$AN$234)</f>
        <v/>
      </c>
      <c r="AP234" s="57">
        <f>SUMIFS(Data!$P$2:$P$1105,Data!$AK$2:$AK$1105,1,Data!$M$2:$M$1105,$AN$234)</f>
        <v/>
      </c>
      <c r="AQ234" s="56">
        <f>IFERROR(SUMIFS(Data!$AN$2:$AN$1105,Data!$AK$2:$AK$1105,1,Data!$M$2:$M$1105,$AN$234)/$AP$234,0)</f>
        <v/>
      </c>
      <c r="AR234" s="57">
        <f>SUMIFS(Data!$AN$2:$AN$1105,Data!$AK$2:$AK$1105,1,Data!$M$2:$M$1105,$AN$234)</f>
        <v/>
      </c>
      <c r="AS234" s="61">
        <f>Controls!$H$131</f>
        <v/>
      </c>
      <c r="AT234" s="61">
        <f>IF(OR(AO234=0,AO234&lt;Controls!$B$20),-1000000000000000,IF(AND(Controls!$B$21="Y",$AN$234="No ISO"),-1000000000000000,IF(Controls!$B$17="Selected only",IF(AS234="Y",AP234,-1000000000000000),IF(Controls!$B$17="Top by funded $",AP234,IF(Controls!$B$17="Top by funded units",AO234,IF(Controls!$B$17="Largest principal lost $",AR234,IF(Controls!$B$17="Highest net profit $",AU234,IF(AO234&lt;Controls!$B$19,-1000000000000000,IF(Controls!$B$17="Highest principal lost rate %",AQ234,IF(Controls!$B$17="Lowest principal lost rate %",1-AQ234,AP234))))))))) +92/1000000)</f>
        <v/>
      </c>
      <c r="AU234" s="57">
        <f>SUMIFS(Data!$AM$2:$AM$1105,Data!$AK$2:$AK$1105,1,Data!$M$2:$M$1105,$AN$234)</f>
        <v/>
      </c>
      <c r="AV234" s="61" t="n"/>
      <c r="AW234" s="61" t="n"/>
      <c r="AX234" s="61" t="n"/>
      <c r="AY234" s="61" t="n"/>
      <c r="AZ234" s="61" t="n"/>
      <c r="BA234" s="61" t="n"/>
      <c r="BB234" s="61" t="n"/>
      <c r="BC234" s="61" t="n"/>
      <c r="BD234" s="57" t="n"/>
      <c r="BE234" s="56" t="n"/>
      <c r="BF234" s="56" t="n"/>
      <c r="BG234" s="57" t="n"/>
      <c r="BH234" s="61" t="n"/>
      <c r="BI234" s="61" t="n"/>
      <c r="BJ234" s="61" t="n"/>
      <c r="BK234" s="61" t="n"/>
      <c r="BL234" s="61" t="n"/>
      <c r="BM234" s="61" t="n"/>
      <c r="BN234" s="61" t="n"/>
      <c r="BO234" s="61" t="n"/>
      <c r="BP234" s="61" t="n"/>
      <c r="BQ234" s="61" t="n"/>
      <c r="BR234" s="61" t="n"/>
      <c r="BS234" s="61" t="n"/>
      <c r="BT234" s="61" t="n"/>
    </row>
    <row r="235" ht="15.75" customHeight="1" s="79">
      <c r="A235" s="61">
        <f>IF(COUNTIFS(Data!$AK$2:$AK$1105,1,Data!$D$2:$D$1105,"Open")=0,"","Open")</f>
        <v/>
      </c>
      <c r="B235" s="66">
        <f>IF($A$235="",NA(),IFERROR(SUMIFS(Data!$P$2:$P$1105,Data!$AK$2:$AK$1105,1,Data!$D$2:$D$1105,$A$235),NA()))</f>
        <v/>
      </c>
      <c r="C235" s="66">
        <f>IF($A$235="",NA(),IFERROR(SUMIFS(Data!$S$2:$S$1105,Data!$AK$2:$AK$1105,1,Data!$D$2:$D$1105,$A$235),NA()))</f>
        <v/>
      </c>
      <c r="D235" s="66">
        <f>IF(ISNA($B$235),NA(),$C$235-$B$235)</f>
        <v/>
      </c>
      <c r="E235" s="66">
        <f>IF($A$235="",NA(),IFERROR(SUMIFS(Data!$Q$2:$Q$1105,Data!$AK$2:$AK$1105,1,Data!$D$2:$D$1105,$A$235),NA()))</f>
        <v/>
      </c>
      <c r="F235" s="66">
        <f>IF($A$235="",NA(),IFERROR(SUMIFS(Data!$AN$2:$AN$1105,Data!$AK$2:$AK$1105,1,Data!$D$2:$D$1105,$A$235),NA()))</f>
        <v/>
      </c>
      <c r="G235" s="62">
        <f>IF($A$235="",NA(),IF(COUNTIFS(Data!$AK$2:$AK$1105,1,Data!$D$2:$D$1105,$A$235)&lt;Controls!$B$19,NA(),IFERROR(SUMIFS(Data!$AN$2:$AN$1105,Data!$AK$2:$AK$1105,1,Data!$D$2:$D$1105,$A$235)/$B$235,NA())))</f>
        <v/>
      </c>
      <c r="H235" s="62">
        <f>IF($A$235="",NA(),IF(COUNTIFS(Data!$AK$2:$AK$1105,1,Data!$D$2:$D$1105,$A$235)&lt;Controls!$B$19,NA(),IFERROR(SUMIFS(Data!$S$2:$S$1105,Data!$AK$2:$AK$1105,1,Data!$D$2:$D$1105,$A$235,Data!$AH$2:$AH$1105,1)/SUMIFS(Data!$P$2:$P$1105,Data!$AK$2:$AK$1105,1,Data!$D$2:$D$1105,$A$235,Data!$AH$2:$AH$1105,1),NA())))</f>
        <v/>
      </c>
      <c r="I235" s="62">
        <f>IF(ISNA($J$235),NA(),IF($J$235&lt;Controls!$B$19,NA(),IFERROR($D$235/$B$235,NA())))</f>
        <v/>
      </c>
      <c r="J235" s="67">
        <f>IF($A$235="",NA(),IFERROR(COUNTIFS(Data!$AK$2:$AK$1105,1,Data!$D$2:$D$1105,$A$235),NA()))</f>
        <v/>
      </c>
      <c r="K235" s="62">
        <f>IF(ISNA($B$235),NA(),IFERROR($B$235/Calc!$BT$6,NA()))</f>
        <v/>
      </c>
      <c r="L235" s="66">
        <f>IF(ISNA($J$235),NA(),IF($J$235&lt;Controls!$B$19,NA(),IFERROR($B$235/$J$235,NA())))</f>
        <v/>
      </c>
      <c r="M235" s="67">
        <f>IF($A$235="",NA(),IF(COUNTIFS(Data!$AK$2:$AK$1105,1,Data!$D$2:$D$1105,$A$235)&lt;Controls!$B$19,NA(),IFERROR(AVERAGEIFS(Data!$AE$2:$AE$1105,Data!$AK$2:$AK$1105,1,Data!$D$2:$D$1105,$A$235),NA())))</f>
        <v/>
      </c>
      <c r="N235" s="67">
        <f>IF($A$235="",NA(),IF(COUNTIFS(Data!$AK$2:$AK$1105,1,Data!$D$2:$D$1105,$A$235)&lt;Controls!$B$19,NA(),IFERROR(AVERAGEIFS(Data!$AD$2:$AD$1105,Data!$AK$2:$AK$1105,1,Data!$D$2:$D$1105,$A$235),NA())))</f>
        <v/>
      </c>
      <c r="O235" s="67">
        <f>IF($A$235="",NA(),IF(COUNTIFS(Data!$AK$2:$AK$1105,1,Data!$D$2:$D$1105,$A$235)&lt;Controls!$B$19,NA(),IFERROR(AVERAGEIFS(Data!$AS$2:$AS$1105,Data!$AK$2:$AK$1105,1,Data!$D$2:$D$1105,$A$235),NA())))</f>
        <v/>
      </c>
      <c r="P235" s="67">
        <f>IF($A$235="",NA(),IF(COUNTIFS(Data!$AK$2:$AK$1105,1,Data!$D$2:$D$1105,$A$235)&lt;Controls!$B$19,NA(),IFERROR(AVERAGEIFS(Data!$AT$2:$AT$1105,Data!$AK$2:$AK$1105,1,Data!$D$2:$D$1105,$A$235),NA())))</f>
        <v/>
      </c>
      <c r="Q235" s="62">
        <f>IF($A$235="",NA(),IF(COUNTIFS(Data!$AK$2:$AK$1105,1,Data!$D$2:$D$1105,$A$235)&lt;Controls!$B$19,NA(),IFERROR(COUNTIFS(Data!$AK$2:$AK$1105,1,Data!$D$2:$D$1105,$A$235,Data!$N$2:$N$1105,"Renewal")/COUNTIFS(Data!$AK$2:$AK$1105,1,Data!$D$2:$D$1105,$A$235),NA())))</f>
        <v/>
      </c>
      <c r="R235" s="62">
        <f>IF($A$235="",NA(),IF(COUNTIFS(Data!$AK$2:$AK$1105,1,Data!$D$2:$D$1105,$A$235)&lt;Controls!$B$19,NA(),IFERROR(SUMIFS(Data!$P$2:$P$1105,Data!$AK$2:$AK$1105,1,Data!$D$2:$D$1105,$A$235,Data!$N$2:$N$1105,"Renewal")/SUMIFS(Data!$P$2:$P$1105,Data!$AK$2:$AK$1105,1,Data!$D$2:$D$1105,$A$235),NA())))</f>
        <v/>
      </c>
      <c r="S235" s="62">
        <f>IF($A$235="",NA(),Calc!$BT$2)</f>
        <v/>
      </c>
      <c r="T235" s="62">
        <f>IF($A$235="",NA(),Calc!$BT$3)</f>
        <v/>
      </c>
      <c r="U235" s="62">
        <f>IF($A$235="",NA(),Calc!$BT$4)</f>
        <v/>
      </c>
      <c r="V235" s="62">
        <f>IF($A$235="",NA(),IF(COUNTIFS(Data!$AK$2:$AK$1105,1,Data!$D$2:$D$1105,$A$235)&lt;Controls!$B$19,NA(),IFERROR(COUNTIFS(Data!$AK$2:$AK$1105,1,Data!$D$2:$D$1105,$A$235,Data!$AH$2:$AH$1105,1)/COUNTIFS(Data!$AK$2:$AK$1105,1,Data!$D$2:$D$1105,$A$235),NA())))</f>
        <v/>
      </c>
      <c r="W235" s="61">
        <f>IF($A$235="","",$A$235&amp;" ("&amp;$J$235&amp;")")</f>
        <v/>
      </c>
      <c r="X235" s="61" t="n"/>
      <c r="Y235" s="61" t="n"/>
      <c r="Z235" s="61" t="n"/>
      <c r="AA235" s="61" t="n"/>
      <c r="AB235" s="61" t="n"/>
      <c r="AC235" s="61" t="n"/>
      <c r="AD235" s="61" t="n"/>
      <c r="AE235" s="61" t="n"/>
      <c r="AF235" s="61" t="n"/>
      <c r="AG235" s="61" t="n"/>
      <c r="AH235" s="61" t="n"/>
      <c r="AI235" s="61" t="n"/>
      <c r="AJ235" s="61" t="n"/>
      <c r="AK235" s="61" t="n"/>
      <c r="AL235" s="61" t="n"/>
      <c r="AM235" s="61" t="n"/>
      <c r="AN235" s="61">
        <f>Controls!$G$132</f>
        <v/>
      </c>
      <c r="AO235" s="61">
        <f>COUNTIFS(Data!$AK$2:$AK$1105,1,Data!$M$2:$M$1105,$AN$235)</f>
        <v/>
      </c>
      <c r="AP235" s="57">
        <f>SUMIFS(Data!$P$2:$P$1105,Data!$AK$2:$AK$1105,1,Data!$M$2:$M$1105,$AN$235)</f>
        <v/>
      </c>
      <c r="AQ235" s="56">
        <f>IFERROR(SUMIFS(Data!$AN$2:$AN$1105,Data!$AK$2:$AK$1105,1,Data!$M$2:$M$1105,$AN$235)/$AP$235,0)</f>
        <v/>
      </c>
      <c r="AR235" s="57">
        <f>SUMIFS(Data!$AN$2:$AN$1105,Data!$AK$2:$AK$1105,1,Data!$M$2:$M$1105,$AN$235)</f>
        <v/>
      </c>
      <c r="AS235" s="61">
        <f>Controls!$H$132</f>
        <v/>
      </c>
      <c r="AT235" s="61">
        <f>IF(OR(AO235=0,AO235&lt;Controls!$B$20),-1000000000000000,IF(AND(Controls!$B$21="Y",$AN$235="No ISO"),-1000000000000000,IF(Controls!$B$17="Selected only",IF(AS235="Y",AP235,-1000000000000000),IF(Controls!$B$17="Top by funded $",AP235,IF(Controls!$B$17="Top by funded units",AO235,IF(Controls!$B$17="Largest principal lost $",AR235,IF(Controls!$B$17="Highest net profit $",AU235,IF(AO235&lt;Controls!$B$19,-1000000000000000,IF(Controls!$B$17="Highest principal lost rate %",AQ235,IF(Controls!$B$17="Lowest principal lost rate %",1-AQ235,AP235))))))))) +93/1000000)</f>
        <v/>
      </c>
      <c r="AU235" s="57">
        <f>SUMIFS(Data!$AM$2:$AM$1105,Data!$AK$2:$AK$1105,1,Data!$M$2:$M$1105,$AN$235)</f>
        <v/>
      </c>
      <c r="AV235" s="61" t="n"/>
      <c r="AW235" s="61" t="n"/>
      <c r="AX235" s="61" t="n"/>
      <c r="AY235" s="61" t="n"/>
      <c r="AZ235" s="61" t="n"/>
      <c r="BA235" s="61" t="n"/>
      <c r="BB235" s="61" t="n"/>
      <c r="BC235" s="61" t="n"/>
      <c r="BD235" s="57" t="n"/>
      <c r="BE235" s="56" t="n"/>
      <c r="BF235" s="56" t="n"/>
      <c r="BG235" s="57" t="n"/>
      <c r="BH235" s="61" t="n"/>
      <c r="BI235" s="61" t="n"/>
      <c r="BJ235" s="61" t="n"/>
      <c r="BK235" s="61" t="n"/>
      <c r="BL235" s="61" t="n"/>
      <c r="BM235" s="61" t="n"/>
      <c r="BN235" s="61" t="n"/>
      <c r="BO235" s="61" t="n"/>
      <c r="BP235" s="61" t="n"/>
      <c r="BQ235" s="61" t="n"/>
      <c r="BR235" s="61" t="n"/>
      <c r="BS235" s="61" t="n"/>
      <c r="BT235" s="61" t="n"/>
    </row>
    <row r="236" ht="15.75" customHeight="1" s="79">
      <c r="A236" s="61">
        <f>IF(COUNTIFS(Data!$AK$2:$AK$1105,1,Data!$D$2:$D$1105,"Legal")=0,"","Legal")</f>
        <v/>
      </c>
      <c r="B236" s="66">
        <f>IF($A$236="",NA(),IFERROR(SUMIFS(Data!$P$2:$P$1105,Data!$AK$2:$AK$1105,1,Data!$D$2:$D$1105,$A$236),NA()))</f>
        <v/>
      </c>
      <c r="C236" s="66">
        <f>IF($A$236="",NA(),IFERROR(SUMIFS(Data!$S$2:$S$1105,Data!$AK$2:$AK$1105,1,Data!$D$2:$D$1105,$A$236),NA()))</f>
        <v/>
      </c>
      <c r="D236" s="66">
        <f>IF(ISNA($B$236),NA(),$C$236-$B$236)</f>
        <v/>
      </c>
      <c r="E236" s="66">
        <f>IF($A$236="",NA(),IFERROR(SUMIFS(Data!$Q$2:$Q$1105,Data!$AK$2:$AK$1105,1,Data!$D$2:$D$1105,$A$236),NA()))</f>
        <v/>
      </c>
      <c r="F236" s="66">
        <f>IF($A$236="",NA(),IFERROR(SUMIFS(Data!$AN$2:$AN$1105,Data!$AK$2:$AK$1105,1,Data!$D$2:$D$1105,$A$236),NA()))</f>
        <v/>
      </c>
      <c r="G236" s="62">
        <f>IF($A$236="",NA(),IF(COUNTIFS(Data!$AK$2:$AK$1105,1,Data!$D$2:$D$1105,$A$236)&lt;Controls!$B$19,NA(),IFERROR(SUMIFS(Data!$AN$2:$AN$1105,Data!$AK$2:$AK$1105,1,Data!$D$2:$D$1105,$A$236)/$B$236,NA())))</f>
        <v/>
      </c>
      <c r="H236" s="62">
        <f>IF($A$236="",NA(),IF(COUNTIFS(Data!$AK$2:$AK$1105,1,Data!$D$2:$D$1105,$A$236)&lt;Controls!$B$19,NA(),IFERROR(SUMIFS(Data!$S$2:$S$1105,Data!$AK$2:$AK$1105,1,Data!$D$2:$D$1105,$A$236,Data!$AH$2:$AH$1105,1)/SUMIFS(Data!$P$2:$P$1105,Data!$AK$2:$AK$1105,1,Data!$D$2:$D$1105,$A$236,Data!$AH$2:$AH$1105,1),NA())))</f>
        <v/>
      </c>
      <c r="I236" s="62">
        <f>IF(ISNA($J$236),NA(),IF($J$236&lt;Controls!$B$19,NA(),IFERROR($D$236/$B$236,NA())))</f>
        <v/>
      </c>
      <c r="J236" s="67">
        <f>IF($A$236="",NA(),IFERROR(COUNTIFS(Data!$AK$2:$AK$1105,1,Data!$D$2:$D$1105,$A$236),NA()))</f>
        <v/>
      </c>
      <c r="K236" s="62">
        <f>IF(ISNA($B$236),NA(),IFERROR($B$236/Calc!$BT$6,NA()))</f>
        <v/>
      </c>
      <c r="L236" s="66">
        <f>IF(ISNA($J$236),NA(),IF($J$236&lt;Controls!$B$19,NA(),IFERROR($B$236/$J$236,NA())))</f>
        <v/>
      </c>
      <c r="M236" s="67">
        <f>IF($A$236="",NA(),IF(COUNTIFS(Data!$AK$2:$AK$1105,1,Data!$D$2:$D$1105,$A$236)&lt;Controls!$B$19,NA(),IFERROR(AVERAGEIFS(Data!$AE$2:$AE$1105,Data!$AK$2:$AK$1105,1,Data!$D$2:$D$1105,$A$236),NA())))</f>
        <v/>
      </c>
      <c r="N236" s="67">
        <f>IF($A$236="",NA(),IF(COUNTIFS(Data!$AK$2:$AK$1105,1,Data!$D$2:$D$1105,$A$236)&lt;Controls!$B$19,NA(),IFERROR(AVERAGEIFS(Data!$AD$2:$AD$1105,Data!$AK$2:$AK$1105,1,Data!$D$2:$D$1105,$A$236),NA())))</f>
        <v/>
      </c>
      <c r="O236" s="67">
        <f>IF($A$236="",NA(),IF(COUNTIFS(Data!$AK$2:$AK$1105,1,Data!$D$2:$D$1105,$A$236)&lt;Controls!$B$19,NA(),IFERROR(AVERAGEIFS(Data!$AS$2:$AS$1105,Data!$AK$2:$AK$1105,1,Data!$D$2:$D$1105,$A$236),NA())))</f>
        <v/>
      </c>
      <c r="P236" s="67">
        <f>IF($A$236="",NA(),IF(COUNTIFS(Data!$AK$2:$AK$1105,1,Data!$D$2:$D$1105,$A$236)&lt;Controls!$B$19,NA(),IFERROR(AVERAGEIFS(Data!$AT$2:$AT$1105,Data!$AK$2:$AK$1105,1,Data!$D$2:$D$1105,$A$236),NA())))</f>
        <v/>
      </c>
      <c r="Q236" s="62">
        <f>IF($A$236="",NA(),IF(COUNTIFS(Data!$AK$2:$AK$1105,1,Data!$D$2:$D$1105,$A$236)&lt;Controls!$B$19,NA(),IFERROR(COUNTIFS(Data!$AK$2:$AK$1105,1,Data!$D$2:$D$1105,$A$236,Data!$N$2:$N$1105,"Renewal")/COUNTIFS(Data!$AK$2:$AK$1105,1,Data!$D$2:$D$1105,$A$236),NA())))</f>
        <v/>
      </c>
      <c r="R236" s="62">
        <f>IF($A$236="",NA(),IF(COUNTIFS(Data!$AK$2:$AK$1105,1,Data!$D$2:$D$1105,$A$236)&lt;Controls!$B$19,NA(),IFERROR(SUMIFS(Data!$P$2:$P$1105,Data!$AK$2:$AK$1105,1,Data!$D$2:$D$1105,$A$236,Data!$N$2:$N$1105,"Renewal")/SUMIFS(Data!$P$2:$P$1105,Data!$AK$2:$AK$1105,1,Data!$D$2:$D$1105,$A$236),NA())))</f>
        <v/>
      </c>
      <c r="S236" s="62">
        <f>IF($A$236="",NA(),Calc!$BT$2)</f>
        <v/>
      </c>
      <c r="T236" s="62">
        <f>IF($A$236="",NA(),Calc!$BT$3)</f>
        <v/>
      </c>
      <c r="U236" s="62">
        <f>IF($A$236="",NA(),Calc!$BT$4)</f>
        <v/>
      </c>
      <c r="V236" s="62">
        <f>IF($A$236="",NA(),IF(COUNTIFS(Data!$AK$2:$AK$1105,1,Data!$D$2:$D$1105,$A$236)&lt;Controls!$B$19,NA(),IFERROR(COUNTIFS(Data!$AK$2:$AK$1105,1,Data!$D$2:$D$1105,$A$236,Data!$AH$2:$AH$1105,1)/COUNTIFS(Data!$AK$2:$AK$1105,1,Data!$D$2:$D$1105,$A$236),NA())))</f>
        <v/>
      </c>
      <c r="W236" s="61">
        <f>IF($A$236="","",$A$236&amp;" ("&amp;$J$236&amp;")")</f>
        <v/>
      </c>
      <c r="X236" s="61" t="n"/>
      <c r="Y236" s="61" t="n"/>
      <c r="Z236" s="61" t="n"/>
      <c r="AA236" s="61" t="n"/>
      <c r="AB236" s="61" t="n"/>
      <c r="AC236" s="61" t="n"/>
      <c r="AD236" s="61" t="n"/>
      <c r="AE236" s="61" t="n"/>
      <c r="AF236" s="61" t="n"/>
      <c r="AG236" s="61" t="n"/>
      <c r="AH236" s="61" t="n"/>
      <c r="AI236" s="61" t="n"/>
      <c r="AJ236" s="61" t="n"/>
      <c r="AK236" s="61" t="n"/>
      <c r="AL236" s="61" t="n"/>
      <c r="AM236" s="61" t="n"/>
      <c r="AN236" s="61">
        <f>Controls!$G$133</f>
        <v/>
      </c>
      <c r="AO236" s="61">
        <f>COUNTIFS(Data!$AK$2:$AK$1105,1,Data!$M$2:$M$1105,$AN$236)</f>
        <v/>
      </c>
      <c r="AP236" s="57">
        <f>SUMIFS(Data!$P$2:$P$1105,Data!$AK$2:$AK$1105,1,Data!$M$2:$M$1105,$AN$236)</f>
        <v/>
      </c>
      <c r="AQ236" s="56">
        <f>IFERROR(SUMIFS(Data!$AN$2:$AN$1105,Data!$AK$2:$AK$1105,1,Data!$M$2:$M$1105,$AN$236)/$AP$236,0)</f>
        <v/>
      </c>
      <c r="AR236" s="57">
        <f>SUMIFS(Data!$AN$2:$AN$1105,Data!$AK$2:$AK$1105,1,Data!$M$2:$M$1105,$AN$236)</f>
        <v/>
      </c>
      <c r="AS236" s="61">
        <f>Controls!$H$133</f>
        <v/>
      </c>
      <c r="AT236" s="61">
        <f>IF(OR(AO236=0,AO236&lt;Controls!$B$20),-1000000000000000,IF(AND(Controls!$B$21="Y",$AN$236="No ISO"),-1000000000000000,IF(Controls!$B$17="Selected only",IF(AS236="Y",AP236,-1000000000000000),IF(Controls!$B$17="Top by funded $",AP236,IF(Controls!$B$17="Top by funded units",AO236,IF(Controls!$B$17="Largest principal lost $",AR236,IF(Controls!$B$17="Highest net profit $",AU236,IF(AO236&lt;Controls!$B$19,-1000000000000000,IF(Controls!$B$17="Highest principal lost rate %",AQ236,IF(Controls!$B$17="Lowest principal lost rate %",1-AQ236,AP236))))))))) +94/1000000)</f>
        <v/>
      </c>
      <c r="AU236" s="57">
        <f>SUMIFS(Data!$AM$2:$AM$1105,Data!$AK$2:$AK$1105,1,Data!$M$2:$M$1105,$AN$236)</f>
        <v/>
      </c>
      <c r="AV236" s="61" t="n"/>
      <c r="AW236" s="61" t="n"/>
      <c r="AX236" s="61" t="n"/>
      <c r="AY236" s="61" t="n"/>
      <c r="AZ236" s="61" t="n"/>
      <c r="BA236" s="61" t="n"/>
      <c r="BB236" s="61" t="n"/>
      <c r="BC236" s="61" t="n"/>
      <c r="BD236" s="57" t="n"/>
      <c r="BE236" s="56" t="n"/>
      <c r="BF236" s="56" t="n"/>
      <c r="BG236" s="57" t="n"/>
      <c r="BH236" s="61" t="n"/>
      <c r="BI236" s="61" t="n"/>
      <c r="BJ236" s="61" t="n"/>
      <c r="BK236" s="61" t="n"/>
      <c r="BL236" s="61" t="n"/>
      <c r="BM236" s="61" t="n"/>
      <c r="BN236" s="61" t="n"/>
      <c r="BO236" s="61" t="n"/>
      <c r="BP236" s="61" t="n"/>
      <c r="BQ236" s="61" t="n"/>
      <c r="BR236" s="61" t="n"/>
      <c r="BS236" s="61" t="n"/>
      <c r="BT236" s="61" t="n"/>
    </row>
    <row r="237" ht="15.75" customHeight="1" s="79">
      <c r="A237" s="61">
        <f>IF(COUNTIFS(Data!$AK$2:$AK$1105,1,Data!$D$2:$D$1105,"In House Collection")=0,"","In House Collection")</f>
        <v/>
      </c>
      <c r="B237" s="66">
        <f>IF($A$237="",NA(),IFERROR(SUMIFS(Data!$P$2:$P$1105,Data!$AK$2:$AK$1105,1,Data!$D$2:$D$1105,$A$237),NA()))</f>
        <v/>
      </c>
      <c r="C237" s="66">
        <f>IF($A$237="",NA(),IFERROR(SUMIFS(Data!$S$2:$S$1105,Data!$AK$2:$AK$1105,1,Data!$D$2:$D$1105,$A$237),NA()))</f>
        <v/>
      </c>
      <c r="D237" s="66">
        <f>IF(ISNA($B$237),NA(),$C$237-$B$237)</f>
        <v/>
      </c>
      <c r="E237" s="66">
        <f>IF($A$237="",NA(),IFERROR(SUMIFS(Data!$Q$2:$Q$1105,Data!$AK$2:$AK$1105,1,Data!$D$2:$D$1105,$A$237),NA()))</f>
        <v/>
      </c>
      <c r="F237" s="66">
        <f>IF($A$237="",NA(),IFERROR(SUMIFS(Data!$AN$2:$AN$1105,Data!$AK$2:$AK$1105,1,Data!$D$2:$D$1105,$A$237),NA()))</f>
        <v/>
      </c>
      <c r="G237" s="62">
        <f>IF($A$237="",NA(),IF(COUNTIFS(Data!$AK$2:$AK$1105,1,Data!$D$2:$D$1105,$A$237)&lt;Controls!$B$19,NA(),IFERROR(SUMIFS(Data!$AN$2:$AN$1105,Data!$AK$2:$AK$1105,1,Data!$D$2:$D$1105,$A$237)/$B$237,NA())))</f>
        <v/>
      </c>
      <c r="H237" s="62">
        <f>IF($A$237="",NA(),IF(COUNTIFS(Data!$AK$2:$AK$1105,1,Data!$D$2:$D$1105,$A$237)&lt;Controls!$B$19,NA(),IFERROR(SUMIFS(Data!$S$2:$S$1105,Data!$AK$2:$AK$1105,1,Data!$D$2:$D$1105,$A$237,Data!$AH$2:$AH$1105,1)/SUMIFS(Data!$P$2:$P$1105,Data!$AK$2:$AK$1105,1,Data!$D$2:$D$1105,$A$237,Data!$AH$2:$AH$1105,1),NA())))</f>
        <v/>
      </c>
      <c r="I237" s="62">
        <f>IF(ISNA($J$237),NA(),IF($J$237&lt;Controls!$B$19,NA(),IFERROR($D$237/$B$237,NA())))</f>
        <v/>
      </c>
      <c r="J237" s="67">
        <f>IF($A$237="",NA(),IFERROR(COUNTIFS(Data!$AK$2:$AK$1105,1,Data!$D$2:$D$1105,$A$237),NA()))</f>
        <v/>
      </c>
      <c r="K237" s="62">
        <f>IF(ISNA($B$237),NA(),IFERROR($B$237/Calc!$BT$6,NA()))</f>
        <v/>
      </c>
      <c r="L237" s="66">
        <f>IF(ISNA($J$237),NA(),IF($J$237&lt;Controls!$B$19,NA(),IFERROR($B$237/$J$237,NA())))</f>
        <v/>
      </c>
      <c r="M237" s="67">
        <f>IF($A$237="",NA(),IF(COUNTIFS(Data!$AK$2:$AK$1105,1,Data!$D$2:$D$1105,$A$237)&lt;Controls!$B$19,NA(),IFERROR(AVERAGEIFS(Data!$AE$2:$AE$1105,Data!$AK$2:$AK$1105,1,Data!$D$2:$D$1105,$A$237),NA())))</f>
        <v/>
      </c>
      <c r="N237" s="67">
        <f>IF($A$237="",NA(),IF(COUNTIFS(Data!$AK$2:$AK$1105,1,Data!$D$2:$D$1105,$A$237)&lt;Controls!$B$19,NA(),IFERROR(AVERAGEIFS(Data!$AD$2:$AD$1105,Data!$AK$2:$AK$1105,1,Data!$D$2:$D$1105,$A$237),NA())))</f>
        <v/>
      </c>
      <c r="O237" s="67">
        <f>IF($A$237="",NA(),IF(COUNTIFS(Data!$AK$2:$AK$1105,1,Data!$D$2:$D$1105,$A$237)&lt;Controls!$B$19,NA(),IFERROR(AVERAGEIFS(Data!$AS$2:$AS$1105,Data!$AK$2:$AK$1105,1,Data!$D$2:$D$1105,$A$237),NA())))</f>
        <v/>
      </c>
      <c r="P237" s="67">
        <f>IF($A$237="",NA(),IF(COUNTIFS(Data!$AK$2:$AK$1105,1,Data!$D$2:$D$1105,$A$237)&lt;Controls!$B$19,NA(),IFERROR(AVERAGEIFS(Data!$AT$2:$AT$1105,Data!$AK$2:$AK$1105,1,Data!$D$2:$D$1105,$A$237),NA())))</f>
        <v/>
      </c>
      <c r="Q237" s="62">
        <f>IF($A$237="",NA(),IF(COUNTIFS(Data!$AK$2:$AK$1105,1,Data!$D$2:$D$1105,$A$237)&lt;Controls!$B$19,NA(),IFERROR(COUNTIFS(Data!$AK$2:$AK$1105,1,Data!$D$2:$D$1105,$A$237,Data!$N$2:$N$1105,"Renewal")/COUNTIFS(Data!$AK$2:$AK$1105,1,Data!$D$2:$D$1105,$A$237),NA())))</f>
        <v/>
      </c>
      <c r="R237" s="62">
        <f>IF($A$237="",NA(),IF(COUNTIFS(Data!$AK$2:$AK$1105,1,Data!$D$2:$D$1105,$A$237)&lt;Controls!$B$19,NA(),IFERROR(SUMIFS(Data!$P$2:$P$1105,Data!$AK$2:$AK$1105,1,Data!$D$2:$D$1105,$A$237,Data!$N$2:$N$1105,"Renewal")/SUMIFS(Data!$P$2:$P$1105,Data!$AK$2:$AK$1105,1,Data!$D$2:$D$1105,$A$237),NA())))</f>
        <v/>
      </c>
      <c r="S237" s="62">
        <f>IF($A$237="",NA(),Calc!$BT$2)</f>
        <v/>
      </c>
      <c r="T237" s="62">
        <f>IF($A$237="",NA(),Calc!$BT$3)</f>
        <v/>
      </c>
      <c r="U237" s="62">
        <f>IF($A$237="",NA(),Calc!$BT$4)</f>
        <v/>
      </c>
      <c r="V237" s="62">
        <f>IF($A$237="",NA(),IF(COUNTIFS(Data!$AK$2:$AK$1105,1,Data!$D$2:$D$1105,$A$237)&lt;Controls!$B$19,NA(),IFERROR(COUNTIFS(Data!$AK$2:$AK$1105,1,Data!$D$2:$D$1105,$A$237,Data!$AH$2:$AH$1105,1)/COUNTIFS(Data!$AK$2:$AK$1105,1,Data!$D$2:$D$1105,$A$237),NA())))</f>
        <v/>
      </c>
      <c r="W237" s="61">
        <f>IF($A$237="","",$A$237&amp;" ("&amp;$J$237&amp;")")</f>
        <v/>
      </c>
      <c r="X237" s="61" t="n"/>
      <c r="Y237" s="61" t="n"/>
      <c r="Z237" s="61" t="n"/>
      <c r="AA237" s="61" t="n"/>
      <c r="AB237" s="61" t="n"/>
      <c r="AC237" s="61" t="n"/>
      <c r="AD237" s="61" t="n"/>
      <c r="AE237" s="61" t="n"/>
      <c r="AF237" s="61" t="n"/>
      <c r="AG237" s="61" t="n"/>
      <c r="AH237" s="61" t="n"/>
      <c r="AI237" s="61" t="n"/>
      <c r="AJ237" s="61" t="n"/>
      <c r="AK237" s="61" t="n"/>
      <c r="AL237" s="61" t="n"/>
      <c r="AM237" s="61" t="n"/>
      <c r="AN237" s="61">
        <f>Controls!$G$134</f>
        <v/>
      </c>
      <c r="AO237" s="61">
        <f>COUNTIFS(Data!$AK$2:$AK$1105,1,Data!$M$2:$M$1105,$AN$237)</f>
        <v/>
      </c>
      <c r="AP237" s="57">
        <f>SUMIFS(Data!$P$2:$P$1105,Data!$AK$2:$AK$1105,1,Data!$M$2:$M$1105,$AN$237)</f>
        <v/>
      </c>
      <c r="AQ237" s="56">
        <f>IFERROR(SUMIFS(Data!$AN$2:$AN$1105,Data!$AK$2:$AK$1105,1,Data!$M$2:$M$1105,$AN$237)/$AP$237,0)</f>
        <v/>
      </c>
      <c r="AR237" s="57">
        <f>SUMIFS(Data!$AN$2:$AN$1105,Data!$AK$2:$AK$1105,1,Data!$M$2:$M$1105,$AN$237)</f>
        <v/>
      </c>
      <c r="AS237" s="61">
        <f>Controls!$H$134</f>
        <v/>
      </c>
      <c r="AT237" s="61">
        <f>IF(OR(AO237=0,AO237&lt;Controls!$B$20),-1000000000000000,IF(AND(Controls!$B$21="Y",$AN$237="No ISO"),-1000000000000000,IF(Controls!$B$17="Selected only",IF(AS237="Y",AP237,-1000000000000000),IF(Controls!$B$17="Top by funded $",AP237,IF(Controls!$B$17="Top by funded units",AO237,IF(Controls!$B$17="Largest principal lost $",AR237,IF(Controls!$B$17="Highest net profit $",AU237,IF(AO237&lt;Controls!$B$19,-1000000000000000,IF(Controls!$B$17="Highest principal lost rate %",AQ237,IF(Controls!$B$17="Lowest principal lost rate %",1-AQ237,AP237))))))))) +95/1000000)</f>
        <v/>
      </c>
      <c r="AU237" s="57">
        <f>SUMIFS(Data!$AM$2:$AM$1105,Data!$AK$2:$AK$1105,1,Data!$M$2:$M$1105,$AN$237)</f>
        <v/>
      </c>
      <c r="AV237" s="61" t="n"/>
      <c r="AW237" s="61" t="n"/>
      <c r="AX237" s="61" t="n"/>
      <c r="AY237" s="61" t="n"/>
      <c r="AZ237" s="61" t="n"/>
      <c r="BA237" s="61" t="n"/>
      <c r="BB237" s="61">
        <f>Controls!$D$40</f>
        <v/>
      </c>
      <c r="BC237" s="61">
        <f>COUNTIFS(Data!$AK$2:$AK$1105,1,Data!$L$2:$L$1105,$BB$237)</f>
        <v/>
      </c>
      <c r="BD237" s="57">
        <f>SUMIFS(Data!$P$2:$P$1105,Data!$AK$2:$AK$1105,1,Data!$L$2:$L$1105,$BB$237)</f>
        <v/>
      </c>
      <c r="BE237" s="56">
        <f>IF(COUNTIFS(Data!$AK$2:$AK$1105,1,Data!$L$2:$L$1105,$BB$237)&lt;Controls!$B$19,"",IFERROR(SUMIFS(Data!$AN$2:$AN$1105,Data!$AK$2:$AK$1105,1,Data!$L$2:$L$1105,$BB$237)/$BD$237,""))</f>
        <v/>
      </c>
      <c r="BF237" s="56">
        <f>IF(COUNTIFS(Data!$AK$2:$AK$1105,1,Data!$L$2:$L$1105,$BB$237)&lt;Controls!$B$19,"",IFERROR(SUMIFS(Data!$AM$2:$AM$1105,Data!$AK$2:$AK$1105,1,Data!$L$2:$L$1105,$BB$237)/SUMIFS(Data!$P$2:$P$1105,Data!$AK$2:$AK$1105,1,Data!$L$2:$L$1105,$BB$237),""))</f>
        <v/>
      </c>
      <c r="BG237" s="57">
        <f>SUMIFS(Data!$AN$2:$AN$1105,Data!$AK$2:$AK$1105,1,Data!$L$2:$L$1105,$BB$237)</f>
        <v/>
      </c>
      <c r="BH237" s="61" t="n"/>
      <c r="BI237" s="61" t="n"/>
      <c r="BJ237" s="61">
        <f>IF($BC$237&lt;Controls!$B$22,"",ABS($BF$237-SUMIFS(Data!$AM$2:$AM$1105,Data!$AK$2:$AK$1105,1)/SUMIFS(Data!$P$2:$P$1105,Data!$AK$2:$AK$1105,1)))</f>
        <v/>
      </c>
      <c r="BK237" s="61">
        <f>IF($BC$237&lt;Controls!$B$22,"",$BE$237)</f>
        <v/>
      </c>
      <c r="BL237" s="61">
        <f>IF($BC$237&lt;Controls!$B$22,"",$BF$237)</f>
        <v/>
      </c>
      <c r="BM237" s="61">
        <f>IF($BC$237&lt;Controls!$B$22,"",$BG$237)</f>
        <v/>
      </c>
      <c r="BN237" s="61" t="n"/>
      <c r="BO237" s="61" t="n"/>
      <c r="BP237" s="61" t="n"/>
      <c r="BQ237" s="61" t="n"/>
      <c r="BR237" s="61" t="n"/>
      <c r="BS237" s="61" t="n"/>
      <c r="BT237" s="61" t="n"/>
    </row>
    <row r="238" ht="15.75" customHeight="1" s="79">
      <c r="A238" s="61">
        <f>IF(COUNTIFS(Data!$AK$2:$AK$1105,1,Data!$D$2:$D$1105,"Lowered Payments")=0,"","Lowered Payments")</f>
        <v/>
      </c>
      <c r="B238" s="66">
        <f>IF($A$238="",NA(),IFERROR(SUMIFS(Data!$P$2:$P$1105,Data!$AK$2:$AK$1105,1,Data!$D$2:$D$1105,$A$238),NA()))</f>
        <v/>
      </c>
      <c r="C238" s="66">
        <f>IF($A$238="",NA(),IFERROR(SUMIFS(Data!$S$2:$S$1105,Data!$AK$2:$AK$1105,1,Data!$D$2:$D$1105,$A$238),NA()))</f>
        <v/>
      </c>
      <c r="D238" s="66">
        <f>IF(ISNA($B$238),NA(),$C$238-$B$238)</f>
        <v/>
      </c>
      <c r="E238" s="66">
        <f>IF($A$238="",NA(),IFERROR(SUMIFS(Data!$Q$2:$Q$1105,Data!$AK$2:$AK$1105,1,Data!$D$2:$D$1105,$A$238),NA()))</f>
        <v/>
      </c>
      <c r="F238" s="66">
        <f>IF($A$238="",NA(),IFERROR(SUMIFS(Data!$AN$2:$AN$1105,Data!$AK$2:$AK$1105,1,Data!$D$2:$D$1105,$A$238),NA()))</f>
        <v/>
      </c>
      <c r="G238" s="62">
        <f>IF($A$238="",NA(),IF(COUNTIFS(Data!$AK$2:$AK$1105,1,Data!$D$2:$D$1105,$A$238)&lt;Controls!$B$19,NA(),IFERROR(SUMIFS(Data!$AN$2:$AN$1105,Data!$AK$2:$AK$1105,1,Data!$D$2:$D$1105,$A$238)/$B$238,NA())))</f>
        <v/>
      </c>
      <c r="H238" s="62">
        <f>IF($A$238="",NA(),IF(COUNTIFS(Data!$AK$2:$AK$1105,1,Data!$D$2:$D$1105,$A$238)&lt;Controls!$B$19,NA(),IFERROR(SUMIFS(Data!$S$2:$S$1105,Data!$AK$2:$AK$1105,1,Data!$D$2:$D$1105,$A$238,Data!$AH$2:$AH$1105,1)/SUMIFS(Data!$P$2:$P$1105,Data!$AK$2:$AK$1105,1,Data!$D$2:$D$1105,$A$238,Data!$AH$2:$AH$1105,1),NA())))</f>
        <v/>
      </c>
      <c r="I238" s="62">
        <f>IF(ISNA($J$238),NA(),IF($J$238&lt;Controls!$B$19,NA(),IFERROR($D$238/$B$238,NA())))</f>
        <v/>
      </c>
      <c r="J238" s="67">
        <f>IF($A$238="",NA(),IFERROR(COUNTIFS(Data!$AK$2:$AK$1105,1,Data!$D$2:$D$1105,$A$238),NA()))</f>
        <v/>
      </c>
      <c r="K238" s="62">
        <f>IF(ISNA($B$238),NA(),IFERROR($B$238/Calc!$BT$6,NA()))</f>
        <v/>
      </c>
      <c r="L238" s="66">
        <f>IF(ISNA($J$238),NA(),IF($J$238&lt;Controls!$B$19,NA(),IFERROR($B$238/$J$238,NA())))</f>
        <v/>
      </c>
      <c r="M238" s="67">
        <f>IF($A$238="",NA(),IF(COUNTIFS(Data!$AK$2:$AK$1105,1,Data!$D$2:$D$1105,$A$238)&lt;Controls!$B$19,NA(),IFERROR(AVERAGEIFS(Data!$AE$2:$AE$1105,Data!$AK$2:$AK$1105,1,Data!$D$2:$D$1105,$A$238),NA())))</f>
        <v/>
      </c>
      <c r="N238" s="67">
        <f>IF($A$238="",NA(),IF(COUNTIFS(Data!$AK$2:$AK$1105,1,Data!$D$2:$D$1105,$A$238)&lt;Controls!$B$19,NA(),IFERROR(AVERAGEIFS(Data!$AD$2:$AD$1105,Data!$AK$2:$AK$1105,1,Data!$D$2:$D$1105,$A$238),NA())))</f>
        <v/>
      </c>
      <c r="O238" s="67">
        <f>IF($A$238="",NA(),IF(COUNTIFS(Data!$AK$2:$AK$1105,1,Data!$D$2:$D$1105,$A$238)&lt;Controls!$B$19,NA(),IFERROR(AVERAGEIFS(Data!$AS$2:$AS$1105,Data!$AK$2:$AK$1105,1,Data!$D$2:$D$1105,$A$238),NA())))</f>
        <v/>
      </c>
      <c r="P238" s="67">
        <f>IF($A$238="",NA(),IF(COUNTIFS(Data!$AK$2:$AK$1105,1,Data!$D$2:$D$1105,$A$238)&lt;Controls!$B$19,NA(),IFERROR(AVERAGEIFS(Data!$AT$2:$AT$1105,Data!$AK$2:$AK$1105,1,Data!$D$2:$D$1105,$A$238),NA())))</f>
        <v/>
      </c>
      <c r="Q238" s="62">
        <f>IF($A$238="",NA(),IF(COUNTIFS(Data!$AK$2:$AK$1105,1,Data!$D$2:$D$1105,$A$238)&lt;Controls!$B$19,NA(),IFERROR(COUNTIFS(Data!$AK$2:$AK$1105,1,Data!$D$2:$D$1105,$A$238,Data!$N$2:$N$1105,"Renewal")/COUNTIFS(Data!$AK$2:$AK$1105,1,Data!$D$2:$D$1105,$A$238),NA())))</f>
        <v/>
      </c>
      <c r="R238" s="62">
        <f>IF($A$238="",NA(),IF(COUNTIFS(Data!$AK$2:$AK$1105,1,Data!$D$2:$D$1105,$A$238)&lt;Controls!$B$19,NA(),IFERROR(SUMIFS(Data!$P$2:$P$1105,Data!$AK$2:$AK$1105,1,Data!$D$2:$D$1105,$A$238,Data!$N$2:$N$1105,"Renewal")/SUMIFS(Data!$P$2:$P$1105,Data!$AK$2:$AK$1105,1,Data!$D$2:$D$1105,$A$238),NA())))</f>
        <v/>
      </c>
      <c r="S238" s="62">
        <f>IF($A$238="",NA(),Calc!$BT$2)</f>
        <v/>
      </c>
      <c r="T238" s="62">
        <f>IF($A$238="",NA(),Calc!$BT$3)</f>
        <v/>
      </c>
      <c r="U238" s="62">
        <f>IF($A$238="",NA(),Calc!$BT$4)</f>
        <v/>
      </c>
      <c r="V238" s="62">
        <f>IF($A$238="",NA(),IF(COUNTIFS(Data!$AK$2:$AK$1105,1,Data!$D$2:$D$1105,$A$238)&lt;Controls!$B$19,NA(),IFERROR(COUNTIFS(Data!$AK$2:$AK$1105,1,Data!$D$2:$D$1105,$A$238,Data!$AH$2:$AH$1105,1)/COUNTIFS(Data!$AK$2:$AK$1105,1,Data!$D$2:$D$1105,$A$238),NA())))</f>
        <v/>
      </c>
      <c r="W238" s="61">
        <f>IF($A$238="","",$A$238&amp;" ("&amp;$J$238&amp;")")</f>
        <v/>
      </c>
      <c r="X238" s="61" t="n"/>
      <c r="Y238" s="61" t="n"/>
      <c r="Z238" s="61" t="n"/>
      <c r="AA238" s="61" t="n"/>
      <c r="AB238" s="61" t="n"/>
      <c r="AC238" s="61" t="n"/>
      <c r="AD238" s="61" t="n"/>
      <c r="AE238" s="61" t="n"/>
      <c r="AF238" s="61" t="n"/>
      <c r="AG238" s="61" t="n"/>
      <c r="AH238" s="61" t="n"/>
      <c r="AI238" s="61" t="n"/>
      <c r="AJ238" s="61" t="n"/>
      <c r="AK238" s="61" t="n"/>
      <c r="AL238" s="61" t="n"/>
      <c r="AM238" s="61" t="n"/>
      <c r="AN238" s="61">
        <f>Controls!$G$135</f>
        <v/>
      </c>
      <c r="AO238" s="61">
        <f>COUNTIFS(Data!$AK$2:$AK$1105,1,Data!$M$2:$M$1105,$AN$238)</f>
        <v/>
      </c>
      <c r="AP238" s="57">
        <f>SUMIFS(Data!$P$2:$P$1105,Data!$AK$2:$AK$1105,1,Data!$M$2:$M$1105,$AN$238)</f>
        <v/>
      </c>
      <c r="AQ238" s="56">
        <f>IFERROR(SUMIFS(Data!$AN$2:$AN$1105,Data!$AK$2:$AK$1105,1,Data!$M$2:$M$1105,$AN$238)/$AP$238,0)</f>
        <v/>
      </c>
      <c r="AR238" s="57">
        <f>SUMIFS(Data!$AN$2:$AN$1105,Data!$AK$2:$AK$1105,1,Data!$M$2:$M$1105,$AN$238)</f>
        <v/>
      </c>
      <c r="AS238" s="61">
        <f>Controls!$H$135</f>
        <v/>
      </c>
      <c r="AT238" s="61">
        <f>IF(OR(AO238=0,AO238&lt;Controls!$B$20),-1000000000000000,IF(AND(Controls!$B$21="Y",$AN$238="No ISO"),-1000000000000000,IF(Controls!$B$17="Selected only",IF(AS238="Y",AP238,-1000000000000000),IF(Controls!$B$17="Top by funded $",AP238,IF(Controls!$B$17="Top by funded units",AO238,IF(Controls!$B$17="Largest principal lost $",AR238,IF(Controls!$B$17="Highest net profit $",AU238,IF(AO238&lt;Controls!$B$19,-1000000000000000,IF(Controls!$B$17="Highest principal lost rate %",AQ238,IF(Controls!$B$17="Lowest principal lost rate %",1-AQ238,AP238))))))))) +96/1000000)</f>
        <v/>
      </c>
      <c r="AU238" s="57">
        <f>SUMIFS(Data!$AM$2:$AM$1105,Data!$AK$2:$AK$1105,1,Data!$M$2:$M$1105,$AN$238)</f>
        <v/>
      </c>
      <c r="AV238" s="61" t="n"/>
      <c r="AW238" s="61" t="n"/>
      <c r="AX238" s="61" t="n"/>
      <c r="AY238" s="61" t="n"/>
      <c r="AZ238" s="61" t="n"/>
      <c r="BA238" s="61" t="n"/>
      <c r="BB238" s="61">
        <f>Controls!$D$41</f>
        <v/>
      </c>
      <c r="BC238" s="61">
        <f>COUNTIFS(Data!$AK$2:$AK$1105,1,Data!$L$2:$L$1105,$BB$238)</f>
        <v/>
      </c>
      <c r="BD238" s="57">
        <f>SUMIFS(Data!$P$2:$P$1105,Data!$AK$2:$AK$1105,1,Data!$L$2:$L$1105,$BB$238)</f>
        <v/>
      </c>
      <c r="BE238" s="56">
        <f>IF(COUNTIFS(Data!$AK$2:$AK$1105,1,Data!$L$2:$L$1105,$BB$238)&lt;Controls!$B$19,"",IFERROR(SUMIFS(Data!$AN$2:$AN$1105,Data!$AK$2:$AK$1105,1,Data!$L$2:$L$1105,$BB$238)/$BD$238,""))</f>
        <v/>
      </c>
      <c r="BF238" s="56">
        <f>IF(COUNTIFS(Data!$AK$2:$AK$1105,1,Data!$L$2:$L$1105,$BB$238)&lt;Controls!$B$19,"",IFERROR(SUMIFS(Data!$AM$2:$AM$1105,Data!$AK$2:$AK$1105,1,Data!$L$2:$L$1105,$BB$238)/SUMIFS(Data!$P$2:$P$1105,Data!$AK$2:$AK$1105,1,Data!$L$2:$L$1105,$BB$238),""))</f>
        <v/>
      </c>
      <c r="BG238" s="57">
        <f>SUMIFS(Data!$AN$2:$AN$1105,Data!$AK$2:$AK$1105,1,Data!$L$2:$L$1105,$BB$238)</f>
        <v/>
      </c>
      <c r="BH238" s="61" t="n"/>
      <c r="BI238" s="61" t="n"/>
      <c r="BJ238" s="61">
        <f>IF($BC$238&lt;Controls!$B$22,"",ABS($BF$238-SUMIFS(Data!$AM$2:$AM$1105,Data!$AK$2:$AK$1105,1)/SUMIFS(Data!$P$2:$P$1105,Data!$AK$2:$AK$1105,1)))</f>
        <v/>
      </c>
      <c r="BK238" s="61">
        <f>IF($BC$238&lt;Controls!$B$22,"",$BE$238)</f>
        <v/>
      </c>
      <c r="BL238" s="61">
        <f>IF($BC$238&lt;Controls!$B$22,"",$BF$238)</f>
        <v/>
      </c>
      <c r="BM238" s="61">
        <f>IF($BC$238&lt;Controls!$B$22,"",$BG$238)</f>
        <v/>
      </c>
      <c r="BN238" s="61" t="n"/>
      <c r="BO238" s="61" t="n"/>
      <c r="BP238" s="61" t="n"/>
      <c r="BQ238" s="61" t="n"/>
      <c r="BR238" s="61" t="n"/>
      <c r="BS238" s="61" t="n"/>
      <c r="BT238" s="61" t="n"/>
    </row>
    <row r="239" ht="15.75" customHeight="1" s="79">
      <c r="A239" s="61">
        <f>IF(COUNTIFS(Data!$AK$2:$AK$1105,1,Data!$D$2:$D$1105,"Written-Off")=0,"","Written-Off")</f>
        <v/>
      </c>
      <c r="B239" s="66">
        <f>IF($A$239="",NA(),IFERROR(SUMIFS(Data!$P$2:$P$1105,Data!$AK$2:$AK$1105,1,Data!$D$2:$D$1105,$A$239),NA()))</f>
        <v/>
      </c>
      <c r="C239" s="66">
        <f>IF($A$239="",NA(),IFERROR(SUMIFS(Data!$S$2:$S$1105,Data!$AK$2:$AK$1105,1,Data!$D$2:$D$1105,$A$239),NA()))</f>
        <v/>
      </c>
      <c r="D239" s="66">
        <f>IF(ISNA($B$239),NA(),$C$239-$B$239)</f>
        <v/>
      </c>
      <c r="E239" s="66">
        <f>IF($A$239="",NA(),IFERROR(SUMIFS(Data!$Q$2:$Q$1105,Data!$AK$2:$AK$1105,1,Data!$D$2:$D$1105,$A$239),NA()))</f>
        <v/>
      </c>
      <c r="F239" s="66">
        <f>IF($A$239="",NA(),IFERROR(SUMIFS(Data!$AN$2:$AN$1105,Data!$AK$2:$AK$1105,1,Data!$D$2:$D$1105,$A$239),NA()))</f>
        <v/>
      </c>
      <c r="G239" s="62">
        <f>IF($A$239="",NA(),IF(COUNTIFS(Data!$AK$2:$AK$1105,1,Data!$D$2:$D$1105,$A$239)&lt;Controls!$B$19,NA(),IFERROR(SUMIFS(Data!$AN$2:$AN$1105,Data!$AK$2:$AK$1105,1,Data!$D$2:$D$1105,$A$239)/$B$239,NA())))</f>
        <v/>
      </c>
      <c r="H239" s="62">
        <f>IF($A$239="",NA(),IF(COUNTIFS(Data!$AK$2:$AK$1105,1,Data!$D$2:$D$1105,$A$239)&lt;Controls!$B$19,NA(),IFERROR(SUMIFS(Data!$S$2:$S$1105,Data!$AK$2:$AK$1105,1,Data!$D$2:$D$1105,$A$239,Data!$AH$2:$AH$1105,1)/SUMIFS(Data!$P$2:$P$1105,Data!$AK$2:$AK$1105,1,Data!$D$2:$D$1105,$A$239,Data!$AH$2:$AH$1105,1),NA())))</f>
        <v/>
      </c>
      <c r="I239" s="62">
        <f>IF(ISNA($J$239),NA(),IF($J$239&lt;Controls!$B$19,NA(),IFERROR($D$239/$B$239,NA())))</f>
        <v/>
      </c>
      <c r="J239" s="67">
        <f>IF($A$239="",NA(),IFERROR(COUNTIFS(Data!$AK$2:$AK$1105,1,Data!$D$2:$D$1105,$A$239),NA()))</f>
        <v/>
      </c>
      <c r="K239" s="62">
        <f>IF(ISNA($B$239),NA(),IFERROR($B$239/Calc!$BT$6,NA()))</f>
        <v/>
      </c>
      <c r="L239" s="66">
        <f>IF(ISNA($J$239),NA(),IF($J$239&lt;Controls!$B$19,NA(),IFERROR($B$239/$J$239,NA())))</f>
        <v/>
      </c>
      <c r="M239" s="67">
        <f>IF($A$239="",NA(),IF(COUNTIFS(Data!$AK$2:$AK$1105,1,Data!$D$2:$D$1105,$A$239)&lt;Controls!$B$19,NA(),IFERROR(AVERAGEIFS(Data!$AE$2:$AE$1105,Data!$AK$2:$AK$1105,1,Data!$D$2:$D$1105,$A$239),NA())))</f>
        <v/>
      </c>
      <c r="N239" s="67">
        <f>IF($A$239="",NA(),IF(COUNTIFS(Data!$AK$2:$AK$1105,1,Data!$D$2:$D$1105,$A$239)&lt;Controls!$B$19,NA(),IFERROR(AVERAGEIFS(Data!$AD$2:$AD$1105,Data!$AK$2:$AK$1105,1,Data!$D$2:$D$1105,$A$239),NA())))</f>
        <v/>
      </c>
      <c r="O239" s="67">
        <f>IF($A$239="",NA(),IF(COUNTIFS(Data!$AK$2:$AK$1105,1,Data!$D$2:$D$1105,$A$239)&lt;Controls!$B$19,NA(),IFERROR(AVERAGEIFS(Data!$AS$2:$AS$1105,Data!$AK$2:$AK$1105,1,Data!$D$2:$D$1105,$A$239),NA())))</f>
        <v/>
      </c>
      <c r="P239" s="67">
        <f>IF($A$239="",NA(),IF(COUNTIFS(Data!$AK$2:$AK$1105,1,Data!$D$2:$D$1105,$A$239)&lt;Controls!$B$19,NA(),IFERROR(AVERAGEIFS(Data!$AT$2:$AT$1105,Data!$AK$2:$AK$1105,1,Data!$D$2:$D$1105,$A$239),NA())))</f>
        <v/>
      </c>
      <c r="Q239" s="62">
        <f>IF($A$239="",NA(),IF(COUNTIFS(Data!$AK$2:$AK$1105,1,Data!$D$2:$D$1105,$A$239)&lt;Controls!$B$19,NA(),IFERROR(COUNTIFS(Data!$AK$2:$AK$1105,1,Data!$D$2:$D$1105,$A$239,Data!$N$2:$N$1105,"Renewal")/COUNTIFS(Data!$AK$2:$AK$1105,1,Data!$D$2:$D$1105,$A$239),NA())))</f>
        <v/>
      </c>
      <c r="R239" s="62">
        <f>IF($A$239="",NA(),IF(COUNTIFS(Data!$AK$2:$AK$1105,1,Data!$D$2:$D$1105,$A$239)&lt;Controls!$B$19,NA(),IFERROR(SUMIFS(Data!$P$2:$P$1105,Data!$AK$2:$AK$1105,1,Data!$D$2:$D$1105,$A$239,Data!$N$2:$N$1105,"Renewal")/SUMIFS(Data!$P$2:$P$1105,Data!$AK$2:$AK$1105,1,Data!$D$2:$D$1105,$A$239),NA())))</f>
        <v/>
      </c>
      <c r="S239" s="62">
        <f>IF($A$239="",NA(),Calc!$BT$2)</f>
        <v/>
      </c>
      <c r="T239" s="62">
        <f>IF($A$239="",NA(),Calc!$BT$3)</f>
        <v/>
      </c>
      <c r="U239" s="62">
        <f>IF($A$239="",NA(),Calc!$BT$4)</f>
        <v/>
      </c>
      <c r="V239" s="62">
        <f>IF($A$239="",NA(),IF(COUNTIFS(Data!$AK$2:$AK$1105,1,Data!$D$2:$D$1105,$A$239)&lt;Controls!$B$19,NA(),IFERROR(COUNTIFS(Data!$AK$2:$AK$1105,1,Data!$D$2:$D$1105,$A$239,Data!$AH$2:$AH$1105,1)/COUNTIFS(Data!$AK$2:$AK$1105,1,Data!$D$2:$D$1105,$A$239),NA())))</f>
        <v/>
      </c>
      <c r="W239" s="61">
        <f>IF($A$239="","",$A$239&amp;" ("&amp;$J$239&amp;")")</f>
        <v/>
      </c>
      <c r="X239" s="61" t="n"/>
      <c r="Y239" s="61" t="n"/>
      <c r="Z239" s="61" t="n"/>
      <c r="AA239" s="61" t="n"/>
      <c r="AB239" s="61" t="n"/>
      <c r="AC239" s="61" t="n"/>
      <c r="AD239" s="61" t="n"/>
      <c r="AE239" s="61" t="n"/>
      <c r="AF239" s="61" t="n"/>
      <c r="AG239" s="61" t="n"/>
      <c r="AH239" s="61" t="n"/>
      <c r="AI239" s="61" t="n"/>
      <c r="AJ239" s="61" t="n"/>
      <c r="AK239" s="61" t="n"/>
      <c r="AL239" s="61" t="n"/>
      <c r="AM239" s="61" t="n"/>
      <c r="AN239" s="61">
        <f>Controls!$G$136</f>
        <v/>
      </c>
      <c r="AO239" s="61">
        <f>COUNTIFS(Data!$AK$2:$AK$1105,1,Data!$M$2:$M$1105,$AN$239)</f>
        <v/>
      </c>
      <c r="AP239" s="57">
        <f>SUMIFS(Data!$P$2:$P$1105,Data!$AK$2:$AK$1105,1,Data!$M$2:$M$1105,$AN$239)</f>
        <v/>
      </c>
      <c r="AQ239" s="56">
        <f>IFERROR(SUMIFS(Data!$AN$2:$AN$1105,Data!$AK$2:$AK$1105,1,Data!$M$2:$M$1105,$AN$239)/$AP$239,0)</f>
        <v/>
      </c>
      <c r="AR239" s="57">
        <f>SUMIFS(Data!$AN$2:$AN$1105,Data!$AK$2:$AK$1105,1,Data!$M$2:$M$1105,$AN$239)</f>
        <v/>
      </c>
      <c r="AS239" s="61">
        <f>Controls!$H$136</f>
        <v/>
      </c>
      <c r="AT239" s="61">
        <f>IF(OR(AO239=0,AO239&lt;Controls!$B$20),-1000000000000000,IF(AND(Controls!$B$21="Y",$AN$239="No ISO"),-1000000000000000,IF(Controls!$B$17="Selected only",IF(AS239="Y",AP239,-1000000000000000),IF(Controls!$B$17="Top by funded $",AP239,IF(Controls!$B$17="Top by funded units",AO239,IF(Controls!$B$17="Largest principal lost $",AR239,IF(Controls!$B$17="Highest net profit $",AU239,IF(AO239&lt;Controls!$B$19,-1000000000000000,IF(Controls!$B$17="Highest principal lost rate %",AQ239,IF(Controls!$B$17="Lowest principal lost rate %",1-AQ239,AP239))))))))) +97/1000000)</f>
        <v/>
      </c>
      <c r="AU239" s="57">
        <f>SUMIFS(Data!$AM$2:$AM$1105,Data!$AK$2:$AK$1105,1,Data!$M$2:$M$1105,$AN$239)</f>
        <v/>
      </c>
      <c r="AV239" s="61" t="n"/>
      <c r="AW239" s="61" t="n"/>
      <c r="AX239" s="61" t="n"/>
      <c r="AY239" s="61" t="n"/>
      <c r="AZ239" s="61" t="n"/>
      <c r="BA239" s="61" t="n"/>
      <c r="BB239" s="61">
        <f>Controls!$D$42</f>
        <v/>
      </c>
      <c r="BC239" s="61">
        <f>COUNTIFS(Data!$AK$2:$AK$1105,1,Data!$L$2:$L$1105,$BB$239)</f>
        <v/>
      </c>
      <c r="BD239" s="57">
        <f>SUMIFS(Data!$P$2:$P$1105,Data!$AK$2:$AK$1105,1,Data!$L$2:$L$1105,$BB$239)</f>
        <v/>
      </c>
      <c r="BE239" s="56">
        <f>IF(COUNTIFS(Data!$AK$2:$AK$1105,1,Data!$L$2:$L$1105,$BB$239)&lt;Controls!$B$19,"",IFERROR(SUMIFS(Data!$AN$2:$AN$1105,Data!$AK$2:$AK$1105,1,Data!$L$2:$L$1105,$BB$239)/$BD$239,""))</f>
        <v/>
      </c>
      <c r="BF239" s="56">
        <f>IF(COUNTIFS(Data!$AK$2:$AK$1105,1,Data!$L$2:$L$1105,$BB$239)&lt;Controls!$B$19,"",IFERROR(SUMIFS(Data!$AM$2:$AM$1105,Data!$AK$2:$AK$1105,1,Data!$L$2:$L$1105,$BB$239)/SUMIFS(Data!$P$2:$P$1105,Data!$AK$2:$AK$1105,1,Data!$L$2:$L$1105,$BB$239),""))</f>
        <v/>
      </c>
      <c r="BG239" s="57">
        <f>SUMIFS(Data!$AN$2:$AN$1105,Data!$AK$2:$AK$1105,1,Data!$L$2:$L$1105,$BB$239)</f>
        <v/>
      </c>
      <c r="BH239" s="61" t="n"/>
      <c r="BI239" s="61" t="n"/>
      <c r="BJ239" s="61">
        <f>IF($BC$239&lt;Controls!$B$22,"",ABS($BF$239-SUMIFS(Data!$AM$2:$AM$1105,Data!$AK$2:$AK$1105,1)/SUMIFS(Data!$P$2:$P$1105,Data!$AK$2:$AK$1105,1)))</f>
        <v/>
      </c>
      <c r="BK239" s="56">
        <f>IF($BC$239&lt;Controls!$B$22,"",$BE$239)</f>
        <v/>
      </c>
      <c r="BL239" s="56">
        <f>IF($BC$239&lt;Controls!$B$22,"",$BF$239)</f>
        <v/>
      </c>
      <c r="BM239" s="57">
        <f>IF($BC$239&lt;Controls!$B$22,"",$BG$239)</f>
        <v/>
      </c>
      <c r="BN239" s="61" t="n"/>
      <c r="BO239" s="61" t="n"/>
      <c r="BP239" s="61" t="n"/>
      <c r="BQ239" s="61" t="n"/>
      <c r="BR239" s="61" t="n"/>
      <c r="BS239" s="61" t="n"/>
      <c r="BT239" s="61" t="n"/>
    </row>
    <row r="240" ht="15.75" customHeight="1" s="79">
      <c r="A240" s="61">
        <f>IF(COUNTIFS(Data!$AK$2:$AK$1105,1,Data!$D$2:$D$1105,"Bankruptcy")=0,"","Bankruptcy")</f>
        <v/>
      </c>
      <c r="B240" s="66">
        <f>IF($A$240="",NA(),IFERROR(SUMIFS(Data!$P$2:$P$1105,Data!$AK$2:$AK$1105,1,Data!$D$2:$D$1105,$A$240),NA()))</f>
        <v/>
      </c>
      <c r="C240" s="66">
        <f>IF($A$240="",NA(),IFERROR(SUMIFS(Data!$S$2:$S$1105,Data!$AK$2:$AK$1105,1,Data!$D$2:$D$1105,$A$240),NA()))</f>
        <v/>
      </c>
      <c r="D240" s="66">
        <f>IF(ISNA($B$240),NA(),$C$240-$B$240)</f>
        <v/>
      </c>
      <c r="E240" s="66">
        <f>IF($A$240="",NA(),IFERROR(SUMIFS(Data!$Q$2:$Q$1105,Data!$AK$2:$AK$1105,1,Data!$D$2:$D$1105,$A$240),NA()))</f>
        <v/>
      </c>
      <c r="F240" s="66">
        <f>IF($A$240="",NA(),IFERROR(SUMIFS(Data!$AN$2:$AN$1105,Data!$AK$2:$AK$1105,1,Data!$D$2:$D$1105,$A$240),NA()))</f>
        <v/>
      </c>
      <c r="G240" s="62">
        <f>IF($A$240="",NA(),IF(COUNTIFS(Data!$AK$2:$AK$1105,1,Data!$D$2:$D$1105,$A$240)&lt;Controls!$B$19,NA(),IFERROR(SUMIFS(Data!$AN$2:$AN$1105,Data!$AK$2:$AK$1105,1,Data!$D$2:$D$1105,$A$240)/$B$240,NA())))</f>
        <v/>
      </c>
      <c r="H240" s="62">
        <f>IF($A$240="",NA(),IF(COUNTIFS(Data!$AK$2:$AK$1105,1,Data!$D$2:$D$1105,$A$240)&lt;Controls!$B$19,NA(),IFERROR(SUMIFS(Data!$S$2:$S$1105,Data!$AK$2:$AK$1105,1,Data!$D$2:$D$1105,$A$240,Data!$AH$2:$AH$1105,1)/SUMIFS(Data!$P$2:$P$1105,Data!$AK$2:$AK$1105,1,Data!$D$2:$D$1105,$A$240,Data!$AH$2:$AH$1105,1),NA())))</f>
        <v/>
      </c>
      <c r="I240" s="62">
        <f>IF(ISNA($J$240),NA(),IF($J$240&lt;Controls!$B$19,NA(),IFERROR($D$240/$B$240,NA())))</f>
        <v/>
      </c>
      <c r="J240" s="67">
        <f>IF($A$240="",NA(),IFERROR(COUNTIFS(Data!$AK$2:$AK$1105,1,Data!$D$2:$D$1105,$A$240),NA()))</f>
        <v/>
      </c>
      <c r="K240" s="62">
        <f>IF(ISNA($B$240),NA(),IFERROR($B$240/Calc!$BT$6,NA()))</f>
        <v/>
      </c>
      <c r="L240" s="66">
        <f>IF(ISNA($J$240),NA(),IF($J$240&lt;Controls!$B$19,NA(),IFERROR($B$240/$J$240,NA())))</f>
        <v/>
      </c>
      <c r="M240" s="67">
        <f>IF($A$240="",NA(),IF(COUNTIFS(Data!$AK$2:$AK$1105,1,Data!$D$2:$D$1105,$A$240)&lt;Controls!$B$19,NA(),IFERROR(AVERAGEIFS(Data!$AE$2:$AE$1105,Data!$AK$2:$AK$1105,1,Data!$D$2:$D$1105,$A$240),NA())))</f>
        <v/>
      </c>
      <c r="N240" s="67">
        <f>IF($A$240="",NA(),IF(COUNTIFS(Data!$AK$2:$AK$1105,1,Data!$D$2:$D$1105,$A$240)&lt;Controls!$B$19,NA(),IFERROR(AVERAGEIFS(Data!$AD$2:$AD$1105,Data!$AK$2:$AK$1105,1,Data!$D$2:$D$1105,$A$240),NA())))</f>
        <v/>
      </c>
      <c r="O240" s="67">
        <f>IF($A$240="",NA(),IF(COUNTIFS(Data!$AK$2:$AK$1105,1,Data!$D$2:$D$1105,$A$240)&lt;Controls!$B$19,NA(),IFERROR(AVERAGEIFS(Data!$AS$2:$AS$1105,Data!$AK$2:$AK$1105,1,Data!$D$2:$D$1105,$A$240),NA())))</f>
        <v/>
      </c>
      <c r="P240" s="67">
        <f>IF($A$240="",NA(),IF(COUNTIFS(Data!$AK$2:$AK$1105,1,Data!$D$2:$D$1105,$A$240)&lt;Controls!$B$19,NA(),IFERROR(AVERAGEIFS(Data!$AT$2:$AT$1105,Data!$AK$2:$AK$1105,1,Data!$D$2:$D$1105,$A$240),NA())))</f>
        <v/>
      </c>
      <c r="Q240" s="62">
        <f>IF($A$240="",NA(),IF(COUNTIFS(Data!$AK$2:$AK$1105,1,Data!$D$2:$D$1105,$A$240)&lt;Controls!$B$19,NA(),IFERROR(COUNTIFS(Data!$AK$2:$AK$1105,1,Data!$D$2:$D$1105,$A$240,Data!$N$2:$N$1105,"Renewal")/COUNTIFS(Data!$AK$2:$AK$1105,1,Data!$D$2:$D$1105,$A$240),NA())))</f>
        <v/>
      </c>
      <c r="R240" s="62">
        <f>IF($A$240="",NA(),IF(COUNTIFS(Data!$AK$2:$AK$1105,1,Data!$D$2:$D$1105,$A$240)&lt;Controls!$B$19,NA(),IFERROR(SUMIFS(Data!$P$2:$P$1105,Data!$AK$2:$AK$1105,1,Data!$D$2:$D$1105,$A$240,Data!$N$2:$N$1105,"Renewal")/SUMIFS(Data!$P$2:$P$1105,Data!$AK$2:$AK$1105,1,Data!$D$2:$D$1105,$A$240),NA())))</f>
        <v/>
      </c>
      <c r="S240" s="62">
        <f>IF($A$240="",NA(),Calc!$BT$2)</f>
        <v/>
      </c>
      <c r="T240" s="62">
        <f>IF($A$240="",NA(),Calc!$BT$3)</f>
        <v/>
      </c>
      <c r="U240" s="62">
        <f>IF($A$240="",NA(),Calc!$BT$4)</f>
        <v/>
      </c>
      <c r="V240" s="62">
        <f>IF($A$240="",NA(),IF(COUNTIFS(Data!$AK$2:$AK$1105,1,Data!$D$2:$D$1105,$A$240)&lt;Controls!$B$19,NA(),IFERROR(COUNTIFS(Data!$AK$2:$AK$1105,1,Data!$D$2:$D$1105,$A$240,Data!$AH$2:$AH$1105,1)/COUNTIFS(Data!$AK$2:$AK$1105,1,Data!$D$2:$D$1105,$A$240),NA())))</f>
        <v/>
      </c>
      <c r="W240" s="61">
        <f>IF($A$240="","",$A$240&amp;" ("&amp;$J$240&amp;")")</f>
        <v/>
      </c>
      <c r="X240" s="61" t="n"/>
      <c r="Y240" s="61" t="n"/>
      <c r="Z240" s="61" t="n"/>
      <c r="AA240" s="61" t="n"/>
      <c r="AB240" s="61" t="n"/>
      <c r="AC240" s="61" t="n"/>
      <c r="AD240" s="61" t="n"/>
      <c r="AE240" s="61" t="n"/>
      <c r="AF240" s="61" t="n"/>
      <c r="AG240" s="61" t="n"/>
      <c r="AH240" s="61" t="n"/>
      <c r="AI240" s="61" t="n"/>
      <c r="AJ240" s="61" t="n"/>
      <c r="AK240" s="61" t="n"/>
      <c r="AL240" s="61" t="n"/>
      <c r="AM240" s="61" t="n"/>
      <c r="AN240" s="61">
        <f>Controls!$G$137</f>
        <v/>
      </c>
      <c r="AO240" s="61">
        <f>COUNTIFS(Data!$AK$2:$AK$1105,1,Data!$M$2:$M$1105,$AN$240)</f>
        <v/>
      </c>
      <c r="AP240" s="57">
        <f>SUMIFS(Data!$P$2:$P$1105,Data!$AK$2:$AK$1105,1,Data!$M$2:$M$1105,$AN$240)</f>
        <v/>
      </c>
      <c r="AQ240" s="56">
        <f>IFERROR(SUMIFS(Data!$AN$2:$AN$1105,Data!$AK$2:$AK$1105,1,Data!$M$2:$M$1105,$AN$240)/$AP$240,0)</f>
        <v/>
      </c>
      <c r="AR240" s="57">
        <f>SUMIFS(Data!$AN$2:$AN$1105,Data!$AK$2:$AK$1105,1,Data!$M$2:$M$1105,$AN$240)</f>
        <v/>
      </c>
      <c r="AS240" s="61">
        <f>Controls!$H$137</f>
        <v/>
      </c>
      <c r="AT240" s="61">
        <f>IF(OR(AO240=0,AO240&lt;Controls!$B$20),-1000000000000000,IF(AND(Controls!$B$21="Y",$AN$240="No ISO"),-1000000000000000,IF(Controls!$B$17="Selected only",IF(AS240="Y",AP240,-1000000000000000),IF(Controls!$B$17="Top by funded $",AP240,IF(Controls!$B$17="Top by funded units",AO240,IF(Controls!$B$17="Largest principal lost $",AR240,IF(Controls!$B$17="Highest net profit $",AU240,IF(AO240&lt;Controls!$B$19,-1000000000000000,IF(Controls!$B$17="Highest principal lost rate %",AQ240,IF(Controls!$B$17="Lowest principal lost rate %",1-AQ240,AP240))))))))) +98/1000000)</f>
        <v/>
      </c>
      <c r="AU240" s="57">
        <f>SUMIFS(Data!$AM$2:$AM$1105,Data!$AK$2:$AK$1105,1,Data!$M$2:$M$1105,$AN$240)</f>
        <v/>
      </c>
      <c r="AV240" s="61" t="n"/>
      <c r="AW240" s="61" t="n"/>
      <c r="AX240" s="61" t="n"/>
      <c r="AY240" s="61" t="n"/>
      <c r="AZ240" s="61" t="n"/>
      <c r="BA240" s="61" t="n"/>
      <c r="BB240" s="61">
        <f>Controls!$D$43</f>
        <v/>
      </c>
      <c r="BC240" s="61">
        <f>COUNTIFS(Data!$AK$2:$AK$1105,1,Data!$L$2:$L$1105,$BB$240)</f>
        <v/>
      </c>
      <c r="BD240" s="57">
        <f>SUMIFS(Data!$P$2:$P$1105,Data!$AK$2:$AK$1105,1,Data!$L$2:$L$1105,$BB$240)</f>
        <v/>
      </c>
      <c r="BE240" s="56">
        <f>IF(COUNTIFS(Data!$AK$2:$AK$1105,1,Data!$L$2:$L$1105,$BB$240)&lt;Controls!$B$19,"",IFERROR(SUMIFS(Data!$AN$2:$AN$1105,Data!$AK$2:$AK$1105,1,Data!$L$2:$L$1105,$BB$240)/$BD$240,""))</f>
        <v/>
      </c>
      <c r="BF240" s="56">
        <f>IF(COUNTIFS(Data!$AK$2:$AK$1105,1,Data!$L$2:$L$1105,$BB$240)&lt;Controls!$B$19,"",IFERROR(SUMIFS(Data!$AM$2:$AM$1105,Data!$AK$2:$AK$1105,1,Data!$L$2:$L$1105,$BB$240)/SUMIFS(Data!$P$2:$P$1105,Data!$AK$2:$AK$1105,1,Data!$L$2:$L$1105,$BB$240),""))</f>
        <v/>
      </c>
      <c r="BG240" s="57">
        <f>SUMIFS(Data!$AN$2:$AN$1105,Data!$AK$2:$AK$1105,1,Data!$L$2:$L$1105,$BB$240)</f>
        <v/>
      </c>
      <c r="BH240" s="61" t="n"/>
      <c r="BI240" s="61" t="n"/>
      <c r="BJ240" s="61">
        <f>IF($BC$240&lt;Controls!$B$22,"",ABS($BF$240-SUMIFS(Data!$AM$2:$AM$1105,Data!$AK$2:$AK$1105,1)/SUMIFS(Data!$P$2:$P$1105,Data!$AK$2:$AK$1105,1)))</f>
        <v/>
      </c>
      <c r="BK240" s="56">
        <f>IF($BC$240&lt;Controls!$B$22,"",$BE$240)</f>
        <v/>
      </c>
      <c r="BL240" s="56">
        <f>IF($BC$240&lt;Controls!$B$22,"",$BF$240)</f>
        <v/>
      </c>
      <c r="BM240" s="57">
        <f>IF($BC$240&lt;Controls!$B$22,"",$BG$240)</f>
        <v/>
      </c>
      <c r="BN240" s="61" t="n"/>
      <c r="BO240" s="61" t="n"/>
      <c r="BP240" s="61" t="n"/>
      <c r="BQ240" s="61" t="n"/>
      <c r="BR240" s="61" t="n"/>
      <c r="BS240" s="61" t="n"/>
      <c r="BT240" s="61" t="n"/>
    </row>
    <row r="241" ht="15.75" customHeight="1" s="79">
      <c r="A241" s="61">
        <f>IF(COUNTIFS(Data!$AK$2:$AK$1105,1,Data!$D$2:$D$1105,"Settlement Agreement")=0,"","Settlement Agreement")</f>
        <v/>
      </c>
      <c r="B241" s="66">
        <f>IF($A$241="",NA(),IFERROR(SUMIFS(Data!$P$2:$P$1105,Data!$AK$2:$AK$1105,1,Data!$D$2:$D$1105,$A$241),NA()))</f>
        <v/>
      </c>
      <c r="C241" s="66">
        <f>IF($A$241="",NA(),IFERROR(SUMIFS(Data!$S$2:$S$1105,Data!$AK$2:$AK$1105,1,Data!$D$2:$D$1105,$A$241),NA()))</f>
        <v/>
      </c>
      <c r="D241" s="66">
        <f>IF(ISNA($B$241),NA(),$C$241-$B$241)</f>
        <v/>
      </c>
      <c r="E241" s="66">
        <f>IF($A$241="",NA(),IFERROR(SUMIFS(Data!$Q$2:$Q$1105,Data!$AK$2:$AK$1105,1,Data!$D$2:$D$1105,$A$241),NA()))</f>
        <v/>
      </c>
      <c r="F241" s="66">
        <f>IF($A$241="",NA(),IFERROR(SUMIFS(Data!$AN$2:$AN$1105,Data!$AK$2:$AK$1105,1,Data!$D$2:$D$1105,$A$241),NA()))</f>
        <v/>
      </c>
      <c r="G241" s="62">
        <f>IF($A$241="",NA(),IF(COUNTIFS(Data!$AK$2:$AK$1105,1,Data!$D$2:$D$1105,$A$241)&lt;Controls!$B$19,NA(),IFERROR(SUMIFS(Data!$AN$2:$AN$1105,Data!$AK$2:$AK$1105,1,Data!$D$2:$D$1105,$A$241)/$B$241,NA())))</f>
        <v/>
      </c>
      <c r="H241" s="62">
        <f>IF($A$241="",NA(),IF(COUNTIFS(Data!$AK$2:$AK$1105,1,Data!$D$2:$D$1105,$A$241)&lt;Controls!$B$19,NA(),IFERROR(SUMIFS(Data!$S$2:$S$1105,Data!$AK$2:$AK$1105,1,Data!$D$2:$D$1105,$A$241,Data!$AH$2:$AH$1105,1)/SUMIFS(Data!$P$2:$P$1105,Data!$AK$2:$AK$1105,1,Data!$D$2:$D$1105,$A$241,Data!$AH$2:$AH$1105,1),NA())))</f>
        <v/>
      </c>
      <c r="I241" s="62">
        <f>IF(ISNA($J$241),NA(),IF($J$241&lt;Controls!$B$19,NA(),IFERROR($D$241/$B$241,NA())))</f>
        <v/>
      </c>
      <c r="J241" s="67">
        <f>IF($A$241="",NA(),IFERROR(COUNTIFS(Data!$AK$2:$AK$1105,1,Data!$D$2:$D$1105,$A$241),NA()))</f>
        <v/>
      </c>
      <c r="K241" s="62">
        <f>IF(ISNA($B$241),NA(),IFERROR($B$241/Calc!$BT$6,NA()))</f>
        <v/>
      </c>
      <c r="L241" s="66">
        <f>IF(ISNA($J$241),NA(),IF($J$241&lt;Controls!$B$19,NA(),IFERROR($B$241/$J$241,NA())))</f>
        <v/>
      </c>
      <c r="M241" s="67">
        <f>IF($A$241="",NA(),IF(COUNTIFS(Data!$AK$2:$AK$1105,1,Data!$D$2:$D$1105,$A$241)&lt;Controls!$B$19,NA(),IFERROR(AVERAGEIFS(Data!$AE$2:$AE$1105,Data!$AK$2:$AK$1105,1,Data!$D$2:$D$1105,$A$241),NA())))</f>
        <v/>
      </c>
      <c r="N241" s="67">
        <f>IF($A$241="",NA(),IF(COUNTIFS(Data!$AK$2:$AK$1105,1,Data!$D$2:$D$1105,$A$241)&lt;Controls!$B$19,NA(),IFERROR(AVERAGEIFS(Data!$AD$2:$AD$1105,Data!$AK$2:$AK$1105,1,Data!$D$2:$D$1105,$A$241),NA())))</f>
        <v/>
      </c>
      <c r="O241" s="67">
        <f>IF($A$241="",NA(),IF(COUNTIFS(Data!$AK$2:$AK$1105,1,Data!$D$2:$D$1105,$A$241)&lt;Controls!$B$19,NA(),IFERROR(AVERAGEIFS(Data!$AS$2:$AS$1105,Data!$AK$2:$AK$1105,1,Data!$D$2:$D$1105,$A$241),NA())))</f>
        <v/>
      </c>
      <c r="P241" s="67">
        <f>IF($A$241="",NA(),IF(COUNTIFS(Data!$AK$2:$AK$1105,1,Data!$D$2:$D$1105,$A$241)&lt;Controls!$B$19,NA(),IFERROR(AVERAGEIFS(Data!$AT$2:$AT$1105,Data!$AK$2:$AK$1105,1,Data!$D$2:$D$1105,$A$241),NA())))</f>
        <v/>
      </c>
      <c r="Q241" s="62">
        <f>IF($A$241="",NA(),IF(COUNTIFS(Data!$AK$2:$AK$1105,1,Data!$D$2:$D$1105,$A$241)&lt;Controls!$B$19,NA(),IFERROR(COUNTIFS(Data!$AK$2:$AK$1105,1,Data!$D$2:$D$1105,$A$241,Data!$N$2:$N$1105,"Renewal")/COUNTIFS(Data!$AK$2:$AK$1105,1,Data!$D$2:$D$1105,$A$241),NA())))</f>
        <v/>
      </c>
      <c r="R241" s="62">
        <f>IF($A$241="",NA(),IF(COUNTIFS(Data!$AK$2:$AK$1105,1,Data!$D$2:$D$1105,$A$241)&lt;Controls!$B$19,NA(),IFERROR(SUMIFS(Data!$P$2:$P$1105,Data!$AK$2:$AK$1105,1,Data!$D$2:$D$1105,$A$241,Data!$N$2:$N$1105,"Renewal")/SUMIFS(Data!$P$2:$P$1105,Data!$AK$2:$AK$1105,1,Data!$D$2:$D$1105,$A$241),NA())))</f>
        <v/>
      </c>
      <c r="S241" s="62">
        <f>IF($A$241="",NA(),Calc!$BT$2)</f>
        <v/>
      </c>
      <c r="T241" s="62">
        <f>IF($A$241="",NA(),Calc!$BT$3)</f>
        <v/>
      </c>
      <c r="U241" s="62">
        <f>IF($A$241="",NA(),Calc!$BT$4)</f>
        <v/>
      </c>
      <c r="V241" s="62">
        <f>IF($A$241="",NA(),IF(COUNTIFS(Data!$AK$2:$AK$1105,1,Data!$D$2:$D$1105,$A$241)&lt;Controls!$B$19,NA(),IFERROR(COUNTIFS(Data!$AK$2:$AK$1105,1,Data!$D$2:$D$1105,$A$241,Data!$AH$2:$AH$1105,1)/COUNTIFS(Data!$AK$2:$AK$1105,1,Data!$D$2:$D$1105,$A$241),NA())))</f>
        <v/>
      </c>
      <c r="W241" s="61">
        <f>IF($A$241="","",$A$241&amp;" ("&amp;$J$241&amp;")")</f>
        <v/>
      </c>
      <c r="X241" s="61" t="n"/>
      <c r="Y241" s="61" t="n"/>
      <c r="Z241" s="61" t="n"/>
      <c r="AA241" s="61" t="n"/>
      <c r="AB241" s="61" t="n"/>
      <c r="AC241" s="61" t="n"/>
      <c r="AD241" s="61" t="n"/>
      <c r="AE241" s="61" t="n"/>
      <c r="AF241" s="61" t="n"/>
      <c r="AG241" s="61" t="n"/>
      <c r="AH241" s="61" t="n"/>
      <c r="AI241" s="61" t="n"/>
      <c r="AJ241" s="61" t="n"/>
      <c r="AK241" s="61" t="n"/>
      <c r="AL241" s="61" t="n"/>
      <c r="AM241" s="61" t="n"/>
      <c r="AN241" s="61">
        <f>Controls!$G$138</f>
        <v/>
      </c>
      <c r="AO241" s="61">
        <f>COUNTIFS(Data!$AK$2:$AK$1105,1,Data!$M$2:$M$1105,$AN$241)</f>
        <v/>
      </c>
      <c r="AP241" s="57">
        <f>SUMIFS(Data!$P$2:$P$1105,Data!$AK$2:$AK$1105,1,Data!$M$2:$M$1105,$AN$241)</f>
        <v/>
      </c>
      <c r="AQ241" s="56">
        <f>IFERROR(SUMIFS(Data!$AN$2:$AN$1105,Data!$AK$2:$AK$1105,1,Data!$M$2:$M$1105,$AN$241)/$AP$241,0)</f>
        <v/>
      </c>
      <c r="AR241" s="57">
        <f>SUMIFS(Data!$AN$2:$AN$1105,Data!$AK$2:$AK$1105,1,Data!$M$2:$M$1105,$AN$241)</f>
        <v/>
      </c>
      <c r="AS241" s="61">
        <f>Controls!$H$138</f>
        <v/>
      </c>
      <c r="AT241" s="61">
        <f>IF(OR(AO241=0,AO241&lt;Controls!$B$20),-1000000000000000,IF(AND(Controls!$B$21="Y",$AN$241="No ISO"),-1000000000000000,IF(Controls!$B$17="Selected only",IF(AS241="Y",AP241,-1000000000000000),IF(Controls!$B$17="Top by funded $",AP241,IF(Controls!$B$17="Top by funded units",AO241,IF(Controls!$B$17="Largest principal lost $",AR241,IF(Controls!$B$17="Highest net profit $",AU241,IF(AO241&lt;Controls!$B$19,-1000000000000000,IF(Controls!$B$17="Highest principal lost rate %",AQ241,IF(Controls!$B$17="Lowest principal lost rate %",1-AQ241,AP241))))))))) +99/1000000)</f>
        <v/>
      </c>
      <c r="AU241" s="57">
        <f>SUMIFS(Data!$AM$2:$AM$1105,Data!$AK$2:$AK$1105,1,Data!$M$2:$M$1105,$AN$241)</f>
        <v/>
      </c>
      <c r="AV241" s="61" t="n"/>
      <c r="AW241" s="61" t="n"/>
      <c r="AX241" s="61" t="n"/>
      <c r="AY241" s="61" t="n"/>
      <c r="AZ241" s="61" t="n"/>
      <c r="BA241" s="61" t="n"/>
      <c r="BB241" s="61">
        <f>Controls!$D$44</f>
        <v/>
      </c>
      <c r="BC241" s="61">
        <f>COUNTIFS(Data!$AK$2:$AK$1105,1,Data!$L$2:$L$1105,$BB$241)</f>
        <v/>
      </c>
      <c r="BD241" s="57">
        <f>SUMIFS(Data!$P$2:$P$1105,Data!$AK$2:$AK$1105,1,Data!$L$2:$L$1105,$BB$241)</f>
        <v/>
      </c>
      <c r="BE241" s="56">
        <f>IF(COUNTIFS(Data!$AK$2:$AK$1105,1,Data!$L$2:$L$1105,$BB$241)&lt;Controls!$B$19,"",IFERROR(SUMIFS(Data!$AN$2:$AN$1105,Data!$AK$2:$AK$1105,1,Data!$L$2:$L$1105,$BB$241)/$BD$241,""))</f>
        <v/>
      </c>
      <c r="BF241" s="56">
        <f>IF(COUNTIFS(Data!$AK$2:$AK$1105,1,Data!$L$2:$L$1105,$BB$241)&lt;Controls!$B$19,"",IFERROR(SUMIFS(Data!$AM$2:$AM$1105,Data!$AK$2:$AK$1105,1,Data!$L$2:$L$1105,$BB$241)/SUMIFS(Data!$P$2:$P$1105,Data!$AK$2:$AK$1105,1,Data!$L$2:$L$1105,$BB$241),""))</f>
        <v/>
      </c>
      <c r="BG241" s="57">
        <f>SUMIFS(Data!$AN$2:$AN$1105,Data!$AK$2:$AK$1105,1,Data!$L$2:$L$1105,$BB$241)</f>
        <v/>
      </c>
      <c r="BH241" s="61" t="n"/>
      <c r="BI241" s="61" t="n"/>
      <c r="BJ241" s="61">
        <f>IF($BC$241&lt;Controls!$B$22,"",ABS($BF$241-SUMIFS(Data!$AM$2:$AM$1105,Data!$AK$2:$AK$1105,1)/SUMIFS(Data!$P$2:$P$1105,Data!$AK$2:$AK$1105,1)))</f>
        <v/>
      </c>
      <c r="BK241" s="56">
        <f>IF($BC$241&lt;Controls!$B$22,"",$BE$241)</f>
        <v/>
      </c>
      <c r="BL241" s="56">
        <f>IF($BC$241&lt;Controls!$B$22,"",$BF$241)</f>
        <v/>
      </c>
      <c r="BM241" s="57">
        <f>IF($BC$241&lt;Controls!$B$22,"",$BG$241)</f>
        <v/>
      </c>
      <c r="BN241" s="61" t="n"/>
      <c r="BO241" s="61" t="n"/>
      <c r="BP241" s="61" t="n"/>
      <c r="BQ241" s="61" t="n"/>
      <c r="BR241" s="61" t="n"/>
      <c r="BS241" s="61" t="n"/>
      <c r="BT241" s="61" t="n"/>
    </row>
    <row r="242" ht="15.75" customHeight="1" s="79">
      <c r="A242" s="61">
        <f>IF(COUNTIFS(Data!$AK$2:$AK$1105,1,Data!$D$2:$D$1105,"Closed/NSF")=0,"","Closed/NSF")</f>
        <v/>
      </c>
      <c r="B242" s="66">
        <f>IF($A$242="",NA(),IFERROR(SUMIFS(Data!$P$2:$P$1105,Data!$AK$2:$AK$1105,1,Data!$D$2:$D$1105,$A$242),NA()))</f>
        <v/>
      </c>
      <c r="C242" s="66">
        <f>IF($A$242="",NA(),IFERROR(SUMIFS(Data!$S$2:$S$1105,Data!$AK$2:$AK$1105,1,Data!$D$2:$D$1105,$A$242),NA()))</f>
        <v/>
      </c>
      <c r="D242" s="66">
        <f>IF(ISNA($B$242),NA(),$C$242-$B$242)</f>
        <v/>
      </c>
      <c r="E242" s="66">
        <f>IF($A$242="",NA(),IFERROR(SUMIFS(Data!$Q$2:$Q$1105,Data!$AK$2:$AK$1105,1,Data!$D$2:$D$1105,$A$242),NA()))</f>
        <v/>
      </c>
      <c r="F242" s="66">
        <f>IF($A$242="",NA(),IFERROR(SUMIFS(Data!$AN$2:$AN$1105,Data!$AK$2:$AK$1105,1,Data!$D$2:$D$1105,$A$242),NA()))</f>
        <v/>
      </c>
      <c r="G242" s="62">
        <f>IF($A$242="",NA(),IF(COUNTIFS(Data!$AK$2:$AK$1105,1,Data!$D$2:$D$1105,$A$242)&lt;Controls!$B$19,NA(),IFERROR(SUMIFS(Data!$AN$2:$AN$1105,Data!$AK$2:$AK$1105,1,Data!$D$2:$D$1105,$A$242)/$B$242,NA())))</f>
        <v/>
      </c>
      <c r="H242" s="62">
        <f>IF($A$242="",NA(),IF(COUNTIFS(Data!$AK$2:$AK$1105,1,Data!$D$2:$D$1105,$A$242)&lt;Controls!$B$19,NA(),IFERROR(SUMIFS(Data!$S$2:$S$1105,Data!$AK$2:$AK$1105,1,Data!$D$2:$D$1105,$A$242,Data!$AH$2:$AH$1105,1)/SUMIFS(Data!$P$2:$P$1105,Data!$AK$2:$AK$1105,1,Data!$D$2:$D$1105,$A$242,Data!$AH$2:$AH$1105,1),NA())))</f>
        <v/>
      </c>
      <c r="I242" s="62">
        <f>IF(ISNA($J$242),NA(),IF($J$242&lt;Controls!$B$19,NA(),IFERROR($D$242/$B$242,NA())))</f>
        <v/>
      </c>
      <c r="J242" s="67">
        <f>IF($A$242="",NA(),IFERROR(COUNTIFS(Data!$AK$2:$AK$1105,1,Data!$D$2:$D$1105,$A$242),NA()))</f>
        <v/>
      </c>
      <c r="K242" s="62">
        <f>IF(ISNA($B$242),NA(),IFERROR($B$242/Calc!$BT$6,NA()))</f>
        <v/>
      </c>
      <c r="L242" s="66">
        <f>IF(ISNA($J$242),NA(),IF($J$242&lt;Controls!$B$19,NA(),IFERROR($B$242/$J$242,NA())))</f>
        <v/>
      </c>
      <c r="M242" s="67">
        <f>IF($A$242="",NA(),IF(COUNTIFS(Data!$AK$2:$AK$1105,1,Data!$D$2:$D$1105,$A$242)&lt;Controls!$B$19,NA(),IFERROR(AVERAGEIFS(Data!$AE$2:$AE$1105,Data!$AK$2:$AK$1105,1,Data!$D$2:$D$1105,$A$242),NA())))</f>
        <v/>
      </c>
      <c r="N242" s="67">
        <f>IF($A$242="",NA(),IF(COUNTIFS(Data!$AK$2:$AK$1105,1,Data!$D$2:$D$1105,$A$242)&lt;Controls!$B$19,NA(),IFERROR(AVERAGEIFS(Data!$AD$2:$AD$1105,Data!$AK$2:$AK$1105,1,Data!$D$2:$D$1105,$A$242),NA())))</f>
        <v/>
      </c>
      <c r="O242" s="67">
        <f>IF($A$242="",NA(),IF(COUNTIFS(Data!$AK$2:$AK$1105,1,Data!$D$2:$D$1105,$A$242)&lt;Controls!$B$19,NA(),IFERROR(AVERAGEIFS(Data!$AS$2:$AS$1105,Data!$AK$2:$AK$1105,1,Data!$D$2:$D$1105,$A$242),NA())))</f>
        <v/>
      </c>
      <c r="P242" s="67">
        <f>IF($A$242="",NA(),IF(COUNTIFS(Data!$AK$2:$AK$1105,1,Data!$D$2:$D$1105,$A$242)&lt;Controls!$B$19,NA(),IFERROR(AVERAGEIFS(Data!$AT$2:$AT$1105,Data!$AK$2:$AK$1105,1,Data!$D$2:$D$1105,$A$242),NA())))</f>
        <v/>
      </c>
      <c r="Q242" s="62">
        <f>IF($A$242="",NA(),IF(COUNTIFS(Data!$AK$2:$AK$1105,1,Data!$D$2:$D$1105,$A$242)&lt;Controls!$B$19,NA(),IFERROR(COUNTIFS(Data!$AK$2:$AK$1105,1,Data!$D$2:$D$1105,$A$242,Data!$N$2:$N$1105,"Renewal")/COUNTIFS(Data!$AK$2:$AK$1105,1,Data!$D$2:$D$1105,$A$242),NA())))</f>
        <v/>
      </c>
      <c r="R242" s="62">
        <f>IF($A$242="",NA(),IF(COUNTIFS(Data!$AK$2:$AK$1105,1,Data!$D$2:$D$1105,$A$242)&lt;Controls!$B$19,NA(),IFERROR(SUMIFS(Data!$P$2:$P$1105,Data!$AK$2:$AK$1105,1,Data!$D$2:$D$1105,$A$242,Data!$N$2:$N$1105,"Renewal")/SUMIFS(Data!$P$2:$P$1105,Data!$AK$2:$AK$1105,1,Data!$D$2:$D$1105,$A$242),NA())))</f>
        <v/>
      </c>
      <c r="S242" s="62">
        <f>IF($A$242="",NA(),Calc!$BT$2)</f>
        <v/>
      </c>
      <c r="T242" s="62">
        <f>IF($A$242="",NA(),Calc!$BT$3)</f>
        <v/>
      </c>
      <c r="U242" s="62">
        <f>IF($A$242="",NA(),Calc!$BT$4)</f>
        <v/>
      </c>
      <c r="V242" s="62">
        <f>IF($A$242="",NA(),IF(COUNTIFS(Data!$AK$2:$AK$1105,1,Data!$D$2:$D$1105,$A$242)&lt;Controls!$B$19,NA(),IFERROR(COUNTIFS(Data!$AK$2:$AK$1105,1,Data!$D$2:$D$1105,$A$242,Data!$AH$2:$AH$1105,1)/COUNTIFS(Data!$AK$2:$AK$1105,1,Data!$D$2:$D$1105,$A$242),NA())))</f>
        <v/>
      </c>
      <c r="W242" s="61">
        <f>IF($A$242="","",$A$242&amp;" ("&amp;$J$242&amp;")")</f>
        <v/>
      </c>
      <c r="X242" s="61" t="n"/>
      <c r="Y242" s="61" t="n"/>
      <c r="Z242" s="61" t="n"/>
      <c r="AA242" s="61" t="n"/>
      <c r="AB242" s="61" t="n"/>
      <c r="AC242" s="61" t="n"/>
      <c r="AD242" s="61" t="n"/>
      <c r="AE242" s="61" t="n"/>
      <c r="AF242" s="61" t="n"/>
      <c r="AG242" s="61" t="n"/>
      <c r="AH242" s="61" t="n"/>
      <c r="AI242" s="61" t="n"/>
      <c r="AJ242" s="61" t="n"/>
      <c r="AK242" s="61" t="n"/>
      <c r="AL242" s="61" t="n"/>
      <c r="AM242" s="61" t="n"/>
      <c r="AN242" s="61">
        <f>Controls!$G$139</f>
        <v/>
      </c>
      <c r="AO242" s="61">
        <f>COUNTIFS(Data!$AK$2:$AK$1105,1,Data!$M$2:$M$1105,$AN$242)</f>
        <v/>
      </c>
      <c r="AP242" s="57">
        <f>SUMIFS(Data!$P$2:$P$1105,Data!$AK$2:$AK$1105,1,Data!$M$2:$M$1105,$AN$242)</f>
        <v/>
      </c>
      <c r="AQ242" s="56">
        <f>IFERROR(SUMIFS(Data!$AN$2:$AN$1105,Data!$AK$2:$AK$1105,1,Data!$M$2:$M$1105,$AN$242)/$AP$242,0)</f>
        <v/>
      </c>
      <c r="AR242" s="57">
        <f>SUMIFS(Data!$AN$2:$AN$1105,Data!$AK$2:$AK$1105,1,Data!$M$2:$M$1105,$AN$242)</f>
        <v/>
      </c>
      <c r="AS242" s="61">
        <f>Controls!$H$139</f>
        <v/>
      </c>
      <c r="AT242" s="61">
        <f>IF(OR(AO242=0,AO242&lt;Controls!$B$20),-1000000000000000,IF(AND(Controls!$B$21="Y",$AN$242="No ISO"),-1000000000000000,IF(Controls!$B$17="Selected only",IF(AS242="Y",AP242,-1000000000000000),IF(Controls!$B$17="Top by funded $",AP242,IF(Controls!$B$17="Top by funded units",AO242,IF(Controls!$B$17="Largest principal lost $",AR242,IF(Controls!$B$17="Highest net profit $",AU242,IF(AO242&lt;Controls!$B$19,-1000000000000000,IF(Controls!$B$17="Highest principal lost rate %",AQ242,IF(Controls!$B$17="Lowest principal lost rate %",1-AQ242,AP242))))))))) +100/1000000)</f>
        <v/>
      </c>
      <c r="AU242" s="57">
        <f>SUMIFS(Data!$AM$2:$AM$1105,Data!$AK$2:$AK$1105,1,Data!$M$2:$M$1105,$AN$242)</f>
        <v/>
      </c>
      <c r="AV242" s="61" t="n"/>
      <c r="AW242" s="61" t="n"/>
      <c r="AX242" s="61" t="n"/>
      <c r="AY242" s="61" t="n"/>
      <c r="AZ242" s="61" t="n"/>
      <c r="BA242" s="61" t="n"/>
      <c r="BB242" s="61">
        <f>Controls!$D$45</f>
        <v/>
      </c>
      <c r="BC242" s="61">
        <f>COUNTIFS(Data!$AK$2:$AK$1105,1,Data!$L$2:$L$1105,$BB$242)</f>
        <v/>
      </c>
      <c r="BD242" s="57">
        <f>SUMIFS(Data!$P$2:$P$1105,Data!$AK$2:$AK$1105,1,Data!$L$2:$L$1105,$BB$242)</f>
        <v/>
      </c>
      <c r="BE242" s="56">
        <f>IF(COUNTIFS(Data!$AK$2:$AK$1105,1,Data!$L$2:$L$1105,$BB$242)&lt;Controls!$B$19,"",IFERROR(SUMIFS(Data!$AN$2:$AN$1105,Data!$AK$2:$AK$1105,1,Data!$L$2:$L$1105,$BB$242)/$BD$242,""))</f>
        <v/>
      </c>
      <c r="BF242" s="56">
        <f>IF(COUNTIFS(Data!$AK$2:$AK$1105,1,Data!$L$2:$L$1105,$BB$242)&lt;Controls!$B$19,"",IFERROR(SUMIFS(Data!$AM$2:$AM$1105,Data!$AK$2:$AK$1105,1,Data!$L$2:$L$1105,$BB$242)/SUMIFS(Data!$P$2:$P$1105,Data!$AK$2:$AK$1105,1,Data!$L$2:$L$1105,$BB$242),""))</f>
        <v/>
      </c>
      <c r="BG242" s="57">
        <f>SUMIFS(Data!$AN$2:$AN$1105,Data!$AK$2:$AK$1105,1,Data!$L$2:$L$1105,$BB$242)</f>
        <v/>
      </c>
      <c r="BH242" s="61" t="n"/>
      <c r="BI242" s="61" t="n"/>
      <c r="BJ242" s="61">
        <f>IF($BC$242&lt;Controls!$B$22,"",ABS($BF$242-SUMIFS(Data!$AM$2:$AM$1105,Data!$AK$2:$AK$1105,1)/SUMIFS(Data!$P$2:$P$1105,Data!$AK$2:$AK$1105,1)))</f>
        <v/>
      </c>
      <c r="BK242" s="61">
        <f>IF($BC$242&lt;Controls!$B$22,"",$BE$242)</f>
        <v/>
      </c>
      <c r="BL242" s="61">
        <f>IF($BC$242&lt;Controls!$B$22,"",$BF$242)</f>
        <v/>
      </c>
      <c r="BM242" s="61">
        <f>IF($BC$242&lt;Controls!$B$22,"",$BG$242)</f>
        <v/>
      </c>
      <c r="BN242" s="61" t="n"/>
      <c r="BO242" s="61" t="n"/>
      <c r="BP242" s="61" t="n"/>
      <c r="BQ242" s="61" t="n"/>
      <c r="BR242" s="61" t="n"/>
      <c r="BS242" s="61" t="n"/>
      <c r="BT242" s="61" t="n"/>
    </row>
    <row r="243" ht="15.75" customHeight="1" s="79">
      <c r="A243" s="61">
        <f>IF(COUNTIFS(Data!$AK$2:$AK$1105,1,Data!$D$2:$D$1105,"Closed/NSF Unpaid")=0,"","Closed/NSF Unpaid")</f>
        <v/>
      </c>
      <c r="B243" s="66">
        <f>IF($A$243="",NA(),IFERROR(SUMIFS(Data!$P$2:$P$1105,Data!$AK$2:$AK$1105,1,Data!$D$2:$D$1105,$A$243),NA()))</f>
        <v/>
      </c>
      <c r="C243" s="66">
        <f>IF($A$243="",NA(),IFERROR(SUMIFS(Data!$S$2:$S$1105,Data!$AK$2:$AK$1105,1,Data!$D$2:$D$1105,$A$243),NA()))</f>
        <v/>
      </c>
      <c r="D243" s="66">
        <f>IF(ISNA($B$243),NA(),$C$243-$B$243)</f>
        <v/>
      </c>
      <c r="E243" s="66">
        <f>IF($A$243="",NA(),IFERROR(SUMIFS(Data!$Q$2:$Q$1105,Data!$AK$2:$AK$1105,1,Data!$D$2:$D$1105,$A$243),NA()))</f>
        <v/>
      </c>
      <c r="F243" s="66">
        <f>IF($A$243="",NA(),IFERROR(SUMIFS(Data!$AN$2:$AN$1105,Data!$AK$2:$AK$1105,1,Data!$D$2:$D$1105,$A$243),NA()))</f>
        <v/>
      </c>
      <c r="G243" s="62">
        <f>IF($A$243="",NA(),IF(COUNTIFS(Data!$AK$2:$AK$1105,1,Data!$D$2:$D$1105,$A$243)&lt;Controls!$B$19,NA(),IFERROR(SUMIFS(Data!$AN$2:$AN$1105,Data!$AK$2:$AK$1105,1,Data!$D$2:$D$1105,$A$243)/$B$243,NA())))</f>
        <v/>
      </c>
      <c r="H243" s="62">
        <f>IF($A$243="",NA(),IF(COUNTIFS(Data!$AK$2:$AK$1105,1,Data!$D$2:$D$1105,$A$243)&lt;Controls!$B$19,NA(),IFERROR(SUMIFS(Data!$S$2:$S$1105,Data!$AK$2:$AK$1105,1,Data!$D$2:$D$1105,$A$243,Data!$AH$2:$AH$1105,1)/SUMIFS(Data!$P$2:$P$1105,Data!$AK$2:$AK$1105,1,Data!$D$2:$D$1105,$A$243,Data!$AH$2:$AH$1105,1),NA())))</f>
        <v/>
      </c>
      <c r="I243" s="62">
        <f>IF(ISNA($J$243),NA(),IF($J$243&lt;Controls!$B$19,NA(),IFERROR($D$243/$B$243,NA())))</f>
        <v/>
      </c>
      <c r="J243" s="67">
        <f>IF($A$243="",NA(),IFERROR(COUNTIFS(Data!$AK$2:$AK$1105,1,Data!$D$2:$D$1105,$A$243),NA()))</f>
        <v/>
      </c>
      <c r="K243" s="62">
        <f>IF(ISNA($B$243),NA(),IFERROR($B$243/Calc!$BT$6,NA()))</f>
        <v/>
      </c>
      <c r="L243" s="66">
        <f>IF(ISNA($J$243),NA(),IF($J$243&lt;Controls!$B$19,NA(),IFERROR($B$243/$J$243,NA())))</f>
        <v/>
      </c>
      <c r="M243" s="67">
        <f>IF($A$243="",NA(),IF(COUNTIFS(Data!$AK$2:$AK$1105,1,Data!$D$2:$D$1105,$A$243)&lt;Controls!$B$19,NA(),IFERROR(AVERAGEIFS(Data!$AE$2:$AE$1105,Data!$AK$2:$AK$1105,1,Data!$D$2:$D$1105,$A$243),NA())))</f>
        <v/>
      </c>
      <c r="N243" s="67">
        <f>IF($A$243="",NA(),IF(COUNTIFS(Data!$AK$2:$AK$1105,1,Data!$D$2:$D$1105,$A$243)&lt;Controls!$B$19,NA(),IFERROR(AVERAGEIFS(Data!$AD$2:$AD$1105,Data!$AK$2:$AK$1105,1,Data!$D$2:$D$1105,$A$243),NA())))</f>
        <v/>
      </c>
      <c r="O243" s="67">
        <f>IF($A$243="",NA(),IF(COUNTIFS(Data!$AK$2:$AK$1105,1,Data!$D$2:$D$1105,$A$243)&lt;Controls!$B$19,NA(),IFERROR(AVERAGEIFS(Data!$AS$2:$AS$1105,Data!$AK$2:$AK$1105,1,Data!$D$2:$D$1105,$A$243),NA())))</f>
        <v/>
      </c>
      <c r="P243" s="67">
        <f>IF($A$243="",NA(),IF(COUNTIFS(Data!$AK$2:$AK$1105,1,Data!$D$2:$D$1105,$A$243)&lt;Controls!$B$19,NA(),IFERROR(AVERAGEIFS(Data!$AT$2:$AT$1105,Data!$AK$2:$AK$1105,1,Data!$D$2:$D$1105,$A$243),NA())))</f>
        <v/>
      </c>
      <c r="Q243" s="62">
        <f>IF($A$243="",NA(),IF(COUNTIFS(Data!$AK$2:$AK$1105,1,Data!$D$2:$D$1105,$A$243)&lt;Controls!$B$19,NA(),IFERROR(COUNTIFS(Data!$AK$2:$AK$1105,1,Data!$D$2:$D$1105,$A$243,Data!$N$2:$N$1105,"Renewal")/COUNTIFS(Data!$AK$2:$AK$1105,1,Data!$D$2:$D$1105,$A$243),NA())))</f>
        <v/>
      </c>
      <c r="R243" s="62">
        <f>IF($A$243="",NA(),IF(COUNTIFS(Data!$AK$2:$AK$1105,1,Data!$D$2:$D$1105,$A$243)&lt;Controls!$B$19,NA(),IFERROR(SUMIFS(Data!$P$2:$P$1105,Data!$AK$2:$AK$1105,1,Data!$D$2:$D$1105,$A$243,Data!$N$2:$N$1105,"Renewal")/SUMIFS(Data!$P$2:$P$1105,Data!$AK$2:$AK$1105,1,Data!$D$2:$D$1105,$A$243),NA())))</f>
        <v/>
      </c>
      <c r="S243" s="62">
        <f>IF($A$243="",NA(),Calc!$BT$2)</f>
        <v/>
      </c>
      <c r="T243" s="62">
        <f>IF($A$243="",NA(),Calc!$BT$3)</f>
        <v/>
      </c>
      <c r="U243" s="62">
        <f>IF($A$243="",NA(),Calc!$BT$4)</f>
        <v/>
      </c>
      <c r="V243" s="62">
        <f>IF($A$243="",NA(),IF(COUNTIFS(Data!$AK$2:$AK$1105,1,Data!$D$2:$D$1105,$A$243)&lt;Controls!$B$19,NA(),IFERROR(COUNTIFS(Data!$AK$2:$AK$1105,1,Data!$D$2:$D$1105,$A$243,Data!$AH$2:$AH$1105,1)/COUNTIFS(Data!$AK$2:$AK$1105,1,Data!$D$2:$D$1105,$A$243),NA())))</f>
        <v/>
      </c>
      <c r="W243" s="61">
        <f>IF($A$243="","",$A$243&amp;" ("&amp;$J$243&amp;")")</f>
        <v/>
      </c>
      <c r="X243" s="61" t="n"/>
      <c r="Y243" s="61" t="n"/>
      <c r="Z243" s="61" t="n"/>
      <c r="AA243" s="61" t="n"/>
      <c r="AB243" s="61" t="n"/>
      <c r="AC243" s="61" t="n"/>
      <c r="AD243" s="61" t="n"/>
      <c r="AE243" s="61" t="n"/>
      <c r="AF243" s="61" t="n"/>
      <c r="AG243" s="61" t="n"/>
      <c r="AH243" s="61" t="n"/>
      <c r="AI243" s="61" t="n"/>
      <c r="AJ243" s="61" t="n"/>
      <c r="AK243" s="61" t="n"/>
      <c r="AL243" s="61" t="n"/>
      <c r="AM243" s="61" t="n"/>
      <c r="AN243" s="61">
        <f>Controls!$G$140</f>
        <v/>
      </c>
      <c r="AO243" s="61">
        <f>COUNTIFS(Data!$AK$2:$AK$1105,1,Data!$M$2:$M$1105,$AN$243)</f>
        <v/>
      </c>
      <c r="AP243" s="57">
        <f>SUMIFS(Data!$P$2:$P$1105,Data!$AK$2:$AK$1105,1,Data!$M$2:$M$1105,$AN$243)</f>
        <v/>
      </c>
      <c r="AQ243" s="56">
        <f>IFERROR(SUMIFS(Data!$AN$2:$AN$1105,Data!$AK$2:$AK$1105,1,Data!$M$2:$M$1105,$AN$243)/$AP$243,0)</f>
        <v/>
      </c>
      <c r="AR243" s="57">
        <f>SUMIFS(Data!$AN$2:$AN$1105,Data!$AK$2:$AK$1105,1,Data!$M$2:$M$1105,$AN$243)</f>
        <v/>
      </c>
      <c r="AS243" s="61">
        <f>Controls!$H$140</f>
        <v/>
      </c>
      <c r="AT243" s="61">
        <f>IF(OR(AO243=0,AO243&lt;Controls!$B$20),-1000000000000000,IF(AND(Controls!$B$21="Y",$AN$243="No ISO"),-1000000000000000,IF(Controls!$B$17="Selected only",IF(AS243="Y",AP243,-1000000000000000),IF(Controls!$B$17="Top by funded $",AP243,IF(Controls!$B$17="Top by funded units",AO243,IF(Controls!$B$17="Largest principal lost $",AR243,IF(Controls!$B$17="Highest net profit $",AU243,IF(AO243&lt;Controls!$B$19,-1000000000000000,IF(Controls!$B$17="Highest principal lost rate %",AQ243,IF(Controls!$B$17="Lowest principal lost rate %",1-AQ243,AP243))))))))) +101/1000000)</f>
        <v/>
      </c>
      <c r="AU243" s="57">
        <f>SUMIFS(Data!$AM$2:$AM$1105,Data!$AK$2:$AK$1105,1,Data!$M$2:$M$1105,$AN$243)</f>
        <v/>
      </c>
      <c r="AV243" s="61" t="n"/>
      <c r="AW243" s="61" t="n"/>
      <c r="AX243" s="61" t="n"/>
      <c r="AY243" s="61" t="n"/>
      <c r="AZ243" s="61" t="n"/>
      <c r="BA243" s="61" t="n"/>
      <c r="BB243" s="61">
        <f>Controls!$D$46</f>
        <v/>
      </c>
      <c r="BC243" s="61">
        <f>COUNTIFS(Data!$AK$2:$AK$1105,1,Data!$L$2:$L$1105,$BB$243)</f>
        <v/>
      </c>
      <c r="BD243" s="57">
        <f>SUMIFS(Data!$P$2:$P$1105,Data!$AK$2:$AK$1105,1,Data!$L$2:$L$1105,$BB$243)</f>
        <v/>
      </c>
      <c r="BE243" s="56">
        <f>IF(COUNTIFS(Data!$AK$2:$AK$1105,1,Data!$L$2:$L$1105,$BB$243)&lt;Controls!$B$19,"",IFERROR(SUMIFS(Data!$AN$2:$AN$1105,Data!$AK$2:$AK$1105,1,Data!$L$2:$L$1105,$BB$243)/$BD$243,""))</f>
        <v/>
      </c>
      <c r="BF243" s="56">
        <f>IF(COUNTIFS(Data!$AK$2:$AK$1105,1,Data!$L$2:$L$1105,$BB$243)&lt;Controls!$B$19,"",IFERROR(SUMIFS(Data!$AM$2:$AM$1105,Data!$AK$2:$AK$1105,1,Data!$L$2:$L$1105,$BB$243)/SUMIFS(Data!$P$2:$P$1105,Data!$AK$2:$AK$1105,1,Data!$L$2:$L$1105,$BB$243),""))</f>
        <v/>
      </c>
      <c r="BG243" s="57">
        <f>SUMIFS(Data!$AN$2:$AN$1105,Data!$AK$2:$AK$1105,1,Data!$L$2:$L$1105,$BB$243)</f>
        <v/>
      </c>
      <c r="BH243" s="61" t="n"/>
      <c r="BI243" s="61" t="n"/>
      <c r="BJ243" s="61">
        <f>IF($BC$243&lt;Controls!$B$22,"",ABS($BF$243-SUMIFS(Data!$AM$2:$AM$1105,Data!$AK$2:$AK$1105,1)/SUMIFS(Data!$P$2:$P$1105,Data!$AK$2:$AK$1105,1)))</f>
        <v/>
      </c>
      <c r="BK243" s="61">
        <f>IF($BC$243&lt;Controls!$B$22,"",$BE$243)</f>
        <v/>
      </c>
      <c r="BL243" s="61">
        <f>IF($BC$243&lt;Controls!$B$22,"",$BF$243)</f>
        <v/>
      </c>
      <c r="BM243" s="61">
        <f>IF($BC$243&lt;Controls!$B$22,"",$BG$243)</f>
        <v/>
      </c>
      <c r="BN243" s="61" t="n"/>
      <c r="BO243" s="61" t="n"/>
      <c r="BP243" s="61" t="n"/>
      <c r="BQ243" s="61" t="n"/>
      <c r="BR243" s="61" t="n"/>
      <c r="BS243" s="61" t="n"/>
      <c r="BT243" s="61" t="n"/>
    </row>
    <row r="244" ht="15.75" customHeight="1" s="79">
      <c r="A244" s="61">
        <f>IF(COUNTIFS(Data!$AK$2:$AK$1105,1,Data!$D$2:$D$1105,"At-Risk")=0,"","At-Risk")</f>
        <v/>
      </c>
      <c r="B244" s="66">
        <f>IF($A$244="",NA(),IFERROR(SUMIFS(Data!$P$2:$P$1105,Data!$AK$2:$AK$1105,1,Data!$D$2:$D$1105,$A$244),NA()))</f>
        <v/>
      </c>
      <c r="C244" s="66">
        <f>IF($A$244="",NA(),IFERROR(SUMIFS(Data!$S$2:$S$1105,Data!$AK$2:$AK$1105,1,Data!$D$2:$D$1105,$A$244),NA()))</f>
        <v/>
      </c>
      <c r="D244" s="66">
        <f>IF(ISNA($B$244),NA(),$C$244-$B$244)</f>
        <v/>
      </c>
      <c r="E244" s="66">
        <f>IF($A$244="",NA(),IFERROR(SUMIFS(Data!$Q$2:$Q$1105,Data!$AK$2:$AK$1105,1,Data!$D$2:$D$1105,$A$244),NA()))</f>
        <v/>
      </c>
      <c r="F244" s="66">
        <f>IF($A$244="",NA(),IFERROR(SUMIFS(Data!$AN$2:$AN$1105,Data!$AK$2:$AK$1105,1,Data!$D$2:$D$1105,$A$244),NA()))</f>
        <v/>
      </c>
      <c r="G244" s="62">
        <f>IF($A$244="",NA(),IF(COUNTIFS(Data!$AK$2:$AK$1105,1,Data!$D$2:$D$1105,$A$244)&lt;Controls!$B$19,NA(),IFERROR(SUMIFS(Data!$AN$2:$AN$1105,Data!$AK$2:$AK$1105,1,Data!$D$2:$D$1105,$A$244)/$B$244,NA())))</f>
        <v/>
      </c>
      <c r="H244" s="62">
        <f>IF($A$244="",NA(),IF(COUNTIFS(Data!$AK$2:$AK$1105,1,Data!$D$2:$D$1105,$A$244)&lt;Controls!$B$19,NA(),IFERROR(SUMIFS(Data!$S$2:$S$1105,Data!$AK$2:$AK$1105,1,Data!$D$2:$D$1105,$A$244,Data!$AH$2:$AH$1105,1)/SUMIFS(Data!$P$2:$P$1105,Data!$AK$2:$AK$1105,1,Data!$D$2:$D$1105,$A$244,Data!$AH$2:$AH$1105,1),NA())))</f>
        <v/>
      </c>
      <c r="I244" s="62">
        <f>IF(ISNA($J$244),NA(),IF($J$244&lt;Controls!$B$19,NA(),IFERROR($D$244/$B$244,NA())))</f>
        <v/>
      </c>
      <c r="J244" s="67">
        <f>IF($A$244="",NA(),IFERROR(COUNTIFS(Data!$AK$2:$AK$1105,1,Data!$D$2:$D$1105,$A$244),NA()))</f>
        <v/>
      </c>
      <c r="K244" s="62">
        <f>IF(ISNA($B$244),NA(),IFERROR($B$244/Calc!$BT$6,NA()))</f>
        <v/>
      </c>
      <c r="L244" s="66">
        <f>IF(ISNA($J$244),NA(),IF($J$244&lt;Controls!$B$19,NA(),IFERROR($B$244/$J$244,NA())))</f>
        <v/>
      </c>
      <c r="M244" s="67">
        <f>IF($A$244="",NA(),IF(COUNTIFS(Data!$AK$2:$AK$1105,1,Data!$D$2:$D$1105,$A$244)&lt;Controls!$B$19,NA(),IFERROR(AVERAGEIFS(Data!$AE$2:$AE$1105,Data!$AK$2:$AK$1105,1,Data!$D$2:$D$1105,$A$244),NA())))</f>
        <v/>
      </c>
      <c r="N244" s="67">
        <f>IF($A$244="",NA(),IF(COUNTIFS(Data!$AK$2:$AK$1105,1,Data!$D$2:$D$1105,$A$244)&lt;Controls!$B$19,NA(),IFERROR(AVERAGEIFS(Data!$AD$2:$AD$1105,Data!$AK$2:$AK$1105,1,Data!$D$2:$D$1105,$A$244),NA())))</f>
        <v/>
      </c>
      <c r="O244" s="67">
        <f>IF($A$244="",NA(),IF(COUNTIFS(Data!$AK$2:$AK$1105,1,Data!$D$2:$D$1105,$A$244)&lt;Controls!$B$19,NA(),IFERROR(AVERAGEIFS(Data!$AS$2:$AS$1105,Data!$AK$2:$AK$1105,1,Data!$D$2:$D$1105,$A$244),NA())))</f>
        <v/>
      </c>
      <c r="P244" s="67">
        <f>IF($A$244="",NA(),IF(COUNTIFS(Data!$AK$2:$AK$1105,1,Data!$D$2:$D$1105,$A$244)&lt;Controls!$B$19,NA(),IFERROR(AVERAGEIFS(Data!$AT$2:$AT$1105,Data!$AK$2:$AK$1105,1,Data!$D$2:$D$1105,$A$244),NA())))</f>
        <v/>
      </c>
      <c r="Q244" s="62">
        <f>IF($A$244="",NA(),IF(COUNTIFS(Data!$AK$2:$AK$1105,1,Data!$D$2:$D$1105,$A$244)&lt;Controls!$B$19,NA(),IFERROR(COUNTIFS(Data!$AK$2:$AK$1105,1,Data!$D$2:$D$1105,$A$244,Data!$N$2:$N$1105,"Renewal")/COUNTIFS(Data!$AK$2:$AK$1105,1,Data!$D$2:$D$1105,$A$244),NA())))</f>
        <v/>
      </c>
      <c r="R244" s="62">
        <f>IF($A$244="",NA(),IF(COUNTIFS(Data!$AK$2:$AK$1105,1,Data!$D$2:$D$1105,$A$244)&lt;Controls!$B$19,NA(),IFERROR(SUMIFS(Data!$P$2:$P$1105,Data!$AK$2:$AK$1105,1,Data!$D$2:$D$1105,$A$244,Data!$N$2:$N$1105,"Renewal")/SUMIFS(Data!$P$2:$P$1105,Data!$AK$2:$AK$1105,1,Data!$D$2:$D$1105,$A$244),NA())))</f>
        <v/>
      </c>
      <c r="S244" s="62">
        <f>IF($A$244="",NA(),Calc!$BT$2)</f>
        <v/>
      </c>
      <c r="T244" s="62">
        <f>IF($A$244="",NA(),Calc!$BT$3)</f>
        <v/>
      </c>
      <c r="U244" s="62">
        <f>IF($A$244="",NA(),Calc!$BT$4)</f>
        <v/>
      </c>
      <c r="V244" s="62">
        <f>IF($A$244="",NA(),IF(COUNTIFS(Data!$AK$2:$AK$1105,1,Data!$D$2:$D$1105,$A$244)&lt;Controls!$B$19,NA(),IFERROR(COUNTIFS(Data!$AK$2:$AK$1105,1,Data!$D$2:$D$1105,$A$244,Data!$AH$2:$AH$1105,1)/COUNTIFS(Data!$AK$2:$AK$1105,1,Data!$D$2:$D$1105,$A$244),NA())))</f>
        <v/>
      </c>
      <c r="W244" s="61">
        <f>IF($A$244="","",$A$244&amp;" ("&amp;$J$244&amp;")")</f>
        <v/>
      </c>
      <c r="X244" s="61" t="n"/>
      <c r="Y244" s="61" t="n"/>
      <c r="Z244" s="61" t="n"/>
      <c r="AA244" s="61" t="n"/>
      <c r="AB244" s="61" t="n"/>
      <c r="AC244" s="61" t="n"/>
      <c r="AD244" s="61" t="n"/>
      <c r="AE244" s="61" t="n"/>
      <c r="AF244" s="61" t="n"/>
      <c r="AG244" s="61" t="n"/>
      <c r="AH244" s="61" t="n"/>
      <c r="AI244" s="61" t="n"/>
      <c r="AJ244" s="61" t="n"/>
      <c r="AK244" s="61" t="n"/>
      <c r="AL244" s="61" t="n"/>
      <c r="AM244" s="61" t="n"/>
      <c r="AN244" s="61">
        <f>Controls!$G$141</f>
        <v/>
      </c>
      <c r="AO244" s="61">
        <f>COUNTIFS(Data!$AK$2:$AK$1105,1,Data!$M$2:$M$1105,$AN$244)</f>
        <v/>
      </c>
      <c r="AP244" s="57">
        <f>SUMIFS(Data!$P$2:$P$1105,Data!$AK$2:$AK$1105,1,Data!$M$2:$M$1105,$AN$244)</f>
        <v/>
      </c>
      <c r="AQ244" s="56">
        <f>IFERROR(SUMIFS(Data!$AN$2:$AN$1105,Data!$AK$2:$AK$1105,1,Data!$M$2:$M$1105,$AN$244)/$AP$244,0)</f>
        <v/>
      </c>
      <c r="AR244" s="57">
        <f>SUMIFS(Data!$AN$2:$AN$1105,Data!$AK$2:$AK$1105,1,Data!$M$2:$M$1105,$AN$244)</f>
        <v/>
      </c>
      <c r="AS244" s="61">
        <f>Controls!$H$141</f>
        <v/>
      </c>
      <c r="AT244" s="61">
        <f>IF(OR(AO244=0,AO244&lt;Controls!$B$20),-1000000000000000,IF(AND(Controls!$B$21="Y",$AN$244="No ISO"),-1000000000000000,IF(Controls!$B$17="Selected only",IF(AS244="Y",AP244,-1000000000000000),IF(Controls!$B$17="Top by funded $",AP244,IF(Controls!$B$17="Top by funded units",AO244,IF(Controls!$B$17="Largest principal lost $",AR244,IF(Controls!$B$17="Highest net profit $",AU244,IF(AO244&lt;Controls!$B$19,-1000000000000000,IF(Controls!$B$17="Highest principal lost rate %",AQ244,IF(Controls!$B$17="Lowest principal lost rate %",1-AQ244,AP244))))))))) +102/1000000)</f>
        <v/>
      </c>
      <c r="AU244" s="57">
        <f>SUMIFS(Data!$AM$2:$AM$1105,Data!$AK$2:$AK$1105,1,Data!$M$2:$M$1105,$AN$244)</f>
        <v/>
      </c>
      <c r="AV244" s="61" t="n"/>
      <c r="AW244" s="61" t="n"/>
      <c r="AX244" s="61" t="n"/>
      <c r="AY244" s="61" t="n"/>
      <c r="AZ244" s="61" t="n"/>
      <c r="BA244" s="61" t="n"/>
      <c r="BB244" s="61">
        <f>Controls!$D$47</f>
        <v/>
      </c>
      <c r="BC244" s="61">
        <f>COUNTIFS(Data!$AK$2:$AK$1105,1,Data!$L$2:$L$1105,$BB$244)</f>
        <v/>
      </c>
      <c r="BD244" s="57">
        <f>SUMIFS(Data!$P$2:$P$1105,Data!$AK$2:$AK$1105,1,Data!$L$2:$L$1105,$BB$244)</f>
        <v/>
      </c>
      <c r="BE244" s="56">
        <f>IF(COUNTIFS(Data!$AK$2:$AK$1105,1,Data!$L$2:$L$1105,$BB$244)&lt;Controls!$B$19,"",IFERROR(SUMIFS(Data!$AN$2:$AN$1105,Data!$AK$2:$AK$1105,1,Data!$L$2:$L$1105,$BB$244)/$BD$244,""))</f>
        <v/>
      </c>
      <c r="BF244" s="56">
        <f>IF(COUNTIFS(Data!$AK$2:$AK$1105,1,Data!$L$2:$L$1105,$BB$244)&lt;Controls!$B$19,"",IFERROR(SUMIFS(Data!$AM$2:$AM$1105,Data!$AK$2:$AK$1105,1,Data!$L$2:$L$1105,$BB$244)/SUMIFS(Data!$P$2:$P$1105,Data!$AK$2:$AK$1105,1,Data!$L$2:$L$1105,$BB$244),""))</f>
        <v/>
      </c>
      <c r="BG244" s="57">
        <f>SUMIFS(Data!$AN$2:$AN$1105,Data!$AK$2:$AK$1105,1,Data!$L$2:$L$1105,$BB$244)</f>
        <v/>
      </c>
      <c r="BH244" s="61" t="n"/>
      <c r="BI244" s="61" t="n"/>
      <c r="BJ244" s="61">
        <f>IF($BC$244&lt;Controls!$B$22,"",ABS($BF$244-SUMIFS(Data!$AM$2:$AM$1105,Data!$AK$2:$AK$1105,1)/SUMIFS(Data!$P$2:$P$1105,Data!$AK$2:$AK$1105,1)))</f>
        <v/>
      </c>
      <c r="BK244" s="61">
        <f>IF($BC$244&lt;Controls!$B$22,"",$BE$244)</f>
        <v/>
      </c>
      <c r="BL244" s="61">
        <f>IF($BC$244&lt;Controls!$B$22,"",$BF$244)</f>
        <v/>
      </c>
      <c r="BM244" s="61">
        <f>IF($BC$244&lt;Controls!$B$22,"",$BG$244)</f>
        <v/>
      </c>
      <c r="BN244" s="61" t="n"/>
      <c r="BO244" s="61" t="n"/>
      <c r="BP244" s="61" t="n"/>
      <c r="BQ244" s="61" t="n"/>
      <c r="BR244" s="61" t="n"/>
      <c r="BS244" s="61" t="n"/>
      <c r="BT244" s="61" t="n"/>
    </row>
    <row r="245" ht="15.75" customHeight="1" s="79">
      <c r="A245" s="61" t="n"/>
      <c r="B245" s="61" t="n"/>
      <c r="C245" s="61" t="n"/>
      <c r="D245" s="61" t="n"/>
      <c r="E245" s="61" t="n"/>
      <c r="F245" s="61" t="n"/>
      <c r="G245" s="61" t="n"/>
      <c r="H245" s="61" t="n"/>
      <c r="I245" s="61" t="n"/>
      <c r="J245" s="61" t="n"/>
      <c r="K245" s="61" t="n"/>
      <c r="L245" s="61" t="n"/>
      <c r="M245" s="61" t="n"/>
      <c r="N245" s="61" t="n"/>
      <c r="O245" s="61" t="n"/>
      <c r="P245" s="61" t="n"/>
      <c r="Q245" s="61" t="n"/>
      <c r="R245" s="61" t="n"/>
      <c r="S245" s="61" t="n"/>
      <c r="T245" s="61" t="n"/>
      <c r="U245" s="61" t="n"/>
      <c r="V245" s="61" t="n"/>
      <c r="W245" s="61" t="n"/>
      <c r="X245" s="61" t="n"/>
      <c r="Y245" s="61" t="n"/>
      <c r="Z245" s="61" t="n"/>
      <c r="AA245" s="61" t="n"/>
      <c r="AB245" s="61" t="n"/>
      <c r="AC245" s="61" t="n"/>
      <c r="AD245" s="61" t="n"/>
      <c r="AE245" s="61" t="n"/>
      <c r="AF245" s="61" t="n"/>
      <c r="AG245" s="61" t="n"/>
      <c r="AH245" s="61" t="n"/>
      <c r="AI245" s="61" t="n"/>
      <c r="AJ245" s="61" t="n"/>
      <c r="AK245" s="61" t="n"/>
      <c r="AL245" s="61" t="n"/>
      <c r="AM245" s="61" t="n"/>
      <c r="AN245" s="61">
        <f>Controls!$G$142</f>
        <v/>
      </c>
      <c r="AO245" s="61">
        <f>COUNTIFS(Data!$AK$2:$AK$1105,1,Data!$M$2:$M$1105,$AN$245)</f>
        <v/>
      </c>
      <c r="AP245" s="57">
        <f>SUMIFS(Data!$P$2:$P$1105,Data!$AK$2:$AK$1105,1,Data!$M$2:$M$1105,$AN$245)</f>
        <v/>
      </c>
      <c r="AQ245" s="56">
        <f>IFERROR(SUMIFS(Data!$AN$2:$AN$1105,Data!$AK$2:$AK$1105,1,Data!$M$2:$M$1105,$AN$245)/$AP$245,0)</f>
        <v/>
      </c>
      <c r="AR245" s="57">
        <f>SUMIFS(Data!$AN$2:$AN$1105,Data!$AK$2:$AK$1105,1,Data!$M$2:$M$1105,$AN$245)</f>
        <v/>
      </c>
      <c r="AS245" s="61">
        <f>Controls!$H$142</f>
        <v/>
      </c>
      <c r="AT245" s="61">
        <f>IF(OR(AO245=0,AO245&lt;Controls!$B$20),-1000000000000000,IF(AND(Controls!$B$21="Y",$AN$245="No ISO"),-1000000000000000,IF(Controls!$B$17="Selected only",IF(AS245="Y",AP245,-1000000000000000),IF(Controls!$B$17="Top by funded $",AP245,IF(Controls!$B$17="Top by funded units",AO245,IF(Controls!$B$17="Largest principal lost $",AR245,IF(Controls!$B$17="Highest net profit $",AU245,IF(AO245&lt;Controls!$B$19,-1000000000000000,IF(Controls!$B$17="Highest principal lost rate %",AQ245,IF(Controls!$B$17="Lowest principal lost rate %",1-AQ245,AP245))))))))) +103/1000000)</f>
        <v/>
      </c>
      <c r="AU245" s="57">
        <f>SUMIFS(Data!$AM$2:$AM$1105,Data!$AK$2:$AK$1105,1,Data!$M$2:$M$1105,$AN$245)</f>
        <v/>
      </c>
      <c r="AV245" s="61" t="n"/>
      <c r="AW245" s="61" t="n"/>
      <c r="AX245" s="61" t="n"/>
      <c r="AY245" s="61" t="n"/>
      <c r="AZ245" s="61" t="n"/>
      <c r="BA245" s="61" t="n"/>
      <c r="BB245" s="61">
        <f>Controls!$D$48</f>
        <v/>
      </c>
      <c r="BC245" s="61">
        <f>COUNTIFS(Data!$AK$2:$AK$1105,1,Data!$L$2:$L$1105,$BB$245)</f>
        <v/>
      </c>
      <c r="BD245" s="57">
        <f>SUMIFS(Data!$P$2:$P$1105,Data!$AK$2:$AK$1105,1,Data!$L$2:$L$1105,$BB$245)</f>
        <v/>
      </c>
      <c r="BE245" s="56">
        <f>IF(COUNTIFS(Data!$AK$2:$AK$1105,1,Data!$L$2:$L$1105,$BB$245)&lt;Controls!$B$19,"",IFERROR(SUMIFS(Data!$AN$2:$AN$1105,Data!$AK$2:$AK$1105,1,Data!$L$2:$L$1105,$BB$245)/$BD$245,""))</f>
        <v/>
      </c>
      <c r="BF245" s="56">
        <f>IF(COUNTIFS(Data!$AK$2:$AK$1105,1,Data!$L$2:$L$1105,$BB$245)&lt;Controls!$B$19,"",IFERROR(SUMIFS(Data!$AM$2:$AM$1105,Data!$AK$2:$AK$1105,1,Data!$L$2:$L$1105,$BB$245)/SUMIFS(Data!$P$2:$P$1105,Data!$AK$2:$AK$1105,1,Data!$L$2:$L$1105,$BB$245),""))</f>
        <v/>
      </c>
      <c r="BG245" s="57">
        <f>SUMIFS(Data!$AN$2:$AN$1105,Data!$AK$2:$AK$1105,1,Data!$L$2:$L$1105,$BB$245)</f>
        <v/>
      </c>
      <c r="BH245" s="61" t="n"/>
      <c r="BI245" s="61" t="n"/>
      <c r="BJ245" s="61">
        <f>IF($BC$245&lt;Controls!$B$22,"",ABS($BF$245-SUMIFS(Data!$AM$2:$AM$1105,Data!$AK$2:$AK$1105,1)/SUMIFS(Data!$P$2:$P$1105,Data!$AK$2:$AK$1105,1)))</f>
        <v/>
      </c>
      <c r="BK245" s="56">
        <f>IF($BC$245&lt;Controls!$B$22,"",$BE$245)</f>
        <v/>
      </c>
      <c r="BL245" s="56">
        <f>IF($BC$245&lt;Controls!$B$22,"",$BF$245)</f>
        <v/>
      </c>
      <c r="BM245" s="57">
        <f>IF($BC$245&lt;Controls!$B$22,"",$BG$245)</f>
        <v/>
      </c>
      <c r="BN245" s="61" t="n"/>
      <c r="BO245" s="61" t="n"/>
      <c r="BP245" s="61" t="n"/>
      <c r="BQ245" s="61" t="n"/>
      <c r="BR245" s="61" t="n"/>
      <c r="BS245" s="61" t="n"/>
      <c r="BT245" s="61" t="n"/>
    </row>
    <row r="246" ht="15.75" customHeight="1" s="79">
      <c r="A246" s="61" t="n"/>
      <c r="B246" s="61" t="n"/>
      <c r="C246" s="61" t="n"/>
      <c r="D246" s="61" t="n"/>
      <c r="E246" s="61" t="n"/>
      <c r="F246" s="61" t="n"/>
      <c r="G246" s="61" t="n"/>
      <c r="H246" s="61" t="n"/>
      <c r="I246" s="61" t="n"/>
      <c r="J246" s="61" t="n"/>
      <c r="K246" s="61" t="n"/>
      <c r="L246" s="61" t="n"/>
      <c r="M246" s="61" t="n"/>
      <c r="N246" s="61" t="n"/>
      <c r="O246" s="61" t="n"/>
      <c r="P246" s="61" t="n"/>
      <c r="Q246" s="61" t="n"/>
      <c r="R246" s="61" t="n"/>
      <c r="S246" s="61" t="n"/>
      <c r="T246" s="61" t="n"/>
      <c r="U246" s="61" t="n"/>
      <c r="V246" s="61" t="n"/>
      <c r="W246" s="61" t="n"/>
      <c r="X246" s="61" t="n"/>
      <c r="Y246" s="61" t="n"/>
      <c r="Z246" s="61" t="n"/>
      <c r="AA246" s="61" t="n"/>
      <c r="AB246" s="61" t="n"/>
      <c r="AC246" s="61" t="n"/>
      <c r="AD246" s="61" t="n"/>
      <c r="AE246" s="61" t="n"/>
      <c r="AF246" s="61" t="n"/>
      <c r="AG246" s="61" t="n"/>
      <c r="AH246" s="61" t="n"/>
      <c r="AI246" s="61" t="n"/>
      <c r="AJ246" s="61" t="n"/>
      <c r="AK246" s="61" t="n"/>
      <c r="AL246" s="61" t="n"/>
      <c r="AM246" s="61" t="n"/>
      <c r="AN246" s="61">
        <f>Controls!$G$143</f>
        <v/>
      </c>
      <c r="AO246" s="61">
        <f>COUNTIFS(Data!$AK$2:$AK$1105,1,Data!$M$2:$M$1105,$AN$246)</f>
        <v/>
      </c>
      <c r="AP246" s="57">
        <f>SUMIFS(Data!$P$2:$P$1105,Data!$AK$2:$AK$1105,1,Data!$M$2:$M$1105,$AN$246)</f>
        <v/>
      </c>
      <c r="AQ246" s="56">
        <f>IFERROR(SUMIFS(Data!$AN$2:$AN$1105,Data!$AK$2:$AK$1105,1,Data!$M$2:$M$1105,$AN$246)/$AP$246,0)</f>
        <v/>
      </c>
      <c r="AR246" s="57">
        <f>SUMIFS(Data!$AN$2:$AN$1105,Data!$AK$2:$AK$1105,1,Data!$M$2:$M$1105,$AN$246)</f>
        <v/>
      </c>
      <c r="AS246" s="61">
        <f>Controls!$H$143</f>
        <v/>
      </c>
      <c r="AT246" s="61">
        <f>IF(OR(AO246=0,AO246&lt;Controls!$B$20),-1000000000000000,IF(AND(Controls!$B$21="Y",$AN$246="No ISO"),-1000000000000000,IF(Controls!$B$17="Selected only",IF(AS246="Y",AP246,-1000000000000000),IF(Controls!$B$17="Top by funded $",AP246,IF(Controls!$B$17="Top by funded units",AO246,IF(Controls!$B$17="Largest principal lost $",AR246,IF(Controls!$B$17="Highest net profit $",AU246,IF(AO246&lt;Controls!$B$19,-1000000000000000,IF(Controls!$B$17="Highest principal lost rate %",AQ246,IF(Controls!$B$17="Lowest principal lost rate %",1-AQ246,AP246))))))))) +104/1000000)</f>
        <v/>
      </c>
      <c r="AU246" s="57">
        <f>SUMIFS(Data!$AM$2:$AM$1105,Data!$AK$2:$AK$1105,1,Data!$M$2:$M$1105,$AN$246)</f>
        <v/>
      </c>
      <c r="AV246" s="61" t="n"/>
      <c r="AW246" s="61" t="n"/>
      <c r="AX246" s="61" t="n"/>
      <c r="AY246" s="61" t="n"/>
      <c r="AZ246" s="61" t="n"/>
      <c r="BA246" s="61" t="n"/>
      <c r="BB246" s="61">
        <f>Controls!$D$49</f>
        <v/>
      </c>
      <c r="BC246" s="61">
        <f>COUNTIFS(Data!$AK$2:$AK$1105,1,Data!$L$2:$L$1105,$BB$246)</f>
        <v/>
      </c>
      <c r="BD246" s="57">
        <f>SUMIFS(Data!$P$2:$P$1105,Data!$AK$2:$AK$1105,1,Data!$L$2:$L$1105,$BB$246)</f>
        <v/>
      </c>
      <c r="BE246" s="56">
        <f>IF(COUNTIFS(Data!$AK$2:$AK$1105,1,Data!$L$2:$L$1105,$BB$246)&lt;Controls!$B$19,"",IFERROR(SUMIFS(Data!$AN$2:$AN$1105,Data!$AK$2:$AK$1105,1,Data!$L$2:$L$1105,$BB$246)/$BD$246,""))</f>
        <v/>
      </c>
      <c r="BF246" s="56">
        <f>IF(COUNTIFS(Data!$AK$2:$AK$1105,1,Data!$L$2:$L$1105,$BB$246)&lt;Controls!$B$19,"",IFERROR(SUMIFS(Data!$AM$2:$AM$1105,Data!$AK$2:$AK$1105,1,Data!$L$2:$L$1105,$BB$246)/SUMIFS(Data!$P$2:$P$1105,Data!$AK$2:$AK$1105,1,Data!$L$2:$L$1105,$BB$246),""))</f>
        <v/>
      </c>
      <c r="BG246" s="57">
        <f>SUMIFS(Data!$AN$2:$AN$1105,Data!$AK$2:$AK$1105,1,Data!$L$2:$L$1105,$BB$246)</f>
        <v/>
      </c>
      <c r="BH246" s="61" t="n"/>
      <c r="BI246" s="61" t="n"/>
      <c r="BJ246" s="61">
        <f>IF($BC$246&lt;Controls!$B$22,"",ABS($BF$246-SUMIFS(Data!$AM$2:$AM$1105,Data!$AK$2:$AK$1105,1)/SUMIFS(Data!$P$2:$P$1105,Data!$AK$2:$AK$1105,1)))</f>
        <v/>
      </c>
      <c r="BK246" s="56">
        <f>IF($BC$246&lt;Controls!$B$22,"",$BE$246)</f>
        <v/>
      </c>
      <c r="BL246" s="56">
        <f>IF($BC$246&lt;Controls!$B$22,"",$BF$246)</f>
        <v/>
      </c>
      <c r="BM246" s="57">
        <f>IF($BC$246&lt;Controls!$B$22,"",$BG$246)</f>
        <v/>
      </c>
      <c r="BN246" s="61" t="n"/>
      <c r="BO246" s="61" t="n"/>
      <c r="BP246" s="61" t="n"/>
      <c r="BQ246" s="61" t="n"/>
      <c r="BR246" s="61" t="n"/>
      <c r="BS246" s="61" t="n"/>
      <c r="BT246" s="61" t="n"/>
    </row>
    <row r="247" ht="15.75" customHeight="1" s="79">
      <c r="A247" s="61" t="inlineStr">
        <is>
          <t xml:space="preserve">Payment frequency - </t>
        </is>
      </c>
      <c r="B247" s="61" t="n"/>
      <c r="C247" s="61" t="n"/>
      <c r="D247" s="61" t="n"/>
      <c r="E247" s="61" t="n"/>
      <c r="F247" s="61" t="n"/>
      <c r="G247" s="61" t="n"/>
      <c r="H247" s="61" t="n"/>
      <c r="I247" s="61" t="n"/>
      <c r="J247" s="61" t="n"/>
      <c r="K247" s="61" t="n"/>
      <c r="L247" s="61" t="n"/>
      <c r="M247" s="61" t="n"/>
      <c r="N247" s="61" t="n"/>
      <c r="O247" s="61" t="n"/>
      <c r="P247" s="61" t="n"/>
      <c r="Q247" s="61" t="n"/>
      <c r="R247" s="61" t="n"/>
      <c r="S247" s="61" t="n"/>
      <c r="T247" s="61" t="n"/>
      <c r="U247" s="61" t="n"/>
      <c r="V247" s="61" t="n"/>
      <c r="W247" s="61" t="n"/>
      <c r="X247" s="61" t="n"/>
      <c r="Y247" s="61" t="n"/>
      <c r="Z247" s="61" t="n"/>
      <c r="AA247" s="61" t="n"/>
      <c r="AB247" s="61" t="n"/>
      <c r="AC247" s="61" t="n"/>
      <c r="AD247" s="61" t="n"/>
      <c r="AE247" s="61" t="n"/>
      <c r="AF247" s="61" t="n"/>
      <c r="AG247" s="61" t="n"/>
      <c r="AH247" s="61" t="n"/>
      <c r="AI247" s="61" t="n"/>
      <c r="AJ247" s="61" t="n"/>
      <c r="AK247" s="61" t="n"/>
      <c r="AL247" s="61" t="n"/>
      <c r="AM247" s="61" t="n"/>
      <c r="AN247" s="61">
        <f>Controls!$G$144</f>
        <v/>
      </c>
      <c r="AO247" s="61">
        <f>COUNTIFS(Data!$AK$2:$AK$1105,1,Data!$M$2:$M$1105,$AN$247)</f>
        <v/>
      </c>
      <c r="AP247" s="57">
        <f>SUMIFS(Data!$P$2:$P$1105,Data!$AK$2:$AK$1105,1,Data!$M$2:$M$1105,$AN$247)</f>
        <v/>
      </c>
      <c r="AQ247" s="56">
        <f>IFERROR(SUMIFS(Data!$AN$2:$AN$1105,Data!$AK$2:$AK$1105,1,Data!$M$2:$M$1105,$AN$247)/$AP$247,0)</f>
        <v/>
      </c>
      <c r="AR247" s="57">
        <f>SUMIFS(Data!$AN$2:$AN$1105,Data!$AK$2:$AK$1105,1,Data!$M$2:$M$1105,$AN$247)</f>
        <v/>
      </c>
      <c r="AS247" s="61">
        <f>Controls!$H$144</f>
        <v/>
      </c>
      <c r="AT247" s="61">
        <f>IF(OR(AO247=0,AO247&lt;Controls!$B$20),-1000000000000000,IF(AND(Controls!$B$21="Y",$AN$247="No ISO"),-1000000000000000,IF(Controls!$B$17="Selected only",IF(AS247="Y",AP247,-1000000000000000),IF(Controls!$B$17="Top by funded $",AP247,IF(Controls!$B$17="Top by funded units",AO247,IF(Controls!$B$17="Largest principal lost $",AR247,IF(Controls!$B$17="Highest net profit $",AU247,IF(AO247&lt;Controls!$B$19,-1000000000000000,IF(Controls!$B$17="Highest principal lost rate %",AQ247,IF(Controls!$B$17="Lowest principal lost rate %",1-AQ247,AP247))))))))) +105/1000000)</f>
        <v/>
      </c>
      <c r="AU247" s="57">
        <f>SUMIFS(Data!$AM$2:$AM$1105,Data!$AK$2:$AK$1105,1,Data!$M$2:$M$1105,$AN$247)</f>
        <v/>
      </c>
      <c r="AV247" s="61" t="n"/>
      <c r="AW247" s="61" t="n"/>
      <c r="AX247" s="61" t="n"/>
      <c r="AY247" s="61" t="n"/>
      <c r="AZ247" s="61" t="n"/>
      <c r="BA247" s="61" t="n"/>
      <c r="BB247" s="61">
        <f>Controls!$D$50</f>
        <v/>
      </c>
      <c r="BC247" s="61">
        <f>COUNTIFS(Data!$AK$2:$AK$1105,1,Data!$L$2:$L$1105,$BB$247)</f>
        <v/>
      </c>
      <c r="BD247" s="57">
        <f>SUMIFS(Data!$P$2:$P$1105,Data!$AK$2:$AK$1105,1,Data!$L$2:$L$1105,$BB$247)</f>
        <v/>
      </c>
      <c r="BE247" s="56">
        <f>IF(COUNTIFS(Data!$AK$2:$AK$1105,1,Data!$L$2:$L$1105,$BB$247)&lt;Controls!$B$19,"",IFERROR(SUMIFS(Data!$AN$2:$AN$1105,Data!$AK$2:$AK$1105,1,Data!$L$2:$L$1105,$BB$247)/$BD$247,""))</f>
        <v/>
      </c>
      <c r="BF247" s="56">
        <f>IF(COUNTIFS(Data!$AK$2:$AK$1105,1,Data!$L$2:$L$1105,$BB$247)&lt;Controls!$B$19,"",IFERROR(SUMIFS(Data!$AM$2:$AM$1105,Data!$AK$2:$AK$1105,1,Data!$L$2:$L$1105,$BB$247)/SUMIFS(Data!$P$2:$P$1105,Data!$AK$2:$AK$1105,1,Data!$L$2:$L$1105,$BB$247),""))</f>
        <v/>
      </c>
      <c r="BG247" s="57">
        <f>SUMIFS(Data!$AN$2:$AN$1105,Data!$AK$2:$AK$1105,1,Data!$L$2:$L$1105,$BB$247)</f>
        <v/>
      </c>
      <c r="BH247" s="61" t="n"/>
      <c r="BI247" s="61" t="n"/>
      <c r="BJ247" s="61">
        <f>IF($BC$247&lt;Controls!$B$22,"",ABS($BF$247-SUMIFS(Data!$AM$2:$AM$1105,Data!$AK$2:$AK$1105,1)/SUMIFS(Data!$P$2:$P$1105,Data!$AK$2:$AK$1105,1)))</f>
        <v/>
      </c>
      <c r="BK247" s="61">
        <f>IF($BC$247&lt;Controls!$B$22,"",$BE$247)</f>
        <v/>
      </c>
      <c r="BL247" s="61">
        <f>IF($BC$247&lt;Controls!$B$22,"",$BF$247)</f>
        <v/>
      </c>
      <c r="BM247" s="61">
        <f>IF($BC$247&lt;Controls!$B$22,"",$BG$247)</f>
        <v/>
      </c>
      <c r="BN247" s="61" t="n"/>
      <c r="BO247" s="61" t="n"/>
      <c r="BP247" s="61" t="n"/>
      <c r="BQ247" s="61" t="n"/>
      <c r="BR247" s="61" t="n"/>
      <c r="BS247" s="61" t="n"/>
      <c r="BT247" s="61" t="n"/>
    </row>
    <row r="248" ht="15.75" customHeight="1" s="79">
      <c r="A248" s="61" t="inlineStr">
        <is>
          <t>Label</t>
        </is>
      </c>
      <c r="B248" s="61" t="inlineStr">
        <is>
          <t>Funded $</t>
        </is>
      </c>
      <c r="C248" s="61" t="inlineStr">
        <is>
          <t>Collected $</t>
        </is>
      </c>
      <c r="D248" s="61" t="inlineStr">
        <is>
          <t>Net profit / loss $</t>
        </is>
      </c>
      <c r="E248" s="61" t="inlineStr">
        <is>
          <t>Commission $</t>
        </is>
      </c>
      <c r="F248" s="61" t="inlineStr">
        <is>
          <t>Principal lost $</t>
        </is>
      </c>
      <c r="G248" s="61" t="inlineStr">
        <is>
          <t>Principal lost rate</t>
        </is>
      </c>
      <c r="H248" s="61" t="inlineStr">
        <is>
          <t>Recovery rate</t>
        </is>
      </c>
      <c r="I248" s="61" t="inlineStr">
        <is>
          <t>Return on funded capital (%)</t>
        </is>
      </c>
      <c r="J248" s="61" t="inlineStr">
        <is>
          <t>Deals</t>
        </is>
      </c>
      <c r="K248" s="61" t="inlineStr">
        <is>
          <t>Share of funded dollars</t>
        </is>
      </c>
      <c r="L248" s="61" t="inlineStr">
        <is>
          <t>Avg deal size</t>
        </is>
      </c>
      <c r="M248" s="61" t="inlineStr">
        <is>
          <t>Avg expected term (business days)</t>
        </is>
      </c>
      <c r="N248" s="61" t="inlineStr">
        <is>
          <t>Avg expected term (payments)</t>
        </is>
      </c>
      <c r="O248" s="61" t="inlineStr">
        <is>
          <t>Avg days on book, defaulted</t>
        </is>
      </c>
      <c r="P248" s="61" t="inlineStr">
        <is>
          <t>Avg days to close</t>
        </is>
      </c>
      <c r="Q248" s="61" t="inlineStr">
        <is>
          <t>% of deals that were renewals</t>
        </is>
      </c>
      <c r="R248" s="61" t="inlineStr">
        <is>
          <t>% of funded dollars from renewals</t>
        </is>
      </c>
      <c r="S248" s="61" t="inlineStr">
        <is>
          <t>Book lost rate</t>
        </is>
      </c>
      <c r="T248" s="61" t="inlineStr">
        <is>
          <t>Book recovery</t>
        </is>
      </c>
      <c r="U248" s="61" t="inlineStr">
        <is>
          <t>Book return on funded capital</t>
        </is>
      </c>
      <c r="V248" s="61" t="inlineStr">
        <is>
          <t>Default rate (#)</t>
        </is>
      </c>
      <c r="W248" s="61" t="inlineStr">
        <is>
          <t>Chart label (name + deals)</t>
        </is>
      </c>
      <c r="X248" s="61" t="n"/>
      <c r="Y248" s="61" t="n"/>
      <c r="Z248" s="61" t="n"/>
      <c r="AA248" s="61" t="n"/>
      <c r="AB248" s="61" t="n"/>
      <c r="AC248" s="61" t="n"/>
      <c r="AD248" s="61" t="n"/>
      <c r="AE248" s="61" t="n"/>
      <c r="AF248" s="61" t="n"/>
      <c r="AG248" s="61" t="n"/>
      <c r="AH248" s="61" t="n"/>
      <c r="AI248" s="61" t="n"/>
      <c r="AJ248" s="61" t="n"/>
      <c r="AK248" s="61" t="n"/>
      <c r="AL248" s="61" t="n"/>
      <c r="AM248" s="61" t="n"/>
      <c r="AN248" s="61">
        <f>Controls!$G$145</f>
        <v/>
      </c>
      <c r="AO248" s="61">
        <f>COUNTIFS(Data!$AK$2:$AK$1105,1,Data!$M$2:$M$1105,$AN$248)</f>
        <v/>
      </c>
      <c r="AP248" s="57">
        <f>SUMIFS(Data!$P$2:$P$1105,Data!$AK$2:$AK$1105,1,Data!$M$2:$M$1105,$AN$248)</f>
        <v/>
      </c>
      <c r="AQ248" s="56">
        <f>IFERROR(SUMIFS(Data!$AN$2:$AN$1105,Data!$AK$2:$AK$1105,1,Data!$M$2:$M$1105,$AN$248)/$AP$248,0)</f>
        <v/>
      </c>
      <c r="AR248" s="57">
        <f>SUMIFS(Data!$AN$2:$AN$1105,Data!$AK$2:$AK$1105,1,Data!$M$2:$M$1105,$AN$248)</f>
        <v/>
      </c>
      <c r="AS248" s="61">
        <f>Controls!$H$145</f>
        <v/>
      </c>
      <c r="AT248" s="61">
        <f>IF(OR(AO248=0,AO248&lt;Controls!$B$20),-1000000000000000,IF(AND(Controls!$B$21="Y",$AN$248="No ISO"),-1000000000000000,IF(Controls!$B$17="Selected only",IF(AS248="Y",AP248,-1000000000000000),IF(Controls!$B$17="Top by funded $",AP248,IF(Controls!$B$17="Top by funded units",AO248,IF(Controls!$B$17="Largest principal lost $",AR248,IF(Controls!$B$17="Highest net profit $",AU248,IF(AO248&lt;Controls!$B$19,-1000000000000000,IF(Controls!$B$17="Highest principal lost rate %",AQ248,IF(Controls!$B$17="Lowest principal lost rate %",1-AQ248,AP248))))))))) +106/1000000)</f>
        <v/>
      </c>
      <c r="AU248" s="57">
        <f>SUMIFS(Data!$AM$2:$AM$1105,Data!$AK$2:$AK$1105,1,Data!$M$2:$M$1105,$AN$248)</f>
        <v/>
      </c>
      <c r="AV248" s="61" t="n"/>
      <c r="AW248" s="61" t="n"/>
      <c r="AX248" s="61" t="n"/>
      <c r="AY248" s="61" t="n"/>
      <c r="AZ248" s="61" t="n"/>
      <c r="BA248" s="61" t="n"/>
      <c r="BB248" s="61">
        <f>Controls!$D$51</f>
        <v/>
      </c>
      <c r="BC248" s="61">
        <f>COUNTIFS(Data!$AK$2:$AK$1105,1,Data!$L$2:$L$1105,$BB$248)</f>
        <v/>
      </c>
      <c r="BD248" s="57">
        <f>SUMIFS(Data!$P$2:$P$1105,Data!$AK$2:$AK$1105,1,Data!$L$2:$L$1105,$BB$248)</f>
        <v/>
      </c>
      <c r="BE248" s="56">
        <f>IF(COUNTIFS(Data!$AK$2:$AK$1105,1,Data!$L$2:$L$1105,$BB$248)&lt;Controls!$B$19,"",IFERROR(SUMIFS(Data!$AN$2:$AN$1105,Data!$AK$2:$AK$1105,1,Data!$L$2:$L$1105,$BB$248)/$BD$248,""))</f>
        <v/>
      </c>
      <c r="BF248" s="56">
        <f>IF(COUNTIFS(Data!$AK$2:$AK$1105,1,Data!$L$2:$L$1105,$BB$248)&lt;Controls!$B$19,"",IFERROR(SUMIFS(Data!$AM$2:$AM$1105,Data!$AK$2:$AK$1105,1,Data!$L$2:$L$1105,$BB$248)/SUMIFS(Data!$P$2:$P$1105,Data!$AK$2:$AK$1105,1,Data!$L$2:$L$1105,$BB$248),""))</f>
        <v/>
      </c>
      <c r="BG248" s="57">
        <f>SUMIFS(Data!$AN$2:$AN$1105,Data!$AK$2:$AK$1105,1,Data!$L$2:$L$1105,$BB$248)</f>
        <v/>
      </c>
      <c r="BH248" s="61" t="n"/>
      <c r="BI248" s="61" t="n"/>
      <c r="BJ248" s="61">
        <f>IF($BC$248&lt;Controls!$B$22,"",ABS($BF$248-SUMIFS(Data!$AM$2:$AM$1105,Data!$AK$2:$AK$1105,1)/SUMIFS(Data!$P$2:$P$1105,Data!$AK$2:$AK$1105,1)))</f>
        <v/>
      </c>
      <c r="BK248" s="61">
        <f>IF($BC$248&lt;Controls!$B$22,"",$BE$248)</f>
        <v/>
      </c>
      <c r="BL248" s="61">
        <f>IF($BC$248&lt;Controls!$B$22,"",$BF$248)</f>
        <v/>
      </c>
      <c r="BM248" s="61">
        <f>IF($BC$248&lt;Controls!$B$22,"",$BG$248)</f>
        <v/>
      </c>
      <c r="BN248" s="61" t="n"/>
      <c r="BO248" s="61" t="n"/>
      <c r="BP248" s="61" t="n"/>
      <c r="BQ248" s="61" t="n"/>
      <c r="BR248" s="61" t="n"/>
      <c r="BS248" s="61" t="n"/>
      <c r="BT248" s="61" t="n"/>
    </row>
    <row r="249" ht="15.75" customHeight="1" s="79">
      <c r="A249" s="61">
        <f>IF(COUNTIFS(Data!$AK$2:$AK$1105,1,Data!$AC$2:$AC$1105,"Daily")=0,"","Daily")</f>
        <v/>
      </c>
      <c r="B249" s="66">
        <f>IF($A$249="",NA(),IFERROR(SUMIFS(Data!$P$2:$P$1105,Data!$AK$2:$AK$1105,1,Data!$AC$2:$AC$1105,$A$249),NA()))</f>
        <v/>
      </c>
      <c r="C249" s="66">
        <f>IF($A$249="",NA(),IFERROR(SUMIFS(Data!$S$2:$S$1105,Data!$AK$2:$AK$1105,1,Data!$AC$2:$AC$1105,$A$249),NA()))</f>
        <v/>
      </c>
      <c r="D249" s="66">
        <f>IF(ISNA($B$249),NA(),$C$249-$B$249)</f>
        <v/>
      </c>
      <c r="E249" s="66">
        <f>IF($A$249="",NA(),IFERROR(SUMIFS(Data!$Q$2:$Q$1105,Data!$AK$2:$AK$1105,1,Data!$AC$2:$AC$1105,$A$249),NA()))</f>
        <v/>
      </c>
      <c r="F249" s="66">
        <f>IF($A$249="",NA(),IFERROR(SUMIFS(Data!$AN$2:$AN$1105,Data!$AK$2:$AK$1105,1,Data!$AC$2:$AC$1105,$A$249),NA()))</f>
        <v/>
      </c>
      <c r="G249" s="62">
        <f>IF($A$249="",NA(),IF(COUNTIFS(Data!$AK$2:$AK$1105,1,Data!$AC$2:$AC$1105,$A$249)&lt;Controls!$B$19,NA(),IFERROR(SUMIFS(Data!$AN$2:$AN$1105,Data!$AK$2:$AK$1105,1,Data!$AC$2:$AC$1105,$A$249)/$B$249,NA())))</f>
        <v/>
      </c>
      <c r="H249" s="62">
        <f>IF($A$249="",NA(),IF(COUNTIFS(Data!$AK$2:$AK$1105,1,Data!$AC$2:$AC$1105,$A$249)&lt;Controls!$B$19,NA(),IFERROR(SUMIFS(Data!$S$2:$S$1105,Data!$AK$2:$AK$1105,1,Data!$AC$2:$AC$1105,$A$249,Data!$AH$2:$AH$1105,1)/SUMIFS(Data!$P$2:$P$1105,Data!$AK$2:$AK$1105,1,Data!$AC$2:$AC$1105,$A$249,Data!$AH$2:$AH$1105,1),NA())))</f>
        <v/>
      </c>
      <c r="I249" s="62">
        <f>IF(ISNA($J$249),NA(),IF($J$249&lt;Controls!$B$19,NA(),IFERROR($D$249/$B$249,NA())))</f>
        <v/>
      </c>
      <c r="J249" s="67">
        <f>IF($A$249="",NA(),IFERROR(COUNTIFS(Data!$AK$2:$AK$1105,1,Data!$AC$2:$AC$1105,$A$249),NA()))</f>
        <v/>
      </c>
      <c r="K249" s="62">
        <f>IF(ISNA($B$249),NA(),IFERROR($B$249/Calc!$BT$6,NA()))</f>
        <v/>
      </c>
      <c r="L249" s="66">
        <f>IF(ISNA($J$249),NA(),IF($J$249&lt;Controls!$B$19,NA(),IFERROR($B$249/$J$249,NA())))</f>
        <v/>
      </c>
      <c r="M249" s="67">
        <f>IF($A$249="",NA(),IF(COUNTIFS(Data!$AK$2:$AK$1105,1,Data!$AC$2:$AC$1105,$A$249)&lt;Controls!$B$19,NA(),IFERROR(AVERAGEIFS(Data!$AE$2:$AE$1105,Data!$AK$2:$AK$1105,1,Data!$AC$2:$AC$1105,$A$249),NA())))</f>
        <v/>
      </c>
      <c r="N249" s="67">
        <f>IF($A$249="",NA(),IF(COUNTIFS(Data!$AK$2:$AK$1105,1,Data!$AC$2:$AC$1105,$A$249)&lt;Controls!$B$19,NA(),IFERROR(AVERAGEIFS(Data!$AD$2:$AD$1105,Data!$AK$2:$AK$1105,1,Data!$AC$2:$AC$1105,$A$249),NA())))</f>
        <v/>
      </c>
      <c r="O249" s="67">
        <f>IF($A$249="",NA(),IF(COUNTIFS(Data!$AK$2:$AK$1105,1,Data!$AC$2:$AC$1105,$A$249)&lt;Controls!$B$19,NA(),IFERROR(AVERAGEIFS(Data!$AS$2:$AS$1105,Data!$AK$2:$AK$1105,1,Data!$AC$2:$AC$1105,$A$249),NA())))</f>
        <v/>
      </c>
      <c r="P249" s="67">
        <f>IF($A$249="",NA(),IF(COUNTIFS(Data!$AK$2:$AK$1105,1,Data!$AC$2:$AC$1105,$A$249)&lt;Controls!$B$19,NA(),IFERROR(AVERAGEIFS(Data!$AT$2:$AT$1105,Data!$AK$2:$AK$1105,1,Data!$AC$2:$AC$1105,$A$249),NA())))</f>
        <v/>
      </c>
      <c r="Q249" s="62">
        <f>IF($A$249="",NA(),IF(COUNTIFS(Data!$AK$2:$AK$1105,1,Data!$AC$2:$AC$1105,$A$249)&lt;Controls!$B$19,NA(),IFERROR(COUNTIFS(Data!$AK$2:$AK$1105,1,Data!$AC$2:$AC$1105,$A$249,Data!$N$2:$N$1105,"Renewal")/COUNTIFS(Data!$AK$2:$AK$1105,1,Data!$AC$2:$AC$1105,$A$249),NA())))</f>
        <v/>
      </c>
      <c r="R249" s="62">
        <f>IF($A$249="",NA(),IF(COUNTIFS(Data!$AK$2:$AK$1105,1,Data!$AC$2:$AC$1105,$A$249)&lt;Controls!$B$19,NA(),IFERROR(SUMIFS(Data!$P$2:$P$1105,Data!$AK$2:$AK$1105,1,Data!$AC$2:$AC$1105,$A$249,Data!$N$2:$N$1105,"Renewal")/SUMIFS(Data!$P$2:$P$1105,Data!$AK$2:$AK$1105,1,Data!$AC$2:$AC$1105,$A$249),NA())))</f>
        <v/>
      </c>
      <c r="S249" s="62">
        <f>IF($A$249="",NA(),Calc!$BT$2)</f>
        <v/>
      </c>
      <c r="T249" s="62">
        <f>IF($A$249="",NA(),Calc!$BT$3)</f>
        <v/>
      </c>
      <c r="U249" s="62">
        <f>IF($A$249="",NA(),Calc!$BT$4)</f>
        <v/>
      </c>
      <c r="V249" s="62">
        <f>IF($A$249="",NA(),IF(COUNTIFS(Data!$AK$2:$AK$1105,1,Data!$AC$2:$AC$1105,$A$249)&lt;Controls!$B$19,NA(),IFERROR(COUNTIFS(Data!$AK$2:$AK$1105,1,Data!$AC$2:$AC$1105,$A$249,Data!$AH$2:$AH$1105,1)/COUNTIFS(Data!$AK$2:$AK$1105,1,Data!$AC$2:$AC$1105,$A$249),NA())))</f>
        <v/>
      </c>
      <c r="W249" s="61">
        <f>IF($A$249="","",$A$249&amp;" ("&amp;$J$249&amp;")")</f>
        <v/>
      </c>
      <c r="X249" s="61" t="n"/>
      <c r="Y249" s="61" t="n"/>
      <c r="Z249" s="61" t="n"/>
      <c r="AA249" s="61" t="n"/>
      <c r="AB249" s="61" t="n"/>
      <c r="AC249" s="61" t="n"/>
      <c r="AD249" s="61" t="n"/>
      <c r="AE249" s="61" t="n"/>
      <c r="AF249" s="61" t="n"/>
      <c r="AG249" s="61" t="n"/>
      <c r="AH249" s="61" t="n"/>
      <c r="AI249" s="61" t="n"/>
      <c r="AJ249" s="61" t="n"/>
      <c r="AK249" s="61" t="n"/>
      <c r="AL249" s="61" t="n"/>
      <c r="AM249" s="61" t="n"/>
      <c r="AN249" s="61">
        <f>Controls!$G$146</f>
        <v/>
      </c>
      <c r="AO249" s="61">
        <f>COUNTIFS(Data!$AK$2:$AK$1105,1,Data!$M$2:$M$1105,$AN$249)</f>
        <v/>
      </c>
      <c r="AP249" s="57">
        <f>SUMIFS(Data!$P$2:$P$1105,Data!$AK$2:$AK$1105,1,Data!$M$2:$M$1105,$AN$249)</f>
        <v/>
      </c>
      <c r="AQ249" s="56">
        <f>IFERROR(SUMIFS(Data!$AN$2:$AN$1105,Data!$AK$2:$AK$1105,1,Data!$M$2:$M$1105,$AN$249)/$AP$249,0)</f>
        <v/>
      </c>
      <c r="AR249" s="57">
        <f>SUMIFS(Data!$AN$2:$AN$1105,Data!$AK$2:$AK$1105,1,Data!$M$2:$M$1105,$AN$249)</f>
        <v/>
      </c>
      <c r="AS249" s="61">
        <f>Controls!$H$146</f>
        <v/>
      </c>
      <c r="AT249" s="61">
        <f>IF(OR(AO249=0,AO249&lt;Controls!$B$20),-1000000000000000,IF(AND(Controls!$B$21="Y",$AN$249="No ISO"),-1000000000000000,IF(Controls!$B$17="Selected only",IF(AS249="Y",AP249,-1000000000000000),IF(Controls!$B$17="Top by funded $",AP249,IF(Controls!$B$17="Top by funded units",AO249,IF(Controls!$B$17="Largest principal lost $",AR249,IF(Controls!$B$17="Highest net profit $",AU249,IF(AO249&lt;Controls!$B$19,-1000000000000000,IF(Controls!$B$17="Highest principal lost rate %",AQ249,IF(Controls!$B$17="Lowest principal lost rate %",1-AQ249,AP249))))))))) +107/1000000)</f>
        <v/>
      </c>
      <c r="AU249" s="57">
        <f>SUMIFS(Data!$AM$2:$AM$1105,Data!$AK$2:$AK$1105,1,Data!$M$2:$M$1105,$AN$249)</f>
        <v/>
      </c>
      <c r="AV249" s="61" t="n"/>
      <c r="AW249" s="61" t="n"/>
      <c r="AX249" s="61" t="n"/>
      <c r="AY249" s="61" t="n"/>
      <c r="AZ249" s="61" t="n"/>
      <c r="BA249" s="61" t="n"/>
      <c r="BB249" s="61">
        <f>Controls!$D$52</f>
        <v/>
      </c>
      <c r="BC249" s="61">
        <f>COUNTIFS(Data!$AK$2:$AK$1105,1,Data!$L$2:$L$1105,$BB$249)</f>
        <v/>
      </c>
      <c r="BD249" s="57">
        <f>SUMIFS(Data!$P$2:$P$1105,Data!$AK$2:$AK$1105,1,Data!$L$2:$L$1105,$BB$249)</f>
        <v/>
      </c>
      <c r="BE249" s="56">
        <f>IF(COUNTIFS(Data!$AK$2:$AK$1105,1,Data!$L$2:$L$1105,$BB$249)&lt;Controls!$B$19,"",IFERROR(SUMIFS(Data!$AN$2:$AN$1105,Data!$AK$2:$AK$1105,1,Data!$L$2:$L$1105,$BB$249)/$BD$249,""))</f>
        <v/>
      </c>
      <c r="BF249" s="56">
        <f>IF(COUNTIFS(Data!$AK$2:$AK$1105,1,Data!$L$2:$L$1105,$BB$249)&lt;Controls!$B$19,"",IFERROR(SUMIFS(Data!$AM$2:$AM$1105,Data!$AK$2:$AK$1105,1,Data!$L$2:$L$1105,$BB$249)/SUMIFS(Data!$P$2:$P$1105,Data!$AK$2:$AK$1105,1,Data!$L$2:$L$1105,$BB$249),""))</f>
        <v/>
      </c>
      <c r="BG249" s="57">
        <f>SUMIFS(Data!$AN$2:$AN$1105,Data!$AK$2:$AK$1105,1,Data!$L$2:$L$1105,$BB$249)</f>
        <v/>
      </c>
      <c r="BH249" s="61" t="n"/>
      <c r="BI249" s="61" t="n"/>
      <c r="BJ249" s="61">
        <f>IF($BC$249&lt;Controls!$B$22,"",ABS($BF$249-SUMIFS(Data!$AM$2:$AM$1105,Data!$AK$2:$AK$1105,1)/SUMIFS(Data!$P$2:$P$1105,Data!$AK$2:$AK$1105,1)))</f>
        <v/>
      </c>
      <c r="BK249" s="61">
        <f>IF($BC$249&lt;Controls!$B$22,"",$BE$249)</f>
        <v/>
      </c>
      <c r="BL249" s="61">
        <f>IF($BC$249&lt;Controls!$B$22,"",$BF$249)</f>
        <v/>
      </c>
      <c r="BM249" s="61">
        <f>IF($BC$249&lt;Controls!$B$22,"",$BG$249)</f>
        <v/>
      </c>
      <c r="BN249" s="61" t="n"/>
      <c r="BO249" s="61" t="n"/>
      <c r="BP249" s="61" t="n"/>
      <c r="BQ249" s="61" t="n"/>
      <c r="BR249" s="61" t="n"/>
      <c r="BS249" s="61" t="n"/>
      <c r="BT249" s="61" t="n"/>
    </row>
    <row r="250" ht="15.75" customHeight="1" s="79">
      <c r="A250" s="61">
        <f>IF(COUNTIFS(Data!$AK$2:$AK$1105,1,Data!$AC$2:$AC$1105,"Weekly")=0,"","Weekly")</f>
        <v/>
      </c>
      <c r="B250" s="66">
        <f>IF($A$250="",NA(),IFERROR(SUMIFS(Data!$P$2:$P$1105,Data!$AK$2:$AK$1105,1,Data!$AC$2:$AC$1105,$A$250),NA()))</f>
        <v/>
      </c>
      <c r="C250" s="66">
        <f>IF($A$250="",NA(),IFERROR(SUMIFS(Data!$S$2:$S$1105,Data!$AK$2:$AK$1105,1,Data!$AC$2:$AC$1105,$A$250),NA()))</f>
        <v/>
      </c>
      <c r="D250" s="66">
        <f>IF(ISNA($B$250),NA(),$C$250-$B$250)</f>
        <v/>
      </c>
      <c r="E250" s="66">
        <f>IF($A$250="",NA(),IFERROR(SUMIFS(Data!$Q$2:$Q$1105,Data!$AK$2:$AK$1105,1,Data!$AC$2:$AC$1105,$A$250),NA()))</f>
        <v/>
      </c>
      <c r="F250" s="66">
        <f>IF($A$250="",NA(),IFERROR(SUMIFS(Data!$AN$2:$AN$1105,Data!$AK$2:$AK$1105,1,Data!$AC$2:$AC$1105,$A$250),NA()))</f>
        <v/>
      </c>
      <c r="G250" s="62">
        <f>IF($A$250="",NA(),IF(COUNTIFS(Data!$AK$2:$AK$1105,1,Data!$AC$2:$AC$1105,$A$250)&lt;Controls!$B$19,NA(),IFERROR(SUMIFS(Data!$AN$2:$AN$1105,Data!$AK$2:$AK$1105,1,Data!$AC$2:$AC$1105,$A$250)/$B$250,NA())))</f>
        <v/>
      </c>
      <c r="H250" s="62">
        <f>IF($A$250="",NA(),IF(COUNTIFS(Data!$AK$2:$AK$1105,1,Data!$AC$2:$AC$1105,$A$250)&lt;Controls!$B$19,NA(),IFERROR(SUMIFS(Data!$S$2:$S$1105,Data!$AK$2:$AK$1105,1,Data!$AC$2:$AC$1105,$A$250,Data!$AH$2:$AH$1105,1)/SUMIFS(Data!$P$2:$P$1105,Data!$AK$2:$AK$1105,1,Data!$AC$2:$AC$1105,$A$250,Data!$AH$2:$AH$1105,1),NA())))</f>
        <v/>
      </c>
      <c r="I250" s="62">
        <f>IF(ISNA($J$250),NA(),IF($J$250&lt;Controls!$B$19,NA(),IFERROR($D$250/$B$250,NA())))</f>
        <v/>
      </c>
      <c r="J250" s="67">
        <f>IF($A$250="",NA(),IFERROR(COUNTIFS(Data!$AK$2:$AK$1105,1,Data!$AC$2:$AC$1105,$A$250),NA()))</f>
        <v/>
      </c>
      <c r="K250" s="62">
        <f>IF(ISNA($B$250),NA(),IFERROR($B$250/Calc!$BT$6,NA()))</f>
        <v/>
      </c>
      <c r="L250" s="66">
        <f>IF(ISNA($J$250),NA(),IF($J$250&lt;Controls!$B$19,NA(),IFERROR($B$250/$J$250,NA())))</f>
        <v/>
      </c>
      <c r="M250" s="67">
        <f>IF($A$250="",NA(),IF(COUNTIFS(Data!$AK$2:$AK$1105,1,Data!$AC$2:$AC$1105,$A$250)&lt;Controls!$B$19,NA(),IFERROR(AVERAGEIFS(Data!$AE$2:$AE$1105,Data!$AK$2:$AK$1105,1,Data!$AC$2:$AC$1105,$A$250),NA())))</f>
        <v/>
      </c>
      <c r="N250" s="67">
        <f>IF($A$250="",NA(),IF(COUNTIFS(Data!$AK$2:$AK$1105,1,Data!$AC$2:$AC$1105,$A$250)&lt;Controls!$B$19,NA(),IFERROR(AVERAGEIFS(Data!$AD$2:$AD$1105,Data!$AK$2:$AK$1105,1,Data!$AC$2:$AC$1105,$A$250),NA())))</f>
        <v/>
      </c>
      <c r="O250" s="67">
        <f>IF($A$250="",NA(),IF(COUNTIFS(Data!$AK$2:$AK$1105,1,Data!$AC$2:$AC$1105,$A$250)&lt;Controls!$B$19,NA(),IFERROR(AVERAGEIFS(Data!$AS$2:$AS$1105,Data!$AK$2:$AK$1105,1,Data!$AC$2:$AC$1105,$A$250),NA())))</f>
        <v/>
      </c>
      <c r="P250" s="67">
        <f>IF($A$250="",NA(),IF(COUNTIFS(Data!$AK$2:$AK$1105,1,Data!$AC$2:$AC$1105,$A$250)&lt;Controls!$B$19,NA(),IFERROR(AVERAGEIFS(Data!$AT$2:$AT$1105,Data!$AK$2:$AK$1105,1,Data!$AC$2:$AC$1105,$A$250),NA())))</f>
        <v/>
      </c>
      <c r="Q250" s="62">
        <f>IF($A$250="",NA(),IF(COUNTIFS(Data!$AK$2:$AK$1105,1,Data!$AC$2:$AC$1105,$A$250)&lt;Controls!$B$19,NA(),IFERROR(COUNTIFS(Data!$AK$2:$AK$1105,1,Data!$AC$2:$AC$1105,$A$250,Data!$N$2:$N$1105,"Renewal")/COUNTIFS(Data!$AK$2:$AK$1105,1,Data!$AC$2:$AC$1105,$A$250),NA())))</f>
        <v/>
      </c>
      <c r="R250" s="62">
        <f>IF($A$250="",NA(),IF(COUNTIFS(Data!$AK$2:$AK$1105,1,Data!$AC$2:$AC$1105,$A$250)&lt;Controls!$B$19,NA(),IFERROR(SUMIFS(Data!$P$2:$P$1105,Data!$AK$2:$AK$1105,1,Data!$AC$2:$AC$1105,$A$250,Data!$N$2:$N$1105,"Renewal")/SUMIFS(Data!$P$2:$P$1105,Data!$AK$2:$AK$1105,1,Data!$AC$2:$AC$1105,$A$250),NA())))</f>
        <v/>
      </c>
      <c r="S250" s="62">
        <f>IF($A$250="",NA(),Calc!$BT$2)</f>
        <v/>
      </c>
      <c r="T250" s="62">
        <f>IF($A$250="",NA(),Calc!$BT$3)</f>
        <v/>
      </c>
      <c r="U250" s="62">
        <f>IF($A$250="",NA(),Calc!$BT$4)</f>
        <v/>
      </c>
      <c r="V250" s="62">
        <f>IF($A$250="",NA(),IF(COUNTIFS(Data!$AK$2:$AK$1105,1,Data!$AC$2:$AC$1105,$A$250)&lt;Controls!$B$19,NA(),IFERROR(COUNTIFS(Data!$AK$2:$AK$1105,1,Data!$AC$2:$AC$1105,$A$250,Data!$AH$2:$AH$1105,1)/COUNTIFS(Data!$AK$2:$AK$1105,1,Data!$AC$2:$AC$1105,$A$250),NA())))</f>
        <v/>
      </c>
      <c r="W250" s="61">
        <f>IF($A$250="","",$A$250&amp;" ("&amp;$J$250&amp;")")</f>
        <v/>
      </c>
      <c r="X250" s="61" t="n"/>
      <c r="Y250" s="61" t="n"/>
      <c r="Z250" s="61" t="n"/>
      <c r="AA250" s="61" t="n"/>
      <c r="AB250" s="61" t="n"/>
      <c r="AC250" s="61" t="n"/>
      <c r="AD250" s="61" t="n"/>
      <c r="AE250" s="61" t="n"/>
      <c r="AF250" s="61" t="n"/>
      <c r="AG250" s="61" t="n"/>
      <c r="AH250" s="61" t="n"/>
      <c r="AI250" s="61" t="n"/>
      <c r="AJ250" s="61" t="n"/>
      <c r="AK250" s="61" t="n"/>
      <c r="AL250" s="61" t="n"/>
      <c r="AM250" s="61" t="n"/>
      <c r="AN250" s="61">
        <f>Controls!$G$147</f>
        <v/>
      </c>
      <c r="AO250" s="61">
        <f>COUNTIFS(Data!$AK$2:$AK$1105,1,Data!$M$2:$M$1105,$AN$250)</f>
        <v/>
      </c>
      <c r="AP250" s="57">
        <f>SUMIFS(Data!$P$2:$P$1105,Data!$AK$2:$AK$1105,1,Data!$M$2:$M$1105,$AN$250)</f>
        <v/>
      </c>
      <c r="AQ250" s="56">
        <f>IFERROR(SUMIFS(Data!$AN$2:$AN$1105,Data!$AK$2:$AK$1105,1,Data!$M$2:$M$1105,$AN$250)/$AP$250,0)</f>
        <v/>
      </c>
      <c r="AR250" s="57">
        <f>SUMIFS(Data!$AN$2:$AN$1105,Data!$AK$2:$AK$1105,1,Data!$M$2:$M$1105,$AN$250)</f>
        <v/>
      </c>
      <c r="AS250" s="61">
        <f>Controls!$H$147</f>
        <v/>
      </c>
      <c r="AT250" s="61">
        <f>IF(OR(AO250=0,AO250&lt;Controls!$B$20),-1000000000000000,IF(AND(Controls!$B$21="Y",$AN$250="No ISO"),-1000000000000000,IF(Controls!$B$17="Selected only",IF(AS250="Y",AP250,-1000000000000000),IF(Controls!$B$17="Top by funded $",AP250,IF(Controls!$B$17="Top by funded units",AO250,IF(Controls!$B$17="Largest principal lost $",AR250,IF(Controls!$B$17="Highest net profit $",AU250,IF(AO250&lt;Controls!$B$19,-1000000000000000,IF(Controls!$B$17="Highest principal lost rate %",AQ250,IF(Controls!$B$17="Lowest principal lost rate %",1-AQ250,AP250))))))))) +108/1000000)</f>
        <v/>
      </c>
      <c r="AU250" s="57">
        <f>SUMIFS(Data!$AM$2:$AM$1105,Data!$AK$2:$AK$1105,1,Data!$M$2:$M$1105,$AN$250)</f>
        <v/>
      </c>
      <c r="AV250" s="61" t="n"/>
      <c r="AW250" s="61" t="n"/>
      <c r="AX250" s="61" t="n"/>
      <c r="AY250" s="61" t="n"/>
      <c r="AZ250" s="61" t="n"/>
      <c r="BA250" s="61" t="n"/>
      <c r="BB250" s="61">
        <f>Controls!$D$53</f>
        <v/>
      </c>
      <c r="BC250" s="61">
        <f>COUNTIFS(Data!$AK$2:$AK$1105,1,Data!$L$2:$L$1105,$BB$250)</f>
        <v/>
      </c>
      <c r="BD250" s="57">
        <f>SUMIFS(Data!$P$2:$P$1105,Data!$AK$2:$AK$1105,1,Data!$L$2:$L$1105,$BB$250)</f>
        <v/>
      </c>
      <c r="BE250" s="56">
        <f>IF(COUNTIFS(Data!$AK$2:$AK$1105,1,Data!$L$2:$L$1105,$BB$250)&lt;Controls!$B$19,"",IFERROR(SUMIFS(Data!$AN$2:$AN$1105,Data!$AK$2:$AK$1105,1,Data!$L$2:$L$1105,$BB$250)/$BD$250,""))</f>
        <v/>
      </c>
      <c r="BF250" s="56">
        <f>IF(COUNTIFS(Data!$AK$2:$AK$1105,1,Data!$L$2:$L$1105,$BB$250)&lt;Controls!$B$19,"",IFERROR(SUMIFS(Data!$AM$2:$AM$1105,Data!$AK$2:$AK$1105,1,Data!$L$2:$L$1105,$BB$250)/SUMIFS(Data!$P$2:$P$1105,Data!$AK$2:$AK$1105,1,Data!$L$2:$L$1105,$BB$250),""))</f>
        <v/>
      </c>
      <c r="BG250" s="57">
        <f>SUMIFS(Data!$AN$2:$AN$1105,Data!$AK$2:$AK$1105,1,Data!$L$2:$L$1105,$BB$250)</f>
        <v/>
      </c>
      <c r="BH250" s="61" t="n"/>
      <c r="BI250" s="61" t="n"/>
      <c r="BJ250" s="61">
        <f>IF($BC$250&lt;Controls!$B$22,"",ABS($BF$250-SUMIFS(Data!$AM$2:$AM$1105,Data!$AK$2:$AK$1105,1)/SUMIFS(Data!$P$2:$P$1105,Data!$AK$2:$AK$1105,1)))</f>
        <v/>
      </c>
      <c r="BK250" s="56">
        <f>IF($BC$250&lt;Controls!$B$22,"",$BE$250)</f>
        <v/>
      </c>
      <c r="BL250" s="56">
        <f>IF($BC$250&lt;Controls!$B$22,"",$BF$250)</f>
        <v/>
      </c>
      <c r="BM250" s="57">
        <f>IF($BC$250&lt;Controls!$B$22,"",$BG$250)</f>
        <v/>
      </c>
      <c r="BN250" s="61" t="n"/>
      <c r="BO250" s="61" t="n"/>
      <c r="BP250" s="61" t="n"/>
      <c r="BQ250" s="61" t="n"/>
      <c r="BR250" s="61" t="n"/>
      <c r="BS250" s="61" t="n"/>
      <c r="BT250" s="61" t="n"/>
    </row>
    <row r="251" ht="15.75" customHeight="1" s="79">
      <c r="A251" s="61" t="n"/>
      <c r="B251" s="61" t="n"/>
      <c r="C251" s="61" t="n"/>
      <c r="D251" s="61" t="n"/>
      <c r="E251" s="61" t="n"/>
      <c r="F251" s="61" t="n"/>
      <c r="G251" s="61" t="n"/>
      <c r="H251" s="61" t="n"/>
      <c r="I251" s="61" t="n"/>
      <c r="J251" s="61" t="n"/>
      <c r="K251" s="61" t="n"/>
      <c r="L251" s="61" t="n"/>
      <c r="M251" s="61" t="n"/>
      <c r="N251" s="61" t="n"/>
      <c r="O251" s="61" t="n"/>
      <c r="P251" s="61" t="n"/>
      <c r="Q251" s="61" t="n"/>
      <c r="R251" s="61" t="n"/>
      <c r="S251" s="61" t="n"/>
      <c r="T251" s="61" t="n"/>
      <c r="U251" s="61" t="n"/>
      <c r="V251" s="61" t="n"/>
      <c r="W251" s="61" t="n"/>
      <c r="X251" s="61" t="n"/>
      <c r="Y251" s="61" t="n"/>
      <c r="Z251" s="61" t="n"/>
      <c r="AA251" s="61" t="n"/>
      <c r="AB251" s="61" t="n"/>
      <c r="AC251" s="61" t="n"/>
      <c r="AD251" s="61" t="n"/>
      <c r="AE251" s="61" t="n"/>
      <c r="AF251" s="61" t="n"/>
      <c r="AG251" s="61" t="n"/>
      <c r="AH251" s="61" t="n"/>
      <c r="AI251" s="61" t="n"/>
      <c r="AJ251" s="61" t="n"/>
      <c r="AK251" s="61" t="n"/>
      <c r="AL251" s="61" t="n"/>
      <c r="AM251" s="61" t="n"/>
      <c r="AN251" s="61">
        <f>Controls!$G$148</f>
        <v/>
      </c>
      <c r="AO251" s="61">
        <f>COUNTIFS(Data!$AK$2:$AK$1105,1,Data!$M$2:$M$1105,$AN$251)</f>
        <v/>
      </c>
      <c r="AP251" s="57">
        <f>SUMIFS(Data!$P$2:$P$1105,Data!$AK$2:$AK$1105,1,Data!$M$2:$M$1105,$AN$251)</f>
        <v/>
      </c>
      <c r="AQ251" s="56">
        <f>IFERROR(SUMIFS(Data!$AN$2:$AN$1105,Data!$AK$2:$AK$1105,1,Data!$M$2:$M$1105,$AN$251)/$AP$251,0)</f>
        <v/>
      </c>
      <c r="AR251" s="57">
        <f>SUMIFS(Data!$AN$2:$AN$1105,Data!$AK$2:$AK$1105,1,Data!$M$2:$M$1105,$AN$251)</f>
        <v/>
      </c>
      <c r="AS251" s="61">
        <f>Controls!$H$148</f>
        <v/>
      </c>
      <c r="AT251" s="61">
        <f>IF(OR(AO251=0,AO251&lt;Controls!$B$20),-1000000000000000,IF(AND(Controls!$B$21="Y",$AN$251="No ISO"),-1000000000000000,IF(Controls!$B$17="Selected only",IF(AS251="Y",AP251,-1000000000000000),IF(Controls!$B$17="Top by funded $",AP251,IF(Controls!$B$17="Top by funded units",AO251,IF(Controls!$B$17="Largest principal lost $",AR251,IF(Controls!$B$17="Highest net profit $",AU251,IF(AO251&lt;Controls!$B$19,-1000000000000000,IF(Controls!$B$17="Highest principal lost rate %",AQ251,IF(Controls!$B$17="Lowest principal lost rate %",1-AQ251,AP251))))))))) +109/1000000)</f>
        <v/>
      </c>
      <c r="AU251" s="57">
        <f>SUMIFS(Data!$AM$2:$AM$1105,Data!$AK$2:$AK$1105,1,Data!$M$2:$M$1105,$AN$251)</f>
        <v/>
      </c>
      <c r="AV251" s="61" t="n"/>
      <c r="AW251" s="61" t="n"/>
      <c r="AX251" s="61" t="n"/>
      <c r="AY251" s="61" t="n"/>
      <c r="AZ251" s="61" t="n"/>
      <c r="BA251" s="61" t="n"/>
      <c r="BB251" s="61">
        <f>Controls!$D$54</f>
        <v/>
      </c>
      <c r="BC251" s="61">
        <f>COUNTIFS(Data!$AK$2:$AK$1105,1,Data!$L$2:$L$1105,$BB$251)</f>
        <v/>
      </c>
      <c r="BD251" s="57">
        <f>SUMIFS(Data!$P$2:$P$1105,Data!$AK$2:$AK$1105,1,Data!$L$2:$L$1105,$BB$251)</f>
        <v/>
      </c>
      <c r="BE251" s="56">
        <f>IF(COUNTIFS(Data!$AK$2:$AK$1105,1,Data!$L$2:$L$1105,$BB$251)&lt;Controls!$B$19,"",IFERROR(SUMIFS(Data!$AN$2:$AN$1105,Data!$AK$2:$AK$1105,1,Data!$L$2:$L$1105,$BB$251)/$BD$251,""))</f>
        <v/>
      </c>
      <c r="BF251" s="56">
        <f>IF(COUNTIFS(Data!$AK$2:$AK$1105,1,Data!$L$2:$L$1105,$BB$251)&lt;Controls!$B$19,"",IFERROR(SUMIFS(Data!$AM$2:$AM$1105,Data!$AK$2:$AK$1105,1,Data!$L$2:$L$1105,$BB$251)/SUMIFS(Data!$P$2:$P$1105,Data!$AK$2:$AK$1105,1,Data!$L$2:$L$1105,$BB$251),""))</f>
        <v/>
      </c>
      <c r="BG251" s="57">
        <f>SUMIFS(Data!$AN$2:$AN$1105,Data!$AK$2:$AK$1105,1,Data!$L$2:$L$1105,$BB$251)</f>
        <v/>
      </c>
      <c r="BH251" s="61" t="n"/>
      <c r="BI251" s="61" t="n"/>
      <c r="BJ251" s="61">
        <f>IF($BC$251&lt;Controls!$B$22,"",ABS($BF$251-SUMIFS(Data!$AM$2:$AM$1105,Data!$AK$2:$AK$1105,1)/SUMIFS(Data!$P$2:$P$1105,Data!$AK$2:$AK$1105,1)))</f>
        <v/>
      </c>
      <c r="BK251" s="56">
        <f>IF($BC$251&lt;Controls!$B$22,"",$BE$251)</f>
        <v/>
      </c>
      <c r="BL251" s="56">
        <f>IF($BC$251&lt;Controls!$B$22,"",$BF$251)</f>
        <v/>
      </c>
      <c r="BM251" s="57">
        <f>IF($BC$251&lt;Controls!$B$22,"",$BG$251)</f>
        <v/>
      </c>
      <c r="BN251" s="61" t="n"/>
      <c r="BO251" s="61" t="n"/>
      <c r="BP251" s="61" t="n"/>
      <c r="BQ251" s="61" t="n"/>
      <c r="BR251" s="61" t="n"/>
      <c r="BS251" s="61" t="n"/>
      <c r="BT251" s="61" t="n"/>
    </row>
    <row r="252" ht="15.75" customHeight="1" s="79">
      <c r="A252" s="61" t="n"/>
      <c r="B252" s="61" t="n"/>
      <c r="C252" s="61" t="n"/>
      <c r="D252" s="61" t="n"/>
      <c r="E252" s="61" t="n"/>
      <c r="F252" s="61" t="n"/>
      <c r="G252" s="61" t="n"/>
      <c r="H252" s="61" t="n"/>
      <c r="I252" s="61" t="n"/>
      <c r="J252" s="61" t="n"/>
      <c r="K252" s="61" t="n"/>
      <c r="L252" s="61" t="n"/>
      <c r="M252" s="61" t="n"/>
      <c r="N252" s="61" t="n"/>
      <c r="O252" s="61" t="n"/>
      <c r="P252" s="61" t="n"/>
      <c r="Q252" s="61" t="n"/>
      <c r="R252" s="61" t="n"/>
      <c r="S252" s="61" t="n"/>
      <c r="T252" s="61" t="n"/>
      <c r="U252" s="61" t="n"/>
      <c r="V252" s="61" t="n"/>
      <c r="W252" s="61" t="n"/>
      <c r="X252" s="61" t="n"/>
      <c r="Y252" s="61" t="n"/>
      <c r="Z252" s="61" t="n"/>
      <c r="AA252" s="61" t="n"/>
      <c r="AB252" s="61" t="n"/>
      <c r="AC252" s="61" t="n"/>
      <c r="AD252" s="61" t="n"/>
      <c r="AE252" s="61" t="n"/>
      <c r="AF252" s="61" t="n"/>
      <c r="AG252" s="61" t="n"/>
      <c r="AH252" s="61" t="n"/>
      <c r="AI252" s="61" t="n"/>
      <c r="AJ252" s="61" t="n"/>
      <c r="AK252" s="61" t="n"/>
      <c r="AL252" s="61" t="n"/>
      <c r="AM252" s="61" t="n"/>
      <c r="AN252" s="61">
        <f>Controls!$G$149</f>
        <v/>
      </c>
      <c r="AO252" s="61">
        <f>COUNTIFS(Data!$AK$2:$AK$1105,1,Data!$M$2:$M$1105,$AN$252)</f>
        <v/>
      </c>
      <c r="AP252" s="57">
        <f>SUMIFS(Data!$P$2:$P$1105,Data!$AK$2:$AK$1105,1,Data!$M$2:$M$1105,$AN$252)</f>
        <v/>
      </c>
      <c r="AQ252" s="56">
        <f>IFERROR(SUMIFS(Data!$AN$2:$AN$1105,Data!$AK$2:$AK$1105,1,Data!$M$2:$M$1105,$AN$252)/$AP$252,0)</f>
        <v/>
      </c>
      <c r="AR252" s="57">
        <f>SUMIFS(Data!$AN$2:$AN$1105,Data!$AK$2:$AK$1105,1,Data!$M$2:$M$1105,$AN$252)</f>
        <v/>
      </c>
      <c r="AS252" s="61">
        <f>Controls!$H$149</f>
        <v/>
      </c>
      <c r="AT252" s="61">
        <f>IF(OR(AO252=0,AO252&lt;Controls!$B$20),-1000000000000000,IF(AND(Controls!$B$21="Y",$AN$252="No ISO"),-1000000000000000,IF(Controls!$B$17="Selected only",IF(AS252="Y",AP252,-1000000000000000),IF(Controls!$B$17="Top by funded $",AP252,IF(Controls!$B$17="Top by funded units",AO252,IF(Controls!$B$17="Largest principal lost $",AR252,IF(Controls!$B$17="Highest net profit $",AU252,IF(AO252&lt;Controls!$B$19,-1000000000000000,IF(Controls!$B$17="Highest principal lost rate %",AQ252,IF(Controls!$B$17="Lowest principal lost rate %",1-AQ252,AP252))))))))) +110/1000000)</f>
        <v/>
      </c>
      <c r="AU252" s="57">
        <f>SUMIFS(Data!$AM$2:$AM$1105,Data!$AK$2:$AK$1105,1,Data!$M$2:$M$1105,$AN$252)</f>
        <v/>
      </c>
      <c r="AV252" s="61" t="n"/>
      <c r="AW252" s="61" t="n"/>
      <c r="AX252" s="61" t="n"/>
      <c r="AY252" s="61" t="n"/>
      <c r="AZ252" s="61" t="n"/>
      <c r="BA252" s="61" t="n"/>
      <c r="BB252" s="61">
        <f>Controls!$D$55</f>
        <v/>
      </c>
      <c r="BC252" s="61">
        <f>COUNTIFS(Data!$AK$2:$AK$1105,1,Data!$L$2:$L$1105,$BB$252)</f>
        <v/>
      </c>
      <c r="BD252" s="57">
        <f>SUMIFS(Data!$P$2:$P$1105,Data!$AK$2:$AK$1105,1,Data!$L$2:$L$1105,$BB$252)</f>
        <v/>
      </c>
      <c r="BE252" s="56">
        <f>IF(COUNTIFS(Data!$AK$2:$AK$1105,1,Data!$L$2:$L$1105,$BB$252)&lt;Controls!$B$19,"",IFERROR(SUMIFS(Data!$AN$2:$AN$1105,Data!$AK$2:$AK$1105,1,Data!$L$2:$L$1105,$BB$252)/$BD$252,""))</f>
        <v/>
      </c>
      <c r="BF252" s="56">
        <f>IF(COUNTIFS(Data!$AK$2:$AK$1105,1,Data!$L$2:$L$1105,$BB$252)&lt;Controls!$B$19,"",IFERROR(SUMIFS(Data!$AM$2:$AM$1105,Data!$AK$2:$AK$1105,1,Data!$L$2:$L$1105,$BB$252)/SUMIFS(Data!$P$2:$P$1105,Data!$AK$2:$AK$1105,1,Data!$L$2:$L$1105,$BB$252),""))</f>
        <v/>
      </c>
      <c r="BG252" s="57">
        <f>SUMIFS(Data!$AN$2:$AN$1105,Data!$AK$2:$AK$1105,1,Data!$L$2:$L$1105,$BB$252)</f>
        <v/>
      </c>
      <c r="BH252" s="61" t="n"/>
      <c r="BI252" s="61" t="n"/>
      <c r="BJ252" s="61">
        <f>IF($BC$252&lt;Controls!$B$22,"",ABS($BF$252-SUMIFS(Data!$AM$2:$AM$1105,Data!$AK$2:$AK$1105,1)/SUMIFS(Data!$P$2:$P$1105,Data!$AK$2:$AK$1105,1)))</f>
        <v/>
      </c>
      <c r="BK252" s="61">
        <f>IF($BC$252&lt;Controls!$B$22,"",$BE$252)</f>
        <v/>
      </c>
      <c r="BL252" s="61">
        <f>IF($BC$252&lt;Controls!$B$22,"",$BF$252)</f>
        <v/>
      </c>
      <c r="BM252" s="61">
        <f>IF($BC$252&lt;Controls!$B$22,"",$BG$252)</f>
        <v/>
      </c>
      <c r="BN252" s="61" t="n"/>
      <c r="BO252" s="61" t="n"/>
      <c r="BP252" s="61" t="n"/>
      <c r="BQ252" s="61" t="n"/>
      <c r="BR252" s="61" t="n"/>
      <c r="BS252" s="61" t="n"/>
      <c r="BT252" s="61" t="n"/>
    </row>
    <row r="253" ht="15.75" customHeight="1" s="79">
      <c r="A253" s="61" t="n"/>
      <c r="B253" s="61" t="n"/>
      <c r="C253" s="61" t="n"/>
      <c r="D253" s="61" t="n"/>
      <c r="E253" s="61" t="n"/>
      <c r="F253" s="61" t="n"/>
      <c r="G253" s="61" t="n"/>
      <c r="H253" s="61" t="n"/>
      <c r="I253" s="61" t="n"/>
      <c r="J253" s="61" t="n"/>
      <c r="K253" s="61" t="n"/>
      <c r="L253" s="61" t="n"/>
      <c r="M253" s="61" t="n"/>
      <c r="N253" s="61" t="n"/>
      <c r="O253" s="61" t="n"/>
      <c r="P253" s="61" t="n"/>
      <c r="Q253" s="61" t="n"/>
      <c r="R253" s="61" t="n"/>
      <c r="S253" s="61" t="n"/>
      <c r="T253" s="61" t="n"/>
      <c r="U253" s="61" t="n"/>
      <c r="V253" s="61" t="n"/>
      <c r="W253" s="61" t="n"/>
      <c r="X253" s="61" t="n"/>
      <c r="Y253" s="61" t="n"/>
      <c r="Z253" s="61" t="n"/>
      <c r="AA253" s="61" t="n"/>
      <c r="AB253" s="61" t="n"/>
      <c r="AC253" s="61" t="n"/>
      <c r="AD253" s="61" t="n"/>
      <c r="AE253" s="61" t="n"/>
      <c r="AF253" s="61" t="n"/>
      <c r="AG253" s="61" t="n"/>
      <c r="AH253" s="61" t="n"/>
      <c r="AI253" s="61" t="n"/>
      <c r="AJ253" s="61" t="n"/>
      <c r="AK253" s="61" t="n"/>
      <c r="AL253" s="61" t="n"/>
      <c r="AM253" s="61" t="n"/>
      <c r="AN253" s="61">
        <f>Controls!$G$150</f>
        <v/>
      </c>
      <c r="AO253" s="61">
        <f>COUNTIFS(Data!$AK$2:$AK$1105,1,Data!$M$2:$M$1105,$AN$253)</f>
        <v/>
      </c>
      <c r="AP253" s="57">
        <f>SUMIFS(Data!$P$2:$P$1105,Data!$AK$2:$AK$1105,1,Data!$M$2:$M$1105,$AN$253)</f>
        <v/>
      </c>
      <c r="AQ253" s="56">
        <f>IFERROR(SUMIFS(Data!$AN$2:$AN$1105,Data!$AK$2:$AK$1105,1,Data!$M$2:$M$1105,$AN$253)/$AP$253,0)</f>
        <v/>
      </c>
      <c r="AR253" s="57">
        <f>SUMIFS(Data!$AN$2:$AN$1105,Data!$AK$2:$AK$1105,1,Data!$M$2:$M$1105,$AN$253)</f>
        <v/>
      </c>
      <c r="AS253" s="61">
        <f>Controls!$H$150</f>
        <v/>
      </c>
      <c r="AT253" s="61">
        <f>IF(OR(AO253=0,AO253&lt;Controls!$B$20),-1000000000000000,IF(AND(Controls!$B$21="Y",$AN$253="No ISO"),-1000000000000000,IF(Controls!$B$17="Selected only",IF(AS253="Y",AP253,-1000000000000000),IF(Controls!$B$17="Top by funded $",AP253,IF(Controls!$B$17="Top by funded units",AO253,IF(Controls!$B$17="Largest principal lost $",AR253,IF(Controls!$B$17="Highest net profit $",AU253,IF(AO253&lt;Controls!$B$19,-1000000000000000,IF(Controls!$B$17="Highest principal lost rate %",AQ253,IF(Controls!$B$17="Lowest principal lost rate %",1-AQ253,AP253))))))))) +111/1000000)</f>
        <v/>
      </c>
      <c r="AU253" s="57">
        <f>SUMIFS(Data!$AM$2:$AM$1105,Data!$AK$2:$AK$1105,1,Data!$M$2:$M$1105,$AN$253)</f>
        <v/>
      </c>
      <c r="AV253" s="61" t="n"/>
      <c r="AW253" s="61" t="n"/>
      <c r="AX253" s="61" t="n"/>
      <c r="AY253" s="61" t="n"/>
      <c r="AZ253" s="61" t="n"/>
      <c r="BA253" s="61" t="n"/>
      <c r="BB253" s="61">
        <f>Controls!$D$56</f>
        <v/>
      </c>
      <c r="BC253" s="61">
        <f>COUNTIFS(Data!$AK$2:$AK$1105,1,Data!$L$2:$L$1105,$BB$253)</f>
        <v/>
      </c>
      <c r="BD253" s="57">
        <f>SUMIFS(Data!$P$2:$P$1105,Data!$AK$2:$AK$1105,1,Data!$L$2:$L$1105,$BB$253)</f>
        <v/>
      </c>
      <c r="BE253" s="56">
        <f>IF(COUNTIFS(Data!$AK$2:$AK$1105,1,Data!$L$2:$L$1105,$BB$253)&lt;Controls!$B$19,"",IFERROR(SUMIFS(Data!$AN$2:$AN$1105,Data!$AK$2:$AK$1105,1,Data!$L$2:$L$1105,$BB$253)/$BD$253,""))</f>
        <v/>
      </c>
      <c r="BF253" s="56">
        <f>IF(COUNTIFS(Data!$AK$2:$AK$1105,1,Data!$L$2:$L$1105,$BB$253)&lt;Controls!$B$19,"",IFERROR(SUMIFS(Data!$AM$2:$AM$1105,Data!$AK$2:$AK$1105,1,Data!$L$2:$L$1105,$BB$253)/SUMIFS(Data!$P$2:$P$1105,Data!$AK$2:$AK$1105,1,Data!$L$2:$L$1105,$BB$253),""))</f>
        <v/>
      </c>
      <c r="BG253" s="57">
        <f>SUMIFS(Data!$AN$2:$AN$1105,Data!$AK$2:$AK$1105,1,Data!$L$2:$L$1105,$BB$253)</f>
        <v/>
      </c>
      <c r="BH253" s="61" t="n"/>
      <c r="BI253" s="61" t="n"/>
      <c r="BJ253" s="61">
        <f>IF($BC$253&lt;Controls!$B$22,"",ABS($BF$253-SUMIFS(Data!$AM$2:$AM$1105,Data!$AK$2:$AK$1105,1)/SUMIFS(Data!$P$2:$P$1105,Data!$AK$2:$AK$1105,1)))</f>
        <v/>
      </c>
      <c r="BK253" s="61">
        <f>IF($BC$253&lt;Controls!$B$22,"",$BE$253)</f>
        <v/>
      </c>
      <c r="BL253" s="61">
        <f>IF($BC$253&lt;Controls!$B$22,"",$BF$253)</f>
        <v/>
      </c>
      <c r="BM253" s="61">
        <f>IF($BC$253&lt;Controls!$B$22,"",$BG$253)</f>
        <v/>
      </c>
      <c r="BN253" s="61" t="n"/>
      <c r="BO253" s="61" t="n"/>
      <c r="BP253" s="61" t="n"/>
      <c r="BQ253" s="61" t="n"/>
      <c r="BR253" s="61" t="n"/>
      <c r="BS253" s="61" t="n"/>
      <c r="BT253" s="61" t="n"/>
    </row>
    <row r="254" ht="15.75" customHeight="1" s="79">
      <c r="A254" s="61" t="n"/>
      <c r="B254" s="61" t="n"/>
      <c r="C254" s="61" t="n"/>
      <c r="D254" s="61" t="n"/>
      <c r="E254" s="61" t="n"/>
      <c r="F254" s="61" t="n"/>
      <c r="G254" s="61" t="n"/>
      <c r="H254" s="61" t="n"/>
      <c r="I254" s="61" t="n"/>
      <c r="J254" s="61" t="n"/>
      <c r="K254" s="61" t="n"/>
      <c r="L254" s="61" t="n"/>
      <c r="M254" s="61" t="n"/>
      <c r="N254" s="61" t="n"/>
      <c r="O254" s="61" t="n"/>
      <c r="P254" s="61" t="n"/>
      <c r="Q254" s="61" t="n"/>
      <c r="R254" s="61" t="n"/>
      <c r="S254" s="61" t="n"/>
      <c r="T254" s="61" t="n"/>
      <c r="U254" s="61" t="n"/>
      <c r="V254" s="61" t="n"/>
      <c r="W254" s="61" t="n"/>
      <c r="X254" s="61" t="n"/>
      <c r="Y254" s="61" t="n"/>
      <c r="Z254" s="61" t="n"/>
      <c r="AA254" s="61" t="n"/>
      <c r="AB254" s="61" t="n"/>
      <c r="AC254" s="61" t="n"/>
      <c r="AD254" s="61" t="n"/>
      <c r="AE254" s="61" t="n"/>
      <c r="AF254" s="61" t="n"/>
      <c r="AG254" s="61" t="n"/>
      <c r="AH254" s="61" t="n"/>
      <c r="AI254" s="61" t="n"/>
      <c r="AJ254" s="61" t="n"/>
      <c r="AK254" s="61" t="n"/>
      <c r="AL254" s="61" t="n"/>
      <c r="AM254" s="61" t="n"/>
      <c r="AN254" s="61">
        <f>Controls!$G$151</f>
        <v/>
      </c>
      <c r="AO254" s="61">
        <f>COUNTIFS(Data!$AK$2:$AK$1105,1,Data!$M$2:$M$1105,$AN$254)</f>
        <v/>
      </c>
      <c r="AP254" s="57">
        <f>SUMIFS(Data!$P$2:$P$1105,Data!$AK$2:$AK$1105,1,Data!$M$2:$M$1105,$AN$254)</f>
        <v/>
      </c>
      <c r="AQ254" s="56">
        <f>IFERROR(SUMIFS(Data!$AN$2:$AN$1105,Data!$AK$2:$AK$1105,1,Data!$M$2:$M$1105,$AN$254)/$AP$254,0)</f>
        <v/>
      </c>
      <c r="AR254" s="57">
        <f>SUMIFS(Data!$AN$2:$AN$1105,Data!$AK$2:$AK$1105,1,Data!$M$2:$M$1105,$AN$254)</f>
        <v/>
      </c>
      <c r="AS254" s="61">
        <f>Controls!$H$151</f>
        <v/>
      </c>
      <c r="AT254" s="61">
        <f>IF(OR(AO254=0,AO254&lt;Controls!$B$20),-1000000000000000,IF(AND(Controls!$B$21="Y",$AN$254="No ISO"),-1000000000000000,IF(Controls!$B$17="Selected only",IF(AS254="Y",AP254,-1000000000000000),IF(Controls!$B$17="Top by funded $",AP254,IF(Controls!$B$17="Top by funded units",AO254,IF(Controls!$B$17="Largest principal lost $",AR254,IF(Controls!$B$17="Highest net profit $",AU254,IF(AO254&lt;Controls!$B$19,-1000000000000000,IF(Controls!$B$17="Highest principal lost rate %",AQ254,IF(Controls!$B$17="Lowest principal lost rate %",1-AQ254,AP254))))))))) +112/1000000)</f>
        <v/>
      </c>
      <c r="AU254" s="57">
        <f>SUMIFS(Data!$AM$2:$AM$1105,Data!$AK$2:$AK$1105,1,Data!$M$2:$M$1105,$AN$254)</f>
        <v/>
      </c>
      <c r="AV254" s="61" t="n"/>
      <c r="AW254" s="61" t="n"/>
      <c r="AX254" s="61" t="n"/>
      <c r="AY254" s="61" t="n"/>
      <c r="AZ254" s="61" t="n"/>
      <c r="BA254" s="61" t="n"/>
      <c r="BB254" s="61">
        <f>Controls!$D$57</f>
        <v/>
      </c>
      <c r="BC254" s="61">
        <f>COUNTIFS(Data!$AK$2:$AK$1105,1,Data!$L$2:$L$1105,$BB$254)</f>
        <v/>
      </c>
      <c r="BD254" s="57">
        <f>SUMIFS(Data!$P$2:$P$1105,Data!$AK$2:$AK$1105,1,Data!$L$2:$L$1105,$BB$254)</f>
        <v/>
      </c>
      <c r="BE254" s="56">
        <f>IF(COUNTIFS(Data!$AK$2:$AK$1105,1,Data!$L$2:$L$1105,$BB$254)&lt;Controls!$B$19,"",IFERROR(SUMIFS(Data!$AN$2:$AN$1105,Data!$AK$2:$AK$1105,1,Data!$L$2:$L$1105,$BB$254)/$BD$254,""))</f>
        <v/>
      </c>
      <c r="BF254" s="56">
        <f>IF(COUNTIFS(Data!$AK$2:$AK$1105,1,Data!$L$2:$L$1105,$BB$254)&lt;Controls!$B$19,"",IFERROR(SUMIFS(Data!$AM$2:$AM$1105,Data!$AK$2:$AK$1105,1,Data!$L$2:$L$1105,$BB$254)/SUMIFS(Data!$P$2:$P$1105,Data!$AK$2:$AK$1105,1,Data!$L$2:$L$1105,$BB$254),""))</f>
        <v/>
      </c>
      <c r="BG254" s="57">
        <f>SUMIFS(Data!$AN$2:$AN$1105,Data!$AK$2:$AK$1105,1,Data!$L$2:$L$1105,$BB$254)</f>
        <v/>
      </c>
      <c r="BH254" s="61" t="n"/>
      <c r="BI254" s="61" t="n"/>
      <c r="BJ254" s="61">
        <f>IF($BC$254&lt;Controls!$B$22,"",ABS($BF$254-SUMIFS(Data!$AM$2:$AM$1105,Data!$AK$2:$AK$1105,1)/SUMIFS(Data!$P$2:$P$1105,Data!$AK$2:$AK$1105,1)))</f>
        <v/>
      </c>
      <c r="BK254" s="56">
        <f>IF($BC$254&lt;Controls!$B$22,"",$BE$254)</f>
        <v/>
      </c>
      <c r="BL254" s="56">
        <f>IF($BC$254&lt;Controls!$B$22,"",$BF$254)</f>
        <v/>
      </c>
      <c r="BM254" s="57">
        <f>IF($BC$254&lt;Controls!$B$22,"",$BG$254)</f>
        <v/>
      </c>
      <c r="BN254" s="61" t="n"/>
      <c r="BO254" s="61" t="n"/>
      <c r="BP254" s="61" t="n"/>
      <c r="BQ254" s="61" t="n"/>
      <c r="BR254" s="61" t="n"/>
      <c r="BS254" s="61" t="n"/>
      <c r="BT254" s="61" t="n"/>
    </row>
    <row r="255" ht="15.75" customHeight="1" s="79">
      <c r="A255" s="61" t="n"/>
      <c r="B255" s="61" t="n"/>
      <c r="C255" s="61" t="n"/>
      <c r="D255" s="61" t="n"/>
      <c r="E255" s="61" t="n"/>
      <c r="F255" s="61" t="n"/>
      <c r="G255" s="61" t="n"/>
      <c r="H255" s="61" t="n"/>
      <c r="I255" s="61" t="n"/>
      <c r="J255" s="61" t="n"/>
      <c r="K255" s="61" t="n"/>
      <c r="L255" s="61" t="n"/>
      <c r="M255" s="61" t="n"/>
      <c r="N255" s="61" t="n"/>
      <c r="O255" s="61" t="n"/>
      <c r="P255" s="61" t="n"/>
      <c r="Q255" s="61" t="n"/>
      <c r="R255" s="61" t="n"/>
      <c r="S255" s="61" t="n"/>
      <c r="T255" s="61" t="n"/>
      <c r="U255" s="61" t="n"/>
      <c r="V255" s="61" t="n"/>
      <c r="W255" s="61" t="n"/>
      <c r="X255" s="61" t="n"/>
      <c r="Y255" s="61" t="n"/>
      <c r="Z255" s="61" t="n"/>
      <c r="AA255" s="61" t="n"/>
      <c r="AB255" s="61" t="n"/>
      <c r="AC255" s="61" t="n"/>
      <c r="AD255" s="61" t="n"/>
      <c r="AE255" s="61" t="n"/>
      <c r="AF255" s="61" t="n"/>
      <c r="AG255" s="61" t="n"/>
      <c r="AH255" s="61" t="n"/>
      <c r="AI255" s="61" t="n"/>
      <c r="AJ255" s="61" t="n"/>
      <c r="AK255" s="61" t="n"/>
      <c r="AL255" s="61" t="n"/>
      <c r="AM255" s="61" t="n"/>
      <c r="AN255" s="61">
        <f>Controls!$G$152</f>
        <v/>
      </c>
      <c r="AO255" s="61">
        <f>COUNTIFS(Data!$AK$2:$AK$1105,1,Data!$M$2:$M$1105,$AN$255)</f>
        <v/>
      </c>
      <c r="AP255" s="57">
        <f>SUMIFS(Data!$P$2:$P$1105,Data!$AK$2:$AK$1105,1,Data!$M$2:$M$1105,$AN$255)</f>
        <v/>
      </c>
      <c r="AQ255" s="56">
        <f>IFERROR(SUMIFS(Data!$AN$2:$AN$1105,Data!$AK$2:$AK$1105,1,Data!$M$2:$M$1105,$AN$255)/$AP$255,0)</f>
        <v/>
      </c>
      <c r="AR255" s="57">
        <f>SUMIFS(Data!$AN$2:$AN$1105,Data!$AK$2:$AK$1105,1,Data!$M$2:$M$1105,$AN$255)</f>
        <v/>
      </c>
      <c r="AS255" s="61">
        <f>Controls!$H$152</f>
        <v/>
      </c>
      <c r="AT255" s="61">
        <f>IF(OR(AO255=0,AO255&lt;Controls!$B$20),-1000000000000000,IF(AND(Controls!$B$21="Y",$AN$255="No ISO"),-1000000000000000,IF(Controls!$B$17="Selected only",IF(AS255="Y",AP255,-1000000000000000),IF(Controls!$B$17="Top by funded $",AP255,IF(Controls!$B$17="Top by funded units",AO255,IF(Controls!$B$17="Largest principal lost $",AR255,IF(Controls!$B$17="Highest net profit $",AU255,IF(AO255&lt;Controls!$B$19,-1000000000000000,IF(Controls!$B$17="Highest principal lost rate %",AQ255,IF(Controls!$B$17="Lowest principal lost rate %",1-AQ255,AP255))))))))) +113/1000000)</f>
        <v/>
      </c>
      <c r="AU255" s="57">
        <f>SUMIFS(Data!$AM$2:$AM$1105,Data!$AK$2:$AK$1105,1,Data!$M$2:$M$1105,$AN$255)</f>
        <v/>
      </c>
      <c r="AV255" s="61" t="n"/>
      <c r="AW255" s="61" t="n"/>
      <c r="AX255" s="61" t="n"/>
      <c r="AY255" s="61" t="n"/>
      <c r="AZ255" s="61" t="n"/>
      <c r="BA255" s="61" t="n"/>
      <c r="BB255" s="61">
        <f>Controls!$D$58</f>
        <v/>
      </c>
      <c r="BC255" s="61">
        <f>COUNTIFS(Data!$AK$2:$AK$1105,1,Data!$L$2:$L$1105,$BB$255)</f>
        <v/>
      </c>
      <c r="BD255" s="57">
        <f>SUMIFS(Data!$P$2:$P$1105,Data!$AK$2:$AK$1105,1,Data!$L$2:$L$1105,$BB$255)</f>
        <v/>
      </c>
      <c r="BE255" s="56">
        <f>IF(COUNTIFS(Data!$AK$2:$AK$1105,1,Data!$L$2:$L$1105,$BB$255)&lt;Controls!$B$19,"",IFERROR(SUMIFS(Data!$AN$2:$AN$1105,Data!$AK$2:$AK$1105,1,Data!$L$2:$L$1105,$BB$255)/$BD$255,""))</f>
        <v/>
      </c>
      <c r="BF255" s="56">
        <f>IF(COUNTIFS(Data!$AK$2:$AK$1105,1,Data!$L$2:$L$1105,$BB$255)&lt;Controls!$B$19,"",IFERROR(SUMIFS(Data!$AM$2:$AM$1105,Data!$AK$2:$AK$1105,1,Data!$L$2:$L$1105,$BB$255)/SUMIFS(Data!$P$2:$P$1105,Data!$AK$2:$AK$1105,1,Data!$L$2:$L$1105,$BB$255),""))</f>
        <v/>
      </c>
      <c r="BG255" s="57">
        <f>SUMIFS(Data!$AN$2:$AN$1105,Data!$AK$2:$AK$1105,1,Data!$L$2:$L$1105,$BB$255)</f>
        <v/>
      </c>
      <c r="BH255" s="61" t="n"/>
      <c r="BI255" s="61" t="n"/>
      <c r="BJ255" s="61">
        <f>IF($BC$255&lt;Controls!$B$22,"",ABS($BF$255-SUMIFS(Data!$AM$2:$AM$1105,Data!$AK$2:$AK$1105,1)/SUMIFS(Data!$P$2:$P$1105,Data!$AK$2:$AK$1105,1)))</f>
        <v/>
      </c>
      <c r="BK255" s="56">
        <f>IF($BC$255&lt;Controls!$B$22,"",$BE$255)</f>
        <v/>
      </c>
      <c r="BL255" s="56">
        <f>IF($BC$255&lt;Controls!$B$22,"",$BF$255)</f>
        <v/>
      </c>
      <c r="BM255" s="57">
        <f>IF($BC$255&lt;Controls!$B$22,"",$BG$255)</f>
        <v/>
      </c>
      <c r="BN255" s="61" t="n"/>
      <c r="BO255" s="61" t="n"/>
      <c r="BP255" s="61" t="n"/>
      <c r="BQ255" s="61" t="n"/>
      <c r="BR255" s="61" t="n"/>
      <c r="BS255" s="61" t="n"/>
      <c r="BT255" s="61" t="n"/>
    </row>
    <row r="256" ht="15.75" customHeight="1" s="79">
      <c r="A256" s="61" t="n"/>
      <c r="B256" s="61" t="n"/>
      <c r="C256" s="61" t="n"/>
      <c r="D256" s="61" t="n"/>
      <c r="E256" s="61" t="n"/>
      <c r="F256" s="61" t="n"/>
      <c r="G256" s="61" t="n"/>
      <c r="H256" s="61" t="n"/>
      <c r="I256" s="61" t="n"/>
      <c r="J256" s="61" t="n"/>
      <c r="K256" s="61" t="n"/>
      <c r="L256" s="61" t="n"/>
      <c r="M256" s="61" t="n"/>
      <c r="N256" s="61" t="n"/>
      <c r="O256" s="61" t="n"/>
      <c r="P256" s="61" t="n"/>
      <c r="Q256" s="61" t="n"/>
      <c r="R256" s="61" t="n"/>
      <c r="S256" s="61" t="n"/>
      <c r="T256" s="61" t="n"/>
      <c r="U256" s="61" t="n"/>
      <c r="V256" s="61" t="n"/>
      <c r="W256" s="61" t="n"/>
      <c r="X256" s="61" t="n"/>
      <c r="Y256" s="61" t="n"/>
      <c r="Z256" s="61" t="n"/>
      <c r="AA256" s="61" t="n"/>
      <c r="AB256" s="61" t="n"/>
      <c r="AC256" s="61" t="n"/>
      <c r="AD256" s="61" t="n"/>
      <c r="AE256" s="61" t="n"/>
      <c r="AF256" s="61" t="n"/>
      <c r="AG256" s="61" t="n"/>
      <c r="AH256" s="61" t="n"/>
      <c r="AI256" s="61" t="n"/>
      <c r="AJ256" s="61" t="n"/>
      <c r="AK256" s="61" t="n"/>
      <c r="AL256" s="61" t="n"/>
      <c r="AM256" s="61" t="n"/>
      <c r="AN256" s="61">
        <f>Controls!$G$153</f>
        <v/>
      </c>
      <c r="AO256" s="61">
        <f>COUNTIFS(Data!$AK$2:$AK$1105,1,Data!$M$2:$M$1105,$AN$256)</f>
        <v/>
      </c>
      <c r="AP256" s="57">
        <f>SUMIFS(Data!$P$2:$P$1105,Data!$AK$2:$AK$1105,1,Data!$M$2:$M$1105,$AN$256)</f>
        <v/>
      </c>
      <c r="AQ256" s="56">
        <f>IFERROR(SUMIFS(Data!$AN$2:$AN$1105,Data!$AK$2:$AK$1105,1,Data!$M$2:$M$1105,$AN$256)/$AP$256,0)</f>
        <v/>
      </c>
      <c r="AR256" s="57">
        <f>SUMIFS(Data!$AN$2:$AN$1105,Data!$AK$2:$AK$1105,1,Data!$M$2:$M$1105,$AN$256)</f>
        <v/>
      </c>
      <c r="AS256" s="61">
        <f>Controls!$H$153</f>
        <v/>
      </c>
      <c r="AT256" s="61">
        <f>IF(OR(AO256=0,AO256&lt;Controls!$B$20),-1000000000000000,IF(AND(Controls!$B$21="Y",$AN$256="No ISO"),-1000000000000000,IF(Controls!$B$17="Selected only",IF(AS256="Y",AP256,-1000000000000000),IF(Controls!$B$17="Top by funded $",AP256,IF(Controls!$B$17="Top by funded units",AO256,IF(Controls!$B$17="Largest principal lost $",AR256,IF(Controls!$B$17="Highest net profit $",AU256,IF(AO256&lt;Controls!$B$19,-1000000000000000,IF(Controls!$B$17="Highest principal lost rate %",AQ256,IF(Controls!$B$17="Lowest principal lost rate %",1-AQ256,AP256))))))))) +114/1000000)</f>
        <v/>
      </c>
      <c r="AU256" s="57">
        <f>SUMIFS(Data!$AM$2:$AM$1105,Data!$AK$2:$AK$1105,1,Data!$M$2:$M$1105,$AN$256)</f>
        <v/>
      </c>
      <c r="AV256" s="61" t="n"/>
      <c r="AW256" s="61" t="n"/>
      <c r="AX256" s="61" t="n"/>
      <c r="AY256" s="61" t="n"/>
      <c r="AZ256" s="61" t="n"/>
      <c r="BA256" s="61" t="n"/>
      <c r="BB256" s="61">
        <f>Controls!$D$59</f>
        <v/>
      </c>
      <c r="BC256" s="61">
        <f>COUNTIFS(Data!$AK$2:$AK$1105,1,Data!$L$2:$L$1105,$BB$256)</f>
        <v/>
      </c>
      <c r="BD256" s="57">
        <f>SUMIFS(Data!$P$2:$P$1105,Data!$AK$2:$AK$1105,1,Data!$L$2:$L$1105,$BB$256)</f>
        <v/>
      </c>
      <c r="BE256" s="56">
        <f>IF(COUNTIFS(Data!$AK$2:$AK$1105,1,Data!$L$2:$L$1105,$BB$256)&lt;Controls!$B$19,"",IFERROR(SUMIFS(Data!$AN$2:$AN$1105,Data!$AK$2:$AK$1105,1,Data!$L$2:$L$1105,$BB$256)/$BD$256,""))</f>
        <v/>
      </c>
      <c r="BF256" s="56">
        <f>IF(COUNTIFS(Data!$AK$2:$AK$1105,1,Data!$L$2:$L$1105,$BB$256)&lt;Controls!$B$19,"",IFERROR(SUMIFS(Data!$AM$2:$AM$1105,Data!$AK$2:$AK$1105,1,Data!$L$2:$L$1105,$BB$256)/SUMIFS(Data!$P$2:$P$1105,Data!$AK$2:$AK$1105,1,Data!$L$2:$L$1105,$BB$256),""))</f>
        <v/>
      </c>
      <c r="BG256" s="57">
        <f>SUMIFS(Data!$AN$2:$AN$1105,Data!$AK$2:$AK$1105,1,Data!$L$2:$L$1105,$BB$256)</f>
        <v/>
      </c>
      <c r="BH256" s="61" t="n"/>
      <c r="BI256" s="61" t="n"/>
      <c r="BJ256" s="61">
        <f>IF($BC$256&lt;Controls!$B$22,"",ABS($BF$256-SUMIFS(Data!$AM$2:$AM$1105,Data!$AK$2:$AK$1105,1)/SUMIFS(Data!$P$2:$P$1105,Data!$AK$2:$AK$1105,1)))</f>
        <v/>
      </c>
      <c r="BK256" s="56">
        <f>IF($BC$256&lt;Controls!$B$22,"",$BE$256)</f>
        <v/>
      </c>
      <c r="BL256" s="56">
        <f>IF($BC$256&lt;Controls!$B$22,"",$BF$256)</f>
        <v/>
      </c>
      <c r="BM256" s="57">
        <f>IF($BC$256&lt;Controls!$B$22,"",$BG$256)</f>
        <v/>
      </c>
      <c r="BN256" s="61" t="n"/>
      <c r="BO256" s="61" t="n"/>
      <c r="BP256" s="61" t="n"/>
      <c r="BQ256" s="61" t="n"/>
      <c r="BR256" s="61" t="n"/>
      <c r="BS256" s="61" t="n"/>
      <c r="BT256" s="61" t="n"/>
    </row>
    <row r="257" ht="15.75" customHeight="1" s="79">
      <c r="A257" s="61" t="n"/>
      <c r="B257" s="61" t="n"/>
      <c r="C257" s="61" t="n"/>
      <c r="D257" s="61" t="n"/>
      <c r="E257" s="61" t="n"/>
      <c r="F257" s="61" t="n"/>
      <c r="G257" s="61" t="n"/>
      <c r="H257" s="61" t="n"/>
      <c r="I257" s="61" t="n"/>
      <c r="J257" s="61" t="n"/>
      <c r="K257" s="61" t="n"/>
      <c r="L257" s="61" t="n"/>
      <c r="M257" s="61" t="n"/>
      <c r="N257" s="61" t="n"/>
      <c r="O257" s="61" t="n"/>
      <c r="P257" s="61" t="n"/>
      <c r="Q257" s="61" t="n"/>
      <c r="R257" s="61" t="n"/>
      <c r="S257" s="61" t="n"/>
      <c r="T257" s="61" t="n"/>
      <c r="U257" s="61" t="n"/>
      <c r="V257" s="61" t="n"/>
      <c r="W257" s="61" t="n"/>
      <c r="X257" s="61" t="n"/>
      <c r="Y257" s="61" t="n"/>
      <c r="Z257" s="61" t="n"/>
      <c r="AA257" s="61" t="n"/>
      <c r="AB257" s="61" t="n"/>
      <c r="AC257" s="61" t="n"/>
      <c r="AD257" s="61" t="n"/>
      <c r="AE257" s="61" t="n"/>
      <c r="AF257" s="61" t="n"/>
      <c r="AG257" s="61" t="n"/>
      <c r="AH257" s="61" t="n"/>
      <c r="AI257" s="61" t="n"/>
      <c r="AJ257" s="61" t="n"/>
      <c r="AK257" s="61" t="n"/>
      <c r="AL257" s="61" t="n"/>
      <c r="AM257" s="61" t="n"/>
      <c r="AN257" s="61">
        <f>Controls!$G$154</f>
        <v/>
      </c>
      <c r="AO257" s="61">
        <f>COUNTIFS(Data!$AK$2:$AK$1105,1,Data!$M$2:$M$1105,$AN$257)</f>
        <v/>
      </c>
      <c r="AP257" s="57">
        <f>SUMIFS(Data!$P$2:$P$1105,Data!$AK$2:$AK$1105,1,Data!$M$2:$M$1105,$AN$257)</f>
        <v/>
      </c>
      <c r="AQ257" s="56">
        <f>IFERROR(SUMIFS(Data!$AN$2:$AN$1105,Data!$AK$2:$AK$1105,1,Data!$M$2:$M$1105,$AN$257)/$AP$257,0)</f>
        <v/>
      </c>
      <c r="AR257" s="57">
        <f>SUMIFS(Data!$AN$2:$AN$1105,Data!$AK$2:$AK$1105,1,Data!$M$2:$M$1105,$AN$257)</f>
        <v/>
      </c>
      <c r="AS257" s="61">
        <f>Controls!$H$154</f>
        <v/>
      </c>
      <c r="AT257" s="61">
        <f>IF(OR(AO257=0,AO257&lt;Controls!$B$20),-1000000000000000,IF(AND(Controls!$B$21="Y",$AN$257="No ISO"),-1000000000000000,IF(Controls!$B$17="Selected only",IF(AS257="Y",AP257,-1000000000000000),IF(Controls!$B$17="Top by funded $",AP257,IF(Controls!$B$17="Top by funded units",AO257,IF(Controls!$B$17="Largest principal lost $",AR257,IF(Controls!$B$17="Highest net profit $",AU257,IF(AO257&lt;Controls!$B$19,-1000000000000000,IF(Controls!$B$17="Highest principal lost rate %",AQ257,IF(Controls!$B$17="Lowest principal lost rate %",1-AQ257,AP257))))))))) +115/1000000)</f>
        <v/>
      </c>
      <c r="AU257" s="57">
        <f>SUMIFS(Data!$AM$2:$AM$1105,Data!$AK$2:$AK$1105,1,Data!$M$2:$M$1105,$AN$257)</f>
        <v/>
      </c>
      <c r="AV257" s="61" t="n"/>
      <c r="AW257" s="61" t="n"/>
      <c r="AX257" s="61" t="n"/>
      <c r="AY257" s="61" t="n"/>
      <c r="AZ257" s="61" t="n"/>
      <c r="BA257" s="61" t="n"/>
      <c r="BB257" s="61">
        <f>Controls!$D$60</f>
        <v/>
      </c>
      <c r="BC257" s="61">
        <f>COUNTIFS(Data!$AK$2:$AK$1105,1,Data!$L$2:$L$1105,$BB$257)</f>
        <v/>
      </c>
      <c r="BD257" s="57">
        <f>SUMIFS(Data!$P$2:$P$1105,Data!$AK$2:$AK$1105,1,Data!$L$2:$L$1105,$BB$257)</f>
        <v/>
      </c>
      <c r="BE257" s="56">
        <f>IF(COUNTIFS(Data!$AK$2:$AK$1105,1,Data!$L$2:$L$1105,$BB$257)&lt;Controls!$B$19,"",IFERROR(SUMIFS(Data!$AN$2:$AN$1105,Data!$AK$2:$AK$1105,1,Data!$L$2:$L$1105,$BB$257)/$BD$257,""))</f>
        <v/>
      </c>
      <c r="BF257" s="56">
        <f>IF(COUNTIFS(Data!$AK$2:$AK$1105,1,Data!$L$2:$L$1105,$BB$257)&lt;Controls!$B$19,"",IFERROR(SUMIFS(Data!$AM$2:$AM$1105,Data!$AK$2:$AK$1105,1,Data!$L$2:$L$1105,$BB$257)/SUMIFS(Data!$P$2:$P$1105,Data!$AK$2:$AK$1105,1,Data!$L$2:$L$1105,$BB$257),""))</f>
        <v/>
      </c>
      <c r="BG257" s="57">
        <f>SUMIFS(Data!$AN$2:$AN$1105,Data!$AK$2:$AK$1105,1,Data!$L$2:$L$1105,$BB$257)</f>
        <v/>
      </c>
      <c r="BH257" s="61" t="n"/>
      <c r="BI257" s="61" t="n"/>
      <c r="BJ257" s="61">
        <f>IF($BC$257&lt;Controls!$B$22,"",ABS($BF$257-SUMIFS(Data!$AM$2:$AM$1105,Data!$AK$2:$AK$1105,1)/SUMIFS(Data!$P$2:$P$1105,Data!$AK$2:$AK$1105,1)))</f>
        <v/>
      </c>
      <c r="BK257" s="61">
        <f>IF($BC$257&lt;Controls!$B$22,"",$BE$257)</f>
        <v/>
      </c>
      <c r="BL257" s="61">
        <f>IF($BC$257&lt;Controls!$B$22,"",$BF$257)</f>
        <v/>
      </c>
      <c r="BM257" s="61">
        <f>IF($BC$257&lt;Controls!$B$22,"",$BG$257)</f>
        <v/>
      </c>
      <c r="BN257" s="61" t="n"/>
      <c r="BO257" s="61" t="n"/>
      <c r="BP257" s="61" t="n"/>
      <c r="BQ257" s="61" t="n"/>
      <c r="BR257" s="61" t="n"/>
      <c r="BS257" s="61" t="n"/>
      <c r="BT257" s="61" t="n"/>
    </row>
    <row r="258" ht="15.75" customHeight="1" s="79">
      <c r="A258" s="61" t="n"/>
      <c r="B258" s="61" t="n"/>
      <c r="C258" s="61" t="n"/>
      <c r="D258" s="61" t="n"/>
      <c r="E258" s="61" t="n"/>
      <c r="F258" s="61" t="n"/>
      <c r="G258" s="61" t="n"/>
      <c r="H258" s="61" t="n"/>
      <c r="I258" s="61" t="n"/>
      <c r="J258" s="61" t="n"/>
      <c r="K258" s="61" t="n"/>
      <c r="L258" s="61" t="n"/>
      <c r="M258" s="61" t="n"/>
      <c r="N258" s="61" t="n"/>
      <c r="O258" s="61" t="n"/>
      <c r="P258" s="61" t="n"/>
      <c r="Q258" s="61" t="n"/>
      <c r="R258" s="61" t="n"/>
      <c r="S258" s="61" t="n"/>
      <c r="T258" s="61" t="n"/>
      <c r="U258" s="61" t="n"/>
      <c r="V258" s="61" t="n"/>
      <c r="W258" s="61" t="n"/>
      <c r="X258" s="61" t="n"/>
      <c r="Y258" s="61" t="n"/>
      <c r="Z258" s="61" t="n"/>
      <c r="AA258" s="61" t="n"/>
      <c r="AB258" s="61" t="n"/>
      <c r="AC258" s="61" t="n"/>
      <c r="AD258" s="61" t="n"/>
      <c r="AE258" s="61" t="n"/>
      <c r="AF258" s="61" t="n"/>
      <c r="AG258" s="61" t="n"/>
      <c r="AH258" s="61" t="n"/>
      <c r="AI258" s="61" t="n"/>
      <c r="AJ258" s="61" t="n"/>
      <c r="AK258" s="61" t="n"/>
      <c r="AL258" s="61" t="n"/>
      <c r="AM258" s="61" t="n"/>
      <c r="AN258" s="61">
        <f>Controls!$G$155</f>
        <v/>
      </c>
      <c r="AO258" s="61">
        <f>COUNTIFS(Data!$AK$2:$AK$1105,1,Data!$M$2:$M$1105,$AN$258)</f>
        <v/>
      </c>
      <c r="AP258" s="57">
        <f>SUMIFS(Data!$P$2:$P$1105,Data!$AK$2:$AK$1105,1,Data!$M$2:$M$1105,$AN$258)</f>
        <v/>
      </c>
      <c r="AQ258" s="56">
        <f>IFERROR(SUMIFS(Data!$AN$2:$AN$1105,Data!$AK$2:$AK$1105,1,Data!$M$2:$M$1105,$AN$258)/$AP$258,0)</f>
        <v/>
      </c>
      <c r="AR258" s="57">
        <f>SUMIFS(Data!$AN$2:$AN$1105,Data!$AK$2:$AK$1105,1,Data!$M$2:$M$1105,$AN$258)</f>
        <v/>
      </c>
      <c r="AS258" s="61">
        <f>Controls!$H$155</f>
        <v/>
      </c>
      <c r="AT258" s="61">
        <f>IF(OR(AO258=0,AO258&lt;Controls!$B$20),-1000000000000000,IF(AND(Controls!$B$21="Y",$AN$258="No ISO"),-1000000000000000,IF(Controls!$B$17="Selected only",IF(AS258="Y",AP258,-1000000000000000),IF(Controls!$B$17="Top by funded $",AP258,IF(Controls!$B$17="Top by funded units",AO258,IF(Controls!$B$17="Largest principal lost $",AR258,IF(Controls!$B$17="Highest net profit $",AU258,IF(AO258&lt;Controls!$B$19,-1000000000000000,IF(Controls!$B$17="Highest principal lost rate %",AQ258,IF(Controls!$B$17="Lowest principal lost rate %",1-AQ258,AP258))))))))) +116/1000000)</f>
        <v/>
      </c>
      <c r="AU258" s="57">
        <f>SUMIFS(Data!$AM$2:$AM$1105,Data!$AK$2:$AK$1105,1,Data!$M$2:$M$1105,$AN$258)</f>
        <v/>
      </c>
      <c r="AV258" s="61" t="n"/>
      <c r="AW258" s="61" t="n"/>
      <c r="AX258" s="61" t="n"/>
      <c r="AY258" s="61" t="n"/>
      <c r="AZ258" s="61" t="n"/>
      <c r="BA258" s="61" t="n"/>
      <c r="BB258" s="61">
        <f>Controls!$D$61</f>
        <v/>
      </c>
      <c r="BC258" s="61">
        <f>COUNTIFS(Data!$AK$2:$AK$1105,1,Data!$L$2:$L$1105,$BB$258)</f>
        <v/>
      </c>
      <c r="BD258" s="57">
        <f>SUMIFS(Data!$P$2:$P$1105,Data!$AK$2:$AK$1105,1,Data!$L$2:$L$1105,$BB$258)</f>
        <v/>
      </c>
      <c r="BE258" s="56">
        <f>IF(COUNTIFS(Data!$AK$2:$AK$1105,1,Data!$L$2:$L$1105,$BB$258)&lt;Controls!$B$19,"",IFERROR(SUMIFS(Data!$AN$2:$AN$1105,Data!$AK$2:$AK$1105,1,Data!$L$2:$L$1105,$BB$258)/$BD$258,""))</f>
        <v/>
      </c>
      <c r="BF258" s="56">
        <f>IF(COUNTIFS(Data!$AK$2:$AK$1105,1,Data!$L$2:$L$1105,$BB$258)&lt;Controls!$B$19,"",IFERROR(SUMIFS(Data!$AM$2:$AM$1105,Data!$AK$2:$AK$1105,1,Data!$L$2:$L$1105,$BB$258)/SUMIFS(Data!$P$2:$P$1105,Data!$AK$2:$AK$1105,1,Data!$L$2:$L$1105,$BB$258),""))</f>
        <v/>
      </c>
      <c r="BG258" s="57">
        <f>SUMIFS(Data!$AN$2:$AN$1105,Data!$AK$2:$AK$1105,1,Data!$L$2:$L$1105,$BB$258)</f>
        <v/>
      </c>
      <c r="BH258" s="61" t="n"/>
      <c r="BI258" s="61" t="n"/>
      <c r="BJ258" s="61">
        <f>IF($BC$258&lt;Controls!$B$22,"",ABS($BF$258-SUMIFS(Data!$AM$2:$AM$1105,Data!$AK$2:$AK$1105,1)/SUMIFS(Data!$P$2:$P$1105,Data!$AK$2:$AK$1105,1)))</f>
        <v/>
      </c>
      <c r="BK258" s="56">
        <f>IF($BC$258&lt;Controls!$B$22,"",$BE$258)</f>
        <v/>
      </c>
      <c r="BL258" s="56">
        <f>IF($BC$258&lt;Controls!$B$22,"",$BF$258)</f>
        <v/>
      </c>
      <c r="BM258" s="57">
        <f>IF($BC$258&lt;Controls!$B$22,"",$BG$258)</f>
        <v/>
      </c>
      <c r="BN258" s="61" t="n"/>
      <c r="BO258" s="61" t="n"/>
      <c r="BP258" s="61" t="n"/>
      <c r="BQ258" s="61" t="n"/>
      <c r="BR258" s="61" t="n"/>
      <c r="BS258" s="61" t="n"/>
      <c r="BT258" s="61" t="n"/>
    </row>
    <row r="259" ht="15.75" customHeight="1" s="79">
      <c r="A259" s="61" t="n"/>
      <c r="B259" s="61" t="n"/>
      <c r="C259" s="61" t="n"/>
      <c r="D259" s="61" t="n"/>
      <c r="E259" s="61" t="n"/>
      <c r="F259" s="61" t="n"/>
      <c r="G259" s="61" t="n"/>
      <c r="H259" s="61" t="n"/>
      <c r="I259" s="61" t="n"/>
      <c r="J259" s="61" t="n"/>
      <c r="K259" s="61" t="n"/>
      <c r="L259" s="61" t="n"/>
      <c r="M259" s="61" t="n"/>
      <c r="N259" s="61" t="n"/>
      <c r="O259" s="61" t="n"/>
      <c r="P259" s="61" t="n"/>
      <c r="Q259" s="61" t="n"/>
      <c r="R259" s="61" t="n"/>
      <c r="S259" s="61" t="n"/>
      <c r="T259" s="61" t="n"/>
      <c r="U259" s="61" t="n"/>
      <c r="V259" s="61" t="n"/>
      <c r="W259" s="61" t="n"/>
      <c r="X259" s="61" t="n"/>
      <c r="Y259" s="61" t="n"/>
      <c r="Z259" s="61" t="n"/>
      <c r="AA259" s="61" t="n"/>
      <c r="AB259" s="61" t="n"/>
      <c r="AC259" s="61" t="n"/>
      <c r="AD259" s="61" t="n"/>
      <c r="AE259" s="61" t="n"/>
      <c r="AF259" s="61" t="n"/>
      <c r="AG259" s="61" t="n"/>
      <c r="AH259" s="61" t="n"/>
      <c r="AI259" s="61" t="n"/>
      <c r="AJ259" s="61" t="n"/>
      <c r="AK259" s="61" t="n"/>
      <c r="AL259" s="61" t="n"/>
      <c r="AM259" s="61" t="n"/>
      <c r="AN259" s="61">
        <f>Controls!$G$156</f>
        <v/>
      </c>
      <c r="AO259" s="61">
        <f>COUNTIFS(Data!$AK$2:$AK$1105,1,Data!$M$2:$M$1105,$AN$259)</f>
        <v/>
      </c>
      <c r="AP259" s="57">
        <f>SUMIFS(Data!$P$2:$P$1105,Data!$AK$2:$AK$1105,1,Data!$M$2:$M$1105,$AN$259)</f>
        <v/>
      </c>
      <c r="AQ259" s="56">
        <f>IFERROR(SUMIFS(Data!$AN$2:$AN$1105,Data!$AK$2:$AK$1105,1,Data!$M$2:$M$1105,$AN$259)/$AP$259,0)</f>
        <v/>
      </c>
      <c r="AR259" s="57">
        <f>SUMIFS(Data!$AN$2:$AN$1105,Data!$AK$2:$AK$1105,1,Data!$M$2:$M$1105,$AN$259)</f>
        <v/>
      </c>
      <c r="AS259" s="61">
        <f>Controls!$H$156</f>
        <v/>
      </c>
      <c r="AT259" s="61">
        <f>IF(OR(AO259=0,AO259&lt;Controls!$B$20),-1000000000000000,IF(AND(Controls!$B$21="Y",$AN$259="No ISO"),-1000000000000000,IF(Controls!$B$17="Selected only",IF(AS259="Y",AP259,-1000000000000000),IF(Controls!$B$17="Top by funded $",AP259,IF(Controls!$B$17="Top by funded units",AO259,IF(Controls!$B$17="Largest principal lost $",AR259,IF(Controls!$B$17="Highest net profit $",AU259,IF(AO259&lt;Controls!$B$19,-1000000000000000,IF(Controls!$B$17="Highest principal lost rate %",AQ259,IF(Controls!$B$17="Lowest principal lost rate %",1-AQ259,AP259))))))))) +117/1000000)</f>
        <v/>
      </c>
      <c r="AU259" s="57">
        <f>SUMIFS(Data!$AM$2:$AM$1105,Data!$AK$2:$AK$1105,1,Data!$M$2:$M$1105,$AN$259)</f>
        <v/>
      </c>
      <c r="AV259" s="61" t="n"/>
      <c r="AW259" s="61" t="n"/>
      <c r="AX259" s="61" t="n"/>
      <c r="AY259" s="61" t="n"/>
      <c r="AZ259" s="61" t="n"/>
      <c r="BA259" s="61" t="n"/>
      <c r="BB259" s="61">
        <f>Controls!$D$62</f>
        <v/>
      </c>
      <c r="BC259" s="61">
        <f>COUNTIFS(Data!$AK$2:$AK$1105,1,Data!$L$2:$L$1105,$BB$259)</f>
        <v/>
      </c>
      <c r="BD259" s="57">
        <f>SUMIFS(Data!$P$2:$P$1105,Data!$AK$2:$AK$1105,1,Data!$L$2:$L$1105,$BB$259)</f>
        <v/>
      </c>
      <c r="BE259" s="56">
        <f>IF(COUNTIFS(Data!$AK$2:$AK$1105,1,Data!$L$2:$L$1105,$BB$259)&lt;Controls!$B$19,"",IFERROR(SUMIFS(Data!$AN$2:$AN$1105,Data!$AK$2:$AK$1105,1,Data!$L$2:$L$1105,$BB$259)/$BD$259,""))</f>
        <v/>
      </c>
      <c r="BF259" s="56">
        <f>IF(COUNTIFS(Data!$AK$2:$AK$1105,1,Data!$L$2:$L$1105,$BB$259)&lt;Controls!$B$19,"",IFERROR(SUMIFS(Data!$AM$2:$AM$1105,Data!$AK$2:$AK$1105,1,Data!$L$2:$L$1105,$BB$259)/SUMIFS(Data!$P$2:$P$1105,Data!$AK$2:$AK$1105,1,Data!$L$2:$L$1105,$BB$259),""))</f>
        <v/>
      </c>
      <c r="BG259" s="57">
        <f>SUMIFS(Data!$AN$2:$AN$1105,Data!$AK$2:$AK$1105,1,Data!$L$2:$L$1105,$BB$259)</f>
        <v/>
      </c>
      <c r="BH259" s="61" t="n"/>
      <c r="BI259" s="61" t="n"/>
      <c r="BJ259" s="61">
        <f>IF($BC$259&lt;Controls!$B$22,"",ABS($BF$259-SUMIFS(Data!$AM$2:$AM$1105,Data!$AK$2:$AK$1105,1)/SUMIFS(Data!$P$2:$P$1105,Data!$AK$2:$AK$1105,1)))</f>
        <v/>
      </c>
      <c r="BK259" s="61">
        <f>IF($BC$259&lt;Controls!$B$22,"",$BE$259)</f>
        <v/>
      </c>
      <c r="BL259" s="61">
        <f>IF($BC$259&lt;Controls!$B$22,"",$BF$259)</f>
        <v/>
      </c>
      <c r="BM259" s="61">
        <f>IF($BC$259&lt;Controls!$B$22,"",$BG$259)</f>
        <v/>
      </c>
      <c r="BN259" s="61" t="n"/>
      <c r="BO259" s="61" t="n"/>
      <c r="BP259" s="61" t="n"/>
      <c r="BQ259" s="61" t="n"/>
      <c r="BR259" s="61" t="n"/>
      <c r="BS259" s="61" t="n"/>
      <c r="BT259" s="61" t="n"/>
    </row>
    <row r="260" ht="15.75" customHeight="1" s="79">
      <c r="A260" s="61" t="n"/>
      <c r="B260" s="61" t="n"/>
      <c r="C260" s="61" t="n"/>
      <c r="D260" s="61" t="n"/>
      <c r="E260" s="61" t="n"/>
      <c r="F260" s="61" t="n"/>
      <c r="G260" s="61" t="n"/>
      <c r="H260" s="61" t="n"/>
      <c r="I260" s="61" t="n"/>
      <c r="J260" s="61" t="n"/>
      <c r="K260" s="61" t="n"/>
      <c r="L260" s="61" t="n"/>
      <c r="M260" s="61" t="n"/>
      <c r="N260" s="61" t="n"/>
      <c r="O260" s="61" t="n"/>
      <c r="P260" s="61" t="n"/>
      <c r="Q260" s="61" t="n"/>
      <c r="R260" s="61" t="n"/>
      <c r="S260" s="61" t="n"/>
      <c r="T260" s="61" t="n"/>
      <c r="U260" s="61" t="n"/>
      <c r="V260" s="61" t="n"/>
      <c r="W260" s="61" t="n"/>
      <c r="X260" s="61" t="n"/>
      <c r="Y260" s="61" t="n"/>
      <c r="Z260" s="61" t="n"/>
      <c r="AA260" s="61" t="n"/>
      <c r="AB260" s="61" t="n"/>
      <c r="AC260" s="61" t="n"/>
      <c r="AD260" s="61" t="n"/>
      <c r="AE260" s="61" t="n"/>
      <c r="AF260" s="61" t="n"/>
      <c r="AG260" s="61" t="n"/>
      <c r="AH260" s="61" t="n"/>
      <c r="AI260" s="61" t="n"/>
      <c r="AJ260" s="61" t="n"/>
      <c r="AK260" s="61" t="n"/>
      <c r="AL260" s="61" t="n"/>
      <c r="AM260" s="61" t="n"/>
      <c r="AN260" s="61">
        <f>Controls!$G$157</f>
        <v/>
      </c>
      <c r="AO260" s="61">
        <f>COUNTIFS(Data!$AK$2:$AK$1105,1,Data!$M$2:$M$1105,$AN$260)</f>
        <v/>
      </c>
      <c r="AP260" s="57">
        <f>SUMIFS(Data!$P$2:$P$1105,Data!$AK$2:$AK$1105,1,Data!$M$2:$M$1105,$AN$260)</f>
        <v/>
      </c>
      <c r="AQ260" s="56">
        <f>IFERROR(SUMIFS(Data!$AN$2:$AN$1105,Data!$AK$2:$AK$1105,1,Data!$M$2:$M$1105,$AN$260)/$AP$260,0)</f>
        <v/>
      </c>
      <c r="AR260" s="57">
        <f>SUMIFS(Data!$AN$2:$AN$1105,Data!$AK$2:$AK$1105,1,Data!$M$2:$M$1105,$AN$260)</f>
        <v/>
      </c>
      <c r="AS260" s="61">
        <f>Controls!$H$157</f>
        <v/>
      </c>
      <c r="AT260" s="61">
        <f>IF(OR(AO260=0,AO260&lt;Controls!$B$20),-1000000000000000,IF(AND(Controls!$B$21="Y",$AN$260="No ISO"),-1000000000000000,IF(Controls!$B$17="Selected only",IF(AS260="Y",AP260,-1000000000000000),IF(Controls!$B$17="Top by funded $",AP260,IF(Controls!$B$17="Top by funded units",AO260,IF(Controls!$B$17="Largest principal lost $",AR260,IF(Controls!$B$17="Highest net profit $",AU260,IF(AO260&lt;Controls!$B$19,-1000000000000000,IF(Controls!$B$17="Highest principal lost rate %",AQ260,IF(Controls!$B$17="Lowest principal lost rate %",1-AQ260,AP260))))))))) +118/1000000)</f>
        <v/>
      </c>
      <c r="AU260" s="57">
        <f>SUMIFS(Data!$AM$2:$AM$1105,Data!$AK$2:$AK$1105,1,Data!$M$2:$M$1105,$AN$260)</f>
        <v/>
      </c>
      <c r="AV260" s="61" t="n"/>
      <c r="AW260" s="61" t="n"/>
      <c r="AX260" s="61" t="n"/>
      <c r="AY260" s="61" t="n"/>
      <c r="AZ260" s="61" t="n"/>
      <c r="BA260" s="61" t="n"/>
      <c r="BB260" s="61">
        <f>Controls!$D$63</f>
        <v/>
      </c>
      <c r="BC260" s="61">
        <f>COUNTIFS(Data!$AK$2:$AK$1105,1,Data!$L$2:$L$1105,$BB$260)</f>
        <v/>
      </c>
      <c r="BD260" s="57">
        <f>SUMIFS(Data!$P$2:$P$1105,Data!$AK$2:$AK$1105,1,Data!$L$2:$L$1105,$BB$260)</f>
        <v/>
      </c>
      <c r="BE260" s="56">
        <f>IF(COUNTIFS(Data!$AK$2:$AK$1105,1,Data!$L$2:$L$1105,$BB$260)&lt;Controls!$B$19,"",IFERROR(SUMIFS(Data!$AN$2:$AN$1105,Data!$AK$2:$AK$1105,1,Data!$L$2:$L$1105,$BB$260)/$BD$260,""))</f>
        <v/>
      </c>
      <c r="BF260" s="56">
        <f>IF(COUNTIFS(Data!$AK$2:$AK$1105,1,Data!$L$2:$L$1105,$BB$260)&lt;Controls!$B$19,"",IFERROR(SUMIFS(Data!$AM$2:$AM$1105,Data!$AK$2:$AK$1105,1,Data!$L$2:$L$1105,$BB$260)/SUMIFS(Data!$P$2:$P$1105,Data!$AK$2:$AK$1105,1,Data!$L$2:$L$1105,$BB$260),""))</f>
        <v/>
      </c>
      <c r="BG260" s="57">
        <f>SUMIFS(Data!$AN$2:$AN$1105,Data!$AK$2:$AK$1105,1,Data!$L$2:$L$1105,$BB$260)</f>
        <v/>
      </c>
      <c r="BH260" s="61" t="n"/>
      <c r="BI260" s="61" t="n"/>
      <c r="BJ260" s="61">
        <f>IF($BC$260&lt;Controls!$B$22,"",ABS($BF$260-SUMIFS(Data!$AM$2:$AM$1105,Data!$AK$2:$AK$1105,1)/SUMIFS(Data!$P$2:$P$1105,Data!$AK$2:$AK$1105,1)))</f>
        <v/>
      </c>
      <c r="BK260" s="56">
        <f>IF($BC$260&lt;Controls!$B$22,"",$BE$260)</f>
        <v/>
      </c>
      <c r="BL260" s="56">
        <f>IF($BC$260&lt;Controls!$B$22,"",$BF$260)</f>
        <v/>
      </c>
      <c r="BM260" s="57">
        <f>IF($BC$260&lt;Controls!$B$22,"",$BG$260)</f>
        <v/>
      </c>
      <c r="BN260" s="61" t="n"/>
      <c r="BO260" s="61" t="n"/>
      <c r="BP260" s="61" t="n"/>
      <c r="BQ260" s="61" t="n"/>
      <c r="BR260" s="61" t="n"/>
      <c r="BS260" s="61" t="n"/>
      <c r="BT260" s="61" t="n"/>
    </row>
    <row r="261" ht="15.75" customHeight="1" s="79">
      <c r="A261" s="61" t="n"/>
      <c r="B261" s="61" t="n"/>
      <c r="C261" s="61" t="n"/>
      <c r="D261" s="61" t="n"/>
      <c r="E261" s="61" t="n"/>
      <c r="F261" s="61" t="n"/>
      <c r="G261" s="61" t="n"/>
      <c r="H261" s="61" t="n"/>
      <c r="I261" s="61" t="n"/>
      <c r="J261" s="61" t="n"/>
      <c r="K261" s="61" t="n"/>
      <c r="L261" s="61" t="n"/>
      <c r="M261" s="61" t="n"/>
      <c r="N261" s="61" t="n"/>
      <c r="O261" s="61" t="n"/>
      <c r="P261" s="61" t="n"/>
      <c r="Q261" s="61" t="n"/>
      <c r="R261" s="61" t="n"/>
      <c r="S261" s="61" t="n"/>
      <c r="T261" s="61" t="n"/>
      <c r="U261" s="61" t="n"/>
      <c r="V261" s="61" t="n"/>
      <c r="W261" s="61" t="n"/>
      <c r="X261" s="61" t="n"/>
      <c r="Y261" s="61" t="n"/>
      <c r="Z261" s="61" t="n"/>
      <c r="AA261" s="61" t="n"/>
      <c r="AB261" s="61" t="n"/>
      <c r="AC261" s="61" t="n"/>
      <c r="AD261" s="61" t="n"/>
      <c r="AE261" s="61" t="n"/>
      <c r="AF261" s="61" t="n"/>
      <c r="AG261" s="61" t="n"/>
      <c r="AH261" s="61" t="n"/>
      <c r="AI261" s="61" t="n"/>
      <c r="AJ261" s="61" t="n"/>
      <c r="AK261" s="61" t="n"/>
      <c r="AL261" s="61" t="n"/>
      <c r="AM261" s="61" t="n"/>
      <c r="AN261" s="61">
        <f>Controls!$G$158</f>
        <v/>
      </c>
      <c r="AO261" s="61">
        <f>COUNTIFS(Data!$AK$2:$AK$1105,1,Data!$M$2:$M$1105,$AN$261)</f>
        <v/>
      </c>
      <c r="AP261" s="57">
        <f>SUMIFS(Data!$P$2:$P$1105,Data!$AK$2:$AK$1105,1,Data!$M$2:$M$1105,$AN$261)</f>
        <v/>
      </c>
      <c r="AQ261" s="56">
        <f>IFERROR(SUMIFS(Data!$AN$2:$AN$1105,Data!$AK$2:$AK$1105,1,Data!$M$2:$M$1105,$AN$261)/$AP$261,0)</f>
        <v/>
      </c>
      <c r="AR261" s="57">
        <f>SUMIFS(Data!$AN$2:$AN$1105,Data!$AK$2:$AK$1105,1,Data!$M$2:$M$1105,$AN$261)</f>
        <v/>
      </c>
      <c r="AS261" s="61">
        <f>Controls!$H$158</f>
        <v/>
      </c>
      <c r="AT261" s="61">
        <f>IF(OR(AO261=0,AO261&lt;Controls!$B$20),-1000000000000000,IF(AND(Controls!$B$21="Y",$AN$261="No ISO"),-1000000000000000,IF(Controls!$B$17="Selected only",IF(AS261="Y",AP261,-1000000000000000),IF(Controls!$B$17="Top by funded $",AP261,IF(Controls!$B$17="Top by funded units",AO261,IF(Controls!$B$17="Largest principal lost $",AR261,IF(Controls!$B$17="Highest net profit $",AU261,IF(AO261&lt;Controls!$B$19,-1000000000000000,IF(Controls!$B$17="Highest principal lost rate %",AQ261,IF(Controls!$B$17="Lowest principal lost rate %",1-AQ261,AP261))))))))) +119/1000000)</f>
        <v/>
      </c>
      <c r="AU261" s="57">
        <f>SUMIFS(Data!$AM$2:$AM$1105,Data!$AK$2:$AK$1105,1,Data!$M$2:$M$1105,$AN$261)</f>
        <v/>
      </c>
      <c r="AV261" s="61" t="n"/>
      <c r="AW261" s="61" t="n"/>
      <c r="AX261" s="61" t="n"/>
      <c r="AY261" s="61" t="n"/>
      <c r="AZ261" s="61" t="n"/>
      <c r="BA261" s="61" t="n"/>
      <c r="BB261" s="61">
        <f>Controls!$D$64</f>
        <v/>
      </c>
      <c r="BC261" s="61">
        <f>COUNTIFS(Data!$AK$2:$AK$1105,1,Data!$L$2:$L$1105,$BB$261)</f>
        <v/>
      </c>
      <c r="BD261" s="57">
        <f>SUMIFS(Data!$P$2:$P$1105,Data!$AK$2:$AK$1105,1,Data!$L$2:$L$1105,$BB$261)</f>
        <v/>
      </c>
      <c r="BE261" s="56">
        <f>IF(COUNTIFS(Data!$AK$2:$AK$1105,1,Data!$L$2:$L$1105,$BB$261)&lt;Controls!$B$19,"",IFERROR(SUMIFS(Data!$AN$2:$AN$1105,Data!$AK$2:$AK$1105,1,Data!$L$2:$L$1105,$BB$261)/$BD$261,""))</f>
        <v/>
      </c>
      <c r="BF261" s="56">
        <f>IF(COUNTIFS(Data!$AK$2:$AK$1105,1,Data!$L$2:$L$1105,$BB$261)&lt;Controls!$B$19,"",IFERROR(SUMIFS(Data!$AM$2:$AM$1105,Data!$AK$2:$AK$1105,1,Data!$L$2:$L$1105,$BB$261)/SUMIFS(Data!$P$2:$P$1105,Data!$AK$2:$AK$1105,1,Data!$L$2:$L$1105,$BB$261),""))</f>
        <v/>
      </c>
      <c r="BG261" s="57">
        <f>SUMIFS(Data!$AN$2:$AN$1105,Data!$AK$2:$AK$1105,1,Data!$L$2:$L$1105,$BB$261)</f>
        <v/>
      </c>
      <c r="BH261" s="61" t="n"/>
      <c r="BI261" s="61" t="n"/>
      <c r="BJ261" s="61">
        <f>IF($BC$261&lt;Controls!$B$22,"",ABS($BF$261-SUMIFS(Data!$AM$2:$AM$1105,Data!$AK$2:$AK$1105,1)/SUMIFS(Data!$P$2:$P$1105,Data!$AK$2:$AK$1105,1)))</f>
        <v/>
      </c>
      <c r="BK261" s="61">
        <f>IF($BC$261&lt;Controls!$B$22,"",$BE$261)</f>
        <v/>
      </c>
      <c r="BL261" s="61">
        <f>IF($BC$261&lt;Controls!$B$22,"",$BF$261)</f>
        <v/>
      </c>
      <c r="BM261" s="61">
        <f>IF($BC$261&lt;Controls!$B$22,"",$BG$261)</f>
        <v/>
      </c>
      <c r="BN261" s="61" t="n"/>
      <c r="BO261" s="61" t="n"/>
      <c r="BP261" s="61" t="n"/>
      <c r="BQ261" s="61" t="n"/>
      <c r="BR261" s="61" t="n"/>
      <c r="BS261" s="61" t="n"/>
      <c r="BT261" s="61" t="n"/>
    </row>
    <row r="262" ht="15.75" customHeight="1" s="79">
      <c r="A262" s="61" t="n"/>
      <c r="B262" s="61" t="n"/>
      <c r="C262" s="61" t="n"/>
      <c r="D262" s="61" t="n"/>
      <c r="E262" s="61" t="n"/>
      <c r="F262" s="61" t="n"/>
      <c r="G262" s="61" t="n"/>
      <c r="H262" s="61" t="n"/>
      <c r="I262" s="61" t="n"/>
      <c r="J262" s="61" t="n"/>
      <c r="K262" s="61" t="n"/>
      <c r="L262" s="61" t="n"/>
      <c r="M262" s="61" t="n"/>
      <c r="N262" s="61" t="n"/>
      <c r="O262" s="61" t="n"/>
      <c r="P262" s="61" t="n"/>
      <c r="Q262" s="61" t="n"/>
      <c r="R262" s="61" t="n"/>
      <c r="S262" s="61" t="n"/>
      <c r="T262" s="61" t="n"/>
      <c r="U262" s="61" t="n"/>
      <c r="V262" s="61" t="n"/>
      <c r="W262" s="61" t="n"/>
      <c r="X262" s="61" t="n"/>
      <c r="Y262" s="61" t="n"/>
      <c r="Z262" s="61" t="n"/>
      <c r="AA262" s="61" t="n"/>
      <c r="AB262" s="61" t="n"/>
      <c r="AC262" s="61" t="n"/>
      <c r="AD262" s="61" t="n"/>
      <c r="AE262" s="61" t="n"/>
      <c r="AF262" s="61" t="n"/>
      <c r="AG262" s="61" t="n"/>
      <c r="AH262" s="61" t="n"/>
      <c r="AI262" s="61" t="n"/>
      <c r="AJ262" s="61" t="n"/>
      <c r="AK262" s="61" t="n"/>
      <c r="AL262" s="61" t="n"/>
      <c r="AM262" s="61" t="n"/>
      <c r="AN262" s="61">
        <f>Controls!$G$159</f>
        <v/>
      </c>
      <c r="AO262" s="61">
        <f>COUNTIFS(Data!$AK$2:$AK$1105,1,Data!$M$2:$M$1105,$AN$262)</f>
        <v/>
      </c>
      <c r="AP262" s="57">
        <f>SUMIFS(Data!$P$2:$P$1105,Data!$AK$2:$AK$1105,1,Data!$M$2:$M$1105,$AN$262)</f>
        <v/>
      </c>
      <c r="AQ262" s="56">
        <f>IFERROR(SUMIFS(Data!$AN$2:$AN$1105,Data!$AK$2:$AK$1105,1,Data!$M$2:$M$1105,$AN$262)/$AP$262,0)</f>
        <v/>
      </c>
      <c r="AR262" s="57">
        <f>SUMIFS(Data!$AN$2:$AN$1105,Data!$AK$2:$AK$1105,1,Data!$M$2:$M$1105,$AN$262)</f>
        <v/>
      </c>
      <c r="AS262" s="61">
        <f>Controls!$H$159</f>
        <v/>
      </c>
      <c r="AT262" s="61">
        <f>IF(OR(AO262=0,AO262&lt;Controls!$B$20),-1000000000000000,IF(AND(Controls!$B$21="Y",$AN$262="No ISO"),-1000000000000000,IF(Controls!$B$17="Selected only",IF(AS262="Y",AP262,-1000000000000000),IF(Controls!$B$17="Top by funded $",AP262,IF(Controls!$B$17="Top by funded units",AO262,IF(Controls!$B$17="Largest principal lost $",AR262,IF(Controls!$B$17="Highest net profit $",AU262,IF(AO262&lt;Controls!$B$19,-1000000000000000,IF(Controls!$B$17="Highest principal lost rate %",AQ262,IF(Controls!$B$17="Lowest principal lost rate %",1-AQ262,AP262))))))))) +120/1000000)</f>
        <v/>
      </c>
      <c r="AU262" s="57">
        <f>SUMIFS(Data!$AM$2:$AM$1105,Data!$AK$2:$AK$1105,1,Data!$M$2:$M$1105,$AN$262)</f>
        <v/>
      </c>
      <c r="AV262" s="61" t="n"/>
      <c r="AW262" s="61" t="n"/>
      <c r="AX262" s="61" t="n"/>
      <c r="AY262" s="61" t="n"/>
      <c r="AZ262" s="61" t="n"/>
      <c r="BA262" s="61" t="n"/>
      <c r="BB262" s="61">
        <f>Controls!$D$65</f>
        <v/>
      </c>
      <c r="BC262" s="61">
        <f>COUNTIFS(Data!$AK$2:$AK$1105,1,Data!$L$2:$L$1105,$BB$262)</f>
        <v/>
      </c>
      <c r="BD262" s="57">
        <f>SUMIFS(Data!$P$2:$P$1105,Data!$AK$2:$AK$1105,1,Data!$L$2:$L$1105,$BB$262)</f>
        <v/>
      </c>
      <c r="BE262" s="56">
        <f>IF(COUNTIFS(Data!$AK$2:$AK$1105,1,Data!$L$2:$L$1105,$BB$262)&lt;Controls!$B$19,"",IFERROR(SUMIFS(Data!$AN$2:$AN$1105,Data!$AK$2:$AK$1105,1,Data!$L$2:$L$1105,$BB$262)/$BD$262,""))</f>
        <v/>
      </c>
      <c r="BF262" s="56">
        <f>IF(COUNTIFS(Data!$AK$2:$AK$1105,1,Data!$L$2:$L$1105,$BB$262)&lt;Controls!$B$19,"",IFERROR(SUMIFS(Data!$AM$2:$AM$1105,Data!$AK$2:$AK$1105,1,Data!$L$2:$L$1105,$BB$262)/SUMIFS(Data!$P$2:$P$1105,Data!$AK$2:$AK$1105,1,Data!$L$2:$L$1105,$BB$262),""))</f>
        <v/>
      </c>
      <c r="BG262" s="57">
        <f>SUMIFS(Data!$AN$2:$AN$1105,Data!$AK$2:$AK$1105,1,Data!$L$2:$L$1105,$BB$262)</f>
        <v/>
      </c>
      <c r="BH262" s="61" t="n"/>
      <c r="BI262" s="61" t="n"/>
      <c r="BJ262" s="61">
        <f>IF($BC$262&lt;Controls!$B$22,"",ABS($BF$262-SUMIFS(Data!$AM$2:$AM$1105,Data!$AK$2:$AK$1105,1)/SUMIFS(Data!$P$2:$P$1105,Data!$AK$2:$AK$1105,1)))</f>
        <v/>
      </c>
      <c r="BK262" s="61">
        <f>IF($BC$262&lt;Controls!$B$22,"",$BE$262)</f>
        <v/>
      </c>
      <c r="BL262" s="61">
        <f>IF($BC$262&lt;Controls!$B$22,"",$BF$262)</f>
        <v/>
      </c>
      <c r="BM262" s="61">
        <f>IF($BC$262&lt;Controls!$B$22,"",$BG$262)</f>
        <v/>
      </c>
      <c r="BN262" s="61" t="n"/>
      <c r="BO262" s="61" t="n"/>
      <c r="BP262" s="61" t="n"/>
      <c r="BQ262" s="61" t="n"/>
      <c r="BR262" s="61" t="n"/>
      <c r="BS262" s="61" t="n"/>
      <c r="BT262" s="61" t="n"/>
    </row>
    <row r="263" ht="15.75" customHeight="1" s="79">
      <c r="A263" s="61" t="n"/>
      <c r="B263" s="61" t="n"/>
      <c r="C263" s="61" t="n"/>
      <c r="D263" s="61" t="n"/>
      <c r="E263" s="61" t="n"/>
      <c r="F263" s="61" t="n"/>
      <c r="G263" s="61" t="n"/>
      <c r="H263" s="61" t="n"/>
      <c r="I263" s="61" t="n"/>
      <c r="J263" s="61" t="n"/>
      <c r="K263" s="61" t="n"/>
      <c r="L263" s="61" t="n"/>
      <c r="M263" s="61" t="n"/>
      <c r="N263" s="61" t="n"/>
      <c r="O263" s="61" t="n"/>
      <c r="P263" s="61" t="n"/>
      <c r="Q263" s="61" t="n"/>
      <c r="R263" s="61" t="n"/>
      <c r="S263" s="61" t="n"/>
      <c r="T263" s="61" t="n"/>
      <c r="U263" s="61" t="n"/>
      <c r="V263" s="61" t="n"/>
      <c r="W263" s="61" t="n"/>
      <c r="X263" s="61" t="n"/>
      <c r="Y263" s="61" t="n"/>
      <c r="Z263" s="61" t="n"/>
      <c r="AA263" s="61" t="n"/>
      <c r="AB263" s="61" t="n"/>
      <c r="AC263" s="61" t="n"/>
      <c r="AD263" s="61" t="n"/>
      <c r="AE263" s="61" t="n"/>
      <c r="AF263" s="61" t="n"/>
      <c r="AG263" s="61" t="n"/>
      <c r="AH263" s="61" t="n"/>
      <c r="AI263" s="61" t="n"/>
      <c r="AJ263" s="61" t="n"/>
      <c r="AK263" s="61" t="n"/>
      <c r="AL263" s="61" t="n"/>
      <c r="AM263" s="61" t="n"/>
      <c r="AN263" s="61">
        <f>Controls!$G$160</f>
        <v/>
      </c>
      <c r="AO263" s="61">
        <f>COUNTIFS(Data!$AK$2:$AK$1105,1,Data!$M$2:$M$1105,$AN$263)</f>
        <v/>
      </c>
      <c r="AP263" s="57">
        <f>SUMIFS(Data!$P$2:$P$1105,Data!$AK$2:$AK$1105,1,Data!$M$2:$M$1105,$AN$263)</f>
        <v/>
      </c>
      <c r="AQ263" s="56">
        <f>IFERROR(SUMIFS(Data!$AN$2:$AN$1105,Data!$AK$2:$AK$1105,1,Data!$M$2:$M$1105,$AN$263)/$AP$263,0)</f>
        <v/>
      </c>
      <c r="AR263" s="57">
        <f>SUMIFS(Data!$AN$2:$AN$1105,Data!$AK$2:$AK$1105,1,Data!$M$2:$M$1105,$AN$263)</f>
        <v/>
      </c>
      <c r="AS263" s="61">
        <f>Controls!$H$160</f>
        <v/>
      </c>
      <c r="AT263" s="61">
        <f>IF(OR(AO263=0,AO263&lt;Controls!$B$20),-1000000000000000,IF(AND(Controls!$B$21="Y",$AN$263="No ISO"),-1000000000000000,IF(Controls!$B$17="Selected only",IF(AS263="Y",AP263,-1000000000000000),IF(Controls!$B$17="Top by funded $",AP263,IF(Controls!$B$17="Top by funded units",AO263,IF(Controls!$B$17="Largest principal lost $",AR263,IF(Controls!$B$17="Highest net profit $",AU263,IF(AO263&lt;Controls!$B$19,-1000000000000000,IF(Controls!$B$17="Highest principal lost rate %",AQ263,IF(Controls!$B$17="Lowest principal lost rate %",1-AQ263,AP263))))))))) +121/1000000)</f>
        <v/>
      </c>
      <c r="AU263" s="57">
        <f>SUMIFS(Data!$AM$2:$AM$1105,Data!$AK$2:$AK$1105,1,Data!$M$2:$M$1105,$AN$263)</f>
        <v/>
      </c>
      <c r="AV263" s="61" t="n"/>
      <c r="AW263" s="61" t="n"/>
      <c r="AX263" s="61" t="n"/>
      <c r="AY263" s="61" t="n"/>
      <c r="AZ263" s="61" t="n"/>
      <c r="BA263" s="61" t="n"/>
      <c r="BB263" s="61">
        <f>Controls!$D$66</f>
        <v/>
      </c>
      <c r="BC263" s="61">
        <f>COUNTIFS(Data!$AK$2:$AK$1105,1,Data!$L$2:$L$1105,$BB$263)</f>
        <v/>
      </c>
      <c r="BD263" s="57">
        <f>SUMIFS(Data!$P$2:$P$1105,Data!$AK$2:$AK$1105,1,Data!$L$2:$L$1105,$BB$263)</f>
        <v/>
      </c>
      <c r="BE263" s="56">
        <f>IF(COUNTIFS(Data!$AK$2:$AK$1105,1,Data!$L$2:$L$1105,$BB$263)&lt;Controls!$B$19,"",IFERROR(SUMIFS(Data!$AN$2:$AN$1105,Data!$AK$2:$AK$1105,1,Data!$L$2:$L$1105,$BB$263)/$BD$263,""))</f>
        <v/>
      </c>
      <c r="BF263" s="56">
        <f>IF(COUNTIFS(Data!$AK$2:$AK$1105,1,Data!$L$2:$L$1105,$BB$263)&lt;Controls!$B$19,"",IFERROR(SUMIFS(Data!$AM$2:$AM$1105,Data!$AK$2:$AK$1105,1,Data!$L$2:$L$1105,$BB$263)/SUMIFS(Data!$P$2:$P$1105,Data!$AK$2:$AK$1105,1,Data!$L$2:$L$1105,$BB$263),""))</f>
        <v/>
      </c>
      <c r="BG263" s="57">
        <f>SUMIFS(Data!$AN$2:$AN$1105,Data!$AK$2:$AK$1105,1,Data!$L$2:$L$1105,$BB$263)</f>
        <v/>
      </c>
      <c r="BH263" s="61" t="n"/>
      <c r="BI263" s="61" t="n"/>
      <c r="BJ263" s="61">
        <f>IF($BC$263&lt;Controls!$B$22,"",ABS($BF$263-SUMIFS(Data!$AM$2:$AM$1105,Data!$AK$2:$AK$1105,1)/SUMIFS(Data!$P$2:$P$1105,Data!$AK$2:$AK$1105,1)))</f>
        <v/>
      </c>
      <c r="BK263" s="56">
        <f>IF($BC$263&lt;Controls!$B$22,"",$BE$263)</f>
        <v/>
      </c>
      <c r="BL263" s="56">
        <f>IF($BC$263&lt;Controls!$B$22,"",$BF$263)</f>
        <v/>
      </c>
      <c r="BM263" s="57">
        <f>IF($BC$263&lt;Controls!$B$22,"",$BG$263)</f>
        <v/>
      </c>
      <c r="BN263" s="61" t="n"/>
      <c r="BO263" s="61" t="n"/>
      <c r="BP263" s="61" t="n"/>
      <c r="BQ263" s="61" t="n"/>
      <c r="BR263" s="61" t="n"/>
      <c r="BS263" s="61" t="n"/>
      <c r="BT263" s="61" t="n"/>
    </row>
    <row r="264" ht="15.75" customHeight="1" s="79">
      <c r="A264" s="61" t="n"/>
      <c r="B264" s="61" t="n"/>
      <c r="C264" s="61" t="n"/>
      <c r="D264" s="61" t="n"/>
      <c r="E264" s="61" t="n"/>
      <c r="F264" s="61" t="n"/>
      <c r="G264" s="61" t="n"/>
      <c r="H264" s="61" t="n"/>
      <c r="I264" s="61" t="n"/>
      <c r="J264" s="61" t="n"/>
      <c r="K264" s="61" t="n"/>
      <c r="L264" s="61" t="n"/>
      <c r="M264" s="61" t="n"/>
      <c r="N264" s="61" t="n"/>
      <c r="O264" s="61" t="n"/>
      <c r="P264" s="61" t="n"/>
      <c r="Q264" s="61" t="n"/>
      <c r="R264" s="61" t="n"/>
      <c r="S264" s="61" t="n"/>
      <c r="T264" s="61" t="n"/>
      <c r="U264" s="61" t="n"/>
      <c r="V264" s="61" t="n"/>
      <c r="W264" s="61" t="n"/>
      <c r="X264" s="61" t="n"/>
      <c r="Y264" s="61" t="n"/>
      <c r="Z264" s="61" t="n"/>
      <c r="AA264" s="61" t="n"/>
      <c r="AB264" s="61" t="n"/>
      <c r="AC264" s="61" t="n"/>
      <c r="AD264" s="61" t="n"/>
      <c r="AE264" s="61" t="n"/>
      <c r="AF264" s="61" t="n"/>
      <c r="AG264" s="61" t="n"/>
      <c r="AH264" s="61" t="n"/>
      <c r="AI264" s="61" t="n"/>
      <c r="AJ264" s="61" t="n"/>
      <c r="AK264" s="61" t="n"/>
      <c r="AL264" s="61" t="n"/>
      <c r="AM264" s="61" t="n"/>
      <c r="AN264" s="61">
        <f>Controls!$G$161</f>
        <v/>
      </c>
      <c r="AO264" s="61">
        <f>COUNTIFS(Data!$AK$2:$AK$1105,1,Data!$M$2:$M$1105,$AN$264)</f>
        <v/>
      </c>
      <c r="AP264" s="57">
        <f>SUMIFS(Data!$P$2:$P$1105,Data!$AK$2:$AK$1105,1,Data!$M$2:$M$1105,$AN$264)</f>
        <v/>
      </c>
      <c r="AQ264" s="56">
        <f>IFERROR(SUMIFS(Data!$AN$2:$AN$1105,Data!$AK$2:$AK$1105,1,Data!$M$2:$M$1105,$AN$264)/$AP$264,0)</f>
        <v/>
      </c>
      <c r="AR264" s="57">
        <f>SUMIFS(Data!$AN$2:$AN$1105,Data!$AK$2:$AK$1105,1,Data!$M$2:$M$1105,$AN$264)</f>
        <v/>
      </c>
      <c r="AS264" s="61">
        <f>Controls!$H$161</f>
        <v/>
      </c>
      <c r="AT264" s="61">
        <f>IF(OR(AO264=0,AO264&lt;Controls!$B$20),-1000000000000000,IF(AND(Controls!$B$21="Y",$AN$264="No ISO"),-1000000000000000,IF(Controls!$B$17="Selected only",IF(AS264="Y",AP264,-1000000000000000),IF(Controls!$B$17="Top by funded $",AP264,IF(Controls!$B$17="Top by funded units",AO264,IF(Controls!$B$17="Largest principal lost $",AR264,IF(Controls!$B$17="Highest net profit $",AU264,IF(AO264&lt;Controls!$B$19,-1000000000000000,IF(Controls!$B$17="Highest principal lost rate %",AQ264,IF(Controls!$B$17="Lowest principal lost rate %",1-AQ264,AP264))))))))) +122/1000000)</f>
        <v/>
      </c>
      <c r="AU264" s="57">
        <f>SUMIFS(Data!$AM$2:$AM$1105,Data!$AK$2:$AK$1105,1,Data!$M$2:$M$1105,$AN$264)</f>
        <v/>
      </c>
      <c r="AV264" s="61" t="n"/>
      <c r="AW264" s="61" t="n"/>
      <c r="AX264" s="61" t="n"/>
      <c r="AY264" s="61" t="n"/>
      <c r="AZ264" s="61" t="n"/>
      <c r="BA264" s="61" t="n"/>
      <c r="BB264" s="61">
        <f>Controls!$D$67</f>
        <v/>
      </c>
      <c r="BC264" s="61">
        <f>COUNTIFS(Data!$AK$2:$AK$1105,1,Data!$L$2:$L$1105,$BB$264)</f>
        <v/>
      </c>
      <c r="BD264" s="57">
        <f>SUMIFS(Data!$P$2:$P$1105,Data!$AK$2:$AK$1105,1,Data!$L$2:$L$1105,$BB$264)</f>
        <v/>
      </c>
      <c r="BE264" s="56">
        <f>IF(COUNTIFS(Data!$AK$2:$AK$1105,1,Data!$L$2:$L$1105,$BB$264)&lt;Controls!$B$19,"",IFERROR(SUMIFS(Data!$AN$2:$AN$1105,Data!$AK$2:$AK$1105,1,Data!$L$2:$L$1105,$BB$264)/$BD$264,""))</f>
        <v/>
      </c>
      <c r="BF264" s="56">
        <f>IF(COUNTIFS(Data!$AK$2:$AK$1105,1,Data!$L$2:$L$1105,$BB$264)&lt;Controls!$B$19,"",IFERROR(SUMIFS(Data!$AM$2:$AM$1105,Data!$AK$2:$AK$1105,1,Data!$L$2:$L$1105,$BB$264)/SUMIFS(Data!$P$2:$P$1105,Data!$AK$2:$AK$1105,1,Data!$L$2:$L$1105,$BB$264),""))</f>
        <v/>
      </c>
      <c r="BG264" s="57">
        <f>SUMIFS(Data!$AN$2:$AN$1105,Data!$AK$2:$AK$1105,1,Data!$L$2:$L$1105,$BB$264)</f>
        <v/>
      </c>
      <c r="BH264" s="61" t="n"/>
      <c r="BI264" s="61" t="n"/>
      <c r="BJ264" s="61">
        <f>IF($BC$264&lt;Controls!$B$22,"",ABS($BF$264-SUMIFS(Data!$AM$2:$AM$1105,Data!$AK$2:$AK$1105,1)/SUMIFS(Data!$P$2:$P$1105,Data!$AK$2:$AK$1105,1)))</f>
        <v/>
      </c>
      <c r="BK264" s="61">
        <f>IF($BC$264&lt;Controls!$B$22,"",$BE$264)</f>
        <v/>
      </c>
      <c r="BL264" s="61">
        <f>IF($BC$264&lt;Controls!$B$22,"",$BF$264)</f>
        <v/>
      </c>
      <c r="BM264" s="61">
        <f>IF($BC$264&lt;Controls!$B$22,"",$BG$264)</f>
        <v/>
      </c>
      <c r="BN264" s="61" t="n"/>
      <c r="BO264" s="61" t="n"/>
      <c r="BP264" s="61" t="n"/>
      <c r="BQ264" s="61" t="n"/>
      <c r="BR264" s="61" t="n"/>
      <c r="BS264" s="61" t="n"/>
      <c r="BT264" s="61" t="n"/>
    </row>
    <row r="265" ht="15.75" customHeight="1" s="79">
      <c r="A265" s="61" t="n"/>
      <c r="B265" s="61" t="n"/>
      <c r="C265" s="61" t="n"/>
      <c r="D265" s="61" t="n"/>
      <c r="E265" s="61" t="n"/>
      <c r="F265" s="61" t="n"/>
      <c r="G265" s="61" t="n"/>
      <c r="H265" s="61" t="n"/>
      <c r="I265" s="61" t="n"/>
      <c r="J265" s="61" t="n"/>
      <c r="K265" s="61" t="n"/>
      <c r="L265" s="61" t="n"/>
      <c r="M265" s="61" t="n"/>
      <c r="N265" s="61" t="n"/>
      <c r="O265" s="61" t="n"/>
      <c r="P265" s="61" t="n"/>
      <c r="Q265" s="61" t="n"/>
      <c r="R265" s="61" t="n"/>
      <c r="S265" s="61" t="n"/>
      <c r="T265" s="61" t="n"/>
      <c r="U265" s="61" t="n"/>
      <c r="V265" s="61" t="n"/>
      <c r="W265" s="61" t="n"/>
      <c r="X265" s="61" t="n"/>
      <c r="Y265" s="61" t="n"/>
      <c r="Z265" s="61" t="n"/>
      <c r="AA265" s="61" t="n"/>
      <c r="AB265" s="61" t="n"/>
      <c r="AC265" s="61" t="n"/>
      <c r="AD265" s="61" t="n"/>
      <c r="AE265" s="61" t="n"/>
      <c r="AF265" s="61" t="n"/>
      <c r="AG265" s="61" t="n"/>
      <c r="AH265" s="61" t="n"/>
      <c r="AI265" s="61" t="n"/>
      <c r="AJ265" s="61" t="n"/>
      <c r="AK265" s="61" t="n"/>
      <c r="AL265" s="61" t="n"/>
      <c r="AM265" s="61" t="n"/>
      <c r="AN265" s="61">
        <f>Controls!$G$162</f>
        <v/>
      </c>
      <c r="AO265" s="61">
        <f>COUNTIFS(Data!$AK$2:$AK$1105,1,Data!$M$2:$M$1105,$AN$265)</f>
        <v/>
      </c>
      <c r="AP265" s="57">
        <f>SUMIFS(Data!$P$2:$P$1105,Data!$AK$2:$AK$1105,1,Data!$M$2:$M$1105,$AN$265)</f>
        <v/>
      </c>
      <c r="AQ265" s="56">
        <f>IFERROR(SUMIFS(Data!$AN$2:$AN$1105,Data!$AK$2:$AK$1105,1,Data!$M$2:$M$1105,$AN$265)/$AP$265,0)</f>
        <v/>
      </c>
      <c r="AR265" s="57">
        <f>SUMIFS(Data!$AN$2:$AN$1105,Data!$AK$2:$AK$1105,1,Data!$M$2:$M$1105,$AN$265)</f>
        <v/>
      </c>
      <c r="AS265" s="61">
        <f>Controls!$H$162</f>
        <v/>
      </c>
      <c r="AT265" s="61">
        <f>IF(OR(AO265=0,AO265&lt;Controls!$B$20),-1000000000000000,IF(AND(Controls!$B$21="Y",$AN$265="No ISO"),-1000000000000000,IF(Controls!$B$17="Selected only",IF(AS265="Y",AP265,-1000000000000000),IF(Controls!$B$17="Top by funded $",AP265,IF(Controls!$B$17="Top by funded units",AO265,IF(Controls!$B$17="Largest principal lost $",AR265,IF(Controls!$B$17="Highest net profit $",AU265,IF(AO265&lt;Controls!$B$19,-1000000000000000,IF(Controls!$B$17="Highest principal lost rate %",AQ265,IF(Controls!$B$17="Lowest principal lost rate %",1-AQ265,AP265))))))))) +123/1000000)</f>
        <v/>
      </c>
      <c r="AU265" s="57">
        <f>SUMIFS(Data!$AM$2:$AM$1105,Data!$AK$2:$AK$1105,1,Data!$M$2:$M$1105,$AN$265)</f>
        <v/>
      </c>
      <c r="AV265" s="61" t="n"/>
      <c r="AW265" s="61" t="n"/>
      <c r="AX265" s="61" t="n"/>
      <c r="AY265" s="61" t="n"/>
      <c r="AZ265" s="61" t="n"/>
      <c r="BA265" s="61" t="n"/>
      <c r="BB265" s="61">
        <f>Controls!$D$68</f>
        <v/>
      </c>
      <c r="BC265" s="61">
        <f>COUNTIFS(Data!$AK$2:$AK$1105,1,Data!$L$2:$L$1105,$BB$265)</f>
        <v/>
      </c>
      <c r="BD265" s="57">
        <f>SUMIFS(Data!$P$2:$P$1105,Data!$AK$2:$AK$1105,1,Data!$L$2:$L$1105,$BB$265)</f>
        <v/>
      </c>
      <c r="BE265" s="56">
        <f>IF(COUNTIFS(Data!$AK$2:$AK$1105,1,Data!$L$2:$L$1105,$BB$265)&lt;Controls!$B$19,"",IFERROR(SUMIFS(Data!$AN$2:$AN$1105,Data!$AK$2:$AK$1105,1,Data!$L$2:$L$1105,$BB$265)/$BD$265,""))</f>
        <v/>
      </c>
      <c r="BF265" s="56">
        <f>IF(COUNTIFS(Data!$AK$2:$AK$1105,1,Data!$L$2:$L$1105,$BB$265)&lt;Controls!$B$19,"",IFERROR(SUMIFS(Data!$AM$2:$AM$1105,Data!$AK$2:$AK$1105,1,Data!$L$2:$L$1105,$BB$265)/SUMIFS(Data!$P$2:$P$1105,Data!$AK$2:$AK$1105,1,Data!$L$2:$L$1105,$BB$265),""))</f>
        <v/>
      </c>
      <c r="BG265" s="57">
        <f>SUMIFS(Data!$AN$2:$AN$1105,Data!$AK$2:$AK$1105,1,Data!$L$2:$L$1105,$BB$265)</f>
        <v/>
      </c>
      <c r="BH265" s="61" t="n"/>
      <c r="BI265" s="61" t="n"/>
      <c r="BJ265" s="61">
        <f>IF($BC$265&lt;Controls!$B$22,"",ABS($BF$265-SUMIFS(Data!$AM$2:$AM$1105,Data!$AK$2:$AK$1105,1)/SUMIFS(Data!$P$2:$P$1105,Data!$AK$2:$AK$1105,1)))</f>
        <v/>
      </c>
      <c r="BK265" s="61">
        <f>IF($BC$265&lt;Controls!$B$22,"",$BE$265)</f>
        <v/>
      </c>
      <c r="BL265" s="61">
        <f>IF($BC$265&lt;Controls!$B$22,"",$BF$265)</f>
        <v/>
      </c>
      <c r="BM265" s="61">
        <f>IF($BC$265&lt;Controls!$B$22,"",$BG$265)</f>
        <v/>
      </c>
      <c r="BN265" s="61" t="n"/>
      <c r="BO265" s="61" t="n"/>
      <c r="BP265" s="61" t="n"/>
      <c r="BQ265" s="61" t="n"/>
      <c r="BR265" s="61" t="n"/>
      <c r="BS265" s="61" t="n"/>
      <c r="BT265" s="61" t="n"/>
    </row>
    <row r="266" ht="15.75" customHeight="1" s="79">
      <c r="A266" s="61" t="n"/>
      <c r="B266" s="61" t="n"/>
      <c r="C266" s="61" t="n"/>
      <c r="D266" s="61" t="n"/>
      <c r="E266" s="61" t="n"/>
      <c r="F266" s="61" t="n"/>
      <c r="G266" s="61" t="n"/>
      <c r="H266" s="61" t="n"/>
      <c r="I266" s="61" t="n"/>
      <c r="J266" s="61" t="n"/>
      <c r="K266" s="61" t="n"/>
      <c r="L266" s="61" t="n"/>
      <c r="M266" s="61" t="n"/>
      <c r="N266" s="61" t="n"/>
      <c r="O266" s="61" t="n"/>
      <c r="P266" s="61" t="n"/>
      <c r="Q266" s="61" t="n"/>
      <c r="R266" s="61" t="n"/>
      <c r="S266" s="61" t="n"/>
      <c r="T266" s="61" t="n"/>
      <c r="U266" s="61" t="n"/>
      <c r="V266" s="61" t="n"/>
      <c r="W266" s="61" t="n"/>
      <c r="X266" s="61" t="n"/>
      <c r="Y266" s="61" t="n"/>
      <c r="Z266" s="61" t="n"/>
      <c r="AA266" s="61" t="n"/>
      <c r="AB266" s="61" t="n"/>
      <c r="AC266" s="61" t="n"/>
      <c r="AD266" s="61" t="n"/>
      <c r="AE266" s="61" t="n"/>
      <c r="AF266" s="61" t="n"/>
      <c r="AG266" s="61" t="n"/>
      <c r="AH266" s="61" t="n"/>
      <c r="AI266" s="61" t="n"/>
      <c r="AJ266" s="61" t="n"/>
      <c r="AK266" s="61" t="n"/>
      <c r="AL266" s="61" t="n"/>
      <c r="AM266" s="61" t="n"/>
      <c r="AN266" s="61">
        <f>Controls!$G$163</f>
        <v/>
      </c>
      <c r="AO266" s="61">
        <f>COUNTIFS(Data!$AK$2:$AK$1105,1,Data!$M$2:$M$1105,$AN$266)</f>
        <v/>
      </c>
      <c r="AP266" s="57">
        <f>SUMIFS(Data!$P$2:$P$1105,Data!$AK$2:$AK$1105,1,Data!$M$2:$M$1105,$AN$266)</f>
        <v/>
      </c>
      <c r="AQ266" s="56">
        <f>IFERROR(SUMIFS(Data!$AN$2:$AN$1105,Data!$AK$2:$AK$1105,1,Data!$M$2:$M$1105,$AN$266)/$AP$266,0)</f>
        <v/>
      </c>
      <c r="AR266" s="57">
        <f>SUMIFS(Data!$AN$2:$AN$1105,Data!$AK$2:$AK$1105,1,Data!$M$2:$M$1105,$AN$266)</f>
        <v/>
      </c>
      <c r="AS266" s="61">
        <f>Controls!$H$163</f>
        <v/>
      </c>
      <c r="AT266" s="61">
        <f>IF(OR(AO266=0,AO266&lt;Controls!$B$20),-1000000000000000,IF(AND(Controls!$B$21="Y",$AN$266="No ISO"),-1000000000000000,IF(Controls!$B$17="Selected only",IF(AS266="Y",AP266,-1000000000000000),IF(Controls!$B$17="Top by funded $",AP266,IF(Controls!$B$17="Top by funded units",AO266,IF(Controls!$B$17="Largest principal lost $",AR266,IF(Controls!$B$17="Highest net profit $",AU266,IF(AO266&lt;Controls!$B$19,-1000000000000000,IF(Controls!$B$17="Highest principal lost rate %",AQ266,IF(Controls!$B$17="Lowest principal lost rate %",1-AQ266,AP266))))))))) +124/1000000)</f>
        <v/>
      </c>
      <c r="AU266" s="57">
        <f>SUMIFS(Data!$AM$2:$AM$1105,Data!$AK$2:$AK$1105,1,Data!$M$2:$M$1105,$AN$266)</f>
        <v/>
      </c>
      <c r="AV266" s="61" t="n"/>
      <c r="AW266" s="61" t="n"/>
      <c r="AX266" s="61" t="n"/>
      <c r="AY266" s="61" t="n"/>
      <c r="AZ266" s="61" t="n"/>
      <c r="BA266" s="61" t="n"/>
      <c r="BB266" s="61">
        <f>Controls!$D$69</f>
        <v/>
      </c>
      <c r="BC266" s="61">
        <f>COUNTIFS(Data!$AK$2:$AK$1105,1,Data!$L$2:$L$1105,$BB$266)</f>
        <v/>
      </c>
      <c r="BD266" s="57">
        <f>SUMIFS(Data!$P$2:$P$1105,Data!$AK$2:$AK$1105,1,Data!$L$2:$L$1105,$BB$266)</f>
        <v/>
      </c>
      <c r="BE266" s="56">
        <f>IF(COUNTIFS(Data!$AK$2:$AK$1105,1,Data!$L$2:$L$1105,$BB$266)&lt;Controls!$B$19,"",IFERROR(SUMIFS(Data!$AN$2:$AN$1105,Data!$AK$2:$AK$1105,1,Data!$L$2:$L$1105,$BB$266)/$BD$266,""))</f>
        <v/>
      </c>
      <c r="BF266" s="56">
        <f>IF(COUNTIFS(Data!$AK$2:$AK$1105,1,Data!$L$2:$L$1105,$BB$266)&lt;Controls!$B$19,"",IFERROR(SUMIFS(Data!$AM$2:$AM$1105,Data!$AK$2:$AK$1105,1,Data!$L$2:$L$1105,$BB$266)/SUMIFS(Data!$P$2:$P$1105,Data!$AK$2:$AK$1105,1,Data!$L$2:$L$1105,$BB$266),""))</f>
        <v/>
      </c>
      <c r="BG266" s="57">
        <f>SUMIFS(Data!$AN$2:$AN$1105,Data!$AK$2:$AK$1105,1,Data!$L$2:$L$1105,$BB$266)</f>
        <v/>
      </c>
      <c r="BH266" s="61" t="n"/>
      <c r="BI266" s="61" t="n"/>
      <c r="BJ266" s="61">
        <f>IF($BC$266&lt;Controls!$B$22,"",ABS($BF$266-SUMIFS(Data!$AM$2:$AM$1105,Data!$AK$2:$AK$1105,1)/SUMIFS(Data!$P$2:$P$1105,Data!$AK$2:$AK$1105,1)))</f>
        <v/>
      </c>
      <c r="BK266" s="56">
        <f>IF($BC$266&lt;Controls!$B$22,"",$BE$266)</f>
        <v/>
      </c>
      <c r="BL266" s="56">
        <f>IF($BC$266&lt;Controls!$B$22,"",$BF$266)</f>
        <v/>
      </c>
      <c r="BM266" s="57">
        <f>IF($BC$266&lt;Controls!$B$22,"",$BG$266)</f>
        <v/>
      </c>
      <c r="BN266" s="61" t="n"/>
      <c r="BO266" s="61" t="n"/>
      <c r="BP266" s="61" t="n"/>
      <c r="BQ266" s="61" t="n"/>
      <c r="BR266" s="61" t="n"/>
      <c r="BS266" s="61" t="n"/>
      <c r="BT266" s="61" t="n"/>
    </row>
    <row r="267" ht="15.75" customHeight="1" s="79">
      <c r="A267" s="61" t="n"/>
      <c r="B267" s="61" t="n"/>
      <c r="C267" s="61" t="n"/>
      <c r="D267" s="61" t="n"/>
      <c r="E267" s="61" t="n"/>
      <c r="F267" s="61" t="n"/>
      <c r="G267" s="61" t="n"/>
      <c r="H267" s="61" t="n"/>
      <c r="I267" s="61" t="n"/>
      <c r="J267" s="61" t="n"/>
      <c r="K267" s="61" t="n"/>
      <c r="L267" s="61" t="n"/>
      <c r="M267" s="61" t="n"/>
      <c r="N267" s="61" t="n"/>
      <c r="O267" s="61" t="n"/>
      <c r="P267" s="61" t="n"/>
      <c r="Q267" s="61" t="n"/>
      <c r="R267" s="61" t="n"/>
      <c r="S267" s="61" t="n"/>
      <c r="T267" s="61" t="n"/>
      <c r="U267" s="61" t="n"/>
      <c r="V267" s="61" t="n"/>
      <c r="W267" s="61" t="n"/>
      <c r="X267" s="61" t="n"/>
      <c r="Y267" s="61" t="n"/>
      <c r="Z267" s="61" t="n"/>
      <c r="AA267" s="61" t="n"/>
      <c r="AB267" s="61" t="n"/>
      <c r="AC267" s="61" t="n"/>
      <c r="AD267" s="61" t="n"/>
      <c r="AE267" s="61" t="n"/>
      <c r="AF267" s="61" t="n"/>
      <c r="AG267" s="61" t="n"/>
      <c r="AH267" s="61" t="n"/>
      <c r="AI267" s="61" t="n"/>
      <c r="AJ267" s="61" t="n"/>
      <c r="AK267" s="61" t="n"/>
      <c r="AL267" s="61" t="n"/>
      <c r="AM267" s="61" t="n"/>
      <c r="AN267" s="61">
        <f>Controls!$G$164</f>
        <v/>
      </c>
      <c r="AO267" s="61">
        <f>COUNTIFS(Data!$AK$2:$AK$1105,1,Data!$M$2:$M$1105,$AN$267)</f>
        <v/>
      </c>
      <c r="AP267" s="57">
        <f>SUMIFS(Data!$P$2:$P$1105,Data!$AK$2:$AK$1105,1,Data!$M$2:$M$1105,$AN$267)</f>
        <v/>
      </c>
      <c r="AQ267" s="56">
        <f>IFERROR(SUMIFS(Data!$AN$2:$AN$1105,Data!$AK$2:$AK$1105,1,Data!$M$2:$M$1105,$AN$267)/$AP$267,0)</f>
        <v/>
      </c>
      <c r="AR267" s="57">
        <f>SUMIFS(Data!$AN$2:$AN$1105,Data!$AK$2:$AK$1105,1,Data!$M$2:$M$1105,$AN$267)</f>
        <v/>
      </c>
      <c r="AS267" s="61">
        <f>Controls!$H$164</f>
        <v/>
      </c>
      <c r="AT267" s="61">
        <f>IF(OR(AO267=0,AO267&lt;Controls!$B$20),-1000000000000000,IF(AND(Controls!$B$21="Y",$AN$267="No ISO"),-1000000000000000,IF(Controls!$B$17="Selected only",IF(AS267="Y",AP267,-1000000000000000),IF(Controls!$B$17="Top by funded $",AP267,IF(Controls!$B$17="Top by funded units",AO267,IF(Controls!$B$17="Largest principal lost $",AR267,IF(Controls!$B$17="Highest net profit $",AU267,IF(AO267&lt;Controls!$B$19,-1000000000000000,IF(Controls!$B$17="Highest principal lost rate %",AQ267,IF(Controls!$B$17="Lowest principal lost rate %",1-AQ267,AP267))))))))) +125/1000000)</f>
        <v/>
      </c>
      <c r="AU267" s="57">
        <f>SUMIFS(Data!$AM$2:$AM$1105,Data!$AK$2:$AK$1105,1,Data!$M$2:$M$1105,$AN$267)</f>
        <v/>
      </c>
      <c r="AV267" s="61" t="n"/>
      <c r="AW267" s="61" t="n"/>
      <c r="AX267" s="61" t="n"/>
      <c r="AY267" s="61" t="n"/>
      <c r="AZ267" s="61" t="n"/>
      <c r="BA267" s="61" t="n"/>
      <c r="BB267" s="61">
        <f>Controls!$D$70</f>
        <v/>
      </c>
      <c r="BC267" s="61">
        <f>COUNTIFS(Data!$AK$2:$AK$1105,1,Data!$L$2:$L$1105,$BB$267)</f>
        <v/>
      </c>
      <c r="BD267" s="57">
        <f>SUMIFS(Data!$P$2:$P$1105,Data!$AK$2:$AK$1105,1,Data!$L$2:$L$1105,$BB$267)</f>
        <v/>
      </c>
      <c r="BE267" s="56">
        <f>IF(COUNTIFS(Data!$AK$2:$AK$1105,1,Data!$L$2:$L$1105,$BB$267)&lt;Controls!$B$19,"",IFERROR(SUMIFS(Data!$AN$2:$AN$1105,Data!$AK$2:$AK$1105,1,Data!$L$2:$L$1105,$BB$267)/$BD$267,""))</f>
        <v/>
      </c>
      <c r="BF267" s="56">
        <f>IF(COUNTIFS(Data!$AK$2:$AK$1105,1,Data!$L$2:$L$1105,$BB$267)&lt;Controls!$B$19,"",IFERROR(SUMIFS(Data!$AM$2:$AM$1105,Data!$AK$2:$AK$1105,1,Data!$L$2:$L$1105,$BB$267)/SUMIFS(Data!$P$2:$P$1105,Data!$AK$2:$AK$1105,1,Data!$L$2:$L$1105,$BB$267),""))</f>
        <v/>
      </c>
      <c r="BG267" s="57">
        <f>SUMIFS(Data!$AN$2:$AN$1105,Data!$AK$2:$AK$1105,1,Data!$L$2:$L$1105,$BB$267)</f>
        <v/>
      </c>
      <c r="BH267" s="61" t="n"/>
      <c r="BI267" s="61" t="n"/>
      <c r="BJ267" s="61">
        <f>IF($BC$267&lt;Controls!$B$22,"",ABS($BF$267-SUMIFS(Data!$AM$2:$AM$1105,Data!$AK$2:$AK$1105,1)/SUMIFS(Data!$P$2:$P$1105,Data!$AK$2:$AK$1105,1)))</f>
        <v/>
      </c>
      <c r="BK267" s="61">
        <f>IF($BC$267&lt;Controls!$B$22,"",$BE$267)</f>
        <v/>
      </c>
      <c r="BL267" s="61">
        <f>IF($BC$267&lt;Controls!$B$22,"",$BF$267)</f>
        <v/>
      </c>
      <c r="BM267" s="61">
        <f>IF($BC$267&lt;Controls!$B$22,"",$BG$267)</f>
        <v/>
      </c>
      <c r="BN267" s="61" t="n"/>
      <c r="BO267" s="61" t="n"/>
      <c r="BP267" s="61" t="n"/>
      <c r="BQ267" s="61" t="n"/>
      <c r="BR267" s="61" t="n"/>
      <c r="BS267" s="61" t="n"/>
      <c r="BT267" s="61" t="n"/>
    </row>
    <row r="268" ht="15.75" customHeight="1" s="79">
      <c r="A268" s="61" t="n"/>
      <c r="B268" s="61" t="n"/>
      <c r="C268" s="61" t="n"/>
      <c r="D268" s="61" t="n"/>
      <c r="E268" s="61" t="n"/>
      <c r="F268" s="61" t="n"/>
      <c r="G268" s="61" t="n"/>
      <c r="H268" s="61" t="n"/>
      <c r="I268" s="61" t="n"/>
      <c r="J268" s="61" t="n"/>
      <c r="K268" s="61" t="n"/>
      <c r="L268" s="61" t="n"/>
      <c r="M268" s="61" t="n"/>
      <c r="N268" s="61" t="n"/>
      <c r="O268" s="61" t="n"/>
      <c r="P268" s="61" t="n"/>
      <c r="Q268" s="61" t="n"/>
      <c r="R268" s="61" t="n"/>
      <c r="S268" s="61" t="n"/>
      <c r="T268" s="61" t="n"/>
      <c r="U268" s="61" t="n"/>
      <c r="V268" s="61" t="n"/>
      <c r="W268" s="61" t="n"/>
      <c r="X268" s="61" t="n"/>
      <c r="Y268" s="61" t="n"/>
      <c r="Z268" s="61" t="n"/>
      <c r="AA268" s="61" t="n"/>
      <c r="AB268" s="61" t="n"/>
      <c r="AC268" s="61" t="n"/>
      <c r="AD268" s="61" t="n"/>
      <c r="AE268" s="61" t="n"/>
      <c r="AF268" s="61" t="n"/>
      <c r="AG268" s="61" t="n"/>
      <c r="AH268" s="61" t="n"/>
      <c r="AI268" s="61" t="n"/>
      <c r="AJ268" s="61" t="n"/>
      <c r="AK268" s="61" t="n"/>
      <c r="AL268" s="61" t="n"/>
      <c r="AM268" s="61" t="n"/>
      <c r="AN268" s="61">
        <f>Controls!$G$165</f>
        <v/>
      </c>
      <c r="AO268" s="61">
        <f>COUNTIFS(Data!$AK$2:$AK$1105,1,Data!$M$2:$M$1105,$AN$268)</f>
        <v/>
      </c>
      <c r="AP268" s="57">
        <f>SUMIFS(Data!$P$2:$P$1105,Data!$AK$2:$AK$1105,1,Data!$M$2:$M$1105,$AN$268)</f>
        <v/>
      </c>
      <c r="AQ268" s="56">
        <f>IFERROR(SUMIFS(Data!$AN$2:$AN$1105,Data!$AK$2:$AK$1105,1,Data!$M$2:$M$1105,$AN$268)/$AP$268,0)</f>
        <v/>
      </c>
      <c r="AR268" s="57">
        <f>SUMIFS(Data!$AN$2:$AN$1105,Data!$AK$2:$AK$1105,1,Data!$M$2:$M$1105,$AN$268)</f>
        <v/>
      </c>
      <c r="AS268" s="61">
        <f>Controls!$H$165</f>
        <v/>
      </c>
      <c r="AT268" s="57">
        <f>IF(OR(AO268=0,AO268&lt;Controls!$B$20),-1000000000000000,IF(AND(Controls!$B$21="Y",$AN$268="No ISO"),-1000000000000000,IF(Controls!$B$17="Selected only",IF(AS268="Y",AP268,-1000000000000000),IF(Controls!$B$17="Top by funded $",AP268,IF(Controls!$B$17="Top by funded units",AO268,IF(Controls!$B$17="Largest principal lost $",AR268,IF(Controls!$B$17="Highest net profit $",AU268,IF(AO268&lt;Controls!$B$19,-1000000000000000,IF(Controls!$B$17="Highest principal lost rate %",AQ268,IF(Controls!$B$17="Lowest principal lost rate %",1-AQ268,AP268))))))))) +126/1000000)</f>
        <v/>
      </c>
      <c r="AU268" s="57">
        <f>SUMIFS(Data!$AM$2:$AM$1105,Data!$AK$2:$AK$1105,1,Data!$M$2:$M$1105,$AN$268)</f>
        <v/>
      </c>
      <c r="AV268" s="61" t="n"/>
      <c r="AW268" s="61" t="n"/>
      <c r="AX268" s="61" t="n"/>
      <c r="AY268" s="61" t="n"/>
      <c r="AZ268" s="61" t="n"/>
      <c r="BA268" s="61" t="n"/>
      <c r="BB268" s="61">
        <f>Controls!$D$71</f>
        <v/>
      </c>
      <c r="BC268" s="61">
        <f>COUNTIFS(Data!$AK$2:$AK$1105,1,Data!$L$2:$L$1105,$BB$268)</f>
        <v/>
      </c>
      <c r="BD268" s="57">
        <f>SUMIFS(Data!$P$2:$P$1105,Data!$AK$2:$AK$1105,1,Data!$L$2:$L$1105,$BB$268)</f>
        <v/>
      </c>
      <c r="BE268" s="56">
        <f>IF(COUNTIFS(Data!$AK$2:$AK$1105,1,Data!$L$2:$L$1105,$BB$268)&lt;Controls!$B$19,"",IFERROR(SUMIFS(Data!$AN$2:$AN$1105,Data!$AK$2:$AK$1105,1,Data!$L$2:$L$1105,$BB$268)/$BD$268,""))</f>
        <v/>
      </c>
      <c r="BF268" s="56">
        <f>IF(COUNTIFS(Data!$AK$2:$AK$1105,1,Data!$L$2:$L$1105,$BB$268)&lt;Controls!$B$19,"",IFERROR(SUMIFS(Data!$AM$2:$AM$1105,Data!$AK$2:$AK$1105,1,Data!$L$2:$L$1105,$BB$268)/SUMIFS(Data!$P$2:$P$1105,Data!$AK$2:$AK$1105,1,Data!$L$2:$L$1105,$BB$268),""))</f>
        <v/>
      </c>
      <c r="BG268" s="57">
        <f>SUMIFS(Data!$AN$2:$AN$1105,Data!$AK$2:$AK$1105,1,Data!$L$2:$L$1105,$BB$268)</f>
        <v/>
      </c>
      <c r="BH268" s="61" t="n"/>
      <c r="BI268" s="61" t="n"/>
      <c r="BJ268" s="61">
        <f>IF($BC$268&lt;Controls!$B$22,"",ABS($BF$268-SUMIFS(Data!$AM$2:$AM$1105,Data!$AK$2:$AK$1105,1)/SUMIFS(Data!$P$2:$P$1105,Data!$AK$2:$AK$1105,1)))</f>
        <v/>
      </c>
      <c r="BK268" s="61">
        <f>IF($BC$268&lt;Controls!$B$22,"",$BE$268)</f>
        <v/>
      </c>
      <c r="BL268" s="61">
        <f>IF($BC$268&lt;Controls!$B$22,"",$BF$268)</f>
        <v/>
      </c>
      <c r="BM268" s="61">
        <f>IF($BC$268&lt;Controls!$B$22,"",$BG$268)</f>
        <v/>
      </c>
      <c r="BN268" s="61" t="n"/>
      <c r="BO268" s="61" t="n"/>
      <c r="BP268" s="61" t="n"/>
      <c r="BQ268" s="61" t="n"/>
      <c r="BR268" s="61" t="n"/>
      <c r="BS268" s="61" t="n"/>
      <c r="BT268" s="61" t="n"/>
    </row>
    <row r="269" ht="15.75" customHeight="1" s="79">
      <c r="A269" s="61" t="n"/>
      <c r="B269" s="61" t="n"/>
      <c r="C269" s="61" t="n"/>
      <c r="D269" s="61" t="n"/>
      <c r="E269" s="61" t="n"/>
      <c r="F269" s="61" t="n"/>
      <c r="G269" s="61" t="n"/>
      <c r="H269" s="61" t="n"/>
      <c r="I269" s="61" t="n"/>
      <c r="J269" s="61" t="n"/>
      <c r="K269" s="61" t="n"/>
      <c r="L269" s="61" t="n"/>
      <c r="M269" s="61" t="n"/>
      <c r="N269" s="61" t="n"/>
      <c r="O269" s="61" t="n"/>
      <c r="P269" s="61" t="n"/>
      <c r="Q269" s="61" t="n"/>
      <c r="R269" s="61" t="n"/>
      <c r="S269" s="61" t="n"/>
      <c r="T269" s="61" t="n"/>
      <c r="U269" s="61" t="n"/>
      <c r="V269" s="61" t="n"/>
      <c r="W269" s="61" t="n"/>
      <c r="X269" s="61" t="n"/>
      <c r="Y269" s="61" t="n"/>
      <c r="Z269" s="61" t="n"/>
      <c r="AA269" s="61" t="n"/>
      <c r="AB269" s="61" t="n"/>
      <c r="AC269" s="61" t="n"/>
      <c r="AD269" s="61" t="n"/>
      <c r="AE269" s="61" t="n"/>
      <c r="AF269" s="61" t="n"/>
      <c r="AG269" s="61" t="n"/>
      <c r="AH269" s="61" t="n"/>
      <c r="AI269" s="61" t="n"/>
      <c r="AJ269" s="61" t="n"/>
      <c r="AK269" s="61" t="n"/>
      <c r="AL269" s="61" t="n"/>
      <c r="AM269" s="61" t="n"/>
      <c r="AN269" s="61">
        <f>Controls!$G$166</f>
        <v/>
      </c>
      <c r="AO269" s="61">
        <f>COUNTIFS(Data!$AK$2:$AK$1105,1,Data!$M$2:$M$1105,$AN$269)</f>
        <v/>
      </c>
      <c r="AP269" s="57">
        <f>SUMIFS(Data!$P$2:$P$1105,Data!$AK$2:$AK$1105,1,Data!$M$2:$M$1105,$AN$269)</f>
        <v/>
      </c>
      <c r="AQ269" s="56">
        <f>IFERROR(SUMIFS(Data!$AN$2:$AN$1105,Data!$AK$2:$AK$1105,1,Data!$M$2:$M$1105,$AN$269)/$AP$269,0)</f>
        <v/>
      </c>
      <c r="AR269" s="57">
        <f>SUMIFS(Data!$AN$2:$AN$1105,Data!$AK$2:$AK$1105,1,Data!$M$2:$M$1105,$AN$269)</f>
        <v/>
      </c>
      <c r="AS269" s="61">
        <f>Controls!$H$166</f>
        <v/>
      </c>
      <c r="AT269" s="61">
        <f>IF(OR(AO269=0,AO269&lt;Controls!$B$20),-1000000000000000,IF(AND(Controls!$B$21="Y",$AN$269="No ISO"),-1000000000000000,IF(Controls!$B$17="Selected only",IF(AS269="Y",AP269,-1000000000000000),IF(Controls!$B$17="Top by funded $",AP269,IF(Controls!$B$17="Top by funded units",AO269,IF(Controls!$B$17="Largest principal lost $",AR269,IF(Controls!$B$17="Highest net profit $",AU269,IF(AO269&lt;Controls!$B$19,-1000000000000000,IF(Controls!$B$17="Highest principal lost rate %",AQ269,IF(Controls!$B$17="Lowest principal lost rate %",1-AQ269,AP269))))))))) +127/1000000)</f>
        <v/>
      </c>
      <c r="AU269" s="57">
        <f>SUMIFS(Data!$AM$2:$AM$1105,Data!$AK$2:$AK$1105,1,Data!$M$2:$M$1105,$AN$269)</f>
        <v/>
      </c>
      <c r="AV269" s="61" t="n"/>
      <c r="AW269" s="61" t="n"/>
      <c r="AX269" s="61" t="n"/>
      <c r="AY269" s="61" t="n"/>
      <c r="AZ269" s="61" t="n"/>
      <c r="BA269" s="61" t="n"/>
      <c r="BB269" s="61">
        <f>Controls!$D$72</f>
        <v/>
      </c>
      <c r="BC269" s="61">
        <f>COUNTIFS(Data!$AK$2:$AK$1105,1,Data!$L$2:$L$1105,$BB$269)</f>
        <v/>
      </c>
      <c r="BD269" s="57">
        <f>SUMIFS(Data!$P$2:$P$1105,Data!$AK$2:$AK$1105,1,Data!$L$2:$L$1105,$BB$269)</f>
        <v/>
      </c>
      <c r="BE269" s="56">
        <f>IF(COUNTIFS(Data!$AK$2:$AK$1105,1,Data!$L$2:$L$1105,$BB$269)&lt;Controls!$B$19,"",IFERROR(SUMIFS(Data!$AN$2:$AN$1105,Data!$AK$2:$AK$1105,1,Data!$L$2:$L$1105,$BB$269)/$BD$269,""))</f>
        <v/>
      </c>
      <c r="BF269" s="56">
        <f>IF(COUNTIFS(Data!$AK$2:$AK$1105,1,Data!$L$2:$L$1105,$BB$269)&lt;Controls!$B$19,"",IFERROR(SUMIFS(Data!$AM$2:$AM$1105,Data!$AK$2:$AK$1105,1,Data!$L$2:$L$1105,$BB$269)/SUMIFS(Data!$P$2:$P$1105,Data!$AK$2:$AK$1105,1,Data!$L$2:$L$1105,$BB$269),""))</f>
        <v/>
      </c>
      <c r="BG269" s="57">
        <f>SUMIFS(Data!$AN$2:$AN$1105,Data!$AK$2:$AK$1105,1,Data!$L$2:$L$1105,$BB$269)</f>
        <v/>
      </c>
      <c r="BH269" s="61" t="n"/>
      <c r="BI269" s="61" t="n"/>
      <c r="BJ269" s="61">
        <f>IF($BC$269&lt;Controls!$B$22,"",ABS($BF$269-SUMIFS(Data!$AM$2:$AM$1105,Data!$AK$2:$AK$1105,1)/SUMIFS(Data!$P$2:$P$1105,Data!$AK$2:$AK$1105,1)))</f>
        <v/>
      </c>
      <c r="BK269" s="61">
        <f>IF($BC$269&lt;Controls!$B$22,"",$BE$269)</f>
        <v/>
      </c>
      <c r="BL269" s="61">
        <f>IF($BC$269&lt;Controls!$B$22,"",$BF$269)</f>
        <v/>
      </c>
      <c r="BM269" s="61">
        <f>IF($BC$269&lt;Controls!$B$22,"",$BG$269)</f>
        <v/>
      </c>
      <c r="BN269" s="61" t="n"/>
      <c r="BO269" s="61" t="n"/>
      <c r="BP269" s="61" t="n"/>
      <c r="BQ269" s="61" t="n"/>
      <c r="BR269" s="61" t="n"/>
      <c r="BS269" s="61" t="n"/>
      <c r="BT269" s="61" t="n"/>
    </row>
    <row r="270" ht="15.75" customHeight="1" s="79">
      <c r="A270" s="61" t="n"/>
      <c r="B270" s="61" t="n"/>
      <c r="C270" s="61" t="n"/>
      <c r="D270" s="61" t="n"/>
      <c r="E270" s="61" t="n"/>
      <c r="F270" s="61" t="n"/>
      <c r="G270" s="61" t="n"/>
      <c r="H270" s="61" t="n"/>
      <c r="I270" s="61" t="n"/>
      <c r="J270" s="61" t="n"/>
      <c r="K270" s="61" t="n"/>
      <c r="L270" s="61" t="n"/>
      <c r="M270" s="61" t="n"/>
      <c r="N270" s="61" t="n"/>
      <c r="O270" s="61" t="n"/>
      <c r="P270" s="61" t="n"/>
      <c r="Q270" s="61" t="n"/>
      <c r="R270" s="61" t="n"/>
      <c r="S270" s="61" t="n"/>
      <c r="T270" s="61" t="n"/>
      <c r="U270" s="61" t="n"/>
      <c r="V270" s="61" t="n"/>
      <c r="W270" s="61" t="n"/>
      <c r="X270" s="61" t="n"/>
      <c r="Y270" s="61" t="n"/>
      <c r="Z270" s="61" t="n"/>
      <c r="AA270" s="61" t="n"/>
      <c r="AB270" s="61" t="n"/>
      <c r="AC270" s="61" t="n"/>
      <c r="AD270" s="61" t="n"/>
      <c r="AE270" s="61" t="n"/>
      <c r="AF270" s="61" t="n"/>
      <c r="AG270" s="61" t="n"/>
      <c r="AH270" s="61" t="n"/>
      <c r="AI270" s="61" t="n"/>
      <c r="AJ270" s="61" t="n"/>
      <c r="AK270" s="61" t="n"/>
      <c r="AL270" s="61" t="n"/>
      <c r="AM270" s="61" t="n"/>
      <c r="AN270" s="61">
        <f>Controls!$G$167</f>
        <v/>
      </c>
      <c r="AO270" s="61">
        <f>COUNTIFS(Data!$AK$2:$AK$1105,1,Data!$M$2:$M$1105,$AN$270)</f>
        <v/>
      </c>
      <c r="AP270" s="57">
        <f>SUMIFS(Data!$P$2:$P$1105,Data!$AK$2:$AK$1105,1,Data!$M$2:$M$1105,$AN$270)</f>
        <v/>
      </c>
      <c r="AQ270" s="56">
        <f>IFERROR(SUMIFS(Data!$AN$2:$AN$1105,Data!$AK$2:$AK$1105,1,Data!$M$2:$M$1105,$AN$270)/$AP$270,0)</f>
        <v/>
      </c>
      <c r="AR270" s="57">
        <f>SUMIFS(Data!$AN$2:$AN$1105,Data!$AK$2:$AK$1105,1,Data!$M$2:$M$1105,$AN$270)</f>
        <v/>
      </c>
      <c r="AS270" s="61">
        <f>Controls!$H$167</f>
        <v/>
      </c>
      <c r="AT270" s="61">
        <f>IF(OR(AO270=0,AO270&lt;Controls!$B$20),-1000000000000000,IF(AND(Controls!$B$21="Y",$AN$270="No ISO"),-1000000000000000,IF(Controls!$B$17="Selected only",IF(AS270="Y",AP270,-1000000000000000),IF(Controls!$B$17="Top by funded $",AP270,IF(Controls!$B$17="Top by funded units",AO270,IF(Controls!$B$17="Largest principal lost $",AR270,IF(Controls!$B$17="Highest net profit $",AU270,IF(AO270&lt;Controls!$B$19,-1000000000000000,IF(Controls!$B$17="Highest principal lost rate %",AQ270,IF(Controls!$B$17="Lowest principal lost rate %",1-AQ270,AP270))))))))) +128/1000000)</f>
        <v/>
      </c>
      <c r="AU270" s="57">
        <f>SUMIFS(Data!$AM$2:$AM$1105,Data!$AK$2:$AK$1105,1,Data!$M$2:$M$1105,$AN$270)</f>
        <v/>
      </c>
      <c r="AV270" s="61" t="n"/>
      <c r="AW270" s="61" t="n"/>
      <c r="AX270" s="61" t="n"/>
      <c r="AY270" s="61" t="n"/>
      <c r="AZ270" s="61" t="n"/>
      <c r="BA270" s="61" t="n"/>
      <c r="BB270" s="61">
        <f>Controls!$D$73</f>
        <v/>
      </c>
      <c r="BC270" s="61">
        <f>COUNTIFS(Data!$AK$2:$AK$1105,1,Data!$L$2:$L$1105,$BB$270)</f>
        <v/>
      </c>
      <c r="BD270" s="57">
        <f>SUMIFS(Data!$P$2:$P$1105,Data!$AK$2:$AK$1105,1,Data!$L$2:$L$1105,$BB$270)</f>
        <v/>
      </c>
      <c r="BE270" s="56">
        <f>IF(COUNTIFS(Data!$AK$2:$AK$1105,1,Data!$L$2:$L$1105,$BB$270)&lt;Controls!$B$19,"",IFERROR(SUMIFS(Data!$AN$2:$AN$1105,Data!$AK$2:$AK$1105,1,Data!$L$2:$L$1105,$BB$270)/$BD$270,""))</f>
        <v/>
      </c>
      <c r="BF270" s="56">
        <f>IF(COUNTIFS(Data!$AK$2:$AK$1105,1,Data!$L$2:$L$1105,$BB$270)&lt;Controls!$B$19,"",IFERROR(SUMIFS(Data!$AM$2:$AM$1105,Data!$AK$2:$AK$1105,1,Data!$L$2:$L$1105,$BB$270)/SUMIFS(Data!$P$2:$P$1105,Data!$AK$2:$AK$1105,1,Data!$L$2:$L$1105,$BB$270),""))</f>
        <v/>
      </c>
      <c r="BG270" s="57">
        <f>SUMIFS(Data!$AN$2:$AN$1105,Data!$AK$2:$AK$1105,1,Data!$L$2:$L$1105,$BB$270)</f>
        <v/>
      </c>
      <c r="BH270" s="61" t="n"/>
      <c r="BI270" s="61" t="n"/>
      <c r="BJ270" s="61">
        <f>IF($BC$270&lt;Controls!$B$22,"",ABS($BF$270-SUMIFS(Data!$AM$2:$AM$1105,Data!$AK$2:$AK$1105,1)/SUMIFS(Data!$P$2:$P$1105,Data!$AK$2:$AK$1105,1)))</f>
        <v/>
      </c>
      <c r="BK270" s="56">
        <f>IF($BC$270&lt;Controls!$B$22,"",$BE$270)</f>
        <v/>
      </c>
      <c r="BL270" s="56">
        <f>IF($BC$270&lt;Controls!$B$22,"",$BF$270)</f>
        <v/>
      </c>
      <c r="BM270" s="57">
        <f>IF($BC$270&lt;Controls!$B$22,"",$BG$270)</f>
        <v/>
      </c>
      <c r="BN270" s="61" t="n"/>
      <c r="BO270" s="61" t="n"/>
      <c r="BP270" s="61" t="n"/>
      <c r="BQ270" s="61" t="n"/>
      <c r="BR270" s="61" t="n"/>
      <c r="BS270" s="61" t="n"/>
      <c r="BT270" s="61" t="n"/>
    </row>
    <row r="271" ht="15.75" customHeight="1" s="79">
      <c r="A271" s="61" t="n"/>
      <c r="B271" s="61" t="n"/>
      <c r="C271" s="61" t="n"/>
      <c r="D271" s="61" t="n"/>
      <c r="E271" s="61" t="n"/>
      <c r="F271" s="61" t="n"/>
      <c r="G271" s="61" t="n"/>
      <c r="H271" s="61" t="n"/>
      <c r="I271" s="61" t="n"/>
      <c r="J271" s="61" t="n"/>
      <c r="K271" s="61" t="n"/>
      <c r="L271" s="61" t="n"/>
      <c r="M271" s="61" t="n"/>
      <c r="N271" s="61" t="n"/>
      <c r="O271" s="61" t="n"/>
      <c r="P271" s="61" t="n"/>
      <c r="Q271" s="61" t="n"/>
      <c r="R271" s="61" t="n"/>
      <c r="S271" s="61" t="n"/>
      <c r="T271" s="61" t="n"/>
      <c r="U271" s="61" t="n"/>
      <c r="V271" s="61" t="n"/>
      <c r="W271" s="61" t="n"/>
      <c r="X271" s="61" t="n"/>
      <c r="Y271" s="61" t="n"/>
      <c r="Z271" s="61" t="n"/>
      <c r="AA271" s="61" t="n"/>
      <c r="AB271" s="61" t="n"/>
      <c r="AC271" s="61" t="n"/>
      <c r="AD271" s="61" t="n"/>
      <c r="AE271" s="61" t="n"/>
      <c r="AF271" s="61" t="n"/>
      <c r="AG271" s="61" t="n"/>
      <c r="AH271" s="61" t="n"/>
      <c r="AI271" s="61" t="n"/>
      <c r="AJ271" s="61" t="n"/>
      <c r="AK271" s="61" t="n"/>
      <c r="AL271" s="61" t="n"/>
      <c r="AM271" s="61" t="n"/>
      <c r="AN271" s="61">
        <f>Controls!$G$168</f>
        <v/>
      </c>
      <c r="AO271" s="61">
        <f>COUNTIFS(Data!$AK$2:$AK$1105,1,Data!$M$2:$M$1105,$AN$271)</f>
        <v/>
      </c>
      <c r="AP271" s="57">
        <f>SUMIFS(Data!$P$2:$P$1105,Data!$AK$2:$AK$1105,1,Data!$M$2:$M$1105,$AN$271)</f>
        <v/>
      </c>
      <c r="AQ271" s="56">
        <f>IFERROR(SUMIFS(Data!$AN$2:$AN$1105,Data!$AK$2:$AK$1105,1,Data!$M$2:$M$1105,$AN$271)/$AP$271,0)</f>
        <v/>
      </c>
      <c r="AR271" s="57">
        <f>SUMIFS(Data!$AN$2:$AN$1105,Data!$AK$2:$AK$1105,1,Data!$M$2:$M$1105,$AN$271)</f>
        <v/>
      </c>
      <c r="AS271" s="61">
        <f>Controls!$H$168</f>
        <v/>
      </c>
      <c r="AT271" s="61">
        <f>IF(OR(AO271=0,AO271&lt;Controls!$B$20),-1000000000000000,IF(AND(Controls!$B$21="Y",$AN$271="No ISO"),-1000000000000000,IF(Controls!$B$17="Selected only",IF(AS271="Y",AP271,-1000000000000000),IF(Controls!$B$17="Top by funded $",AP271,IF(Controls!$B$17="Top by funded units",AO271,IF(Controls!$B$17="Largest principal lost $",AR271,IF(Controls!$B$17="Highest net profit $",AU271,IF(AO271&lt;Controls!$B$19,-1000000000000000,IF(Controls!$B$17="Highest principal lost rate %",AQ271,IF(Controls!$B$17="Lowest principal lost rate %",1-AQ271,AP271))))))))) +129/1000000)</f>
        <v/>
      </c>
      <c r="AU271" s="57">
        <f>SUMIFS(Data!$AM$2:$AM$1105,Data!$AK$2:$AK$1105,1,Data!$M$2:$M$1105,$AN$271)</f>
        <v/>
      </c>
      <c r="AV271" s="61" t="n"/>
      <c r="AW271" s="61" t="n"/>
      <c r="AX271" s="61" t="n"/>
      <c r="AY271" s="61" t="n"/>
      <c r="AZ271" s="61" t="n"/>
      <c r="BA271" s="61" t="n"/>
      <c r="BB271" s="61">
        <f>Controls!$D$74</f>
        <v/>
      </c>
      <c r="BC271" s="61">
        <f>COUNTIFS(Data!$AK$2:$AK$1105,1,Data!$L$2:$L$1105,$BB$271)</f>
        <v/>
      </c>
      <c r="BD271" s="57">
        <f>SUMIFS(Data!$P$2:$P$1105,Data!$AK$2:$AK$1105,1,Data!$L$2:$L$1105,$BB$271)</f>
        <v/>
      </c>
      <c r="BE271" s="56">
        <f>IF(COUNTIFS(Data!$AK$2:$AK$1105,1,Data!$L$2:$L$1105,$BB$271)&lt;Controls!$B$19,"",IFERROR(SUMIFS(Data!$AN$2:$AN$1105,Data!$AK$2:$AK$1105,1,Data!$L$2:$L$1105,$BB$271)/$BD$271,""))</f>
        <v/>
      </c>
      <c r="BF271" s="56">
        <f>IF(COUNTIFS(Data!$AK$2:$AK$1105,1,Data!$L$2:$L$1105,$BB$271)&lt;Controls!$B$19,"",IFERROR(SUMIFS(Data!$AM$2:$AM$1105,Data!$AK$2:$AK$1105,1,Data!$L$2:$L$1105,$BB$271)/SUMIFS(Data!$P$2:$P$1105,Data!$AK$2:$AK$1105,1,Data!$L$2:$L$1105,$BB$271),""))</f>
        <v/>
      </c>
      <c r="BG271" s="57">
        <f>SUMIFS(Data!$AN$2:$AN$1105,Data!$AK$2:$AK$1105,1,Data!$L$2:$L$1105,$BB$271)</f>
        <v/>
      </c>
      <c r="BH271" s="61" t="n"/>
      <c r="BI271" s="61" t="n"/>
      <c r="BJ271" s="61">
        <f>IF($BC$271&lt;Controls!$B$22,"",ABS($BF$271-SUMIFS(Data!$AM$2:$AM$1105,Data!$AK$2:$AK$1105,1)/SUMIFS(Data!$P$2:$P$1105,Data!$AK$2:$AK$1105,1)))</f>
        <v/>
      </c>
      <c r="BK271" s="56">
        <f>IF($BC$271&lt;Controls!$B$22,"",$BE$271)</f>
        <v/>
      </c>
      <c r="BL271" s="56">
        <f>IF($BC$271&lt;Controls!$B$22,"",$BF$271)</f>
        <v/>
      </c>
      <c r="BM271" s="57">
        <f>IF($BC$271&lt;Controls!$B$22,"",$BG$271)</f>
        <v/>
      </c>
      <c r="BN271" s="61" t="n"/>
      <c r="BO271" s="61" t="n"/>
      <c r="BP271" s="61" t="n"/>
      <c r="BQ271" s="61" t="n"/>
      <c r="BR271" s="61" t="n"/>
      <c r="BS271" s="61" t="n"/>
      <c r="BT271" s="61" t="n"/>
    </row>
    <row r="272" ht="15.75" customHeight="1" s="79">
      <c r="A272" s="61" t="n"/>
      <c r="B272" s="61" t="n"/>
      <c r="C272" s="61" t="n"/>
      <c r="D272" s="61" t="n"/>
      <c r="E272" s="61" t="n"/>
      <c r="F272" s="61" t="n"/>
      <c r="G272" s="61" t="n"/>
      <c r="H272" s="61" t="n"/>
      <c r="I272" s="61" t="n"/>
      <c r="J272" s="61" t="n"/>
      <c r="K272" s="61" t="n"/>
      <c r="L272" s="61" t="n"/>
      <c r="M272" s="61" t="n"/>
      <c r="N272" s="61" t="n"/>
      <c r="O272" s="61" t="n"/>
      <c r="P272" s="61" t="n"/>
      <c r="Q272" s="61" t="n"/>
      <c r="R272" s="61" t="n"/>
      <c r="S272" s="61" t="n"/>
      <c r="T272" s="61" t="n"/>
      <c r="U272" s="61" t="n"/>
      <c r="V272" s="61" t="n"/>
      <c r="W272" s="61" t="n"/>
      <c r="X272" s="61" t="n"/>
      <c r="Y272" s="61" t="n"/>
      <c r="Z272" s="61" t="n"/>
      <c r="AA272" s="61" t="n"/>
      <c r="AB272" s="61" t="n"/>
      <c r="AC272" s="61" t="n"/>
      <c r="AD272" s="61" t="n"/>
      <c r="AE272" s="61" t="n"/>
      <c r="AF272" s="61" t="n"/>
      <c r="AG272" s="61" t="n"/>
      <c r="AH272" s="61" t="n"/>
      <c r="AI272" s="61" t="n"/>
      <c r="AJ272" s="61" t="n"/>
      <c r="AK272" s="61" t="n"/>
      <c r="AL272" s="61" t="n"/>
      <c r="AM272" s="61" t="n"/>
      <c r="AN272" s="61">
        <f>Controls!$G$169</f>
        <v/>
      </c>
      <c r="AO272" s="61">
        <f>COUNTIFS(Data!$AK$2:$AK$1105,1,Data!$M$2:$M$1105,$AN$272)</f>
        <v/>
      </c>
      <c r="AP272" s="57">
        <f>SUMIFS(Data!$P$2:$P$1105,Data!$AK$2:$AK$1105,1,Data!$M$2:$M$1105,$AN$272)</f>
        <v/>
      </c>
      <c r="AQ272" s="56">
        <f>IFERROR(SUMIFS(Data!$AN$2:$AN$1105,Data!$AK$2:$AK$1105,1,Data!$M$2:$M$1105,$AN$272)/$AP$272,0)</f>
        <v/>
      </c>
      <c r="AR272" s="57">
        <f>SUMIFS(Data!$AN$2:$AN$1105,Data!$AK$2:$AK$1105,1,Data!$M$2:$M$1105,$AN$272)</f>
        <v/>
      </c>
      <c r="AS272" s="61">
        <f>Controls!$H$169</f>
        <v/>
      </c>
      <c r="AT272" s="61">
        <f>IF(OR(AO272=0,AO272&lt;Controls!$B$20),-1000000000000000,IF(AND(Controls!$B$21="Y",$AN$272="No ISO"),-1000000000000000,IF(Controls!$B$17="Selected only",IF(AS272="Y",AP272,-1000000000000000),IF(Controls!$B$17="Top by funded $",AP272,IF(Controls!$B$17="Top by funded units",AO272,IF(Controls!$B$17="Largest principal lost $",AR272,IF(Controls!$B$17="Highest net profit $",AU272,IF(AO272&lt;Controls!$B$19,-1000000000000000,IF(Controls!$B$17="Highest principal lost rate %",AQ272,IF(Controls!$B$17="Lowest principal lost rate %",1-AQ272,AP272))))))))) +130/1000000)</f>
        <v/>
      </c>
      <c r="AU272" s="57">
        <f>SUMIFS(Data!$AM$2:$AM$1105,Data!$AK$2:$AK$1105,1,Data!$M$2:$M$1105,$AN$272)</f>
        <v/>
      </c>
      <c r="AV272" s="61" t="n"/>
      <c r="AW272" s="61" t="n"/>
      <c r="AX272" s="61" t="n"/>
      <c r="AY272" s="61" t="n"/>
      <c r="AZ272" s="61" t="n"/>
      <c r="BA272" s="61" t="n"/>
      <c r="BB272" s="61">
        <f>Controls!$D$75</f>
        <v/>
      </c>
      <c r="BC272" s="61">
        <f>COUNTIFS(Data!$AK$2:$AK$1105,1,Data!$L$2:$L$1105,$BB$272)</f>
        <v/>
      </c>
      <c r="BD272" s="57">
        <f>SUMIFS(Data!$P$2:$P$1105,Data!$AK$2:$AK$1105,1,Data!$L$2:$L$1105,$BB$272)</f>
        <v/>
      </c>
      <c r="BE272" s="56">
        <f>IF(COUNTIFS(Data!$AK$2:$AK$1105,1,Data!$L$2:$L$1105,$BB$272)&lt;Controls!$B$19,"",IFERROR(SUMIFS(Data!$AN$2:$AN$1105,Data!$AK$2:$AK$1105,1,Data!$L$2:$L$1105,$BB$272)/$BD$272,""))</f>
        <v/>
      </c>
      <c r="BF272" s="56">
        <f>IF(COUNTIFS(Data!$AK$2:$AK$1105,1,Data!$L$2:$L$1105,$BB$272)&lt;Controls!$B$19,"",IFERROR(SUMIFS(Data!$AM$2:$AM$1105,Data!$AK$2:$AK$1105,1,Data!$L$2:$L$1105,$BB$272)/SUMIFS(Data!$P$2:$P$1105,Data!$AK$2:$AK$1105,1,Data!$L$2:$L$1105,$BB$272),""))</f>
        <v/>
      </c>
      <c r="BG272" s="57">
        <f>SUMIFS(Data!$AN$2:$AN$1105,Data!$AK$2:$AK$1105,1,Data!$L$2:$L$1105,$BB$272)</f>
        <v/>
      </c>
      <c r="BH272" s="61" t="n"/>
      <c r="BI272" s="61" t="n"/>
      <c r="BJ272" s="61">
        <f>IF($BC$272&lt;Controls!$B$22,"",ABS($BF$272-SUMIFS(Data!$AM$2:$AM$1105,Data!$AK$2:$AK$1105,1)/SUMIFS(Data!$P$2:$P$1105,Data!$AK$2:$AK$1105,1)))</f>
        <v/>
      </c>
      <c r="BK272" s="56">
        <f>IF($BC$272&lt;Controls!$B$22,"",$BE$272)</f>
        <v/>
      </c>
      <c r="BL272" s="56">
        <f>IF($BC$272&lt;Controls!$B$22,"",$BF$272)</f>
        <v/>
      </c>
      <c r="BM272" s="57">
        <f>IF($BC$272&lt;Controls!$B$22,"",$BG$272)</f>
        <v/>
      </c>
      <c r="BN272" s="61" t="n"/>
      <c r="BO272" s="61" t="n"/>
      <c r="BP272" s="61" t="n"/>
      <c r="BQ272" s="61" t="n"/>
      <c r="BR272" s="61" t="n"/>
      <c r="BS272" s="61" t="n"/>
      <c r="BT272" s="61" t="n"/>
    </row>
    <row r="273" ht="15.75" customHeight="1" s="79">
      <c r="A273" s="61" t="n"/>
      <c r="B273" s="61" t="n"/>
      <c r="C273" s="61" t="n"/>
      <c r="D273" s="61" t="n"/>
      <c r="E273" s="61" t="n"/>
      <c r="F273" s="61" t="n"/>
      <c r="G273" s="61" t="n"/>
      <c r="H273" s="61" t="n"/>
      <c r="I273" s="61" t="n"/>
      <c r="J273" s="61" t="n"/>
      <c r="K273" s="61" t="n"/>
      <c r="L273" s="61" t="n"/>
      <c r="M273" s="61" t="n"/>
      <c r="N273" s="61" t="n"/>
      <c r="O273" s="61" t="n"/>
      <c r="P273" s="61" t="n"/>
      <c r="Q273" s="61" t="n"/>
      <c r="R273" s="61" t="n"/>
      <c r="S273" s="61" t="n"/>
      <c r="T273" s="61" t="n"/>
      <c r="U273" s="61" t="n"/>
      <c r="V273" s="61" t="n"/>
      <c r="W273" s="61" t="n"/>
      <c r="X273" s="61" t="n"/>
      <c r="Y273" s="61" t="n"/>
      <c r="Z273" s="61" t="n"/>
      <c r="AA273" s="61" t="n"/>
      <c r="AB273" s="61" t="n"/>
      <c r="AC273" s="61" t="n"/>
      <c r="AD273" s="61" t="n"/>
      <c r="AE273" s="61" t="n"/>
      <c r="AF273" s="61" t="n"/>
      <c r="AG273" s="61" t="n"/>
      <c r="AH273" s="61" t="n"/>
      <c r="AI273" s="61" t="n"/>
      <c r="AJ273" s="61" t="n"/>
      <c r="AK273" s="61" t="n"/>
      <c r="AL273" s="61" t="n"/>
      <c r="AM273" s="61" t="n"/>
      <c r="AN273" s="61">
        <f>Controls!$G$170</f>
        <v/>
      </c>
      <c r="AO273" s="61">
        <f>COUNTIFS(Data!$AK$2:$AK$1105,1,Data!$M$2:$M$1105,$AN$273)</f>
        <v/>
      </c>
      <c r="AP273" s="57">
        <f>SUMIFS(Data!$P$2:$P$1105,Data!$AK$2:$AK$1105,1,Data!$M$2:$M$1105,$AN$273)</f>
        <v/>
      </c>
      <c r="AQ273" s="56">
        <f>IFERROR(SUMIFS(Data!$AN$2:$AN$1105,Data!$AK$2:$AK$1105,1,Data!$M$2:$M$1105,$AN$273)/$AP$273,0)</f>
        <v/>
      </c>
      <c r="AR273" s="57">
        <f>SUMIFS(Data!$AN$2:$AN$1105,Data!$AK$2:$AK$1105,1,Data!$M$2:$M$1105,$AN$273)</f>
        <v/>
      </c>
      <c r="AS273" s="61">
        <f>Controls!$H$170</f>
        <v/>
      </c>
      <c r="AT273" s="61">
        <f>IF(OR(AO273=0,AO273&lt;Controls!$B$20),-1000000000000000,IF(AND(Controls!$B$21="Y",$AN$273="No ISO"),-1000000000000000,IF(Controls!$B$17="Selected only",IF(AS273="Y",AP273,-1000000000000000),IF(Controls!$B$17="Top by funded $",AP273,IF(Controls!$B$17="Top by funded units",AO273,IF(Controls!$B$17="Largest principal lost $",AR273,IF(Controls!$B$17="Highest net profit $",AU273,IF(AO273&lt;Controls!$B$19,-1000000000000000,IF(Controls!$B$17="Highest principal lost rate %",AQ273,IF(Controls!$B$17="Lowest principal lost rate %",1-AQ273,AP273))))))))) +131/1000000)</f>
        <v/>
      </c>
      <c r="AU273" s="57">
        <f>SUMIFS(Data!$AM$2:$AM$1105,Data!$AK$2:$AK$1105,1,Data!$M$2:$M$1105,$AN$273)</f>
        <v/>
      </c>
      <c r="AV273" s="61" t="n"/>
      <c r="AW273" s="61" t="n"/>
      <c r="AX273" s="61" t="n"/>
      <c r="AY273" s="61" t="n"/>
      <c r="AZ273" s="61" t="n"/>
      <c r="BA273" s="61" t="n"/>
      <c r="BB273" s="61">
        <f>Controls!$D$76</f>
        <v/>
      </c>
      <c r="BC273" s="61">
        <f>COUNTIFS(Data!$AK$2:$AK$1105,1,Data!$L$2:$L$1105,$BB$273)</f>
        <v/>
      </c>
      <c r="BD273" s="57">
        <f>SUMIFS(Data!$P$2:$P$1105,Data!$AK$2:$AK$1105,1,Data!$L$2:$L$1105,$BB$273)</f>
        <v/>
      </c>
      <c r="BE273" s="56">
        <f>IF(COUNTIFS(Data!$AK$2:$AK$1105,1,Data!$L$2:$L$1105,$BB$273)&lt;Controls!$B$19,"",IFERROR(SUMIFS(Data!$AN$2:$AN$1105,Data!$AK$2:$AK$1105,1,Data!$L$2:$L$1105,$BB$273)/$BD$273,""))</f>
        <v/>
      </c>
      <c r="BF273" s="56">
        <f>IF(COUNTIFS(Data!$AK$2:$AK$1105,1,Data!$L$2:$L$1105,$BB$273)&lt;Controls!$B$19,"",IFERROR(SUMIFS(Data!$AM$2:$AM$1105,Data!$AK$2:$AK$1105,1,Data!$L$2:$L$1105,$BB$273)/SUMIFS(Data!$P$2:$P$1105,Data!$AK$2:$AK$1105,1,Data!$L$2:$L$1105,$BB$273),""))</f>
        <v/>
      </c>
      <c r="BG273" s="57">
        <f>SUMIFS(Data!$AN$2:$AN$1105,Data!$AK$2:$AK$1105,1,Data!$L$2:$L$1105,$BB$273)</f>
        <v/>
      </c>
      <c r="BH273" s="61" t="n"/>
      <c r="BI273" s="61" t="n"/>
      <c r="BJ273" s="61">
        <f>IF($BC$273&lt;Controls!$B$22,"",ABS($BF$273-SUMIFS(Data!$AM$2:$AM$1105,Data!$AK$2:$AK$1105,1)/SUMIFS(Data!$P$2:$P$1105,Data!$AK$2:$AK$1105,1)))</f>
        <v/>
      </c>
      <c r="BK273" s="56">
        <f>IF($BC$273&lt;Controls!$B$22,"",$BE$273)</f>
        <v/>
      </c>
      <c r="BL273" s="56">
        <f>IF($BC$273&lt;Controls!$B$22,"",$BF$273)</f>
        <v/>
      </c>
      <c r="BM273" s="57">
        <f>IF($BC$273&lt;Controls!$B$22,"",$BG$273)</f>
        <v/>
      </c>
      <c r="BN273" s="61" t="n"/>
      <c r="BO273" s="61" t="n"/>
      <c r="BP273" s="61" t="n"/>
      <c r="BQ273" s="61" t="n"/>
      <c r="BR273" s="61" t="n"/>
      <c r="BS273" s="61" t="n"/>
      <c r="BT273" s="61" t="n"/>
    </row>
    <row r="274" ht="15.75" customHeight="1" s="79">
      <c r="A274" s="61" t="n"/>
      <c r="B274" s="61" t="n"/>
      <c r="C274" s="61" t="n"/>
      <c r="D274" s="61" t="n"/>
      <c r="E274" s="61" t="n"/>
      <c r="F274" s="61" t="n"/>
      <c r="G274" s="61" t="n"/>
      <c r="H274" s="61" t="n"/>
      <c r="I274" s="61" t="n"/>
      <c r="J274" s="61" t="n"/>
      <c r="K274" s="61" t="n"/>
      <c r="L274" s="61" t="n"/>
      <c r="M274" s="61" t="n"/>
      <c r="N274" s="61" t="n"/>
      <c r="O274" s="61" t="n"/>
      <c r="P274" s="61" t="n"/>
      <c r="Q274" s="61" t="n"/>
      <c r="R274" s="61" t="n"/>
      <c r="S274" s="61" t="n"/>
      <c r="T274" s="61" t="n"/>
      <c r="U274" s="61" t="n"/>
      <c r="V274" s="61" t="n"/>
      <c r="W274" s="61" t="n"/>
      <c r="X274" s="61" t="n"/>
      <c r="Y274" s="61" t="n"/>
      <c r="Z274" s="61" t="n"/>
      <c r="AA274" s="61" t="n"/>
      <c r="AB274" s="61" t="n"/>
      <c r="AC274" s="61" t="n"/>
      <c r="AD274" s="61" t="n"/>
      <c r="AE274" s="61" t="n"/>
      <c r="AF274" s="61" t="n"/>
      <c r="AG274" s="61" t="n"/>
      <c r="AH274" s="61" t="n"/>
      <c r="AI274" s="61" t="n"/>
      <c r="AJ274" s="61" t="n"/>
      <c r="AK274" s="61" t="n"/>
      <c r="AL274" s="61" t="n"/>
      <c r="AM274" s="61" t="n"/>
      <c r="AN274" s="61">
        <f>Controls!$G$171</f>
        <v/>
      </c>
      <c r="AO274" s="61">
        <f>COUNTIFS(Data!$AK$2:$AK$1105,1,Data!$M$2:$M$1105,$AN$274)</f>
        <v/>
      </c>
      <c r="AP274" s="57">
        <f>SUMIFS(Data!$P$2:$P$1105,Data!$AK$2:$AK$1105,1,Data!$M$2:$M$1105,$AN$274)</f>
        <v/>
      </c>
      <c r="AQ274" s="56">
        <f>IFERROR(SUMIFS(Data!$AN$2:$AN$1105,Data!$AK$2:$AK$1105,1,Data!$M$2:$M$1105,$AN$274)/$AP$274,0)</f>
        <v/>
      </c>
      <c r="AR274" s="57">
        <f>SUMIFS(Data!$AN$2:$AN$1105,Data!$AK$2:$AK$1105,1,Data!$M$2:$M$1105,$AN$274)</f>
        <v/>
      </c>
      <c r="AS274" s="61">
        <f>Controls!$H$171</f>
        <v/>
      </c>
      <c r="AT274" s="61">
        <f>IF(OR(AO274=0,AO274&lt;Controls!$B$20),-1000000000000000,IF(AND(Controls!$B$21="Y",$AN$274="No ISO"),-1000000000000000,IF(Controls!$B$17="Selected only",IF(AS274="Y",AP274,-1000000000000000),IF(Controls!$B$17="Top by funded $",AP274,IF(Controls!$B$17="Top by funded units",AO274,IF(Controls!$B$17="Largest principal lost $",AR274,IF(Controls!$B$17="Highest net profit $",AU274,IF(AO274&lt;Controls!$B$19,-1000000000000000,IF(Controls!$B$17="Highest principal lost rate %",AQ274,IF(Controls!$B$17="Lowest principal lost rate %",1-AQ274,AP274))))))))) +132/1000000)</f>
        <v/>
      </c>
      <c r="AU274" s="57">
        <f>SUMIFS(Data!$AM$2:$AM$1105,Data!$AK$2:$AK$1105,1,Data!$M$2:$M$1105,$AN$274)</f>
        <v/>
      </c>
      <c r="AV274" s="61" t="n"/>
      <c r="AW274" s="61" t="n"/>
      <c r="AX274" s="61" t="n"/>
      <c r="AY274" s="61" t="n"/>
      <c r="AZ274" s="61" t="n"/>
      <c r="BA274" s="61" t="n"/>
      <c r="BB274" s="61">
        <f>Controls!$D$77</f>
        <v/>
      </c>
      <c r="BC274" s="61">
        <f>COUNTIFS(Data!$AK$2:$AK$1105,1,Data!$L$2:$L$1105,$BB$274)</f>
        <v/>
      </c>
      <c r="BD274" s="57">
        <f>SUMIFS(Data!$P$2:$P$1105,Data!$AK$2:$AK$1105,1,Data!$L$2:$L$1105,$BB$274)</f>
        <v/>
      </c>
      <c r="BE274" s="56">
        <f>IF(COUNTIFS(Data!$AK$2:$AK$1105,1,Data!$L$2:$L$1105,$BB$274)&lt;Controls!$B$19,"",IFERROR(SUMIFS(Data!$AN$2:$AN$1105,Data!$AK$2:$AK$1105,1,Data!$L$2:$L$1105,$BB$274)/$BD$274,""))</f>
        <v/>
      </c>
      <c r="BF274" s="56">
        <f>IF(COUNTIFS(Data!$AK$2:$AK$1105,1,Data!$L$2:$L$1105,$BB$274)&lt;Controls!$B$19,"",IFERROR(SUMIFS(Data!$AM$2:$AM$1105,Data!$AK$2:$AK$1105,1,Data!$L$2:$L$1105,$BB$274)/SUMIFS(Data!$P$2:$P$1105,Data!$AK$2:$AK$1105,1,Data!$L$2:$L$1105,$BB$274),""))</f>
        <v/>
      </c>
      <c r="BG274" s="57">
        <f>SUMIFS(Data!$AN$2:$AN$1105,Data!$AK$2:$AK$1105,1,Data!$L$2:$L$1105,$BB$274)</f>
        <v/>
      </c>
      <c r="BH274" s="61" t="n"/>
      <c r="BI274" s="61" t="n"/>
      <c r="BJ274" s="61">
        <f>IF($BC$274&lt;Controls!$B$22,"",ABS($BF$274-SUMIFS(Data!$AM$2:$AM$1105,Data!$AK$2:$AK$1105,1)/SUMIFS(Data!$P$2:$P$1105,Data!$AK$2:$AK$1105,1)))</f>
        <v/>
      </c>
      <c r="BK274" s="56">
        <f>IF($BC$274&lt;Controls!$B$22,"",$BE$274)</f>
        <v/>
      </c>
      <c r="BL274" s="56">
        <f>IF($BC$274&lt;Controls!$B$22,"",$BF$274)</f>
        <v/>
      </c>
      <c r="BM274" s="57">
        <f>IF($BC$274&lt;Controls!$B$22,"",$BG$274)</f>
        <v/>
      </c>
      <c r="BN274" s="61" t="n"/>
      <c r="BO274" s="61" t="n"/>
      <c r="BP274" s="61" t="n"/>
      <c r="BQ274" s="61" t="n"/>
      <c r="BR274" s="61" t="n"/>
      <c r="BS274" s="61" t="n"/>
      <c r="BT274" s="61" t="n"/>
    </row>
    <row r="275" ht="15.75" customHeight="1" s="79">
      <c r="A275" s="61" t="n"/>
      <c r="B275" s="61" t="n"/>
      <c r="C275" s="61" t="n"/>
      <c r="D275" s="61" t="n"/>
      <c r="E275" s="61" t="n"/>
      <c r="F275" s="61" t="n"/>
      <c r="G275" s="61" t="n"/>
      <c r="H275" s="61" t="n"/>
      <c r="I275" s="61" t="n"/>
      <c r="J275" s="61" t="n"/>
      <c r="K275" s="61" t="n"/>
      <c r="L275" s="61" t="n"/>
      <c r="M275" s="61" t="n"/>
      <c r="N275" s="61" t="n"/>
      <c r="O275" s="61" t="n"/>
      <c r="P275" s="61" t="n"/>
      <c r="Q275" s="61" t="n"/>
      <c r="R275" s="61" t="n"/>
      <c r="S275" s="61" t="n"/>
      <c r="T275" s="61" t="n"/>
      <c r="U275" s="61" t="n"/>
      <c r="V275" s="61" t="n"/>
      <c r="W275" s="61" t="n"/>
      <c r="X275" s="61" t="n"/>
      <c r="Y275" s="61" t="n"/>
      <c r="Z275" s="61" t="n"/>
      <c r="AA275" s="61" t="n"/>
      <c r="AB275" s="61" t="n"/>
      <c r="AC275" s="61" t="n"/>
      <c r="AD275" s="61" t="n"/>
      <c r="AE275" s="61" t="n"/>
      <c r="AF275" s="61" t="n"/>
      <c r="AG275" s="61" t="n"/>
      <c r="AH275" s="61" t="n"/>
      <c r="AI275" s="61" t="n"/>
      <c r="AJ275" s="61" t="n"/>
      <c r="AK275" s="61" t="n"/>
      <c r="AL275" s="61" t="n"/>
      <c r="AM275" s="61" t="n"/>
      <c r="AN275" s="61">
        <f>Controls!$G$172</f>
        <v/>
      </c>
      <c r="AO275" s="61">
        <f>COUNTIFS(Data!$AK$2:$AK$1105,1,Data!$M$2:$M$1105,$AN$275)</f>
        <v/>
      </c>
      <c r="AP275" s="57">
        <f>SUMIFS(Data!$P$2:$P$1105,Data!$AK$2:$AK$1105,1,Data!$M$2:$M$1105,$AN$275)</f>
        <v/>
      </c>
      <c r="AQ275" s="56">
        <f>IFERROR(SUMIFS(Data!$AN$2:$AN$1105,Data!$AK$2:$AK$1105,1,Data!$M$2:$M$1105,$AN$275)/$AP$275,0)</f>
        <v/>
      </c>
      <c r="AR275" s="57">
        <f>SUMIFS(Data!$AN$2:$AN$1105,Data!$AK$2:$AK$1105,1,Data!$M$2:$M$1105,$AN$275)</f>
        <v/>
      </c>
      <c r="AS275" s="61">
        <f>Controls!$H$172</f>
        <v/>
      </c>
      <c r="AT275" s="61">
        <f>IF(OR(AO275=0,AO275&lt;Controls!$B$20),-1000000000000000,IF(AND(Controls!$B$21="Y",$AN$275="No ISO"),-1000000000000000,IF(Controls!$B$17="Selected only",IF(AS275="Y",AP275,-1000000000000000),IF(Controls!$B$17="Top by funded $",AP275,IF(Controls!$B$17="Top by funded units",AO275,IF(Controls!$B$17="Largest principal lost $",AR275,IF(Controls!$B$17="Highest net profit $",AU275,IF(AO275&lt;Controls!$B$19,-1000000000000000,IF(Controls!$B$17="Highest principal lost rate %",AQ275,IF(Controls!$B$17="Lowest principal lost rate %",1-AQ275,AP275))))))))) +133/1000000)</f>
        <v/>
      </c>
      <c r="AU275" s="57">
        <f>SUMIFS(Data!$AM$2:$AM$1105,Data!$AK$2:$AK$1105,1,Data!$M$2:$M$1105,$AN$275)</f>
        <v/>
      </c>
      <c r="AV275" s="61" t="n"/>
      <c r="AW275" s="61" t="n"/>
      <c r="AX275" s="61" t="n"/>
      <c r="AY275" s="61" t="n"/>
      <c r="AZ275" s="61" t="n"/>
      <c r="BA275" s="61" t="n"/>
      <c r="BB275" s="61">
        <f>Controls!$D$78</f>
        <v/>
      </c>
      <c r="BC275" s="61">
        <f>COUNTIFS(Data!$AK$2:$AK$1105,1,Data!$L$2:$L$1105,$BB$275)</f>
        <v/>
      </c>
      <c r="BD275" s="57">
        <f>SUMIFS(Data!$P$2:$P$1105,Data!$AK$2:$AK$1105,1,Data!$L$2:$L$1105,$BB$275)</f>
        <v/>
      </c>
      <c r="BE275" s="56">
        <f>IF(COUNTIFS(Data!$AK$2:$AK$1105,1,Data!$L$2:$L$1105,$BB$275)&lt;Controls!$B$19,"",IFERROR(SUMIFS(Data!$AN$2:$AN$1105,Data!$AK$2:$AK$1105,1,Data!$L$2:$L$1105,$BB$275)/$BD$275,""))</f>
        <v/>
      </c>
      <c r="BF275" s="56">
        <f>IF(COUNTIFS(Data!$AK$2:$AK$1105,1,Data!$L$2:$L$1105,$BB$275)&lt;Controls!$B$19,"",IFERROR(SUMIFS(Data!$AM$2:$AM$1105,Data!$AK$2:$AK$1105,1,Data!$L$2:$L$1105,$BB$275)/SUMIFS(Data!$P$2:$P$1105,Data!$AK$2:$AK$1105,1,Data!$L$2:$L$1105,$BB$275),""))</f>
        <v/>
      </c>
      <c r="BG275" s="57">
        <f>SUMIFS(Data!$AN$2:$AN$1105,Data!$AK$2:$AK$1105,1,Data!$L$2:$L$1105,$BB$275)</f>
        <v/>
      </c>
      <c r="BH275" s="61" t="n"/>
      <c r="BI275" s="61" t="n"/>
      <c r="BJ275" s="61">
        <f>IF($BC$275&lt;Controls!$B$22,"",ABS($BF$275-SUMIFS(Data!$AM$2:$AM$1105,Data!$AK$2:$AK$1105,1)/SUMIFS(Data!$P$2:$P$1105,Data!$AK$2:$AK$1105,1)))</f>
        <v/>
      </c>
      <c r="BK275" s="56">
        <f>IF($BC$275&lt;Controls!$B$22,"",$BE$275)</f>
        <v/>
      </c>
      <c r="BL275" s="56">
        <f>IF($BC$275&lt;Controls!$B$22,"",$BF$275)</f>
        <v/>
      </c>
      <c r="BM275" s="57">
        <f>IF($BC$275&lt;Controls!$B$22,"",$BG$275)</f>
        <v/>
      </c>
      <c r="BN275" s="61" t="n"/>
      <c r="BO275" s="61" t="n"/>
      <c r="BP275" s="61" t="n"/>
      <c r="BQ275" s="61" t="n"/>
      <c r="BR275" s="61" t="n"/>
      <c r="BS275" s="61" t="n"/>
      <c r="BT275" s="61" t="n"/>
    </row>
    <row r="276" ht="15.75" customHeight="1" s="79">
      <c r="A276" s="61" t="n"/>
      <c r="B276" s="61" t="n"/>
      <c r="C276" s="61" t="n"/>
      <c r="D276" s="61" t="n"/>
      <c r="E276" s="61" t="n"/>
      <c r="F276" s="61" t="n"/>
      <c r="G276" s="61" t="n"/>
      <c r="H276" s="61" t="n"/>
      <c r="I276" s="61" t="n"/>
      <c r="J276" s="61" t="n"/>
      <c r="K276" s="61" t="n"/>
      <c r="L276" s="61" t="n"/>
      <c r="M276" s="61" t="n"/>
      <c r="N276" s="61" t="n"/>
      <c r="O276" s="61" t="n"/>
      <c r="P276" s="61" t="n"/>
      <c r="Q276" s="61" t="n"/>
      <c r="R276" s="61" t="n"/>
      <c r="S276" s="61" t="n"/>
      <c r="T276" s="61" t="n"/>
      <c r="U276" s="61" t="n"/>
      <c r="V276" s="61" t="n"/>
      <c r="W276" s="61" t="n"/>
      <c r="X276" s="61" t="n"/>
      <c r="Y276" s="61" t="n"/>
      <c r="Z276" s="61" t="n"/>
      <c r="AA276" s="61" t="n"/>
      <c r="AB276" s="61" t="n"/>
      <c r="AC276" s="61" t="n"/>
      <c r="AD276" s="61" t="n"/>
      <c r="AE276" s="61" t="n"/>
      <c r="AF276" s="61" t="n"/>
      <c r="AG276" s="61" t="n"/>
      <c r="AH276" s="61" t="n"/>
      <c r="AI276" s="61" t="n"/>
      <c r="AJ276" s="61" t="n"/>
      <c r="AK276" s="61" t="n"/>
      <c r="AL276" s="61" t="n"/>
      <c r="AM276" s="61" t="n"/>
      <c r="AN276" s="61">
        <f>Controls!$G$173</f>
        <v/>
      </c>
      <c r="AO276" s="61">
        <f>COUNTIFS(Data!$AK$2:$AK$1105,1,Data!$M$2:$M$1105,$AN$276)</f>
        <v/>
      </c>
      <c r="AP276" s="57">
        <f>SUMIFS(Data!$P$2:$P$1105,Data!$AK$2:$AK$1105,1,Data!$M$2:$M$1105,$AN$276)</f>
        <v/>
      </c>
      <c r="AQ276" s="56">
        <f>IFERROR(SUMIFS(Data!$AN$2:$AN$1105,Data!$AK$2:$AK$1105,1,Data!$M$2:$M$1105,$AN$276)/$AP$276,0)</f>
        <v/>
      </c>
      <c r="AR276" s="57">
        <f>SUMIFS(Data!$AN$2:$AN$1105,Data!$AK$2:$AK$1105,1,Data!$M$2:$M$1105,$AN$276)</f>
        <v/>
      </c>
      <c r="AS276" s="61">
        <f>Controls!$H$173</f>
        <v/>
      </c>
      <c r="AT276" s="57">
        <f>IF(OR(AO276=0,AO276&lt;Controls!$B$20),-1000000000000000,IF(AND(Controls!$B$21="Y",$AN$276="No ISO"),-1000000000000000,IF(Controls!$B$17="Selected only",IF(AS276="Y",AP276,-1000000000000000),IF(Controls!$B$17="Top by funded $",AP276,IF(Controls!$B$17="Top by funded units",AO276,IF(Controls!$B$17="Largest principal lost $",AR276,IF(Controls!$B$17="Highest net profit $",AU276,IF(AO276&lt;Controls!$B$19,-1000000000000000,IF(Controls!$B$17="Highest principal lost rate %",AQ276,IF(Controls!$B$17="Lowest principal lost rate %",1-AQ276,AP276))))))))) +134/1000000)</f>
        <v/>
      </c>
      <c r="AU276" s="57">
        <f>SUMIFS(Data!$AM$2:$AM$1105,Data!$AK$2:$AK$1105,1,Data!$M$2:$M$1105,$AN$276)</f>
        <v/>
      </c>
      <c r="AV276" s="61" t="n"/>
      <c r="AW276" s="61" t="n"/>
      <c r="AX276" s="61" t="n"/>
      <c r="AY276" s="61" t="n"/>
      <c r="AZ276" s="61" t="n"/>
      <c r="BA276" s="61" t="n"/>
      <c r="BB276" s="61">
        <f>Controls!$D$79</f>
        <v/>
      </c>
      <c r="BC276" s="61">
        <f>COUNTIFS(Data!$AK$2:$AK$1105,1,Data!$L$2:$L$1105,$BB$276)</f>
        <v/>
      </c>
      <c r="BD276" s="57">
        <f>SUMIFS(Data!$P$2:$P$1105,Data!$AK$2:$AK$1105,1,Data!$L$2:$L$1105,$BB$276)</f>
        <v/>
      </c>
      <c r="BE276" s="56">
        <f>IF(COUNTIFS(Data!$AK$2:$AK$1105,1,Data!$L$2:$L$1105,$BB$276)&lt;Controls!$B$19,"",IFERROR(SUMIFS(Data!$AN$2:$AN$1105,Data!$AK$2:$AK$1105,1,Data!$L$2:$L$1105,$BB$276)/$BD$276,""))</f>
        <v/>
      </c>
      <c r="BF276" s="56">
        <f>IF(COUNTIFS(Data!$AK$2:$AK$1105,1,Data!$L$2:$L$1105,$BB$276)&lt;Controls!$B$19,"",IFERROR(SUMIFS(Data!$AM$2:$AM$1105,Data!$AK$2:$AK$1105,1,Data!$L$2:$L$1105,$BB$276)/SUMIFS(Data!$P$2:$P$1105,Data!$AK$2:$AK$1105,1,Data!$L$2:$L$1105,$BB$276),""))</f>
        <v/>
      </c>
      <c r="BG276" s="57">
        <f>SUMIFS(Data!$AN$2:$AN$1105,Data!$AK$2:$AK$1105,1,Data!$L$2:$L$1105,$BB$276)</f>
        <v/>
      </c>
      <c r="BH276" s="61" t="n"/>
      <c r="BI276" s="61" t="n"/>
      <c r="BJ276" s="61">
        <f>IF($BC$276&lt;Controls!$B$22,"",ABS($BF$276-SUMIFS(Data!$AM$2:$AM$1105,Data!$AK$2:$AK$1105,1)/SUMIFS(Data!$P$2:$P$1105,Data!$AK$2:$AK$1105,1)))</f>
        <v/>
      </c>
      <c r="BK276" s="61">
        <f>IF($BC$276&lt;Controls!$B$22,"",$BE$276)</f>
        <v/>
      </c>
      <c r="BL276" s="61">
        <f>IF($BC$276&lt;Controls!$B$22,"",$BF$276)</f>
        <v/>
      </c>
      <c r="BM276" s="61">
        <f>IF($BC$276&lt;Controls!$B$22,"",$BG$276)</f>
        <v/>
      </c>
      <c r="BN276" s="61" t="n"/>
      <c r="BO276" s="61" t="n"/>
      <c r="BP276" s="61" t="n"/>
      <c r="BQ276" s="61" t="n"/>
      <c r="BR276" s="61" t="n"/>
      <c r="BS276" s="61" t="n"/>
      <c r="BT276" s="61" t="n"/>
    </row>
    <row r="277" ht="15.75" customHeight="1" s="79">
      <c r="A277" s="61" t="n"/>
      <c r="B277" s="61" t="n"/>
      <c r="C277" s="61" t="n"/>
      <c r="D277" s="61" t="n"/>
      <c r="E277" s="61" t="n"/>
      <c r="F277" s="61" t="n"/>
      <c r="G277" s="61" t="n"/>
      <c r="H277" s="61" t="n"/>
      <c r="I277" s="61" t="n"/>
      <c r="J277" s="61" t="n"/>
      <c r="K277" s="61" t="n"/>
      <c r="L277" s="61" t="n"/>
      <c r="M277" s="61" t="n"/>
      <c r="N277" s="61" t="n"/>
      <c r="O277" s="61" t="n"/>
      <c r="P277" s="61" t="n"/>
      <c r="Q277" s="61" t="n"/>
      <c r="R277" s="61" t="n"/>
      <c r="S277" s="61" t="n"/>
      <c r="T277" s="61" t="n"/>
      <c r="U277" s="61" t="n"/>
      <c r="V277" s="61" t="n"/>
      <c r="W277" s="61" t="n"/>
      <c r="X277" s="61" t="n"/>
      <c r="Y277" s="61" t="n"/>
      <c r="Z277" s="61" t="n"/>
      <c r="AA277" s="61" t="n"/>
      <c r="AB277" s="61" t="n"/>
      <c r="AC277" s="61" t="n"/>
      <c r="AD277" s="61" t="n"/>
      <c r="AE277" s="61" t="n"/>
      <c r="AF277" s="61" t="n"/>
      <c r="AG277" s="61" t="n"/>
      <c r="AH277" s="61" t="n"/>
      <c r="AI277" s="61" t="n"/>
      <c r="AJ277" s="61" t="n"/>
      <c r="AK277" s="61" t="n"/>
      <c r="AL277" s="61" t="n"/>
      <c r="AM277" s="61" t="n"/>
      <c r="AN277" s="61">
        <f>Controls!$G$174</f>
        <v/>
      </c>
      <c r="AO277" s="61">
        <f>COUNTIFS(Data!$AK$2:$AK$1105,1,Data!$M$2:$M$1105,$AN$277)</f>
        <v/>
      </c>
      <c r="AP277" s="57">
        <f>SUMIFS(Data!$P$2:$P$1105,Data!$AK$2:$AK$1105,1,Data!$M$2:$M$1105,$AN$277)</f>
        <v/>
      </c>
      <c r="AQ277" s="56">
        <f>IFERROR(SUMIFS(Data!$AN$2:$AN$1105,Data!$AK$2:$AK$1105,1,Data!$M$2:$M$1105,$AN$277)/$AP$277,0)</f>
        <v/>
      </c>
      <c r="AR277" s="57">
        <f>SUMIFS(Data!$AN$2:$AN$1105,Data!$AK$2:$AK$1105,1,Data!$M$2:$M$1105,$AN$277)</f>
        <v/>
      </c>
      <c r="AS277" s="61">
        <f>Controls!$H$174</f>
        <v/>
      </c>
      <c r="AT277" s="61">
        <f>IF(OR(AO277=0,AO277&lt;Controls!$B$20),-1000000000000000,IF(AND(Controls!$B$21="Y",$AN$277="No ISO"),-1000000000000000,IF(Controls!$B$17="Selected only",IF(AS277="Y",AP277,-1000000000000000),IF(Controls!$B$17="Top by funded $",AP277,IF(Controls!$B$17="Top by funded units",AO277,IF(Controls!$B$17="Largest principal lost $",AR277,IF(Controls!$B$17="Highest net profit $",AU277,IF(AO277&lt;Controls!$B$19,-1000000000000000,IF(Controls!$B$17="Highest principal lost rate %",AQ277,IF(Controls!$B$17="Lowest principal lost rate %",1-AQ277,AP277))))))))) +135/1000000)</f>
        <v/>
      </c>
      <c r="AU277" s="57">
        <f>SUMIFS(Data!$AM$2:$AM$1105,Data!$AK$2:$AK$1105,1,Data!$M$2:$M$1105,$AN$277)</f>
        <v/>
      </c>
      <c r="AV277" s="61" t="n"/>
      <c r="AW277" s="61" t="n"/>
      <c r="AX277" s="61" t="n"/>
      <c r="AY277" s="61" t="n"/>
      <c r="AZ277" s="61" t="n"/>
      <c r="BA277" s="61" t="n"/>
      <c r="BB277" s="61">
        <f>Controls!$D$80</f>
        <v/>
      </c>
      <c r="BC277" s="61">
        <f>COUNTIFS(Data!$AK$2:$AK$1105,1,Data!$L$2:$L$1105,$BB$277)</f>
        <v/>
      </c>
      <c r="BD277" s="57">
        <f>SUMIFS(Data!$P$2:$P$1105,Data!$AK$2:$AK$1105,1,Data!$L$2:$L$1105,$BB$277)</f>
        <v/>
      </c>
      <c r="BE277" s="56">
        <f>IF(COUNTIFS(Data!$AK$2:$AK$1105,1,Data!$L$2:$L$1105,$BB$277)&lt;Controls!$B$19,"",IFERROR(SUMIFS(Data!$AN$2:$AN$1105,Data!$AK$2:$AK$1105,1,Data!$L$2:$L$1105,$BB$277)/$BD$277,""))</f>
        <v/>
      </c>
      <c r="BF277" s="56">
        <f>IF(COUNTIFS(Data!$AK$2:$AK$1105,1,Data!$L$2:$L$1105,$BB$277)&lt;Controls!$B$19,"",IFERROR(SUMIFS(Data!$AM$2:$AM$1105,Data!$AK$2:$AK$1105,1,Data!$L$2:$L$1105,$BB$277)/SUMIFS(Data!$P$2:$P$1105,Data!$AK$2:$AK$1105,1,Data!$L$2:$L$1105,$BB$277),""))</f>
        <v/>
      </c>
      <c r="BG277" s="57">
        <f>SUMIFS(Data!$AN$2:$AN$1105,Data!$AK$2:$AK$1105,1,Data!$L$2:$L$1105,$BB$277)</f>
        <v/>
      </c>
      <c r="BH277" s="61" t="n"/>
      <c r="BI277" s="61" t="n"/>
      <c r="BJ277" s="61">
        <f>IF($BC$277&lt;Controls!$B$22,"",ABS($BF$277-SUMIFS(Data!$AM$2:$AM$1105,Data!$AK$2:$AK$1105,1)/SUMIFS(Data!$P$2:$P$1105,Data!$AK$2:$AK$1105,1)))</f>
        <v/>
      </c>
      <c r="BK277" s="56">
        <f>IF($BC$277&lt;Controls!$B$22,"",$BE$277)</f>
        <v/>
      </c>
      <c r="BL277" s="56">
        <f>IF($BC$277&lt;Controls!$B$22,"",$BF$277)</f>
        <v/>
      </c>
      <c r="BM277" s="57">
        <f>IF($BC$277&lt;Controls!$B$22,"",$BG$277)</f>
        <v/>
      </c>
      <c r="BN277" s="61" t="n"/>
      <c r="BO277" s="61" t="n"/>
      <c r="BP277" s="61" t="n"/>
      <c r="BQ277" s="61" t="n"/>
      <c r="BR277" s="61" t="n"/>
      <c r="BS277" s="61" t="n"/>
      <c r="BT277" s="61" t="n"/>
    </row>
    <row r="278" ht="15.75" customHeight="1" s="79">
      <c r="A278" s="61" t="n"/>
      <c r="B278" s="61" t="n"/>
      <c r="C278" s="61" t="n"/>
      <c r="D278" s="61" t="n"/>
      <c r="E278" s="61" t="n"/>
      <c r="F278" s="61" t="n"/>
      <c r="G278" s="61" t="n"/>
      <c r="H278" s="61" t="n"/>
      <c r="I278" s="61" t="n"/>
      <c r="J278" s="61" t="n"/>
      <c r="K278" s="61" t="n"/>
      <c r="L278" s="61" t="n"/>
      <c r="M278" s="61" t="n"/>
      <c r="N278" s="61" t="n"/>
      <c r="O278" s="61" t="n"/>
      <c r="P278" s="61" t="n"/>
      <c r="Q278" s="61" t="n"/>
      <c r="R278" s="61" t="n"/>
      <c r="S278" s="61" t="n"/>
      <c r="T278" s="61" t="n"/>
      <c r="U278" s="61" t="n"/>
      <c r="V278" s="61" t="n"/>
      <c r="W278" s="61" t="n"/>
      <c r="X278" s="61" t="n"/>
      <c r="Y278" s="61" t="n"/>
      <c r="Z278" s="61" t="n"/>
      <c r="AA278" s="61" t="n"/>
      <c r="AB278" s="61" t="n"/>
      <c r="AC278" s="61" t="n"/>
      <c r="AD278" s="61" t="n"/>
      <c r="AE278" s="61" t="n"/>
      <c r="AF278" s="61" t="n"/>
      <c r="AG278" s="61" t="n"/>
      <c r="AH278" s="61" t="n"/>
      <c r="AI278" s="61" t="n"/>
      <c r="AJ278" s="61" t="n"/>
      <c r="AK278" s="61" t="n"/>
      <c r="AL278" s="61" t="n"/>
      <c r="AM278" s="61" t="n"/>
      <c r="AN278" s="61">
        <f>Controls!$G$175</f>
        <v/>
      </c>
      <c r="AO278" s="61">
        <f>COUNTIFS(Data!$AK$2:$AK$1105,1,Data!$M$2:$M$1105,$AN$278)</f>
        <v/>
      </c>
      <c r="AP278" s="57">
        <f>SUMIFS(Data!$P$2:$P$1105,Data!$AK$2:$AK$1105,1,Data!$M$2:$M$1105,$AN$278)</f>
        <v/>
      </c>
      <c r="AQ278" s="56">
        <f>IFERROR(SUMIFS(Data!$AN$2:$AN$1105,Data!$AK$2:$AK$1105,1,Data!$M$2:$M$1105,$AN$278)/$AP$278,0)</f>
        <v/>
      </c>
      <c r="AR278" s="57">
        <f>SUMIFS(Data!$AN$2:$AN$1105,Data!$AK$2:$AK$1105,1,Data!$M$2:$M$1105,$AN$278)</f>
        <v/>
      </c>
      <c r="AS278" s="61">
        <f>Controls!$H$175</f>
        <v/>
      </c>
      <c r="AT278" s="61">
        <f>IF(OR(AO278=0,AO278&lt;Controls!$B$20),-1000000000000000,IF(AND(Controls!$B$21="Y",$AN$278="No ISO"),-1000000000000000,IF(Controls!$B$17="Selected only",IF(AS278="Y",AP278,-1000000000000000),IF(Controls!$B$17="Top by funded $",AP278,IF(Controls!$B$17="Top by funded units",AO278,IF(Controls!$B$17="Largest principal lost $",AR278,IF(Controls!$B$17="Highest net profit $",AU278,IF(AO278&lt;Controls!$B$19,-1000000000000000,IF(Controls!$B$17="Highest principal lost rate %",AQ278,IF(Controls!$B$17="Lowest principal lost rate %",1-AQ278,AP278))))))))) +136/1000000)</f>
        <v/>
      </c>
      <c r="AU278" s="57">
        <f>SUMIFS(Data!$AM$2:$AM$1105,Data!$AK$2:$AK$1105,1,Data!$M$2:$M$1105,$AN$278)</f>
        <v/>
      </c>
      <c r="AV278" s="61" t="n"/>
      <c r="AW278" s="61" t="n"/>
      <c r="AX278" s="61" t="n"/>
      <c r="AY278" s="61" t="n"/>
      <c r="AZ278" s="61" t="n"/>
      <c r="BA278" s="61" t="n"/>
      <c r="BB278" s="61">
        <f>Controls!$D$81</f>
        <v/>
      </c>
      <c r="BC278" s="61">
        <f>COUNTIFS(Data!$AK$2:$AK$1105,1,Data!$L$2:$L$1105,$BB$278)</f>
        <v/>
      </c>
      <c r="BD278" s="57">
        <f>SUMIFS(Data!$P$2:$P$1105,Data!$AK$2:$AK$1105,1,Data!$L$2:$L$1105,$BB$278)</f>
        <v/>
      </c>
      <c r="BE278" s="56">
        <f>IF(COUNTIFS(Data!$AK$2:$AK$1105,1,Data!$L$2:$L$1105,$BB$278)&lt;Controls!$B$19,"",IFERROR(SUMIFS(Data!$AN$2:$AN$1105,Data!$AK$2:$AK$1105,1,Data!$L$2:$L$1105,$BB$278)/$BD$278,""))</f>
        <v/>
      </c>
      <c r="BF278" s="56">
        <f>IF(COUNTIFS(Data!$AK$2:$AK$1105,1,Data!$L$2:$L$1105,$BB$278)&lt;Controls!$B$19,"",IFERROR(SUMIFS(Data!$AM$2:$AM$1105,Data!$AK$2:$AK$1105,1,Data!$L$2:$L$1105,$BB$278)/SUMIFS(Data!$P$2:$P$1105,Data!$AK$2:$AK$1105,1,Data!$L$2:$L$1105,$BB$278),""))</f>
        <v/>
      </c>
      <c r="BG278" s="57">
        <f>SUMIFS(Data!$AN$2:$AN$1105,Data!$AK$2:$AK$1105,1,Data!$L$2:$L$1105,$BB$278)</f>
        <v/>
      </c>
      <c r="BH278" s="61" t="n"/>
      <c r="BI278" s="61" t="n"/>
      <c r="BJ278" s="61">
        <f>IF($BC$278&lt;Controls!$B$22,"",ABS($BF$278-SUMIFS(Data!$AM$2:$AM$1105,Data!$AK$2:$AK$1105,1)/SUMIFS(Data!$P$2:$P$1105,Data!$AK$2:$AK$1105,1)))</f>
        <v/>
      </c>
      <c r="BK278" s="61">
        <f>IF($BC$278&lt;Controls!$B$22,"",$BE$278)</f>
        <v/>
      </c>
      <c r="BL278" s="61">
        <f>IF($BC$278&lt;Controls!$B$22,"",$BF$278)</f>
        <v/>
      </c>
      <c r="BM278" s="61">
        <f>IF($BC$278&lt;Controls!$B$22,"",$BG$278)</f>
        <v/>
      </c>
      <c r="BN278" s="61" t="n"/>
      <c r="BO278" s="61" t="n"/>
      <c r="BP278" s="61" t="n"/>
      <c r="BQ278" s="61" t="n"/>
      <c r="BR278" s="61" t="n"/>
      <c r="BS278" s="61" t="n"/>
      <c r="BT278" s="61" t="n"/>
    </row>
    <row r="279" ht="15.75" customHeight="1" s="79">
      <c r="A279" s="61" t="n"/>
      <c r="B279" s="61" t="n"/>
      <c r="C279" s="61" t="n"/>
      <c r="D279" s="61" t="n"/>
      <c r="E279" s="61" t="n"/>
      <c r="F279" s="61" t="n"/>
      <c r="G279" s="61" t="n"/>
      <c r="H279" s="61" t="n"/>
      <c r="I279" s="61" t="n"/>
      <c r="J279" s="61" t="n"/>
      <c r="K279" s="61" t="n"/>
      <c r="L279" s="61" t="n"/>
      <c r="M279" s="61" t="n"/>
      <c r="N279" s="61" t="n"/>
      <c r="O279" s="61" t="n"/>
      <c r="P279" s="61" t="n"/>
      <c r="Q279" s="61" t="n"/>
      <c r="R279" s="61" t="n"/>
      <c r="S279" s="61" t="n"/>
      <c r="T279" s="61" t="n"/>
      <c r="U279" s="61" t="n"/>
      <c r="V279" s="61" t="n"/>
      <c r="W279" s="61" t="n"/>
      <c r="X279" s="61" t="n"/>
      <c r="Y279" s="61" t="n"/>
      <c r="Z279" s="61" t="n"/>
      <c r="AA279" s="61" t="n"/>
      <c r="AB279" s="61" t="n"/>
      <c r="AC279" s="61" t="n"/>
      <c r="AD279" s="61" t="n"/>
      <c r="AE279" s="61" t="n"/>
      <c r="AF279" s="61" t="n"/>
      <c r="AG279" s="61" t="n"/>
      <c r="AH279" s="61" t="n"/>
      <c r="AI279" s="61" t="n"/>
      <c r="AJ279" s="61" t="n"/>
      <c r="AK279" s="61" t="n"/>
      <c r="AL279" s="61" t="n"/>
      <c r="AM279" s="61" t="n"/>
      <c r="AN279" s="61">
        <f>Controls!$G$176</f>
        <v/>
      </c>
      <c r="AO279" s="61">
        <f>COUNTIFS(Data!$AK$2:$AK$1105,1,Data!$M$2:$M$1105,$AN$279)</f>
        <v/>
      </c>
      <c r="AP279" s="57">
        <f>SUMIFS(Data!$P$2:$P$1105,Data!$AK$2:$AK$1105,1,Data!$M$2:$M$1105,$AN$279)</f>
        <v/>
      </c>
      <c r="AQ279" s="56">
        <f>IFERROR(SUMIFS(Data!$AN$2:$AN$1105,Data!$AK$2:$AK$1105,1,Data!$M$2:$M$1105,$AN$279)/$AP$279,0)</f>
        <v/>
      </c>
      <c r="AR279" s="57">
        <f>SUMIFS(Data!$AN$2:$AN$1105,Data!$AK$2:$AK$1105,1,Data!$M$2:$M$1105,$AN$279)</f>
        <v/>
      </c>
      <c r="AS279" s="61">
        <f>Controls!$H$176</f>
        <v/>
      </c>
      <c r="AT279" s="61">
        <f>IF(OR(AO279=0,AO279&lt;Controls!$B$20),-1000000000000000,IF(AND(Controls!$B$21="Y",$AN$279="No ISO"),-1000000000000000,IF(Controls!$B$17="Selected only",IF(AS279="Y",AP279,-1000000000000000),IF(Controls!$B$17="Top by funded $",AP279,IF(Controls!$B$17="Top by funded units",AO279,IF(Controls!$B$17="Largest principal lost $",AR279,IF(Controls!$B$17="Highest net profit $",AU279,IF(AO279&lt;Controls!$B$19,-1000000000000000,IF(Controls!$B$17="Highest principal lost rate %",AQ279,IF(Controls!$B$17="Lowest principal lost rate %",1-AQ279,AP279))))))))) +137/1000000)</f>
        <v/>
      </c>
      <c r="AU279" s="57">
        <f>SUMIFS(Data!$AM$2:$AM$1105,Data!$AK$2:$AK$1105,1,Data!$M$2:$M$1105,$AN$279)</f>
        <v/>
      </c>
      <c r="AV279" s="61" t="n"/>
      <c r="AW279" s="61" t="n"/>
      <c r="AX279" s="61" t="n"/>
      <c r="AY279" s="61" t="n"/>
      <c r="AZ279" s="61" t="n"/>
      <c r="BA279" s="61" t="n"/>
      <c r="BB279" s="61">
        <f>Controls!$D$82</f>
        <v/>
      </c>
      <c r="BC279" s="61">
        <f>COUNTIFS(Data!$AK$2:$AK$1105,1,Data!$L$2:$L$1105,$BB$279)</f>
        <v/>
      </c>
      <c r="BD279" s="57">
        <f>SUMIFS(Data!$P$2:$P$1105,Data!$AK$2:$AK$1105,1,Data!$L$2:$L$1105,$BB$279)</f>
        <v/>
      </c>
      <c r="BE279" s="56">
        <f>IF(COUNTIFS(Data!$AK$2:$AK$1105,1,Data!$L$2:$L$1105,$BB$279)&lt;Controls!$B$19,"",IFERROR(SUMIFS(Data!$AN$2:$AN$1105,Data!$AK$2:$AK$1105,1,Data!$L$2:$L$1105,$BB$279)/$BD$279,""))</f>
        <v/>
      </c>
      <c r="BF279" s="56">
        <f>IF(COUNTIFS(Data!$AK$2:$AK$1105,1,Data!$L$2:$L$1105,$BB$279)&lt;Controls!$B$19,"",IFERROR(SUMIFS(Data!$AM$2:$AM$1105,Data!$AK$2:$AK$1105,1,Data!$L$2:$L$1105,$BB$279)/SUMIFS(Data!$P$2:$P$1105,Data!$AK$2:$AK$1105,1,Data!$L$2:$L$1105,$BB$279),""))</f>
        <v/>
      </c>
      <c r="BG279" s="57">
        <f>SUMIFS(Data!$AN$2:$AN$1105,Data!$AK$2:$AK$1105,1,Data!$L$2:$L$1105,$BB$279)</f>
        <v/>
      </c>
      <c r="BH279" s="61" t="n"/>
      <c r="BI279" s="61" t="n"/>
      <c r="BJ279" s="61">
        <f>IF($BC$279&lt;Controls!$B$22,"",ABS($BF$279-SUMIFS(Data!$AM$2:$AM$1105,Data!$AK$2:$AK$1105,1)/SUMIFS(Data!$P$2:$P$1105,Data!$AK$2:$AK$1105,1)))</f>
        <v/>
      </c>
      <c r="BK279" s="56">
        <f>IF($BC$279&lt;Controls!$B$22,"",$BE$279)</f>
        <v/>
      </c>
      <c r="BL279" s="56">
        <f>IF($BC$279&lt;Controls!$B$22,"",$BF$279)</f>
        <v/>
      </c>
      <c r="BM279" s="57">
        <f>IF($BC$279&lt;Controls!$B$22,"",$BG$279)</f>
        <v/>
      </c>
      <c r="BN279" s="61" t="n"/>
      <c r="BO279" s="61" t="n"/>
      <c r="BP279" s="61" t="n"/>
      <c r="BQ279" s="61" t="n"/>
      <c r="BR279" s="61" t="n"/>
      <c r="BS279" s="61" t="n"/>
      <c r="BT279" s="61" t="n"/>
    </row>
    <row r="280" ht="15.75" customHeight="1" s="79">
      <c r="A280" s="61" t="n"/>
      <c r="B280" s="61" t="n"/>
      <c r="C280" s="61" t="n"/>
      <c r="D280" s="61" t="n"/>
      <c r="E280" s="61" t="n"/>
      <c r="F280" s="61" t="n"/>
      <c r="G280" s="61" t="n"/>
      <c r="H280" s="61" t="n"/>
      <c r="I280" s="61" t="n"/>
      <c r="J280" s="61" t="n"/>
      <c r="K280" s="61" t="n"/>
      <c r="L280" s="61" t="n"/>
      <c r="M280" s="61" t="n"/>
      <c r="N280" s="61" t="n"/>
      <c r="O280" s="61" t="n"/>
      <c r="P280" s="61" t="n"/>
      <c r="Q280" s="61" t="n"/>
      <c r="R280" s="61" t="n"/>
      <c r="S280" s="61" t="n"/>
      <c r="T280" s="61" t="n"/>
      <c r="U280" s="61" t="n"/>
      <c r="V280" s="61" t="n"/>
      <c r="W280" s="61" t="n"/>
      <c r="X280" s="61" t="n"/>
      <c r="Y280" s="61" t="n"/>
      <c r="Z280" s="61" t="n"/>
      <c r="AA280" s="61" t="n"/>
      <c r="AB280" s="61" t="n"/>
      <c r="AC280" s="61" t="n"/>
      <c r="AD280" s="61" t="n"/>
      <c r="AE280" s="61" t="n"/>
      <c r="AF280" s="61" t="n"/>
      <c r="AG280" s="61" t="n"/>
      <c r="AH280" s="61" t="n"/>
      <c r="AI280" s="61" t="n"/>
      <c r="AJ280" s="61" t="n"/>
      <c r="AK280" s="61" t="n"/>
      <c r="AL280" s="61" t="n"/>
      <c r="AM280" s="61" t="n"/>
      <c r="AN280" s="61">
        <f>Controls!$G$177</f>
        <v/>
      </c>
      <c r="AO280" s="61">
        <f>COUNTIFS(Data!$AK$2:$AK$1105,1,Data!$M$2:$M$1105,$AN$280)</f>
        <v/>
      </c>
      <c r="AP280" s="57">
        <f>SUMIFS(Data!$P$2:$P$1105,Data!$AK$2:$AK$1105,1,Data!$M$2:$M$1105,$AN$280)</f>
        <v/>
      </c>
      <c r="AQ280" s="56">
        <f>IFERROR(SUMIFS(Data!$AN$2:$AN$1105,Data!$AK$2:$AK$1105,1,Data!$M$2:$M$1105,$AN$280)/$AP$280,0)</f>
        <v/>
      </c>
      <c r="AR280" s="57">
        <f>SUMIFS(Data!$AN$2:$AN$1105,Data!$AK$2:$AK$1105,1,Data!$M$2:$M$1105,$AN$280)</f>
        <v/>
      </c>
      <c r="AS280" s="61">
        <f>Controls!$H$177</f>
        <v/>
      </c>
      <c r="AT280" s="61">
        <f>IF(OR(AO280=0,AO280&lt;Controls!$B$20),-1000000000000000,IF(AND(Controls!$B$21="Y",$AN$280="No ISO"),-1000000000000000,IF(Controls!$B$17="Selected only",IF(AS280="Y",AP280,-1000000000000000),IF(Controls!$B$17="Top by funded $",AP280,IF(Controls!$B$17="Top by funded units",AO280,IF(Controls!$B$17="Largest principal lost $",AR280,IF(Controls!$B$17="Highest net profit $",AU280,IF(AO280&lt;Controls!$B$19,-1000000000000000,IF(Controls!$B$17="Highest principal lost rate %",AQ280,IF(Controls!$B$17="Lowest principal lost rate %",1-AQ280,AP280))))))))) +138/1000000)</f>
        <v/>
      </c>
      <c r="AU280" s="57">
        <f>SUMIFS(Data!$AM$2:$AM$1105,Data!$AK$2:$AK$1105,1,Data!$M$2:$M$1105,$AN$280)</f>
        <v/>
      </c>
      <c r="AV280" s="61" t="n"/>
      <c r="AW280" s="61" t="n"/>
      <c r="AX280" s="61" t="n"/>
      <c r="AY280" s="61" t="n"/>
      <c r="AZ280" s="61" t="n"/>
      <c r="BA280" s="61" t="n"/>
      <c r="BB280" s="61">
        <f>Controls!$D$83</f>
        <v/>
      </c>
      <c r="BC280" s="61">
        <f>COUNTIFS(Data!$AK$2:$AK$1105,1,Data!$L$2:$L$1105,$BB$280)</f>
        <v/>
      </c>
      <c r="BD280" s="57">
        <f>SUMIFS(Data!$P$2:$P$1105,Data!$AK$2:$AK$1105,1,Data!$L$2:$L$1105,$BB$280)</f>
        <v/>
      </c>
      <c r="BE280" s="56">
        <f>IF(COUNTIFS(Data!$AK$2:$AK$1105,1,Data!$L$2:$L$1105,$BB$280)&lt;Controls!$B$19,"",IFERROR(SUMIFS(Data!$AN$2:$AN$1105,Data!$AK$2:$AK$1105,1,Data!$L$2:$L$1105,$BB$280)/$BD$280,""))</f>
        <v/>
      </c>
      <c r="BF280" s="56">
        <f>IF(COUNTIFS(Data!$AK$2:$AK$1105,1,Data!$L$2:$L$1105,$BB$280)&lt;Controls!$B$19,"",IFERROR(SUMIFS(Data!$AM$2:$AM$1105,Data!$AK$2:$AK$1105,1,Data!$L$2:$L$1105,$BB$280)/SUMIFS(Data!$P$2:$P$1105,Data!$AK$2:$AK$1105,1,Data!$L$2:$L$1105,$BB$280),""))</f>
        <v/>
      </c>
      <c r="BG280" s="57">
        <f>SUMIFS(Data!$AN$2:$AN$1105,Data!$AK$2:$AK$1105,1,Data!$L$2:$L$1105,$BB$280)</f>
        <v/>
      </c>
      <c r="BH280" s="61" t="n"/>
      <c r="BI280" s="61" t="n"/>
      <c r="BJ280" s="61">
        <f>IF($BC$280&lt;Controls!$B$22,"",ABS($BF$280-SUMIFS(Data!$AM$2:$AM$1105,Data!$AK$2:$AK$1105,1)/SUMIFS(Data!$P$2:$P$1105,Data!$AK$2:$AK$1105,1)))</f>
        <v/>
      </c>
      <c r="BK280" s="56">
        <f>IF($BC$280&lt;Controls!$B$22,"",$BE$280)</f>
        <v/>
      </c>
      <c r="BL280" s="56">
        <f>IF($BC$280&lt;Controls!$B$22,"",$BF$280)</f>
        <v/>
      </c>
      <c r="BM280" s="57">
        <f>IF($BC$280&lt;Controls!$B$22,"",$BG$280)</f>
        <v/>
      </c>
      <c r="BN280" s="61" t="n"/>
      <c r="BO280" s="61" t="n"/>
      <c r="BP280" s="61" t="n"/>
      <c r="BQ280" s="61" t="n"/>
      <c r="BR280" s="61" t="n"/>
      <c r="BS280" s="61" t="n"/>
      <c r="BT280" s="61" t="n"/>
    </row>
    <row r="281" ht="15.75" customHeight="1" s="79">
      <c r="A281" s="61" t="n"/>
      <c r="B281" s="61" t="n"/>
      <c r="C281" s="61" t="n"/>
      <c r="D281" s="61" t="n"/>
      <c r="E281" s="61" t="n"/>
      <c r="F281" s="61" t="n"/>
      <c r="G281" s="61" t="n"/>
      <c r="H281" s="61" t="n"/>
      <c r="I281" s="61" t="n"/>
      <c r="J281" s="61" t="n"/>
      <c r="K281" s="61" t="n"/>
      <c r="L281" s="61" t="n"/>
      <c r="M281" s="61" t="n"/>
      <c r="N281" s="61" t="n"/>
      <c r="O281" s="61" t="n"/>
      <c r="P281" s="61" t="n"/>
      <c r="Q281" s="61" t="n"/>
      <c r="R281" s="61" t="n"/>
      <c r="S281" s="61" t="n"/>
      <c r="T281" s="61" t="n"/>
      <c r="U281" s="61" t="n"/>
      <c r="V281" s="61" t="n"/>
      <c r="W281" s="61" t="n"/>
      <c r="X281" s="61" t="n"/>
      <c r="Y281" s="61" t="n"/>
      <c r="Z281" s="61" t="n"/>
      <c r="AA281" s="61" t="n"/>
      <c r="AB281" s="61" t="n"/>
      <c r="AC281" s="61" t="n"/>
      <c r="AD281" s="61" t="n"/>
      <c r="AE281" s="61" t="n"/>
      <c r="AF281" s="61" t="n"/>
      <c r="AG281" s="61" t="n"/>
      <c r="AH281" s="61" t="n"/>
      <c r="AI281" s="61" t="n"/>
      <c r="AJ281" s="61" t="n"/>
      <c r="AK281" s="61" t="n"/>
      <c r="AL281" s="61" t="n"/>
      <c r="AM281" s="61" t="n"/>
      <c r="AN281" s="61">
        <f>Controls!$G$178</f>
        <v/>
      </c>
      <c r="AO281" s="61">
        <f>COUNTIFS(Data!$AK$2:$AK$1105,1,Data!$M$2:$M$1105,$AN$281)</f>
        <v/>
      </c>
      <c r="AP281" s="57">
        <f>SUMIFS(Data!$P$2:$P$1105,Data!$AK$2:$AK$1105,1,Data!$M$2:$M$1105,$AN$281)</f>
        <v/>
      </c>
      <c r="AQ281" s="56">
        <f>IFERROR(SUMIFS(Data!$AN$2:$AN$1105,Data!$AK$2:$AK$1105,1,Data!$M$2:$M$1105,$AN$281)/$AP$281,0)</f>
        <v/>
      </c>
      <c r="AR281" s="57">
        <f>SUMIFS(Data!$AN$2:$AN$1105,Data!$AK$2:$AK$1105,1,Data!$M$2:$M$1105,$AN$281)</f>
        <v/>
      </c>
      <c r="AS281" s="61">
        <f>Controls!$H$178</f>
        <v/>
      </c>
      <c r="AT281" s="61">
        <f>IF(OR(AO281=0,AO281&lt;Controls!$B$20),-1000000000000000,IF(AND(Controls!$B$21="Y",$AN$281="No ISO"),-1000000000000000,IF(Controls!$B$17="Selected only",IF(AS281="Y",AP281,-1000000000000000),IF(Controls!$B$17="Top by funded $",AP281,IF(Controls!$B$17="Top by funded units",AO281,IF(Controls!$B$17="Largest principal lost $",AR281,IF(Controls!$B$17="Highest net profit $",AU281,IF(AO281&lt;Controls!$B$19,-1000000000000000,IF(Controls!$B$17="Highest principal lost rate %",AQ281,IF(Controls!$B$17="Lowest principal lost rate %",1-AQ281,AP281))))))))) +139/1000000)</f>
        <v/>
      </c>
      <c r="AU281" s="57">
        <f>SUMIFS(Data!$AM$2:$AM$1105,Data!$AK$2:$AK$1105,1,Data!$M$2:$M$1105,$AN$281)</f>
        <v/>
      </c>
      <c r="AV281" s="61" t="n"/>
      <c r="AW281" s="61" t="n"/>
      <c r="AX281" s="61" t="n"/>
      <c r="AY281" s="61" t="n"/>
      <c r="AZ281" s="61" t="n"/>
      <c r="BA281" s="61" t="n"/>
      <c r="BB281" s="61">
        <f>Controls!$D$84</f>
        <v/>
      </c>
      <c r="BC281" s="61">
        <f>COUNTIFS(Data!$AK$2:$AK$1105,1,Data!$L$2:$L$1105,$BB$281)</f>
        <v/>
      </c>
      <c r="BD281" s="57">
        <f>SUMIFS(Data!$P$2:$P$1105,Data!$AK$2:$AK$1105,1,Data!$L$2:$L$1105,$BB$281)</f>
        <v/>
      </c>
      <c r="BE281" s="56">
        <f>IF(COUNTIFS(Data!$AK$2:$AK$1105,1,Data!$L$2:$L$1105,$BB$281)&lt;Controls!$B$19,"",IFERROR(SUMIFS(Data!$AN$2:$AN$1105,Data!$AK$2:$AK$1105,1,Data!$L$2:$L$1105,$BB$281)/$BD$281,""))</f>
        <v/>
      </c>
      <c r="BF281" s="56">
        <f>IF(COUNTIFS(Data!$AK$2:$AK$1105,1,Data!$L$2:$L$1105,$BB$281)&lt;Controls!$B$19,"",IFERROR(SUMIFS(Data!$AM$2:$AM$1105,Data!$AK$2:$AK$1105,1,Data!$L$2:$L$1105,$BB$281)/SUMIFS(Data!$P$2:$P$1105,Data!$AK$2:$AK$1105,1,Data!$L$2:$L$1105,$BB$281),""))</f>
        <v/>
      </c>
      <c r="BG281" s="57">
        <f>SUMIFS(Data!$AN$2:$AN$1105,Data!$AK$2:$AK$1105,1,Data!$L$2:$L$1105,$BB$281)</f>
        <v/>
      </c>
      <c r="BH281" s="61" t="n"/>
      <c r="BI281" s="61" t="n"/>
      <c r="BJ281" s="61">
        <f>IF($BC$281&lt;Controls!$B$22,"",ABS($BF$281-SUMIFS(Data!$AM$2:$AM$1105,Data!$AK$2:$AK$1105,1)/SUMIFS(Data!$P$2:$P$1105,Data!$AK$2:$AK$1105,1)))</f>
        <v/>
      </c>
      <c r="BK281" s="61">
        <f>IF($BC$281&lt;Controls!$B$22,"",$BE$281)</f>
        <v/>
      </c>
      <c r="BL281" s="61">
        <f>IF($BC$281&lt;Controls!$B$22,"",$BF$281)</f>
        <v/>
      </c>
      <c r="BM281" s="61">
        <f>IF($BC$281&lt;Controls!$B$22,"",$BG$281)</f>
        <v/>
      </c>
      <c r="BN281" s="61" t="n"/>
      <c r="BO281" s="61" t="n"/>
      <c r="BP281" s="61" t="n"/>
      <c r="BQ281" s="61" t="n"/>
      <c r="BR281" s="61" t="n"/>
      <c r="BS281" s="61" t="n"/>
      <c r="BT281" s="61" t="n"/>
    </row>
    <row r="282" ht="15.75" customHeight="1" s="79">
      <c r="A282" s="61" t="n"/>
      <c r="B282" s="61" t="n"/>
      <c r="C282" s="61" t="n"/>
      <c r="D282" s="61" t="n"/>
      <c r="E282" s="61" t="n"/>
      <c r="F282" s="61" t="n"/>
      <c r="G282" s="61" t="n"/>
      <c r="H282" s="61" t="n"/>
      <c r="I282" s="61" t="n"/>
      <c r="J282" s="61" t="n"/>
      <c r="K282" s="61" t="n"/>
      <c r="L282" s="61" t="n"/>
      <c r="M282" s="61" t="n"/>
      <c r="N282" s="61" t="n"/>
      <c r="O282" s="61" t="n"/>
      <c r="P282" s="61" t="n"/>
      <c r="Q282" s="61" t="n"/>
      <c r="R282" s="61" t="n"/>
      <c r="S282" s="61" t="n"/>
      <c r="T282" s="61" t="n"/>
      <c r="U282" s="61" t="n"/>
      <c r="V282" s="61" t="n"/>
      <c r="W282" s="61" t="n"/>
      <c r="X282" s="61" t="n"/>
      <c r="Y282" s="61" t="n"/>
      <c r="Z282" s="61" t="n"/>
      <c r="AA282" s="61" t="n"/>
      <c r="AB282" s="61" t="n"/>
      <c r="AC282" s="61" t="n"/>
      <c r="AD282" s="61" t="n"/>
      <c r="AE282" s="61" t="n"/>
      <c r="AF282" s="61" t="n"/>
      <c r="AG282" s="61" t="n"/>
      <c r="AH282" s="61" t="n"/>
      <c r="AI282" s="61" t="n"/>
      <c r="AJ282" s="61" t="n"/>
      <c r="AK282" s="61" t="n"/>
      <c r="AL282" s="61" t="n"/>
      <c r="AM282" s="61" t="n"/>
      <c r="AN282" s="61">
        <f>Controls!$G$179</f>
        <v/>
      </c>
      <c r="AO282" s="61">
        <f>COUNTIFS(Data!$AK$2:$AK$1105,1,Data!$M$2:$M$1105,$AN$282)</f>
        <v/>
      </c>
      <c r="AP282" s="57">
        <f>SUMIFS(Data!$P$2:$P$1105,Data!$AK$2:$AK$1105,1,Data!$M$2:$M$1105,$AN$282)</f>
        <v/>
      </c>
      <c r="AQ282" s="56">
        <f>IFERROR(SUMIFS(Data!$AN$2:$AN$1105,Data!$AK$2:$AK$1105,1,Data!$M$2:$M$1105,$AN$282)/$AP$282,0)</f>
        <v/>
      </c>
      <c r="AR282" s="57">
        <f>SUMIFS(Data!$AN$2:$AN$1105,Data!$AK$2:$AK$1105,1,Data!$M$2:$M$1105,$AN$282)</f>
        <v/>
      </c>
      <c r="AS282" s="61">
        <f>Controls!$H$179</f>
        <v/>
      </c>
      <c r="AT282" s="61">
        <f>IF(OR(AO282=0,AO282&lt;Controls!$B$20),-1000000000000000,IF(AND(Controls!$B$21="Y",$AN$282="No ISO"),-1000000000000000,IF(Controls!$B$17="Selected only",IF(AS282="Y",AP282,-1000000000000000),IF(Controls!$B$17="Top by funded $",AP282,IF(Controls!$B$17="Top by funded units",AO282,IF(Controls!$B$17="Largest principal lost $",AR282,IF(Controls!$B$17="Highest net profit $",AU282,IF(AO282&lt;Controls!$B$19,-1000000000000000,IF(Controls!$B$17="Highest principal lost rate %",AQ282,IF(Controls!$B$17="Lowest principal lost rate %",1-AQ282,AP282))))))))) +140/1000000)</f>
        <v/>
      </c>
      <c r="AU282" s="57">
        <f>SUMIFS(Data!$AM$2:$AM$1105,Data!$AK$2:$AK$1105,1,Data!$M$2:$M$1105,$AN$282)</f>
        <v/>
      </c>
      <c r="AV282" s="61" t="n"/>
      <c r="AW282" s="61" t="n"/>
      <c r="AX282" s="61" t="n"/>
      <c r="AY282" s="61" t="n"/>
      <c r="AZ282" s="61" t="n"/>
      <c r="BA282" s="61" t="n"/>
      <c r="BB282" s="61">
        <f>Controls!$D$85</f>
        <v/>
      </c>
      <c r="BC282" s="61">
        <f>COUNTIFS(Data!$AK$2:$AK$1105,1,Data!$L$2:$L$1105,$BB$282)</f>
        <v/>
      </c>
      <c r="BD282" s="57">
        <f>SUMIFS(Data!$P$2:$P$1105,Data!$AK$2:$AK$1105,1,Data!$L$2:$L$1105,$BB$282)</f>
        <v/>
      </c>
      <c r="BE282" s="56">
        <f>IF(COUNTIFS(Data!$AK$2:$AK$1105,1,Data!$L$2:$L$1105,$BB$282)&lt;Controls!$B$19,"",IFERROR(SUMIFS(Data!$AN$2:$AN$1105,Data!$AK$2:$AK$1105,1,Data!$L$2:$L$1105,$BB$282)/$BD$282,""))</f>
        <v/>
      </c>
      <c r="BF282" s="56">
        <f>IF(COUNTIFS(Data!$AK$2:$AK$1105,1,Data!$L$2:$L$1105,$BB$282)&lt;Controls!$B$19,"",IFERROR(SUMIFS(Data!$AM$2:$AM$1105,Data!$AK$2:$AK$1105,1,Data!$L$2:$L$1105,$BB$282)/SUMIFS(Data!$P$2:$P$1105,Data!$AK$2:$AK$1105,1,Data!$L$2:$L$1105,$BB$282),""))</f>
        <v/>
      </c>
      <c r="BG282" s="57">
        <f>SUMIFS(Data!$AN$2:$AN$1105,Data!$AK$2:$AK$1105,1,Data!$L$2:$L$1105,$BB$282)</f>
        <v/>
      </c>
      <c r="BH282" s="61" t="n"/>
      <c r="BI282" s="61" t="n"/>
      <c r="BJ282" s="61">
        <f>IF($BC$282&lt;Controls!$B$22,"",ABS($BF$282-SUMIFS(Data!$AM$2:$AM$1105,Data!$AK$2:$AK$1105,1)/SUMIFS(Data!$P$2:$P$1105,Data!$AK$2:$AK$1105,1)))</f>
        <v/>
      </c>
      <c r="BK282" s="56">
        <f>IF($BC$282&lt;Controls!$B$22,"",$BE$282)</f>
        <v/>
      </c>
      <c r="BL282" s="56">
        <f>IF($BC$282&lt;Controls!$B$22,"",$BF$282)</f>
        <v/>
      </c>
      <c r="BM282" s="57">
        <f>IF($BC$282&lt;Controls!$B$22,"",$BG$282)</f>
        <v/>
      </c>
      <c r="BN282" s="61" t="n"/>
      <c r="BO282" s="61" t="n"/>
      <c r="BP282" s="61" t="n"/>
      <c r="BQ282" s="61" t="n"/>
      <c r="BR282" s="61" t="n"/>
      <c r="BS282" s="61" t="n"/>
      <c r="BT282" s="61" t="n"/>
    </row>
    <row r="283" ht="15.75" customHeight="1" s="79">
      <c r="A283" s="61" t="n"/>
      <c r="B283" s="61" t="n"/>
      <c r="C283" s="61" t="n"/>
      <c r="D283" s="61" t="n"/>
      <c r="E283" s="61" t="n"/>
      <c r="F283" s="61" t="n"/>
      <c r="G283" s="61" t="n"/>
      <c r="H283" s="61" t="n"/>
      <c r="I283" s="61" t="n"/>
      <c r="J283" s="61" t="n"/>
      <c r="K283" s="61" t="n"/>
      <c r="L283" s="61" t="n"/>
      <c r="M283" s="61" t="n"/>
      <c r="N283" s="61" t="n"/>
      <c r="O283" s="61" t="n"/>
      <c r="P283" s="61" t="n"/>
      <c r="Q283" s="61" t="n"/>
      <c r="R283" s="61" t="n"/>
      <c r="S283" s="61" t="n"/>
      <c r="T283" s="61" t="n"/>
      <c r="U283" s="61" t="n"/>
      <c r="V283" s="61" t="n"/>
      <c r="W283" s="61" t="n"/>
      <c r="X283" s="61" t="n"/>
      <c r="Y283" s="61" t="n"/>
      <c r="Z283" s="61" t="n"/>
      <c r="AA283" s="61" t="n"/>
      <c r="AB283" s="61" t="n"/>
      <c r="AC283" s="61" t="n"/>
      <c r="AD283" s="61" t="n"/>
      <c r="AE283" s="61" t="n"/>
      <c r="AF283" s="61" t="n"/>
      <c r="AG283" s="61" t="n"/>
      <c r="AH283" s="61" t="n"/>
      <c r="AI283" s="61" t="n"/>
      <c r="AJ283" s="61" t="n"/>
      <c r="AK283" s="61" t="n"/>
      <c r="AL283" s="61" t="n"/>
      <c r="AM283" s="61" t="n"/>
      <c r="AN283" s="61">
        <f>Controls!$G$180</f>
        <v/>
      </c>
      <c r="AO283" s="61">
        <f>COUNTIFS(Data!$AK$2:$AK$1105,1,Data!$M$2:$M$1105,$AN$283)</f>
        <v/>
      </c>
      <c r="AP283" s="57">
        <f>SUMIFS(Data!$P$2:$P$1105,Data!$AK$2:$AK$1105,1,Data!$M$2:$M$1105,$AN$283)</f>
        <v/>
      </c>
      <c r="AQ283" s="56">
        <f>IFERROR(SUMIFS(Data!$AN$2:$AN$1105,Data!$AK$2:$AK$1105,1,Data!$M$2:$M$1105,$AN$283)/$AP$283,0)</f>
        <v/>
      </c>
      <c r="AR283" s="57">
        <f>SUMIFS(Data!$AN$2:$AN$1105,Data!$AK$2:$AK$1105,1,Data!$M$2:$M$1105,$AN$283)</f>
        <v/>
      </c>
      <c r="AS283" s="61">
        <f>Controls!$H$180</f>
        <v/>
      </c>
      <c r="AT283" s="61">
        <f>IF(OR(AO283=0,AO283&lt;Controls!$B$20),-1000000000000000,IF(AND(Controls!$B$21="Y",$AN$283="No ISO"),-1000000000000000,IF(Controls!$B$17="Selected only",IF(AS283="Y",AP283,-1000000000000000),IF(Controls!$B$17="Top by funded $",AP283,IF(Controls!$B$17="Top by funded units",AO283,IF(Controls!$B$17="Largest principal lost $",AR283,IF(Controls!$B$17="Highest net profit $",AU283,IF(AO283&lt;Controls!$B$19,-1000000000000000,IF(Controls!$B$17="Highest principal lost rate %",AQ283,IF(Controls!$B$17="Lowest principal lost rate %",1-AQ283,AP283))))))))) +141/1000000)</f>
        <v/>
      </c>
      <c r="AU283" s="57">
        <f>SUMIFS(Data!$AM$2:$AM$1105,Data!$AK$2:$AK$1105,1,Data!$M$2:$M$1105,$AN$283)</f>
        <v/>
      </c>
      <c r="AV283" s="61" t="n"/>
      <c r="AW283" s="61" t="n"/>
      <c r="AX283" s="61" t="n"/>
      <c r="AY283" s="61" t="n"/>
      <c r="AZ283" s="61" t="n"/>
      <c r="BA283" s="61" t="n"/>
      <c r="BB283" s="61">
        <f>Controls!$D$86</f>
        <v/>
      </c>
      <c r="BC283" s="61">
        <f>COUNTIFS(Data!$AK$2:$AK$1105,1,Data!$L$2:$L$1105,$BB$283)</f>
        <v/>
      </c>
      <c r="BD283" s="57">
        <f>SUMIFS(Data!$P$2:$P$1105,Data!$AK$2:$AK$1105,1,Data!$L$2:$L$1105,$BB$283)</f>
        <v/>
      </c>
      <c r="BE283" s="56">
        <f>IF(COUNTIFS(Data!$AK$2:$AK$1105,1,Data!$L$2:$L$1105,$BB$283)&lt;Controls!$B$19,"",IFERROR(SUMIFS(Data!$AN$2:$AN$1105,Data!$AK$2:$AK$1105,1,Data!$L$2:$L$1105,$BB$283)/$BD$283,""))</f>
        <v/>
      </c>
      <c r="BF283" s="56">
        <f>IF(COUNTIFS(Data!$AK$2:$AK$1105,1,Data!$L$2:$L$1105,$BB$283)&lt;Controls!$B$19,"",IFERROR(SUMIFS(Data!$AM$2:$AM$1105,Data!$AK$2:$AK$1105,1,Data!$L$2:$L$1105,$BB$283)/SUMIFS(Data!$P$2:$P$1105,Data!$AK$2:$AK$1105,1,Data!$L$2:$L$1105,$BB$283),""))</f>
        <v/>
      </c>
      <c r="BG283" s="57">
        <f>SUMIFS(Data!$AN$2:$AN$1105,Data!$AK$2:$AK$1105,1,Data!$L$2:$L$1105,$BB$283)</f>
        <v/>
      </c>
      <c r="BH283" s="61" t="n"/>
      <c r="BI283" s="61" t="n"/>
      <c r="BJ283" s="61">
        <f>IF($BC$283&lt;Controls!$B$22,"",ABS($BF$283-SUMIFS(Data!$AM$2:$AM$1105,Data!$AK$2:$AK$1105,1)/SUMIFS(Data!$P$2:$P$1105,Data!$AK$2:$AK$1105,1)))</f>
        <v/>
      </c>
      <c r="BK283" s="61">
        <f>IF($BC$283&lt;Controls!$B$22,"",$BE$283)</f>
        <v/>
      </c>
      <c r="BL283" s="61">
        <f>IF($BC$283&lt;Controls!$B$22,"",$BF$283)</f>
        <v/>
      </c>
      <c r="BM283" s="61">
        <f>IF($BC$283&lt;Controls!$B$22,"",$BG$283)</f>
        <v/>
      </c>
      <c r="BN283" s="61" t="n"/>
      <c r="BO283" s="61" t="n"/>
      <c r="BP283" s="61" t="n"/>
      <c r="BQ283" s="61" t="n"/>
      <c r="BR283" s="61" t="n"/>
      <c r="BS283" s="61" t="n"/>
      <c r="BT283" s="61" t="n"/>
    </row>
    <row r="284" ht="15.75" customHeight="1" s="79">
      <c r="A284" s="61" t="n"/>
      <c r="B284" s="61" t="n"/>
      <c r="C284" s="61" t="n"/>
      <c r="D284" s="61" t="n"/>
      <c r="E284" s="61" t="n"/>
      <c r="F284" s="61" t="n"/>
      <c r="G284" s="61" t="n"/>
      <c r="H284" s="61" t="n"/>
      <c r="I284" s="61" t="n"/>
      <c r="J284" s="61" t="n"/>
      <c r="K284" s="61" t="n"/>
      <c r="L284" s="61" t="n"/>
      <c r="M284" s="61" t="n"/>
      <c r="N284" s="61" t="n"/>
      <c r="O284" s="61" t="n"/>
      <c r="P284" s="61" t="n"/>
      <c r="Q284" s="61" t="n"/>
      <c r="R284" s="61" t="n"/>
      <c r="S284" s="61" t="n"/>
      <c r="T284" s="61" t="n"/>
      <c r="U284" s="61" t="n"/>
      <c r="V284" s="61" t="n"/>
      <c r="W284" s="61" t="n"/>
      <c r="X284" s="61" t="n"/>
      <c r="Y284" s="61" t="n"/>
      <c r="Z284" s="61" t="n"/>
      <c r="AA284" s="61" t="n"/>
      <c r="AB284" s="61" t="n"/>
      <c r="AC284" s="61" t="n"/>
      <c r="AD284" s="61" t="n"/>
      <c r="AE284" s="61" t="n"/>
      <c r="AF284" s="61" t="n"/>
      <c r="AG284" s="61" t="n"/>
      <c r="AH284" s="61" t="n"/>
      <c r="AI284" s="61" t="n"/>
      <c r="AJ284" s="61" t="n"/>
      <c r="AK284" s="61" t="n"/>
      <c r="AL284" s="61" t="n"/>
      <c r="AM284" s="61" t="n"/>
      <c r="AN284" s="61">
        <f>Controls!$G$181</f>
        <v/>
      </c>
      <c r="AO284" s="61">
        <f>COUNTIFS(Data!$AK$2:$AK$1105,1,Data!$M$2:$M$1105,$AN$284)</f>
        <v/>
      </c>
      <c r="AP284" s="57">
        <f>SUMIFS(Data!$P$2:$P$1105,Data!$AK$2:$AK$1105,1,Data!$M$2:$M$1105,$AN$284)</f>
        <v/>
      </c>
      <c r="AQ284" s="56">
        <f>IFERROR(SUMIFS(Data!$AN$2:$AN$1105,Data!$AK$2:$AK$1105,1,Data!$M$2:$M$1105,$AN$284)/$AP$284,0)</f>
        <v/>
      </c>
      <c r="AR284" s="57">
        <f>SUMIFS(Data!$AN$2:$AN$1105,Data!$AK$2:$AK$1105,1,Data!$M$2:$M$1105,$AN$284)</f>
        <v/>
      </c>
      <c r="AS284" s="61">
        <f>Controls!$H$181</f>
        <v/>
      </c>
      <c r="AT284" s="61">
        <f>IF(OR(AO284=0,AO284&lt;Controls!$B$20),-1000000000000000,IF(AND(Controls!$B$21="Y",$AN$284="No ISO"),-1000000000000000,IF(Controls!$B$17="Selected only",IF(AS284="Y",AP284,-1000000000000000),IF(Controls!$B$17="Top by funded $",AP284,IF(Controls!$B$17="Top by funded units",AO284,IF(Controls!$B$17="Largest principal lost $",AR284,IF(Controls!$B$17="Highest net profit $",AU284,IF(AO284&lt;Controls!$B$19,-1000000000000000,IF(Controls!$B$17="Highest principal lost rate %",AQ284,IF(Controls!$B$17="Lowest principal lost rate %",1-AQ284,AP284))))))))) +142/1000000)</f>
        <v/>
      </c>
      <c r="AU284" s="57">
        <f>SUMIFS(Data!$AM$2:$AM$1105,Data!$AK$2:$AK$1105,1,Data!$M$2:$M$1105,$AN$284)</f>
        <v/>
      </c>
      <c r="AV284" s="61" t="n"/>
      <c r="AW284" s="61" t="n"/>
      <c r="AX284" s="61" t="n"/>
      <c r="AY284" s="61" t="n"/>
      <c r="AZ284" s="61" t="n"/>
      <c r="BA284" s="61" t="n"/>
      <c r="BB284" s="61">
        <f>Controls!$D$87</f>
        <v/>
      </c>
      <c r="BC284" s="61">
        <f>COUNTIFS(Data!$AK$2:$AK$1105,1,Data!$L$2:$L$1105,$BB$284)</f>
        <v/>
      </c>
      <c r="BD284" s="57">
        <f>SUMIFS(Data!$P$2:$P$1105,Data!$AK$2:$AK$1105,1,Data!$L$2:$L$1105,$BB$284)</f>
        <v/>
      </c>
      <c r="BE284" s="56">
        <f>IF(COUNTIFS(Data!$AK$2:$AK$1105,1,Data!$L$2:$L$1105,$BB$284)&lt;Controls!$B$19,"",IFERROR(SUMIFS(Data!$AN$2:$AN$1105,Data!$AK$2:$AK$1105,1,Data!$L$2:$L$1105,$BB$284)/$BD$284,""))</f>
        <v/>
      </c>
      <c r="BF284" s="56">
        <f>IF(COUNTIFS(Data!$AK$2:$AK$1105,1,Data!$L$2:$L$1105,$BB$284)&lt;Controls!$B$19,"",IFERROR(SUMIFS(Data!$AM$2:$AM$1105,Data!$AK$2:$AK$1105,1,Data!$L$2:$L$1105,$BB$284)/SUMIFS(Data!$P$2:$P$1105,Data!$AK$2:$AK$1105,1,Data!$L$2:$L$1105,$BB$284),""))</f>
        <v/>
      </c>
      <c r="BG284" s="57">
        <f>SUMIFS(Data!$AN$2:$AN$1105,Data!$AK$2:$AK$1105,1,Data!$L$2:$L$1105,$BB$284)</f>
        <v/>
      </c>
      <c r="BH284" s="61" t="n"/>
      <c r="BI284" s="61" t="n"/>
      <c r="BJ284" s="61">
        <f>IF($BC$284&lt;Controls!$B$22,"",ABS($BF$284-SUMIFS(Data!$AM$2:$AM$1105,Data!$AK$2:$AK$1105,1)/SUMIFS(Data!$P$2:$P$1105,Data!$AK$2:$AK$1105,1)))</f>
        <v/>
      </c>
      <c r="BK284" s="56">
        <f>IF($BC$284&lt;Controls!$B$22,"",$BE$284)</f>
        <v/>
      </c>
      <c r="BL284" s="56">
        <f>IF($BC$284&lt;Controls!$B$22,"",$BF$284)</f>
        <v/>
      </c>
      <c r="BM284" s="57">
        <f>IF($BC$284&lt;Controls!$B$22,"",$BG$284)</f>
        <v/>
      </c>
      <c r="BN284" s="61" t="n"/>
      <c r="BO284" s="61" t="n"/>
      <c r="BP284" s="61" t="n"/>
      <c r="BQ284" s="61" t="n"/>
      <c r="BR284" s="61" t="n"/>
      <c r="BS284" s="61" t="n"/>
      <c r="BT284" s="61" t="n"/>
    </row>
    <row r="285" ht="15.75" customHeight="1" s="79">
      <c r="A285" s="61" t="n"/>
      <c r="B285" s="61" t="n"/>
      <c r="C285" s="61" t="n"/>
      <c r="D285" s="61" t="n"/>
      <c r="E285" s="61" t="n"/>
      <c r="F285" s="61" t="n"/>
      <c r="G285" s="61" t="n"/>
      <c r="H285" s="61" t="n"/>
      <c r="I285" s="61" t="n"/>
      <c r="J285" s="61" t="n"/>
      <c r="K285" s="61" t="n"/>
      <c r="L285" s="61" t="n"/>
      <c r="M285" s="61" t="n"/>
      <c r="N285" s="61" t="n"/>
      <c r="O285" s="61" t="n"/>
      <c r="P285" s="61" t="n"/>
      <c r="Q285" s="61" t="n"/>
      <c r="R285" s="61" t="n"/>
      <c r="S285" s="61" t="n"/>
      <c r="T285" s="61" t="n"/>
      <c r="U285" s="61" t="n"/>
      <c r="V285" s="61" t="n"/>
      <c r="W285" s="61" t="n"/>
      <c r="X285" s="61" t="n"/>
      <c r="Y285" s="61" t="n"/>
      <c r="Z285" s="61" t="n"/>
      <c r="AA285" s="61" t="n"/>
      <c r="AB285" s="61" t="n"/>
      <c r="AC285" s="61" t="n"/>
      <c r="AD285" s="61" t="n"/>
      <c r="AE285" s="61" t="n"/>
      <c r="AF285" s="61" t="n"/>
      <c r="AG285" s="61" t="n"/>
      <c r="AH285" s="61" t="n"/>
      <c r="AI285" s="61" t="n"/>
      <c r="AJ285" s="61" t="n"/>
      <c r="AK285" s="61" t="n"/>
      <c r="AL285" s="61" t="n"/>
      <c r="AM285" s="61" t="n"/>
      <c r="AN285" s="61">
        <f>Controls!$G$182</f>
        <v/>
      </c>
      <c r="AO285" s="61">
        <f>COUNTIFS(Data!$AK$2:$AK$1105,1,Data!$M$2:$M$1105,$AN$285)</f>
        <v/>
      </c>
      <c r="AP285" s="57">
        <f>SUMIFS(Data!$P$2:$P$1105,Data!$AK$2:$AK$1105,1,Data!$M$2:$M$1105,$AN$285)</f>
        <v/>
      </c>
      <c r="AQ285" s="56">
        <f>IFERROR(SUMIFS(Data!$AN$2:$AN$1105,Data!$AK$2:$AK$1105,1,Data!$M$2:$M$1105,$AN$285)/$AP$285,0)</f>
        <v/>
      </c>
      <c r="AR285" s="57">
        <f>SUMIFS(Data!$AN$2:$AN$1105,Data!$AK$2:$AK$1105,1,Data!$M$2:$M$1105,$AN$285)</f>
        <v/>
      </c>
      <c r="AS285" s="61">
        <f>Controls!$H$182</f>
        <v/>
      </c>
      <c r="AT285" s="61">
        <f>IF(OR(AO285=0,AO285&lt;Controls!$B$20),-1000000000000000,IF(AND(Controls!$B$21="Y",$AN$285="No ISO"),-1000000000000000,IF(Controls!$B$17="Selected only",IF(AS285="Y",AP285,-1000000000000000),IF(Controls!$B$17="Top by funded $",AP285,IF(Controls!$B$17="Top by funded units",AO285,IF(Controls!$B$17="Largest principal lost $",AR285,IF(Controls!$B$17="Highest net profit $",AU285,IF(AO285&lt;Controls!$B$19,-1000000000000000,IF(Controls!$B$17="Highest principal lost rate %",AQ285,IF(Controls!$B$17="Lowest principal lost rate %",1-AQ285,AP285))))))))) +143/1000000)</f>
        <v/>
      </c>
      <c r="AU285" s="57">
        <f>SUMIFS(Data!$AM$2:$AM$1105,Data!$AK$2:$AK$1105,1,Data!$M$2:$M$1105,$AN$285)</f>
        <v/>
      </c>
      <c r="AV285" s="61" t="n"/>
      <c r="AW285" s="61" t="n"/>
      <c r="AX285" s="61" t="n"/>
      <c r="AY285" s="61" t="n"/>
      <c r="AZ285" s="61" t="n"/>
      <c r="BA285" s="61" t="n"/>
      <c r="BB285" s="61">
        <f>Controls!$D$88</f>
        <v/>
      </c>
      <c r="BC285" s="61">
        <f>COUNTIFS(Data!$AK$2:$AK$1105,1,Data!$L$2:$L$1105,$BB$285)</f>
        <v/>
      </c>
      <c r="BD285" s="57">
        <f>SUMIFS(Data!$P$2:$P$1105,Data!$AK$2:$AK$1105,1,Data!$L$2:$L$1105,$BB$285)</f>
        <v/>
      </c>
      <c r="BE285" s="56">
        <f>IF(COUNTIFS(Data!$AK$2:$AK$1105,1,Data!$L$2:$L$1105,$BB$285)&lt;Controls!$B$19,"",IFERROR(SUMIFS(Data!$AN$2:$AN$1105,Data!$AK$2:$AK$1105,1,Data!$L$2:$L$1105,$BB$285)/$BD$285,""))</f>
        <v/>
      </c>
      <c r="BF285" s="56">
        <f>IF(COUNTIFS(Data!$AK$2:$AK$1105,1,Data!$L$2:$L$1105,$BB$285)&lt;Controls!$B$19,"",IFERROR(SUMIFS(Data!$AM$2:$AM$1105,Data!$AK$2:$AK$1105,1,Data!$L$2:$L$1105,$BB$285)/SUMIFS(Data!$P$2:$P$1105,Data!$AK$2:$AK$1105,1,Data!$L$2:$L$1105,$BB$285),""))</f>
        <v/>
      </c>
      <c r="BG285" s="57">
        <f>SUMIFS(Data!$AN$2:$AN$1105,Data!$AK$2:$AK$1105,1,Data!$L$2:$L$1105,$BB$285)</f>
        <v/>
      </c>
      <c r="BH285" s="61" t="n"/>
      <c r="BI285" s="61" t="n"/>
      <c r="BJ285" s="61">
        <f>IF($BC$285&lt;Controls!$B$22,"",ABS($BF$285-SUMIFS(Data!$AM$2:$AM$1105,Data!$AK$2:$AK$1105,1)/SUMIFS(Data!$P$2:$P$1105,Data!$AK$2:$AK$1105,1)))</f>
        <v/>
      </c>
      <c r="BK285" s="61">
        <f>IF($BC$285&lt;Controls!$B$22,"",$BE$285)</f>
        <v/>
      </c>
      <c r="BL285" s="61">
        <f>IF($BC$285&lt;Controls!$B$22,"",$BF$285)</f>
        <v/>
      </c>
      <c r="BM285" s="61">
        <f>IF($BC$285&lt;Controls!$B$22,"",$BG$285)</f>
        <v/>
      </c>
      <c r="BN285" s="61" t="n"/>
      <c r="BO285" s="61" t="n"/>
      <c r="BP285" s="61" t="n"/>
      <c r="BQ285" s="61" t="n"/>
      <c r="BR285" s="61" t="n"/>
      <c r="BS285" s="61" t="n"/>
      <c r="BT285" s="61" t="n"/>
    </row>
    <row r="286" ht="15.75" customHeight="1" s="79">
      <c r="A286" s="61" t="n"/>
      <c r="B286" s="61" t="n"/>
      <c r="C286" s="61" t="n"/>
      <c r="D286" s="61" t="n"/>
      <c r="E286" s="61" t="n"/>
      <c r="F286" s="61" t="n"/>
      <c r="G286" s="61" t="n"/>
      <c r="H286" s="61" t="n"/>
      <c r="I286" s="61" t="n"/>
      <c r="J286" s="61" t="n"/>
      <c r="K286" s="61" t="n"/>
      <c r="L286" s="61" t="n"/>
      <c r="M286" s="61" t="n"/>
      <c r="N286" s="61" t="n"/>
      <c r="O286" s="61" t="n"/>
      <c r="P286" s="61" t="n"/>
      <c r="Q286" s="61" t="n"/>
      <c r="R286" s="61" t="n"/>
      <c r="S286" s="61" t="n"/>
      <c r="T286" s="61" t="n"/>
      <c r="U286" s="61" t="n"/>
      <c r="V286" s="61" t="n"/>
      <c r="W286" s="61" t="n"/>
      <c r="X286" s="61" t="n"/>
      <c r="Y286" s="61" t="n"/>
      <c r="Z286" s="61" t="n"/>
      <c r="AA286" s="61" t="n"/>
      <c r="AB286" s="61" t="n"/>
      <c r="AC286" s="61" t="n"/>
      <c r="AD286" s="61" t="n"/>
      <c r="AE286" s="61" t="n"/>
      <c r="AF286" s="61" t="n"/>
      <c r="AG286" s="61" t="n"/>
      <c r="AH286" s="61" t="n"/>
      <c r="AI286" s="61" t="n"/>
      <c r="AJ286" s="61" t="n"/>
      <c r="AK286" s="61" t="n"/>
      <c r="AL286" s="61" t="n"/>
      <c r="AM286" s="61" t="n"/>
      <c r="AN286" s="61">
        <f>Controls!$G$183</f>
        <v/>
      </c>
      <c r="AO286" s="61">
        <f>COUNTIFS(Data!$AK$2:$AK$1105,1,Data!$M$2:$M$1105,$AN$286)</f>
        <v/>
      </c>
      <c r="AP286" s="57">
        <f>SUMIFS(Data!$P$2:$P$1105,Data!$AK$2:$AK$1105,1,Data!$M$2:$M$1105,$AN$286)</f>
        <v/>
      </c>
      <c r="AQ286" s="56">
        <f>IFERROR(SUMIFS(Data!$AN$2:$AN$1105,Data!$AK$2:$AK$1105,1,Data!$M$2:$M$1105,$AN$286)/$AP$286,0)</f>
        <v/>
      </c>
      <c r="AR286" s="57">
        <f>SUMIFS(Data!$AN$2:$AN$1105,Data!$AK$2:$AK$1105,1,Data!$M$2:$M$1105,$AN$286)</f>
        <v/>
      </c>
      <c r="AS286" s="61">
        <f>Controls!$H$183</f>
        <v/>
      </c>
      <c r="AT286" s="61">
        <f>IF(OR(AO286=0,AO286&lt;Controls!$B$20),-1000000000000000,IF(AND(Controls!$B$21="Y",$AN$286="No ISO"),-1000000000000000,IF(Controls!$B$17="Selected only",IF(AS286="Y",AP286,-1000000000000000),IF(Controls!$B$17="Top by funded $",AP286,IF(Controls!$B$17="Top by funded units",AO286,IF(Controls!$B$17="Largest principal lost $",AR286,IF(Controls!$B$17="Highest net profit $",AU286,IF(AO286&lt;Controls!$B$19,-1000000000000000,IF(Controls!$B$17="Highest principal lost rate %",AQ286,IF(Controls!$B$17="Lowest principal lost rate %",1-AQ286,AP286))))))))) +144/1000000)</f>
        <v/>
      </c>
      <c r="AU286" s="57">
        <f>SUMIFS(Data!$AM$2:$AM$1105,Data!$AK$2:$AK$1105,1,Data!$M$2:$M$1105,$AN$286)</f>
        <v/>
      </c>
      <c r="AV286" s="61" t="n"/>
      <c r="AW286" s="61" t="n"/>
      <c r="AX286" s="61" t="n"/>
      <c r="AY286" s="61" t="n"/>
      <c r="AZ286" s="61" t="n"/>
      <c r="BA286" s="61" t="n"/>
      <c r="BB286" s="61">
        <f>Controls!$D$89</f>
        <v/>
      </c>
      <c r="BC286" s="61">
        <f>COUNTIFS(Data!$AK$2:$AK$1105,1,Data!$L$2:$L$1105,$BB$286)</f>
        <v/>
      </c>
      <c r="BD286" s="57">
        <f>SUMIFS(Data!$P$2:$P$1105,Data!$AK$2:$AK$1105,1,Data!$L$2:$L$1105,$BB$286)</f>
        <v/>
      </c>
      <c r="BE286" s="56">
        <f>IF(COUNTIFS(Data!$AK$2:$AK$1105,1,Data!$L$2:$L$1105,$BB$286)&lt;Controls!$B$19,"",IFERROR(SUMIFS(Data!$AN$2:$AN$1105,Data!$AK$2:$AK$1105,1,Data!$L$2:$L$1105,$BB$286)/$BD$286,""))</f>
        <v/>
      </c>
      <c r="BF286" s="56">
        <f>IF(COUNTIFS(Data!$AK$2:$AK$1105,1,Data!$L$2:$L$1105,$BB$286)&lt;Controls!$B$19,"",IFERROR(SUMIFS(Data!$AM$2:$AM$1105,Data!$AK$2:$AK$1105,1,Data!$L$2:$L$1105,$BB$286)/SUMIFS(Data!$P$2:$P$1105,Data!$AK$2:$AK$1105,1,Data!$L$2:$L$1105,$BB$286),""))</f>
        <v/>
      </c>
      <c r="BG286" s="57">
        <f>SUMIFS(Data!$AN$2:$AN$1105,Data!$AK$2:$AK$1105,1,Data!$L$2:$L$1105,$BB$286)</f>
        <v/>
      </c>
      <c r="BH286" s="61" t="n"/>
      <c r="BI286" s="61" t="n"/>
      <c r="BJ286" s="61">
        <f>IF($BC$286&lt;Controls!$B$22,"",ABS($BF$286-SUMIFS(Data!$AM$2:$AM$1105,Data!$AK$2:$AK$1105,1)/SUMIFS(Data!$P$2:$P$1105,Data!$AK$2:$AK$1105,1)))</f>
        <v/>
      </c>
      <c r="BK286" s="61">
        <f>IF($BC$286&lt;Controls!$B$22,"",$BE$286)</f>
        <v/>
      </c>
      <c r="BL286" s="61">
        <f>IF($BC$286&lt;Controls!$B$22,"",$BF$286)</f>
        <v/>
      </c>
      <c r="BM286" s="61">
        <f>IF($BC$286&lt;Controls!$B$22,"",$BG$286)</f>
        <v/>
      </c>
      <c r="BN286" s="61" t="n"/>
      <c r="BO286" s="61" t="n"/>
      <c r="BP286" s="61" t="n"/>
      <c r="BQ286" s="61" t="n"/>
      <c r="BR286" s="61" t="n"/>
      <c r="BS286" s="61" t="n"/>
      <c r="BT286" s="61" t="n"/>
    </row>
    <row r="287" ht="15.75" customHeight="1" s="79">
      <c r="A287" s="61" t="n"/>
      <c r="B287" s="61" t="n"/>
      <c r="C287" s="61" t="n"/>
      <c r="D287" s="61" t="n"/>
      <c r="E287" s="61" t="n"/>
      <c r="F287" s="61" t="n"/>
      <c r="G287" s="61" t="n"/>
      <c r="H287" s="61" t="n"/>
      <c r="I287" s="61" t="n"/>
      <c r="J287" s="61" t="n"/>
      <c r="K287" s="61" t="n"/>
      <c r="L287" s="61" t="n"/>
      <c r="M287" s="61" t="n"/>
      <c r="N287" s="61" t="n"/>
      <c r="O287" s="61" t="n"/>
      <c r="P287" s="61" t="n"/>
      <c r="Q287" s="61" t="n"/>
      <c r="R287" s="61" t="n"/>
      <c r="S287" s="61" t="n"/>
      <c r="T287" s="61" t="n"/>
      <c r="U287" s="61" t="n"/>
      <c r="V287" s="61" t="n"/>
      <c r="W287" s="61" t="n"/>
      <c r="X287" s="61" t="n"/>
      <c r="Y287" s="61" t="n"/>
      <c r="Z287" s="61" t="n"/>
      <c r="AA287" s="61" t="n"/>
      <c r="AB287" s="61" t="n"/>
      <c r="AC287" s="61" t="n"/>
      <c r="AD287" s="61" t="n"/>
      <c r="AE287" s="61" t="n"/>
      <c r="AF287" s="61" t="n"/>
      <c r="AG287" s="61" t="n"/>
      <c r="AH287" s="61" t="n"/>
      <c r="AI287" s="61" t="n"/>
      <c r="AJ287" s="61" t="n"/>
      <c r="AK287" s="61" t="n"/>
      <c r="AL287" s="61" t="n"/>
      <c r="AM287" s="61" t="n"/>
      <c r="AN287" s="61">
        <f>Controls!$G$184</f>
        <v/>
      </c>
      <c r="AO287" s="61">
        <f>COUNTIFS(Data!$AK$2:$AK$1105,1,Data!$M$2:$M$1105,$AN$287)</f>
        <v/>
      </c>
      <c r="AP287" s="57">
        <f>SUMIFS(Data!$P$2:$P$1105,Data!$AK$2:$AK$1105,1,Data!$M$2:$M$1105,$AN$287)</f>
        <v/>
      </c>
      <c r="AQ287" s="56">
        <f>IFERROR(SUMIFS(Data!$AN$2:$AN$1105,Data!$AK$2:$AK$1105,1,Data!$M$2:$M$1105,$AN$287)/$AP$287,0)</f>
        <v/>
      </c>
      <c r="AR287" s="57">
        <f>SUMIFS(Data!$AN$2:$AN$1105,Data!$AK$2:$AK$1105,1,Data!$M$2:$M$1105,$AN$287)</f>
        <v/>
      </c>
      <c r="AS287" s="61">
        <f>Controls!$H$184</f>
        <v/>
      </c>
      <c r="AT287" s="61">
        <f>IF(OR(AO287=0,AO287&lt;Controls!$B$20),-1000000000000000,IF(AND(Controls!$B$21="Y",$AN$287="No ISO"),-1000000000000000,IF(Controls!$B$17="Selected only",IF(AS287="Y",AP287,-1000000000000000),IF(Controls!$B$17="Top by funded $",AP287,IF(Controls!$B$17="Top by funded units",AO287,IF(Controls!$B$17="Largest principal lost $",AR287,IF(Controls!$B$17="Highest net profit $",AU287,IF(AO287&lt;Controls!$B$19,-1000000000000000,IF(Controls!$B$17="Highest principal lost rate %",AQ287,IF(Controls!$B$17="Lowest principal lost rate %",1-AQ287,AP287))))))))) +145/1000000)</f>
        <v/>
      </c>
      <c r="AU287" s="57">
        <f>SUMIFS(Data!$AM$2:$AM$1105,Data!$AK$2:$AK$1105,1,Data!$M$2:$M$1105,$AN$287)</f>
        <v/>
      </c>
      <c r="AV287" s="61" t="n"/>
      <c r="AW287" s="61" t="n"/>
      <c r="AX287" s="61" t="n"/>
      <c r="AY287" s="61" t="n"/>
      <c r="AZ287" s="61" t="n"/>
      <c r="BA287" s="61" t="n"/>
      <c r="BB287" s="61" t="n"/>
      <c r="BC287" s="61" t="n"/>
      <c r="BD287" s="57" t="n"/>
      <c r="BE287" s="56" t="n"/>
      <c r="BF287" s="56" t="n"/>
      <c r="BG287" s="57" t="n"/>
      <c r="BH287" s="61" t="n"/>
      <c r="BI287" s="61" t="n"/>
      <c r="BJ287" s="61" t="n"/>
      <c r="BK287" s="61" t="n"/>
      <c r="BL287" s="61" t="n"/>
      <c r="BM287" s="61" t="n"/>
      <c r="BN287" s="61" t="n"/>
      <c r="BO287" s="61" t="n"/>
      <c r="BP287" s="61" t="n"/>
      <c r="BQ287" s="61" t="n"/>
      <c r="BR287" s="61" t="n"/>
      <c r="BS287" s="61" t="n"/>
      <c r="BT287" s="61" t="n"/>
    </row>
    <row r="288" ht="15.75" customHeight="1" s="79">
      <c r="A288" s="61" t="n"/>
      <c r="B288" s="61" t="n"/>
      <c r="C288" s="61" t="n"/>
      <c r="D288" s="61" t="n"/>
      <c r="E288" s="61" t="n"/>
      <c r="F288" s="61" t="n"/>
      <c r="G288" s="61" t="n"/>
      <c r="H288" s="61" t="n"/>
      <c r="I288" s="61" t="n"/>
      <c r="J288" s="61" t="n"/>
      <c r="K288" s="61" t="n"/>
      <c r="L288" s="61" t="n"/>
      <c r="M288" s="61" t="n"/>
      <c r="N288" s="61" t="n"/>
      <c r="O288" s="61" t="n"/>
      <c r="P288" s="61" t="n"/>
      <c r="Q288" s="61" t="n"/>
      <c r="R288" s="61" t="n"/>
      <c r="S288" s="61" t="n"/>
      <c r="T288" s="61" t="n"/>
      <c r="U288" s="61" t="n"/>
      <c r="V288" s="61" t="n"/>
      <c r="W288" s="61" t="n"/>
      <c r="X288" s="61" t="n"/>
      <c r="Y288" s="61" t="n"/>
      <c r="Z288" s="61" t="n"/>
      <c r="AA288" s="61" t="n"/>
      <c r="AB288" s="61" t="n"/>
      <c r="AC288" s="61" t="n"/>
      <c r="AD288" s="61" t="n"/>
      <c r="AE288" s="61" t="n"/>
      <c r="AF288" s="61" t="n"/>
      <c r="AG288" s="61" t="n"/>
      <c r="AH288" s="61" t="n"/>
      <c r="AI288" s="61" t="n"/>
      <c r="AJ288" s="61" t="n"/>
      <c r="AK288" s="61" t="n"/>
      <c r="AL288" s="61" t="n"/>
      <c r="AM288" s="61" t="n"/>
      <c r="AN288" s="61">
        <f>Controls!$G$185</f>
        <v/>
      </c>
      <c r="AO288" s="61">
        <f>COUNTIFS(Data!$AK$2:$AK$1105,1,Data!$M$2:$M$1105,$AN$288)</f>
        <v/>
      </c>
      <c r="AP288" s="57">
        <f>SUMIFS(Data!$P$2:$P$1105,Data!$AK$2:$AK$1105,1,Data!$M$2:$M$1105,$AN$288)</f>
        <v/>
      </c>
      <c r="AQ288" s="56">
        <f>IFERROR(SUMIFS(Data!$AN$2:$AN$1105,Data!$AK$2:$AK$1105,1,Data!$M$2:$M$1105,$AN$288)/$AP$288,0)</f>
        <v/>
      </c>
      <c r="AR288" s="57">
        <f>SUMIFS(Data!$AN$2:$AN$1105,Data!$AK$2:$AK$1105,1,Data!$M$2:$M$1105,$AN$288)</f>
        <v/>
      </c>
      <c r="AS288" s="61">
        <f>Controls!$H$185</f>
        <v/>
      </c>
      <c r="AT288" s="61">
        <f>IF(OR(AO288=0,AO288&lt;Controls!$B$20),-1000000000000000,IF(AND(Controls!$B$21="Y",$AN$288="No ISO"),-1000000000000000,IF(Controls!$B$17="Selected only",IF(AS288="Y",AP288,-1000000000000000),IF(Controls!$B$17="Top by funded $",AP288,IF(Controls!$B$17="Top by funded units",AO288,IF(Controls!$B$17="Largest principal lost $",AR288,IF(Controls!$B$17="Highest net profit $",AU288,IF(AO288&lt;Controls!$B$19,-1000000000000000,IF(Controls!$B$17="Highest principal lost rate %",AQ288,IF(Controls!$B$17="Lowest principal lost rate %",1-AQ288,AP288))))))))) +146/1000000)</f>
        <v/>
      </c>
      <c r="AU288" s="57">
        <f>SUMIFS(Data!$AM$2:$AM$1105,Data!$AK$2:$AK$1105,1,Data!$M$2:$M$1105,$AN$288)</f>
        <v/>
      </c>
      <c r="AV288" s="61" t="n"/>
      <c r="AW288" s="61" t="n"/>
      <c r="AX288" s="61" t="n"/>
      <c r="AY288" s="61" t="n"/>
      <c r="AZ288" s="61" t="n"/>
      <c r="BA288" s="61" t="n"/>
      <c r="BB288" s="61" t="n"/>
      <c r="BC288" s="61" t="n"/>
      <c r="BD288" s="57" t="n"/>
      <c r="BE288" s="56" t="n"/>
      <c r="BF288" s="56" t="n"/>
      <c r="BG288" s="57" t="n"/>
      <c r="BH288" s="61" t="n"/>
      <c r="BI288" s="61" t="n"/>
      <c r="BJ288" s="61" t="n"/>
      <c r="BK288" s="61" t="n"/>
      <c r="BL288" s="61" t="n"/>
      <c r="BM288" s="61" t="n"/>
      <c r="BN288" s="61" t="n"/>
      <c r="BO288" s="61" t="n"/>
      <c r="BP288" s="61" t="n"/>
      <c r="BQ288" s="61" t="n"/>
      <c r="BR288" s="61" t="n"/>
      <c r="BS288" s="61" t="n"/>
      <c r="BT288" s="61" t="n"/>
    </row>
    <row r="289" ht="15.75" customHeight="1" s="79">
      <c r="A289" s="61" t="n"/>
      <c r="B289" s="61" t="n"/>
      <c r="C289" s="61" t="n"/>
      <c r="D289" s="61" t="n"/>
      <c r="E289" s="61" t="n"/>
      <c r="F289" s="61" t="n"/>
      <c r="G289" s="61" t="n"/>
      <c r="H289" s="61" t="n"/>
      <c r="I289" s="61" t="n"/>
      <c r="J289" s="61" t="n"/>
      <c r="K289" s="61" t="n"/>
      <c r="L289" s="61" t="n"/>
      <c r="M289" s="61" t="n"/>
      <c r="N289" s="61" t="n"/>
      <c r="O289" s="61" t="n"/>
      <c r="P289" s="61" t="n"/>
      <c r="Q289" s="61" t="n"/>
      <c r="R289" s="61" t="n"/>
      <c r="S289" s="61" t="n"/>
      <c r="T289" s="61" t="n"/>
      <c r="U289" s="61" t="n"/>
      <c r="V289" s="61" t="n"/>
      <c r="W289" s="61" t="n"/>
      <c r="X289" s="61" t="n"/>
      <c r="Y289" s="61" t="n"/>
      <c r="Z289" s="61" t="n"/>
      <c r="AA289" s="61" t="n"/>
      <c r="AB289" s="61" t="n"/>
      <c r="AC289" s="61" t="n"/>
      <c r="AD289" s="61" t="n"/>
      <c r="AE289" s="61" t="n"/>
      <c r="AF289" s="61" t="n"/>
      <c r="AG289" s="61" t="n"/>
      <c r="AH289" s="61" t="n"/>
      <c r="AI289" s="61" t="n"/>
      <c r="AJ289" s="61" t="n"/>
      <c r="AK289" s="61" t="n"/>
      <c r="AL289" s="61" t="n"/>
      <c r="AM289" s="61" t="n"/>
      <c r="AN289" s="61">
        <f>Controls!$G$186</f>
        <v/>
      </c>
      <c r="AO289" s="61">
        <f>COUNTIFS(Data!$AK$2:$AK$1105,1,Data!$M$2:$M$1105,$AN$289)</f>
        <v/>
      </c>
      <c r="AP289" s="57">
        <f>SUMIFS(Data!$P$2:$P$1105,Data!$AK$2:$AK$1105,1,Data!$M$2:$M$1105,$AN$289)</f>
        <v/>
      </c>
      <c r="AQ289" s="56">
        <f>IFERROR(SUMIFS(Data!$AN$2:$AN$1105,Data!$AK$2:$AK$1105,1,Data!$M$2:$M$1105,$AN$289)/$AP$289,0)</f>
        <v/>
      </c>
      <c r="AR289" s="57">
        <f>SUMIFS(Data!$AN$2:$AN$1105,Data!$AK$2:$AK$1105,1,Data!$M$2:$M$1105,$AN$289)</f>
        <v/>
      </c>
      <c r="AS289" s="61">
        <f>Controls!$H$186</f>
        <v/>
      </c>
      <c r="AT289" s="61">
        <f>IF(OR(AO289=0,AO289&lt;Controls!$B$20),-1000000000000000,IF(AND(Controls!$B$21="Y",$AN$289="No ISO"),-1000000000000000,IF(Controls!$B$17="Selected only",IF(AS289="Y",AP289,-1000000000000000),IF(Controls!$B$17="Top by funded $",AP289,IF(Controls!$B$17="Top by funded units",AO289,IF(Controls!$B$17="Largest principal lost $",AR289,IF(Controls!$B$17="Highest net profit $",AU289,IF(AO289&lt;Controls!$B$19,-1000000000000000,IF(Controls!$B$17="Highest principal lost rate %",AQ289,IF(Controls!$B$17="Lowest principal lost rate %",1-AQ289,AP289))))))))) +147/1000000)</f>
        <v/>
      </c>
      <c r="AU289" s="57">
        <f>SUMIFS(Data!$AM$2:$AM$1105,Data!$AK$2:$AK$1105,1,Data!$M$2:$M$1105,$AN$289)</f>
        <v/>
      </c>
      <c r="AV289" s="61" t="n"/>
      <c r="AW289" s="61" t="n"/>
      <c r="AX289" s="61" t="n"/>
      <c r="AY289" s="61" t="n"/>
      <c r="AZ289" s="61" t="n"/>
      <c r="BA289" s="61" t="n"/>
      <c r="BB289" s="61" t="n"/>
      <c r="BC289" s="61" t="n"/>
      <c r="BD289" s="57" t="n"/>
      <c r="BE289" s="56" t="n"/>
      <c r="BF289" s="56" t="n"/>
      <c r="BG289" s="57" t="n"/>
      <c r="BH289" s="61" t="n"/>
      <c r="BI289" s="61" t="n"/>
      <c r="BJ289" s="61" t="n"/>
      <c r="BK289" s="61" t="n"/>
      <c r="BL289" s="61" t="n"/>
      <c r="BM289" s="61" t="n"/>
      <c r="BN289" s="61" t="n"/>
      <c r="BO289" s="61" t="n"/>
      <c r="BP289" s="61" t="n"/>
      <c r="BQ289" s="61" t="n"/>
      <c r="BR289" s="61" t="n"/>
      <c r="BS289" s="61" t="n"/>
      <c r="BT289" s="61" t="n"/>
    </row>
    <row r="290" ht="15.75" customHeight="1" s="79">
      <c r="A290" s="61" t="n"/>
      <c r="B290" s="61" t="n"/>
      <c r="C290" s="61" t="n"/>
      <c r="D290" s="61" t="n"/>
      <c r="E290" s="61" t="n"/>
      <c r="F290" s="61" t="n"/>
      <c r="G290" s="61" t="n"/>
      <c r="H290" s="61" t="n"/>
      <c r="I290" s="61" t="n"/>
      <c r="J290" s="61" t="n"/>
      <c r="K290" s="61" t="n"/>
      <c r="L290" s="61" t="n"/>
      <c r="M290" s="61" t="n"/>
      <c r="N290" s="61" t="n"/>
      <c r="O290" s="61" t="n"/>
      <c r="P290" s="61" t="n"/>
      <c r="Q290" s="61" t="n"/>
      <c r="R290" s="61" t="n"/>
      <c r="S290" s="61" t="n"/>
      <c r="T290" s="61" t="n"/>
      <c r="U290" s="61" t="n"/>
      <c r="V290" s="61" t="n"/>
      <c r="W290" s="61" t="n"/>
      <c r="X290" s="61" t="n"/>
      <c r="Y290" s="61" t="n"/>
      <c r="Z290" s="61" t="n"/>
      <c r="AA290" s="61" t="n"/>
      <c r="AB290" s="61" t="n"/>
      <c r="AC290" s="61" t="n"/>
      <c r="AD290" s="61" t="n"/>
      <c r="AE290" s="61" t="n"/>
      <c r="AF290" s="61" t="n"/>
      <c r="AG290" s="61" t="n"/>
      <c r="AH290" s="61" t="n"/>
      <c r="AI290" s="61" t="n"/>
      <c r="AJ290" s="61" t="n"/>
      <c r="AK290" s="61" t="n"/>
      <c r="AL290" s="61" t="n"/>
      <c r="AM290" s="61" t="n"/>
      <c r="AN290" s="61">
        <f>Controls!$G$187</f>
        <v/>
      </c>
      <c r="AO290" s="61">
        <f>COUNTIFS(Data!$AK$2:$AK$1105,1,Data!$M$2:$M$1105,$AN$290)</f>
        <v/>
      </c>
      <c r="AP290" s="57">
        <f>SUMIFS(Data!$P$2:$P$1105,Data!$AK$2:$AK$1105,1,Data!$M$2:$M$1105,$AN$290)</f>
        <v/>
      </c>
      <c r="AQ290" s="56">
        <f>IFERROR(SUMIFS(Data!$AN$2:$AN$1105,Data!$AK$2:$AK$1105,1,Data!$M$2:$M$1105,$AN$290)/$AP$290,0)</f>
        <v/>
      </c>
      <c r="AR290" s="57">
        <f>SUMIFS(Data!$AN$2:$AN$1105,Data!$AK$2:$AK$1105,1,Data!$M$2:$M$1105,$AN$290)</f>
        <v/>
      </c>
      <c r="AS290" s="61">
        <f>Controls!$H$187</f>
        <v/>
      </c>
      <c r="AT290" s="61">
        <f>IF(OR(AO290=0,AO290&lt;Controls!$B$20),-1000000000000000,IF(AND(Controls!$B$21="Y",$AN$290="No ISO"),-1000000000000000,IF(Controls!$B$17="Selected only",IF(AS290="Y",AP290,-1000000000000000),IF(Controls!$B$17="Top by funded $",AP290,IF(Controls!$B$17="Top by funded units",AO290,IF(Controls!$B$17="Largest principal lost $",AR290,IF(Controls!$B$17="Highest net profit $",AU290,IF(AO290&lt;Controls!$B$19,-1000000000000000,IF(Controls!$B$17="Highest principal lost rate %",AQ290,IF(Controls!$B$17="Lowest principal lost rate %",1-AQ290,AP290))))))))) +148/1000000)</f>
        <v/>
      </c>
      <c r="AU290" s="57">
        <f>SUMIFS(Data!$AM$2:$AM$1105,Data!$AK$2:$AK$1105,1,Data!$M$2:$M$1105,$AN$290)</f>
        <v/>
      </c>
      <c r="AV290" s="61" t="n"/>
      <c r="AW290" s="61" t="n"/>
      <c r="AX290" s="61" t="n"/>
      <c r="AY290" s="61" t="n"/>
      <c r="AZ290" s="61" t="n"/>
      <c r="BA290" s="61" t="n"/>
      <c r="BB290" s="61" t="n"/>
      <c r="BC290" s="61" t="n"/>
      <c r="BD290" s="57" t="n"/>
      <c r="BE290" s="56" t="n"/>
      <c r="BF290" s="56" t="n"/>
      <c r="BG290" s="57" t="n"/>
      <c r="BH290" s="61" t="n"/>
      <c r="BI290" s="61" t="n"/>
      <c r="BJ290" s="61" t="n"/>
      <c r="BK290" s="61" t="n"/>
      <c r="BL290" s="61" t="n"/>
      <c r="BM290" s="61" t="n"/>
      <c r="BN290" s="61" t="n"/>
      <c r="BO290" s="61" t="n"/>
      <c r="BP290" s="61" t="n"/>
      <c r="BQ290" s="61" t="n"/>
      <c r="BR290" s="61" t="n"/>
      <c r="BS290" s="61" t="n"/>
      <c r="BT290" s="61" t="n"/>
    </row>
    <row r="291" ht="15.75" customHeight="1" s="79">
      <c r="A291" s="61" t="n"/>
      <c r="B291" s="61" t="n"/>
      <c r="C291" s="61" t="n"/>
      <c r="D291" s="61" t="n"/>
      <c r="E291" s="61" t="n"/>
      <c r="F291" s="61" t="n"/>
      <c r="G291" s="61" t="n"/>
      <c r="H291" s="61" t="n"/>
      <c r="I291" s="61" t="n"/>
      <c r="J291" s="61" t="n"/>
      <c r="K291" s="61" t="n"/>
      <c r="L291" s="61" t="n"/>
      <c r="M291" s="61" t="n"/>
      <c r="N291" s="61" t="n"/>
      <c r="O291" s="61" t="n"/>
      <c r="P291" s="61" t="n"/>
      <c r="Q291" s="61" t="n"/>
      <c r="R291" s="61" t="n"/>
      <c r="S291" s="61" t="n"/>
      <c r="T291" s="61" t="n"/>
      <c r="U291" s="61" t="n"/>
      <c r="V291" s="61" t="n"/>
      <c r="W291" s="61" t="n"/>
      <c r="X291" s="61" t="n"/>
      <c r="Y291" s="61" t="n"/>
      <c r="Z291" s="61" t="n"/>
      <c r="AA291" s="61" t="n"/>
      <c r="AB291" s="61" t="n"/>
      <c r="AC291" s="61" t="n"/>
      <c r="AD291" s="61" t="n"/>
      <c r="AE291" s="61" t="n"/>
      <c r="AF291" s="61" t="n"/>
      <c r="AG291" s="61" t="n"/>
      <c r="AH291" s="61" t="n"/>
      <c r="AI291" s="61" t="n"/>
      <c r="AJ291" s="61" t="n"/>
      <c r="AK291" s="61" t="n"/>
      <c r="AL291" s="61" t="n"/>
      <c r="AM291" s="61" t="n"/>
      <c r="AN291" s="61">
        <f>Controls!$G$188</f>
        <v/>
      </c>
      <c r="AO291" s="61">
        <f>COUNTIFS(Data!$AK$2:$AK$1105,1,Data!$M$2:$M$1105,$AN$291)</f>
        <v/>
      </c>
      <c r="AP291" s="57">
        <f>SUMIFS(Data!$P$2:$P$1105,Data!$AK$2:$AK$1105,1,Data!$M$2:$M$1105,$AN$291)</f>
        <v/>
      </c>
      <c r="AQ291" s="56">
        <f>IFERROR(SUMIFS(Data!$AN$2:$AN$1105,Data!$AK$2:$AK$1105,1,Data!$M$2:$M$1105,$AN$291)/$AP$291,0)</f>
        <v/>
      </c>
      <c r="AR291" s="57">
        <f>SUMIFS(Data!$AN$2:$AN$1105,Data!$AK$2:$AK$1105,1,Data!$M$2:$M$1105,$AN$291)</f>
        <v/>
      </c>
      <c r="AS291" s="61">
        <f>Controls!$H$188</f>
        <v/>
      </c>
      <c r="AT291" s="61">
        <f>IF(OR(AO291=0,AO291&lt;Controls!$B$20),-1000000000000000,IF(AND(Controls!$B$21="Y",$AN$291="No ISO"),-1000000000000000,IF(Controls!$B$17="Selected only",IF(AS291="Y",AP291,-1000000000000000),IF(Controls!$B$17="Top by funded $",AP291,IF(Controls!$B$17="Top by funded units",AO291,IF(Controls!$B$17="Largest principal lost $",AR291,IF(Controls!$B$17="Highest net profit $",AU291,IF(AO291&lt;Controls!$B$19,-1000000000000000,IF(Controls!$B$17="Highest principal lost rate %",AQ291,IF(Controls!$B$17="Lowest principal lost rate %",1-AQ291,AP291))))))))) +149/1000000)</f>
        <v/>
      </c>
      <c r="AU291" s="57">
        <f>SUMIFS(Data!$AM$2:$AM$1105,Data!$AK$2:$AK$1105,1,Data!$M$2:$M$1105,$AN$291)</f>
        <v/>
      </c>
      <c r="AV291" s="61" t="n"/>
      <c r="AW291" s="61" t="n"/>
      <c r="AX291" s="61" t="n"/>
      <c r="AY291" s="61" t="n"/>
      <c r="AZ291" s="61" t="n"/>
      <c r="BA291" s="61" t="n"/>
      <c r="BB291" s="61" t="n"/>
      <c r="BC291" s="61" t="n"/>
      <c r="BD291" s="57" t="n"/>
      <c r="BE291" s="56" t="n"/>
      <c r="BF291" s="56" t="n"/>
      <c r="BG291" s="57" t="n"/>
      <c r="BH291" s="61" t="n"/>
      <c r="BI291" s="61" t="n"/>
      <c r="BJ291" s="61" t="n"/>
      <c r="BK291" s="61" t="n"/>
      <c r="BL291" s="61" t="n"/>
      <c r="BM291" s="61" t="n"/>
      <c r="BN291" s="61" t="n"/>
      <c r="BO291" s="61" t="n"/>
      <c r="BP291" s="61" t="n"/>
      <c r="BQ291" s="61" t="n"/>
      <c r="BR291" s="61" t="n"/>
      <c r="BS291" s="61" t="n"/>
      <c r="BT291" s="61" t="n"/>
    </row>
    <row r="292" ht="15.75" customHeight="1" s="79">
      <c r="A292" s="61" t="n"/>
      <c r="B292" s="61" t="n"/>
      <c r="C292" s="61" t="n"/>
      <c r="D292" s="61" t="n"/>
      <c r="E292" s="61" t="n"/>
      <c r="F292" s="61" t="n"/>
      <c r="G292" s="61" t="n"/>
      <c r="H292" s="61" t="n"/>
      <c r="I292" s="61" t="n"/>
      <c r="J292" s="61" t="n"/>
      <c r="K292" s="61" t="n"/>
      <c r="L292" s="61" t="n"/>
      <c r="M292" s="61" t="n"/>
      <c r="N292" s="61" t="n"/>
      <c r="O292" s="61" t="n"/>
      <c r="P292" s="61" t="n"/>
      <c r="Q292" s="61" t="n"/>
      <c r="R292" s="61" t="n"/>
      <c r="S292" s="61" t="n"/>
      <c r="T292" s="61" t="n"/>
      <c r="U292" s="61" t="n"/>
      <c r="V292" s="61" t="n"/>
      <c r="W292" s="61" t="n"/>
      <c r="X292" s="61" t="n"/>
      <c r="Y292" s="61" t="n"/>
      <c r="Z292" s="61" t="n"/>
      <c r="AA292" s="61" t="n"/>
      <c r="AB292" s="61" t="n"/>
      <c r="AC292" s="61" t="n"/>
      <c r="AD292" s="61" t="n"/>
      <c r="AE292" s="61" t="n"/>
      <c r="AF292" s="61" t="n"/>
      <c r="AG292" s="61" t="n"/>
      <c r="AH292" s="61" t="n"/>
      <c r="AI292" s="61" t="n"/>
      <c r="AJ292" s="61" t="n"/>
      <c r="AK292" s="61" t="n"/>
      <c r="AL292" s="61" t="n"/>
      <c r="AM292" s="61" t="n"/>
      <c r="AN292" s="61">
        <f>Controls!$G$189</f>
        <v/>
      </c>
      <c r="AO292" s="61">
        <f>COUNTIFS(Data!$AK$2:$AK$1105,1,Data!$M$2:$M$1105,$AN$292)</f>
        <v/>
      </c>
      <c r="AP292" s="57">
        <f>SUMIFS(Data!$P$2:$P$1105,Data!$AK$2:$AK$1105,1,Data!$M$2:$M$1105,$AN$292)</f>
        <v/>
      </c>
      <c r="AQ292" s="56">
        <f>IFERROR(SUMIFS(Data!$AN$2:$AN$1105,Data!$AK$2:$AK$1105,1,Data!$M$2:$M$1105,$AN$292)/$AP$292,0)</f>
        <v/>
      </c>
      <c r="AR292" s="57">
        <f>SUMIFS(Data!$AN$2:$AN$1105,Data!$AK$2:$AK$1105,1,Data!$M$2:$M$1105,$AN$292)</f>
        <v/>
      </c>
      <c r="AS292" s="61">
        <f>Controls!$H$189</f>
        <v/>
      </c>
      <c r="AT292" s="61">
        <f>IF(OR(AO292=0,AO292&lt;Controls!$B$20),-1000000000000000,IF(AND(Controls!$B$21="Y",$AN$292="No ISO"),-1000000000000000,IF(Controls!$B$17="Selected only",IF(AS292="Y",AP292,-1000000000000000),IF(Controls!$B$17="Top by funded $",AP292,IF(Controls!$B$17="Top by funded units",AO292,IF(Controls!$B$17="Largest principal lost $",AR292,IF(Controls!$B$17="Highest net profit $",AU292,IF(AO292&lt;Controls!$B$19,-1000000000000000,IF(Controls!$B$17="Highest principal lost rate %",AQ292,IF(Controls!$B$17="Lowest principal lost rate %",1-AQ292,AP292))))))))) +150/1000000)</f>
        <v/>
      </c>
      <c r="AU292" s="57">
        <f>SUMIFS(Data!$AM$2:$AM$1105,Data!$AK$2:$AK$1105,1,Data!$M$2:$M$1105,$AN$292)</f>
        <v/>
      </c>
      <c r="AV292" s="61" t="n"/>
      <c r="AW292" s="61" t="n"/>
      <c r="AX292" s="61" t="n"/>
      <c r="AY292" s="61" t="n"/>
      <c r="AZ292" s="61" t="n"/>
      <c r="BA292" s="61" t="n"/>
      <c r="BB292" s="61" t="n"/>
      <c r="BC292" s="61" t="n"/>
      <c r="BD292" s="57" t="n"/>
      <c r="BE292" s="56" t="n"/>
      <c r="BF292" s="56" t="n"/>
      <c r="BG292" s="57" t="n"/>
      <c r="BH292" s="61" t="n"/>
      <c r="BI292" s="61" t="n"/>
      <c r="BJ292" s="61" t="n"/>
      <c r="BK292" s="61" t="n"/>
      <c r="BL292" s="61" t="n"/>
      <c r="BM292" s="61" t="n"/>
      <c r="BN292" s="61" t="n"/>
      <c r="BO292" s="61" t="n"/>
      <c r="BP292" s="61" t="n"/>
      <c r="BQ292" s="61" t="n"/>
      <c r="BR292" s="61" t="n"/>
      <c r="BS292" s="61" t="n"/>
      <c r="BT292" s="61" t="n"/>
    </row>
    <row r="293" ht="15.75" customHeight="1" s="79">
      <c r="A293" s="61" t="n"/>
      <c r="B293" s="61" t="n"/>
      <c r="C293" s="61" t="n"/>
      <c r="D293" s="61" t="n"/>
      <c r="E293" s="61" t="n"/>
      <c r="F293" s="61" t="n"/>
      <c r="G293" s="61" t="n"/>
      <c r="H293" s="61" t="n"/>
      <c r="I293" s="61" t="n"/>
      <c r="J293" s="61" t="n"/>
      <c r="K293" s="61" t="n"/>
      <c r="L293" s="61" t="n"/>
      <c r="M293" s="61" t="n"/>
      <c r="N293" s="61" t="n"/>
      <c r="O293" s="61" t="n"/>
      <c r="P293" s="61" t="n"/>
      <c r="Q293" s="61" t="n"/>
      <c r="R293" s="61" t="n"/>
      <c r="S293" s="61" t="n"/>
      <c r="T293" s="61" t="n"/>
      <c r="U293" s="61" t="n"/>
      <c r="V293" s="61" t="n"/>
      <c r="W293" s="61" t="n"/>
      <c r="X293" s="61" t="n"/>
      <c r="Y293" s="61" t="n"/>
      <c r="Z293" s="61" t="n"/>
      <c r="AA293" s="61" t="n"/>
      <c r="AB293" s="61" t="n"/>
      <c r="AC293" s="61" t="n"/>
      <c r="AD293" s="61" t="n"/>
      <c r="AE293" s="61" t="n"/>
      <c r="AF293" s="61" t="n"/>
      <c r="AG293" s="61" t="n"/>
      <c r="AH293" s="61" t="n"/>
      <c r="AI293" s="61" t="n"/>
      <c r="AJ293" s="61" t="n"/>
      <c r="AK293" s="61" t="n"/>
      <c r="AL293" s="61" t="n"/>
      <c r="AM293" s="61" t="n"/>
      <c r="AN293" s="61">
        <f>Controls!$G$190</f>
        <v/>
      </c>
      <c r="AO293" s="61">
        <f>COUNTIFS(Data!$AK$2:$AK$1105,1,Data!$M$2:$M$1105,$AN$293)</f>
        <v/>
      </c>
      <c r="AP293" s="57">
        <f>SUMIFS(Data!$P$2:$P$1105,Data!$AK$2:$AK$1105,1,Data!$M$2:$M$1105,$AN$293)</f>
        <v/>
      </c>
      <c r="AQ293" s="56">
        <f>IFERROR(SUMIFS(Data!$AN$2:$AN$1105,Data!$AK$2:$AK$1105,1,Data!$M$2:$M$1105,$AN$293)/$AP$293,0)</f>
        <v/>
      </c>
      <c r="AR293" s="57">
        <f>SUMIFS(Data!$AN$2:$AN$1105,Data!$AK$2:$AK$1105,1,Data!$M$2:$M$1105,$AN$293)</f>
        <v/>
      </c>
      <c r="AS293" s="61">
        <f>Controls!$H$190</f>
        <v/>
      </c>
      <c r="AT293" s="61">
        <f>IF(OR(AO293=0,AO293&lt;Controls!$B$20),-1000000000000000,IF(AND(Controls!$B$21="Y",$AN$293="No ISO"),-1000000000000000,IF(Controls!$B$17="Selected only",IF(AS293="Y",AP293,-1000000000000000),IF(Controls!$B$17="Top by funded $",AP293,IF(Controls!$B$17="Top by funded units",AO293,IF(Controls!$B$17="Largest principal lost $",AR293,IF(Controls!$B$17="Highest net profit $",AU293,IF(AO293&lt;Controls!$B$19,-1000000000000000,IF(Controls!$B$17="Highest principal lost rate %",AQ293,IF(Controls!$B$17="Lowest principal lost rate %",1-AQ293,AP293))))))))) +151/1000000)</f>
        <v/>
      </c>
      <c r="AU293" s="57">
        <f>SUMIFS(Data!$AM$2:$AM$1105,Data!$AK$2:$AK$1105,1,Data!$M$2:$M$1105,$AN$293)</f>
        <v/>
      </c>
      <c r="AV293" s="61" t="n"/>
      <c r="AW293" s="61" t="n"/>
      <c r="AX293" s="61" t="n"/>
      <c r="AY293" s="61" t="n"/>
      <c r="AZ293" s="61" t="n"/>
      <c r="BA293" s="61" t="n"/>
      <c r="BB293" s="61" t="inlineStr">
        <is>
          <t>1</t>
        </is>
      </c>
      <c r="BC293" s="61">
        <f>COUNTIFS(Data!$AK$2:$AK$1105,1,Data!$G$2:$G$1105,$BB$293)</f>
        <v/>
      </c>
      <c r="BD293" s="57">
        <f>SUMIFS(Data!$P$2:$P$1105,Data!$AK$2:$AK$1105,1,Data!$G$2:$G$1105,$BB$293)</f>
        <v/>
      </c>
      <c r="BE293" s="56">
        <f>IF(COUNTIFS(Data!$AK$2:$AK$1105,1,Data!$G$2:$G$1105,$BB$293)&lt;Controls!$B$19,"",IFERROR(SUMIFS(Data!$AN$2:$AN$1105,Data!$AK$2:$AK$1105,1,Data!$G$2:$G$1105,$BB$293)/$BD$293,""))</f>
        <v/>
      </c>
      <c r="BF293" s="56">
        <f>IF(COUNTIFS(Data!$AK$2:$AK$1105,1,Data!$G$2:$G$1105,$BB$293)&lt;Controls!$B$19,"",IFERROR(SUMIFS(Data!$AM$2:$AM$1105,Data!$AK$2:$AK$1105,1,Data!$G$2:$G$1105,$BB$293)/SUMIFS(Data!$P$2:$P$1105,Data!$AK$2:$AK$1105,1,Data!$G$2:$G$1105,$BB$293),""))</f>
        <v/>
      </c>
      <c r="BG293" s="57">
        <f>SUMIFS(Data!$AN$2:$AN$1105,Data!$AK$2:$AK$1105,1,Data!$G$2:$G$1105,$BB$293)</f>
        <v/>
      </c>
      <c r="BH293" s="61" t="n"/>
      <c r="BI293" s="61" t="n"/>
      <c r="BJ293" s="61" t="n"/>
      <c r="BK293" s="56">
        <f>IF($BC$293&lt;Controls!$B$22,"",$BE$293)</f>
        <v/>
      </c>
      <c r="BL293" s="56">
        <f>IF($BC$293&lt;Controls!$B$22,"",$BF$293)</f>
        <v/>
      </c>
      <c r="BM293" s="57">
        <f>IF($BC$293&lt;Controls!$B$22,"",$BG$293)</f>
        <v/>
      </c>
      <c r="BN293" s="61" t="n"/>
      <c r="BO293" s="61" t="n"/>
      <c r="BP293" s="61" t="n"/>
      <c r="BQ293" s="61" t="n"/>
      <c r="BR293" s="61" t="n"/>
      <c r="BS293" s="61" t="n"/>
      <c r="BT293" s="61" t="n"/>
    </row>
    <row r="294" ht="15.75" customHeight="1" s="79">
      <c r="A294" s="61" t="n"/>
      <c r="B294" s="61" t="n"/>
      <c r="C294" s="61" t="n"/>
      <c r="D294" s="61" t="n"/>
      <c r="E294" s="61" t="n"/>
      <c r="F294" s="61" t="n"/>
      <c r="G294" s="61" t="n"/>
      <c r="H294" s="61" t="n"/>
      <c r="I294" s="61" t="n"/>
      <c r="J294" s="61" t="n"/>
      <c r="K294" s="61" t="n"/>
      <c r="L294" s="61" t="n"/>
      <c r="M294" s="61" t="n"/>
      <c r="N294" s="61" t="n"/>
      <c r="O294" s="61" t="n"/>
      <c r="P294" s="61" t="n"/>
      <c r="Q294" s="61" t="n"/>
      <c r="R294" s="61" t="n"/>
      <c r="S294" s="61" t="n"/>
      <c r="T294" s="61" t="n"/>
      <c r="U294" s="61" t="n"/>
      <c r="V294" s="61" t="n"/>
      <c r="W294" s="61" t="n"/>
      <c r="X294" s="61" t="n"/>
      <c r="Y294" s="61" t="n"/>
      <c r="Z294" s="61" t="n"/>
      <c r="AA294" s="61" t="n"/>
      <c r="AB294" s="61" t="n"/>
      <c r="AC294" s="61" t="n"/>
      <c r="AD294" s="61" t="n"/>
      <c r="AE294" s="61" t="n"/>
      <c r="AF294" s="61" t="n"/>
      <c r="AG294" s="61" t="n"/>
      <c r="AH294" s="61" t="n"/>
      <c r="AI294" s="61" t="n"/>
      <c r="AJ294" s="61" t="n"/>
      <c r="AK294" s="61" t="n"/>
      <c r="AL294" s="61" t="n"/>
      <c r="AM294" s="61" t="n"/>
      <c r="AN294" s="61">
        <f>Controls!$G$191</f>
        <v/>
      </c>
      <c r="AO294" s="61">
        <f>COUNTIFS(Data!$AK$2:$AK$1105,1,Data!$M$2:$M$1105,$AN$294)</f>
        <v/>
      </c>
      <c r="AP294" s="57">
        <f>SUMIFS(Data!$P$2:$P$1105,Data!$AK$2:$AK$1105,1,Data!$M$2:$M$1105,$AN$294)</f>
        <v/>
      </c>
      <c r="AQ294" s="56">
        <f>IFERROR(SUMIFS(Data!$AN$2:$AN$1105,Data!$AK$2:$AK$1105,1,Data!$M$2:$M$1105,$AN$294)/$AP$294,0)</f>
        <v/>
      </c>
      <c r="AR294" s="57">
        <f>SUMIFS(Data!$AN$2:$AN$1105,Data!$AK$2:$AK$1105,1,Data!$M$2:$M$1105,$AN$294)</f>
        <v/>
      </c>
      <c r="AS294" s="61">
        <f>Controls!$H$191</f>
        <v/>
      </c>
      <c r="AT294" s="61">
        <f>IF(OR(AO294=0,AO294&lt;Controls!$B$20),-1000000000000000,IF(AND(Controls!$B$21="Y",$AN$294="No ISO"),-1000000000000000,IF(Controls!$B$17="Selected only",IF(AS294="Y",AP294,-1000000000000000),IF(Controls!$B$17="Top by funded $",AP294,IF(Controls!$B$17="Top by funded units",AO294,IF(Controls!$B$17="Largest principal lost $",AR294,IF(Controls!$B$17="Highest net profit $",AU294,IF(AO294&lt;Controls!$B$19,-1000000000000000,IF(Controls!$B$17="Highest principal lost rate %",AQ294,IF(Controls!$B$17="Lowest principal lost rate %",1-AQ294,AP294))))))))) +152/1000000)</f>
        <v/>
      </c>
      <c r="AU294" s="57">
        <f>SUMIFS(Data!$AM$2:$AM$1105,Data!$AK$2:$AK$1105,1,Data!$M$2:$M$1105,$AN$294)</f>
        <v/>
      </c>
      <c r="AV294" s="61" t="n"/>
      <c r="AW294" s="61" t="n"/>
      <c r="AX294" s="61" t="n"/>
      <c r="AY294" s="61" t="n"/>
      <c r="AZ294" s="61" t="n"/>
      <c r="BA294" s="61" t="n"/>
      <c r="BB294" s="61" t="inlineStr">
        <is>
          <t>2</t>
        </is>
      </c>
      <c r="BC294" s="61">
        <f>COUNTIFS(Data!$AK$2:$AK$1105,1,Data!$G$2:$G$1105,$BB$294)</f>
        <v/>
      </c>
      <c r="BD294" s="57">
        <f>SUMIFS(Data!$P$2:$P$1105,Data!$AK$2:$AK$1105,1,Data!$G$2:$G$1105,$BB$294)</f>
        <v/>
      </c>
      <c r="BE294" s="56">
        <f>IF(COUNTIFS(Data!$AK$2:$AK$1105,1,Data!$G$2:$G$1105,$BB$294)&lt;Controls!$B$19,"",IFERROR(SUMIFS(Data!$AN$2:$AN$1105,Data!$AK$2:$AK$1105,1,Data!$G$2:$G$1105,$BB$294)/$BD$294,""))</f>
        <v/>
      </c>
      <c r="BF294" s="56">
        <f>IF(COUNTIFS(Data!$AK$2:$AK$1105,1,Data!$G$2:$G$1105,$BB$294)&lt;Controls!$B$19,"",IFERROR(SUMIFS(Data!$AM$2:$AM$1105,Data!$AK$2:$AK$1105,1,Data!$G$2:$G$1105,$BB$294)/SUMIFS(Data!$P$2:$P$1105,Data!$AK$2:$AK$1105,1,Data!$G$2:$G$1105,$BB$294),""))</f>
        <v/>
      </c>
      <c r="BG294" s="57">
        <f>SUMIFS(Data!$AN$2:$AN$1105,Data!$AK$2:$AK$1105,1,Data!$G$2:$G$1105,$BB$294)</f>
        <v/>
      </c>
      <c r="BH294" s="61" t="n"/>
      <c r="BI294" s="61" t="n"/>
      <c r="BJ294" s="61" t="n"/>
      <c r="BK294" s="56">
        <f>IF($BC$294&lt;Controls!$B$22,"",$BE$294)</f>
        <v/>
      </c>
      <c r="BL294" s="56">
        <f>IF($BC$294&lt;Controls!$B$22,"",$BF$294)</f>
        <v/>
      </c>
      <c r="BM294" s="57">
        <f>IF($BC$294&lt;Controls!$B$22,"",$BG$294)</f>
        <v/>
      </c>
      <c r="BN294" s="61" t="n"/>
      <c r="BO294" s="61" t="n"/>
      <c r="BP294" s="61" t="n"/>
      <c r="BQ294" s="61" t="n"/>
      <c r="BR294" s="61" t="n"/>
      <c r="BS294" s="61" t="n"/>
      <c r="BT294" s="61" t="n"/>
    </row>
    <row r="295" ht="15.75" customHeight="1" s="79">
      <c r="A295" s="61" t="n"/>
      <c r="B295" s="61" t="n"/>
      <c r="C295" s="61" t="n"/>
      <c r="D295" s="61" t="n"/>
      <c r="E295" s="61" t="n"/>
      <c r="F295" s="61" t="n"/>
      <c r="G295" s="61" t="n"/>
      <c r="H295" s="61" t="n"/>
      <c r="I295" s="61" t="n"/>
      <c r="J295" s="61" t="n"/>
      <c r="K295" s="61" t="n"/>
      <c r="L295" s="61" t="n"/>
      <c r="M295" s="61" t="n"/>
      <c r="N295" s="61" t="n"/>
      <c r="O295" s="61" t="n"/>
      <c r="P295" s="61" t="n"/>
      <c r="Q295" s="61" t="n"/>
      <c r="R295" s="61" t="n"/>
      <c r="S295" s="61" t="n"/>
      <c r="T295" s="61" t="n"/>
      <c r="U295" s="61" t="n"/>
      <c r="V295" s="61" t="n"/>
      <c r="W295" s="61" t="n"/>
      <c r="X295" s="61" t="n"/>
      <c r="Y295" s="61" t="n"/>
      <c r="Z295" s="61" t="n"/>
      <c r="AA295" s="61" t="n"/>
      <c r="AB295" s="61" t="n"/>
      <c r="AC295" s="61" t="n"/>
      <c r="AD295" s="61" t="n"/>
      <c r="AE295" s="61" t="n"/>
      <c r="AF295" s="61" t="n"/>
      <c r="AG295" s="61" t="n"/>
      <c r="AH295" s="61" t="n"/>
      <c r="AI295" s="61" t="n"/>
      <c r="AJ295" s="61" t="n"/>
      <c r="AK295" s="61" t="n"/>
      <c r="AL295" s="61" t="n"/>
      <c r="AM295" s="61" t="n"/>
      <c r="AN295" s="61">
        <f>Controls!$G$192</f>
        <v/>
      </c>
      <c r="AO295" s="61">
        <f>COUNTIFS(Data!$AK$2:$AK$1105,1,Data!$M$2:$M$1105,$AN$295)</f>
        <v/>
      </c>
      <c r="AP295" s="57">
        <f>SUMIFS(Data!$P$2:$P$1105,Data!$AK$2:$AK$1105,1,Data!$M$2:$M$1105,$AN$295)</f>
        <v/>
      </c>
      <c r="AQ295" s="56">
        <f>IFERROR(SUMIFS(Data!$AN$2:$AN$1105,Data!$AK$2:$AK$1105,1,Data!$M$2:$M$1105,$AN$295)/$AP$295,0)</f>
        <v/>
      </c>
      <c r="AR295" s="57">
        <f>SUMIFS(Data!$AN$2:$AN$1105,Data!$AK$2:$AK$1105,1,Data!$M$2:$M$1105,$AN$295)</f>
        <v/>
      </c>
      <c r="AS295" s="61">
        <f>Controls!$H$192</f>
        <v/>
      </c>
      <c r="AT295" s="61">
        <f>IF(OR(AO295=0,AO295&lt;Controls!$B$20),-1000000000000000,IF(AND(Controls!$B$21="Y",$AN$295="No ISO"),-1000000000000000,IF(Controls!$B$17="Selected only",IF(AS295="Y",AP295,-1000000000000000),IF(Controls!$B$17="Top by funded $",AP295,IF(Controls!$B$17="Top by funded units",AO295,IF(Controls!$B$17="Largest principal lost $",AR295,IF(Controls!$B$17="Highest net profit $",AU295,IF(AO295&lt;Controls!$B$19,-1000000000000000,IF(Controls!$B$17="Highest principal lost rate %",AQ295,IF(Controls!$B$17="Lowest principal lost rate %",1-AQ295,AP295))))))))) +153/1000000)</f>
        <v/>
      </c>
      <c r="AU295" s="57">
        <f>SUMIFS(Data!$AM$2:$AM$1105,Data!$AK$2:$AK$1105,1,Data!$M$2:$M$1105,$AN$295)</f>
        <v/>
      </c>
      <c r="AV295" s="61" t="n"/>
      <c r="AW295" s="61" t="n"/>
      <c r="AX295" s="61" t="n"/>
      <c r="AY295" s="61" t="n"/>
      <c r="AZ295" s="61" t="n"/>
      <c r="BA295" s="61" t="n"/>
      <c r="BB295" s="61" t="inlineStr">
        <is>
          <t>3</t>
        </is>
      </c>
      <c r="BC295" s="61">
        <f>COUNTIFS(Data!$AK$2:$AK$1105,1,Data!$G$2:$G$1105,$BB$295)</f>
        <v/>
      </c>
      <c r="BD295" s="57">
        <f>SUMIFS(Data!$P$2:$P$1105,Data!$AK$2:$AK$1105,1,Data!$G$2:$G$1105,$BB$295)</f>
        <v/>
      </c>
      <c r="BE295" s="56">
        <f>IF(COUNTIFS(Data!$AK$2:$AK$1105,1,Data!$G$2:$G$1105,$BB$295)&lt;Controls!$B$19,"",IFERROR(SUMIFS(Data!$AN$2:$AN$1105,Data!$AK$2:$AK$1105,1,Data!$G$2:$G$1105,$BB$295)/$BD$295,""))</f>
        <v/>
      </c>
      <c r="BF295" s="56">
        <f>IF(COUNTIFS(Data!$AK$2:$AK$1105,1,Data!$G$2:$G$1105,$BB$295)&lt;Controls!$B$19,"",IFERROR(SUMIFS(Data!$AM$2:$AM$1105,Data!$AK$2:$AK$1105,1,Data!$G$2:$G$1105,$BB$295)/SUMIFS(Data!$P$2:$P$1105,Data!$AK$2:$AK$1105,1,Data!$G$2:$G$1105,$BB$295),""))</f>
        <v/>
      </c>
      <c r="BG295" s="57">
        <f>SUMIFS(Data!$AN$2:$AN$1105,Data!$AK$2:$AK$1105,1,Data!$G$2:$G$1105,$BB$295)</f>
        <v/>
      </c>
      <c r="BH295" s="61" t="n"/>
      <c r="BI295" s="61" t="n"/>
      <c r="BJ295" s="61" t="n"/>
      <c r="BK295" s="56">
        <f>IF($BC$295&lt;Controls!$B$22,"",$BE$295)</f>
        <v/>
      </c>
      <c r="BL295" s="56">
        <f>IF($BC$295&lt;Controls!$B$22,"",$BF$295)</f>
        <v/>
      </c>
      <c r="BM295" s="57">
        <f>IF($BC$295&lt;Controls!$B$22,"",$BG$295)</f>
        <v/>
      </c>
      <c r="BN295" s="61" t="n"/>
      <c r="BO295" s="61" t="n"/>
      <c r="BP295" s="61" t="n"/>
      <c r="BQ295" s="61" t="n"/>
      <c r="BR295" s="61" t="n"/>
      <c r="BS295" s="61" t="n"/>
      <c r="BT295" s="61" t="n"/>
    </row>
    <row r="296" ht="15.75" customHeight="1" s="79">
      <c r="A296" s="61" t="n"/>
      <c r="B296" s="61" t="n"/>
      <c r="C296" s="61" t="n"/>
      <c r="D296" s="61" t="n"/>
      <c r="E296" s="61" t="n"/>
      <c r="F296" s="61" t="n"/>
      <c r="G296" s="61" t="n"/>
      <c r="H296" s="61" t="n"/>
      <c r="I296" s="61" t="n"/>
      <c r="J296" s="61" t="n"/>
      <c r="K296" s="61" t="n"/>
      <c r="L296" s="61" t="n"/>
      <c r="M296" s="61" t="n"/>
      <c r="N296" s="61" t="n"/>
      <c r="O296" s="61" t="n"/>
      <c r="P296" s="61" t="n"/>
      <c r="Q296" s="61" t="n"/>
      <c r="R296" s="61" t="n"/>
      <c r="S296" s="61" t="n"/>
      <c r="T296" s="61" t="n"/>
      <c r="U296" s="61" t="n"/>
      <c r="V296" s="61" t="n"/>
      <c r="W296" s="61" t="n"/>
      <c r="X296" s="61" t="n"/>
      <c r="Y296" s="61" t="n"/>
      <c r="Z296" s="61" t="n"/>
      <c r="AA296" s="61" t="n"/>
      <c r="AB296" s="61" t="n"/>
      <c r="AC296" s="61" t="n"/>
      <c r="AD296" s="61" t="n"/>
      <c r="AE296" s="61" t="n"/>
      <c r="AF296" s="61" t="n"/>
      <c r="AG296" s="61" t="n"/>
      <c r="AH296" s="61" t="n"/>
      <c r="AI296" s="61" t="n"/>
      <c r="AJ296" s="61" t="n"/>
      <c r="AK296" s="61" t="n"/>
      <c r="AL296" s="61" t="n"/>
      <c r="AM296" s="61" t="n"/>
      <c r="AN296" s="61">
        <f>Controls!$G$193</f>
        <v/>
      </c>
      <c r="AO296" s="61">
        <f>COUNTIFS(Data!$AK$2:$AK$1105,1,Data!$M$2:$M$1105,$AN$296)</f>
        <v/>
      </c>
      <c r="AP296" s="57">
        <f>SUMIFS(Data!$P$2:$P$1105,Data!$AK$2:$AK$1105,1,Data!$M$2:$M$1105,$AN$296)</f>
        <v/>
      </c>
      <c r="AQ296" s="56">
        <f>IFERROR(SUMIFS(Data!$AN$2:$AN$1105,Data!$AK$2:$AK$1105,1,Data!$M$2:$M$1105,$AN$296)/$AP$296,0)</f>
        <v/>
      </c>
      <c r="AR296" s="57">
        <f>SUMIFS(Data!$AN$2:$AN$1105,Data!$AK$2:$AK$1105,1,Data!$M$2:$M$1105,$AN$296)</f>
        <v/>
      </c>
      <c r="AS296" s="61">
        <f>Controls!$H$193</f>
        <v/>
      </c>
      <c r="AT296" s="61">
        <f>IF(OR(AO296=0,AO296&lt;Controls!$B$20),-1000000000000000,IF(AND(Controls!$B$21="Y",$AN$296="No ISO"),-1000000000000000,IF(Controls!$B$17="Selected only",IF(AS296="Y",AP296,-1000000000000000),IF(Controls!$B$17="Top by funded $",AP296,IF(Controls!$B$17="Top by funded units",AO296,IF(Controls!$B$17="Largest principal lost $",AR296,IF(Controls!$B$17="Highest net profit $",AU296,IF(AO296&lt;Controls!$B$19,-1000000000000000,IF(Controls!$B$17="Highest principal lost rate %",AQ296,IF(Controls!$B$17="Lowest principal lost rate %",1-AQ296,AP296))))))))) +154/1000000)</f>
        <v/>
      </c>
      <c r="AU296" s="57">
        <f>SUMIFS(Data!$AM$2:$AM$1105,Data!$AK$2:$AK$1105,1,Data!$M$2:$M$1105,$AN$296)</f>
        <v/>
      </c>
      <c r="AV296" s="61" t="n"/>
      <c r="AW296" s="61" t="n"/>
      <c r="AX296" s="61" t="n"/>
      <c r="AY296" s="61" t="n"/>
      <c r="AZ296" s="61" t="n"/>
      <c r="BA296" s="61" t="n"/>
      <c r="BB296" s="61" t="inlineStr">
        <is>
          <t>4</t>
        </is>
      </c>
      <c r="BC296" s="61">
        <f>COUNTIFS(Data!$AK$2:$AK$1105,1,Data!$G$2:$G$1105,$BB$296)</f>
        <v/>
      </c>
      <c r="BD296" s="57">
        <f>SUMIFS(Data!$P$2:$P$1105,Data!$AK$2:$AK$1105,1,Data!$G$2:$G$1105,$BB$296)</f>
        <v/>
      </c>
      <c r="BE296" s="56">
        <f>IF(COUNTIFS(Data!$AK$2:$AK$1105,1,Data!$G$2:$G$1105,$BB$296)&lt;Controls!$B$19,"",IFERROR(SUMIFS(Data!$AN$2:$AN$1105,Data!$AK$2:$AK$1105,1,Data!$G$2:$G$1105,$BB$296)/$BD$296,""))</f>
        <v/>
      </c>
      <c r="BF296" s="56">
        <f>IF(COUNTIFS(Data!$AK$2:$AK$1105,1,Data!$G$2:$G$1105,$BB$296)&lt;Controls!$B$19,"",IFERROR(SUMIFS(Data!$AM$2:$AM$1105,Data!$AK$2:$AK$1105,1,Data!$G$2:$G$1105,$BB$296)/SUMIFS(Data!$P$2:$P$1105,Data!$AK$2:$AK$1105,1,Data!$G$2:$G$1105,$BB$296),""))</f>
        <v/>
      </c>
      <c r="BG296" s="57">
        <f>SUMIFS(Data!$AN$2:$AN$1105,Data!$AK$2:$AK$1105,1,Data!$G$2:$G$1105,$BB$296)</f>
        <v/>
      </c>
      <c r="BH296" s="61" t="n"/>
      <c r="BI296" s="61" t="n"/>
      <c r="BJ296" s="61" t="n"/>
      <c r="BK296" s="56">
        <f>IF($BC$296&lt;Controls!$B$22,"",$BE$296)</f>
        <v/>
      </c>
      <c r="BL296" s="56">
        <f>IF($BC$296&lt;Controls!$B$22,"",$BF$296)</f>
        <v/>
      </c>
      <c r="BM296" s="57">
        <f>IF($BC$296&lt;Controls!$B$22,"",$BG$296)</f>
        <v/>
      </c>
      <c r="BN296" s="61" t="n"/>
      <c r="BO296" s="61" t="n"/>
      <c r="BP296" s="61" t="n"/>
      <c r="BQ296" s="61" t="n"/>
      <c r="BR296" s="61" t="n"/>
      <c r="BS296" s="61" t="n"/>
      <c r="BT296" s="61" t="n"/>
    </row>
    <row r="297" ht="15.75" customHeight="1" s="79">
      <c r="A297" s="61" t="n"/>
      <c r="B297" s="61" t="n"/>
      <c r="C297" s="61" t="n"/>
      <c r="D297" s="61" t="n"/>
      <c r="E297" s="61" t="n"/>
      <c r="F297" s="61" t="n"/>
      <c r="G297" s="61" t="n"/>
      <c r="H297" s="61" t="n"/>
      <c r="I297" s="61" t="n"/>
      <c r="J297" s="61" t="n"/>
      <c r="K297" s="61" t="n"/>
      <c r="L297" s="61" t="n"/>
      <c r="M297" s="61" t="n"/>
      <c r="N297" s="61" t="n"/>
      <c r="O297" s="61" t="n"/>
      <c r="P297" s="61" t="n"/>
      <c r="Q297" s="61" t="n"/>
      <c r="R297" s="61" t="n"/>
      <c r="S297" s="61" t="n"/>
      <c r="T297" s="61" t="n"/>
      <c r="U297" s="61" t="n"/>
      <c r="V297" s="61" t="n"/>
      <c r="W297" s="61" t="n"/>
      <c r="X297" s="61" t="n"/>
      <c r="Y297" s="61" t="n"/>
      <c r="Z297" s="61" t="n"/>
      <c r="AA297" s="61" t="n"/>
      <c r="AB297" s="61" t="n"/>
      <c r="AC297" s="61" t="n"/>
      <c r="AD297" s="61" t="n"/>
      <c r="AE297" s="61" t="n"/>
      <c r="AF297" s="61" t="n"/>
      <c r="AG297" s="61" t="n"/>
      <c r="AH297" s="61" t="n"/>
      <c r="AI297" s="61" t="n"/>
      <c r="AJ297" s="61" t="n"/>
      <c r="AK297" s="61" t="n"/>
      <c r="AL297" s="61" t="n"/>
      <c r="AM297" s="61" t="n"/>
      <c r="AN297" s="61">
        <f>Controls!$G$194</f>
        <v/>
      </c>
      <c r="AO297" s="61">
        <f>COUNTIFS(Data!$AK$2:$AK$1105,1,Data!$M$2:$M$1105,$AN$297)</f>
        <v/>
      </c>
      <c r="AP297" s="57">
        <f>SUMIFS(Data!$P$2:$P$1105,Data!$AK$2:$AK$1105,1,Data!$M$2:$M$1105,$AN$297)</f>
        <v/>
      </c>
      <c r="AQ297" s="56">
        <f>IFERROR(SUMIFS(Data!$AN$2:$AN$1105,Data!$AK$2:$AK$1105,1,Data!$M$2:$M$1105,$AN$297)/$AP$297,0)</f>
        <v/>
      </c>
      <c r="AR297" s="57">
        <f>SUMIFS(Data!$AN$2:$AN$1105,Data!$AK$2:$AK$1105,1,Data!$M$2:$M$1105,$AN$297)</f>
        <v/>
      </c>
      <c r="AS297" s="61">
        <f>Controls!$H$194</f>
        <v/>
      </c>
      <c r="AT297" s="61">
        <f>IF(OR(AO297=0,AO297&lt;Controls!$B$20),-1000000000000000,IF(AND(Controls!$B$21="Y",$AN$297="No ISO"),-1000000000000000,IF(Controls!$B$17="Selected only",IF(AS297="Y",AP297,-1000000000000000),IF(Controls!$B$17="Top by funded $",AP297,IF(Controls!$B$17="Top by funded units",AO297,IF(Controls!$B$17="Largest principal lost $",AR297,IF(Controls!$B$17="Highest net profit $",AU297,IF(AO297&lt;Controls!$B$19,-1000000000000000,IF(Controls!$B$17="Highest principal lost rate %",AQ297,IF(Controls!$B$17="Lowest principal lost rate %",1-AQ297,AP297))))))))) +155/1000000)</f>
        <v/>
      </c>
      <c r="AU297" s="57">
        <f>SUMIFS(Data!$AM$2:$AM$1105,Data!$AK$2:$AK$1105,1,Data!$M$2:$M$1105,$AN$297)</f>
        <v/>
      </c>
      <c r="AV297" s="61" t="n"/>
      <c r="AW297" s="61" t="n"/>
      <c r="AX297" s="61" t="n"/>
      <c r="AY297" s="61" t="n"/>
      <c r="AZ297" s="61" t="n"/>
      <c r="BA297" s="61" t="n"/>
      <c r="BB297" s="61" t="inlineStr">
        <is>
          <t>5</t>
        </is>
      </c>
      <c r="BC297" s="61">
        <f>COUNTIFS(Data!$AK$2:$AK$1105,1,Data!$G$2:$G$1105,$BB$297)</f>
        <v/>
      </c>
      <c r="BD297" s="57">
        <f>SUMIFS(Data!$P$2:$P$1105,Data!$AK$2:$AK$1105,1,Data!$G$2:$G$1105,$BB$297)</f>
        <v/>
      </c>
      <c r="BE297" s="56">
        <f>IF(COUNTIFS(Data!$AK$2:$AK$1105,1,Data!$G$2:$G$1105,$BB$297)&lt;Controls!$B$19,"",IFERROR(SUMIFS(Data!$AN$2:$AN$1105,Data!$AK$2:$AK$1105,1,Data!$G$2:$G$1105,$BB$297)/$BD$297,""))</f>
        <v/>
      </c>
      <c r="BF297" s="56">
        <f>IF(COUNTIFS(Data!$AK$2:$AK$1105,1,Data!$G$2:$G$1105,$BB$297)&lt;Controls!$B$19,"",IFERROR(SUMIFS(Data!$AM$2:$AM$1105,Data!$AK$2:$AK$1105,1,Data!$G$2:$G$1105,$BB$297)/SUMIFS(Data!$P$2:$P$1105,Data!$AK$2:$AK$1105,1,Data!$G$2:$G$1105,$BB$297),""))</f>
        <v/>
      </c>
      <c r="BG297" s="57">
        <f>SUMIFS(Data!$AN$2:$AN$1105,Data!$AK$2:$AK$1105,1,Data!$G$2:$G$1105,$BB$297)</f>
        <v/>
      </c>
      <c r="BH297" s="61" t="n"/>
      <c r="BI297" s="61" t="n"/>
      <c r="BJ297" s="61" t="n"/>
      <c r="BK297" s="56">
        <f>IF($BC$297&lt;Controls!$B$22,"",$BE$297)</f>
        <v/>
      </c>
      <c r="BL297" s="56">
        <f>IF($BC$297&lt;Controls!$B$22,"",$BF$297)</f>
        <v/>
      </c>
      <c r="BM297" s="57">
        <f>IF($BC$297&lt;Controls!$B$22,"",$BG$297)</f>
        <v/>
      </c>
      <c r="BN297" s="61" t="n"/>
      <c r="BO297" s="61" t="n"/>
      <c r="BP297" s="61" t="n"/>
      <c r="BQ297" s="61" t="n"/>
      <c r="BR297" s="61" t="n"/>
      <c r="BS297" s="61" t="n"/>
      <c r="BT297" s="61" t="n"/>
    </row>
    <row r="298" ht="15.75" customHeight="1" s="79">
      <c r="A298" s="61" t="n"/>
      <c r="B298" s="61" t="n"/>
      <c r="C298" s="61" t="n"/>
      <c r="D298" s="61" t="n"/>
      <c r="E298" s="61" t="n"/>
      <c r="F298" s="61" t="n"/>
      <c r="G298" s="61" t="n"/>
      <c r="H298" s="61" t="n"/>
      <c r="I298" s="61" t="n"/>
      <c r="J298" s="61" t="n"/>
      <c r="K298" s="61" t="n"/>
      <c r="L298" s="61" t="n"/>
      <c r="M298" s="61" t="n"/>
      <c r="N298" s="61" t="n"/>
      <c r="O298" s="61" t="n"/>
      <c r="P298" s="61" t="n"/>
      <c r="Q298" s="61" t="n"/>
      <c r="R298" s="61" t="n"/>
      <c r="S298" s="61" t="n"/>
      <c r="T298" s="61" t="n"/>
      <c r="U298" s="61" t="n"/>
      <c r="V298" s="61" t="n"/>
      <c r="W298" s="61" t="n"/>
      <c r="X298" s="61" t="n"/>
      <c r="Y298" s="61" t="n"/>
      <c r="Z298" s="61" t="n"/>
      <c r="AA298" s="61" t="n"/>
      <c r="AB298" s="61" t="n"/>
      <c r="AC298" s="61" t="n"/>
      <c r="AD298" s="61" t="n"/>
      <c r="AE298" s="61" t="n"/>
      <c r="AF298" s="61" t="n"/>
      <c r="AG298" s="61" t="n"/>
      <c r="AH298" s="61" t="n"/>
      <c r="AI298" s="61" t="n"/>
      <c r="AJ298" s="61" t="n"/>
      <c r="AK298" s="61" t="n"/>
      <c r="AL298" s="61" t="n"/>
      <c r="AM298" s="61" t="n"/>
      <c r="AN298" s="61">
        <f>Controls!$G$195</f>
        <v/>
      </c>
      <c r="AO298" s="61">
        <f>COUNTIFS(Data!$AK$2:$AK$1105,1,Data!$M$2:$M$1105,$AN$298)</f>
        <v/>
      </c>
      <c r="AP298" s="57">
        <f>SUMIFS(Data!$P$2:$P$1105,Data!$AK$2:$AK$1105,1,Data!$M$2:$M$1105,$AN$298)</f>
        <v/>
      </c>
      <c r="AQ298" s="56">
        <f>IFERROR(SUMIFS(Data!$AN$2:$AN$1105,Data!$AK$2:$AK$1105,1,Data!$M$2:$M$1105,$AN$298)/$AP$298,0)</f>
        <v/>
      </c>
      <c r="AR298" s="57">
        <f>SUMIFS(Data!$AN$2:$AN$1105,Data!$AK$2:$AK$1105,1,Data!$M$2:$M$1105,$AN$298)</f>
        <v/>
      </c>
      <c r="AS298" s="61">
        <f>Controls!$H$195</f>
        <v/>
      </c>
      <c r="AT298" s="61">
        <f>IF(OR(AO298=0,AO298&lt;Controls!$B$20),-1000000000000000,IF(AND(Controls!$B$21="Y",$AN$298="No ISO"),-1000000000000000,IF(Controls!$B$17="Selected only",IF(AS298="Y",AP298,-1000000000000000),IF(Controls!$B$17="Top by funded $",AP298,IF(Controls!$B$17="Top by funded units",AO298,IF(Controls!$B$17="Largest principal lost $",AR298,IF(Controls!$B$17="Highest net profit $",AU298,IF(AO298&lt;Controls!$B$19,-1000000000000000,IF(Controls!$B$17="Highest principal lost rate %",AQ298,IF(Controls!$B$17="Lowest principal lost rate %",1-AQ298,AP298))))))))) +156/1000000)</f>
        <v/>
      </c>
      <c r="AU298" s="57">
        <f>SUMIFS(Data!$AM$2:$AM$1105,Data!$AK$2:$AK$1105,1,Data!$M$2:$M$1105,$AN$298)</f>
        <v/>
      </c>
      <c r="AV298" s="61" t="n"/>
      <c r="AW298" s="61" t="n"/>
      <c r="AX298" s="61" t="n"/>
      <c r="AY298" s="61" t="n"/>
      <c r="AZ298" s="61" t="n"/>
      <c r="BA298" s="61" t="n"/>
      <c r="BB298" s="61" t="inlineStr">
        <is>
          <t>6</t>
        </is>
      </c>
      <c r="BC298" s="61">
        <f>COUNTIFS(Data!$AK$2:$AK$1105,1,Data!$G$2:$G$1105,$BB$298)</f>
        <v/>
      </c>
      <c r="BD298" s="57">
        <f>SUMIFS(Data!$P$2:$P$1105,Data!$AK$2:$AK$1105,1,Data!$G$2:$G$1105,$BB$298)</f>
        <v/>
      </c>
      <c r="BE298" s="56">
        <f>IF(COUNTIFS(Data!$AK$2:$AK$1105,1,Data!$G$2:$G$1105,$BB$298)&lt;Controls!$B$19,"",IFERROR(SUMIFS(Data!$AN$2:$AN$1105,Data!$AK$2:$AK$1105,1,Data!$G$2:$G$1105,$BB$298)/$BD$298,""))</f>
        <v/>
      </c>
      <c r="BF298" s="56">
        <f>IF(COUNTIFS(Data!$AK$2:$AK$1105,1,Data!$G$2:$G$1105,$BB$298)&lt;Controls!$B$19,"",IFERROR(SUMIFS(Data!$AM$2:$AM$1105,Data!$AK$2:$AK$1105,1,Data!$G$2:$G$1105,$BB$298)/SUMIFS(Data!$P$2:$P$1105,Data!$AK$2:$AK$1105,1,Data!$G$2:$G$1105,$BB$298),""))</f>
        <v/>
      </c>
      <c r="BG298" s="57">
        <f>SUMIFS(Data!$AN$2:$AN$1105,Data!$AK$2:$AK$1105,1,Data!$G$2:$G$1105,$BB$298)</f>
        <v/>
      </c>
      <c r="BH298" s="61" t="n"/>
      <c r="BI298" s="61" t="n"/>
      <c r="BJ298" s="61" t="n"/>
      <c r="BK298" s="56">
        <f>IF($BC$298&lt;Controls!$B$22,"",$BE$298)</f>
        <v/>
      </c>
      <c r="BL298" s="56">
        <f>IF($BC$298&lt;Controls!$B$22,"",$BF$298)</f>
        <v/>
      </c>
      <c r="BM298" s="57">
        <f>IF($BC$298&lt;Controls!$B$22,"",$BG$298)</f>
        <v/>
      </c>
      <c r="BN298" s="61" t="n"/>
      <c r="BO298" s="61" t="n"/>
      <c r="BP298" s="61" t="n"/>
      <c r="BQ298" s="61" t="n"/>
      <c r="BR298" s="61" t="n"/>
      <c r="BS298" s="61" t="n"/>
      <c r="BT298" s="61" t="n"/>
    </row>
    <row r="299" ht="15.75" customHeight="1" s="79">
      <c r="A299" s="61" t="n"/>
      <c r="B299" s="61" t="n"/>
      <c r="C299" s="61" t="n"/>
      <c r="D299" s="61" t="n"/>
      <c r="E299" s="61" t="n"/>
      <c r="F299" s="61" t="n"/>
      <c r="G299" s="61" t="n"/>
      <c r="H299" s="61" t="n"/>
      <c r="I299" s="61" t="n"/>
      <c r="J299" s="61" t="n"/>
      <c r="K299" s="61" t="n"/>
      <c r="L299" s="61" t="n"/>
      <c r="M299" s="61" t="n"/>
      <c r="N299" s="61" t="n"/>
      <c r="O299" s="61" t="n"/>
      <c r="P299" s="61" t="n"/>
      <c r="Q299" s="61" t="n"/>
      <c r="R299" s="61" t="n"/>
      <c r="S299" s="61" t="n"/>
      <c r="T299" s="61" t="n"/>
      <c r="U299" s="61" t="n"/>
      <c r="V299" s="61" t="n"/>
      <c r="W299" s="61" t="n"/>
      <c r="X299" s="61" t="n"/>
      <c r="Y299" s="61" t="n"/>
      <c r="Z299" s="61" t="n"/>
      <c r="AA299" s="61" t="n"/>
      <c r="AB299" s="61" t="n"/>
      <c r="AC299" s="61" t="n"/>
      <c r="AD299" s="61" t="n"/>
      <c r="AE299" s="61" t="n"/>
      <c r="AF299" s="61" t="n"/>
      <c r="AG299" s="61" t="n"/>
      <c r="AH299" s="61" t="n"/>
      <c r="AI299" s="61" t="n"/>
      <c r="AJ299" s="61" t="n"/>
      <c r="AK299" s="61" t="n"/>
      <c r="AL299" s="61" t="n"/>
      <c r="AM299" s="61" t="n"/>
      <c r="AN299" s="61" t="n"/>
      <c r="AO299" s="61" t="n"/>
      <c r="AP299" s="57" t="n"/>
      <c r="AQ299" s="56" t="n"/>
      <c r="AR299" s="57" t="n"/>
      <c r="AS299" s="61" t="n"/>
      <c r="AT299" s="61" t="n"/>
      <c r="AU299" s="57" t="n"/>
      <c r="AV299" s="61" t="n"/>
      <c r="AW299" s="61" t="n"/>
      <c r="AX299" s="61" t="n"/>
      <c r="AY299" s="61" t="n"/>
      <c r="AZ299" s="61" t="n"/>
      <c r="BA299" s="61" t="n"/>
      <c r="BB299" s="61" t="inlineStr">
        <is>
          <t>7</t>
        </is>
      </c>
      <c r="BC299" s="61">
        <f>COUNTIFS(Data!$AK$2:$AK$1105,1,Data!$G$2:$G$1105,$BB$299)</f>
        <v/>
      </c>
      <c r="BD299" s="57">
        <f>SUMIFS(Data!$P$2:$P$1105,Data!$AK$2:$AK$1105,1,Data!$G$2:$G$1105,$BB$299)</f>
        <v/>
      </c>
      <c r="BE299" s="56">
        <f>IF(COUNTIFS(Data!$AK$2:$AK$1105,1,Data!$G$2:$G$1105,$BB$299)&lt;Controls!$B$19,"",IFERROR(SUMIFS(Data!$AN$2:$AN$1105,Data!$AK$2:$AK$1105,1,Data!$G$2:$G$1105,$BB$299)/$BD$299,""))</f>
        <v/>
      </c>
      <c r="BF299" s="56">
        <f>IF(COUNTIFS(Data!$AK$2:$AK$1105,1,Data!$G$2:$G$1105,$BB$299)&lt;Controls!$B$19,"",IFERROR(SUMIFS(Data!$AM$2:$AM$1105,Data!$AK$2:$AK$1105,1,Data!$G$2:$G$1105,$BB$299)/SUMIFS(Data!$P$2:$P$1105,Data!$AK$2:$AK$1105,1,Data!$G$2:$G$1105,$BB$299),""))</f>
        <v/>
      </c>
      <c r="BG299" s="57">
        <f>SUMIFS(Data!$AN$2:$AN$1105,Data!$AK$2:$AK$1105,1,Data!$G$2:$G$1105,$BB$299)</f>
        <v/>
      </c>
      <c r="BH299" s="61" t="n"/>
      <c r="BI299" s="61" t="n"/>
      <c r="BJ299" s="61" t="n"/>
      <c r="BK299" s="56">
        <f>IF($BC$299&lt;Controls!$B$22,"",$BE$299)</f>
        <v/>
      </c>
      <c r="BL299" s="56">
        <f>IF($BC$299&lt;Controls!$B$22,"",$BF$299)</f>
        <v/>
      </c>
      <c r="BM299" s="57">
        <f>IF($BC$299&lt;Controls!$B$22,"",$BG$299)</f>
        <v/>
      </c>
      <c r="BN299" s="61" t="n"/>
      <c r="BO299" s="61" t="n"/>
      <c r="BP299" s="61" t="n"/>
      <c r="BQ299" s="61" t="n"/>
      <c r="BR299" s="61" t="n"/>
      <c r="BS299" s="61" t="n"/>
      <c r="BT299" s="61" t="n"/>
    </row>
    <row r="300" ht="15.75" customHeight="1" s="79">
      <c r="A300" s="61" t="n"/>
      <c r="B300" s="61" t="n"/>
      <c r="C300" s="61" t="n"/>
      <c r="D300" s="61" t="n"/>
      <c r="E300" s="61" t="n"/>
      <c r="F300" s="61" t="n"/>
      <c r="G300" s="61" t="n"/>
      <c r="H300" s="61" t="n"/>
      <c r="I300" s="61" t="n"/>
      <c r="J300" s="61" t="n"/>
      <c r="K300" s="61" t="n"/>
      <c r="L300" s="61" t="n"/>
      <c r="M300" s="61" t="n"/>
      <c r="N300" s="61" t="n"/>
      <c r="O300" s="61" t="n"/>
      <c r="P300" s="61" t="n"/>
      <c r="Q300" s="61" t="n"/>
      <c r="R300" s="61" t="n"/>
      <c r="S300" s="61" t="n"/>
      <c r="T300" s="61" t="n"/>
      <c r="U300" s="61" t="n"/>
      <c r="V300" s="61" t="n"/>
      <c r="W300" s="61" t="n"/>
      <c r="X300" s="61" t="n"/>
      <c r="Y300" s="61" t="n"/>
      <c r="Z300" s="61" t="n"/>
      <c r="AA300" s="61" t="n"/>
      <c r="AB300" s="61" t="n"/>
      <c r="AC300" s="61" t="n"/>
      <c r="AD300" s="61" t="n"/>
      <c r="AE300" s="61" t="n"/>
      <c r="AF300" s="61" t="n"/>
      <c r="AG300" s="61" t="n"/>
      <c r="AH300" s="61" t="n"/>
      <c r="AI300" s="61" t="n"/>
      <c r="AJ300" s="61" t="n"/>
      <c r="AK300" s="61" t="n"/>
      <c r="AL300" s="61" t="n"/>
      <c r="AM300" s="61" t="n"/>
      <c r="AN300" s="61" t="n"/>
      <c r="AO300" s="61" t="n"/>
      <c r="AP300" s="57" t="n"/>
      <c r="AQ300" s="56" t="n"/>
      <c r="AR300" s="57" t="n"/>
      <c r="AS300" s="61" t="n"/>
      <c r="AT300" s="61" t="n"/>
      <c r="AU300" s="57" t="n"/>
      <c r="AV300" s="61" t="n"/>
      <c r="AW300" s="61" t="n"/>
      <c r="AX300" s="61" t="n"/>
      <c r="AY300" s="61" t="n"/>
      <c r="AZ300" s="61" t="n"/>
      <c r="BA300" s="61" t="n"/>
      <c r="BB300" s="61" t="inlineStr">
        <is>
          <t>8</t>
        </is>
      </c>
      <c r="BC300" s="61">
        <f>COUNTIFS(Data!$AK$2:$AK$1105,1,Data!$G$2:$G$1105,$BB$300)</f>
        <v/>
      </c>
      <c r="BD300" s="57">
        <f>SUMIFS(Data!$P$2:$P$1105,Data!$AK$2:$AK$1105,1,Data!$G$2:$G$1105,$BB$300)</f>
        <v/>
      </c>
      <c r="BE300" s="56">
        <f>IF(COUNTIFS(Data!$AK$2:$AK$1105,1,Data!$G$2:$G$1105,$BB$300)&lt;Controls!$B$19,"",IFERROR(SUMIFS(Data!$AN$2:$AN$1105,Data!$AK$2:$AK$1105,1,Data!$G$2:$G$1105,$BB$300)/$BD$300,""))</f>
        <v/>
      </c>
      <c r="BF300" s="56">
        <f>IF(COUNTIFS(Data!$AK$2:$AK$1105,1,Data!$G$2:$G$1105,$BB$300)&lt;Controls!$B$19,"",IFERROR(SUMIFS(Data!$AM$2:$AM$1105,Data!$AK$2:$AK$1105,1,Data!$G$2:$G$1105,$BB$300)/SUMIFS(Data!$P$2:$P$1105,Data!$AK$2:$AK$1105,1,Data!$G$2:$G$1105,$BB$300),""))</f>
        <v/>
      </c>
      <c r="BG300" s="57">
        <f>SUMIFS(Data!$AN$2:$AN$1105,Data!$AK$2:$AK$1105,1,Data!$G$2:$G$1105,$BB$300)</f>
        <v/>
      </c>
      <c r="BH300" s="61" t="n"/>
      <c r="BI300" s="61" t="n"/>
      <c r="BJ300" s="61" t="n"/>
      <c r="BK300" s="61">
        <f>IF($BC$300&lt;Controls!$B$22,"",$BE$300)</f>
        <v/>
      </c>
      <c r="BL300" s="61">
        <f>IF($BC$300&lt;Controls!$B$22,"",$BF$300)</f>
        <v/>
      </c>
      <c r="BM300" s="61">
        <f>IF($BC$300&lt;Controls!$B$22,"",$BG$300)</f>
        <v/>
      </c>
      <c r="BN300" s="61" t="n"/>
      <c r="BO300" s="61" t="n"/>
      <c r="BP300" s="61" t="n"/>
      <c r="BQ300" s="61" t="n"/>
      <c r="BR300" s="61" t="n"/>
      <c r="BS300" s="61" t="n"/>
      <c r="BT300" s="61" t="n"/>
    </row>
    <row r="301" ht="15.75" customHeight="1" s="79">
      <c r="A301" s="61" t="n"/>
      <c r="B301" s="61" t="n"/>
      <c r="C301" s="61" t="n"/>
      <c r="D301" s="61" t="n"/>
      <c r="E301" s="61" t="n"/>
      <c r="F301" s="61" t="n"/>
      <c r="G301" s="61" t="n"/>
      <c r="H301" s="61" t="n"/>
      <c r="I301" s="61" t="n"/>
      <c r="J301" s="61" t="n"/>
      <c r="K301" s="61" t="n"/>
      <c r="L301" s="61" t="n"/>
      <c r="M301" s="61" t="n"/>
      <c r="N301" s="61" t="n"/>
      <c r="O301" s="61" t="n"/>
      <c r="P301" s="61" t="n"/>
      <c r="Q301" s="61" t="n"/>
      <c r="R301" s="61" t="n"/>
      <c r="S301" s="61" t="n"/>
      <c r="T301" s="61" t="n"/>
      <c r="U301" s="61" t="n"/>
      <c r="V301" s="61" t="n"/>
      <c r="W301" s="61" t="n"/>
      <c r="X301" s="61" t="n"/>
      <c r="Y301" s="61" t="n"/>
      <c r="Z301" s="61" t="n"/>
      <c r="AA301" s="61" t="n"/>
      <c r="AB301" s="61" t="n"/>
      <c r="AC301" s="61" t="n"/>
      <c r="AD301" s="61" t="n"/>
      <c r="AE301" s="61" t="n"/>
      <c r="AF301" s="61" t="n"/>
      <c r="AG301" s="61" t="n"/>
      <c r="AH301" s="61" t="n"/>
      <c r="AI301" s="61" t="n"/>
      <c r="AJ301" s="61" t="n"/>
      <c r="AK301" s="61" t="n"/>
      <c r="AL301" s="61" t="n"/>
      <c r="AM301" s="61" t="n"/>
      <c r="AN301" s="61" t="n"/>
      <c r="AO301" s="61" t="n"/>
      <c r="AP301" s="57" t="n"/>
      <c r="AQ301" s="56" t="n"/>
      <c r="AR301" s="57" t="n"/>
      <c r="AS301" s="61" t="n"/>
      <c r="AT301" s="61" t="n"/>
      <c r="AU301" s="57" t="n"/>
      <c r="AV301" s="61" t="n"/>
      <c r="AW301" s="61" t="n"/>
      <c r="AX301" s="61" t="n"/>
      <c r="AY301" s="61" t="n"/>
      <c r="AZ301" s="61" t="n"/>
      <c r="BA301" s="61" t="n"/>
      <c r="BB301" s="61" t="n"/>
      <c r="BC301" s="61" t="n"/>
      <c r="BD301" s="57" t="n"/>
      <c r="BE301" s="56" t="n"/>
      <c r="BF301" s="56" t="n"/>
      <c r="BG301" s="57" t="n"/>
      <c r="BH301" s="61" t="n"/>
      <c r="BI301" s="61" t="n"/>
      <c r="BJ301" s="61" t="n"/>
      <c r="BK301" s="61" t="n"/>
      <c r="BL301" s="61" t="n"/>
      <c r="BM301" s="61" t="n"/>
      <c r="BN301" s="61" t="n"/>
      <c r="BO301" s="61" t="n"/>
      <c r="BP301" s="61" t="n"/>
      <c r="BQ301" s="61" t="n"/>
      <c r="BR301" s="61" t="n"/>
      <c r="BS301" s="61" t="n"/>
      <c r="BT301" s="61" t="n"/>
    </row>
    <row r="302" ht="15.75" customHeight="1" s="79">
      <c r="A302" s="61" t="n"/>
      <c r="B302" s="61" t="n"/>
      <c r="C302" s="61" t="n"/>
      <c r="D302" s="61" t="n"/>
      <c r="E302" s="61" t="n"/>
      <c r="F302" s="61" t="n"/>
      <c r="G302" s="61" t="n"/>
      <c r="H302" s="61" t="n"/>
      <c r="I302" s="61" t="n"/>
      <c r="J302" s="61" t="n"/>
      <c r="K302" s="61" t="n"/>
      <c r="L302" s="61" t="n"/>
      <c r="M302" s="61" t="n"/>
      <c r="N302" s="61" t="n"/>
      <c r="O302" s="61" t="n"/>
      <c r="P302" s="61" t="n"/>
      <c r="Q302" s="61" t="n"/>
      <c r="R302" s="61" t="n"/>
      <c r="S302" s="61" t="n"/>
      <c r="T302" s="61" t="n"/>
      <c r="U302" s="61" t="n"/>
      <c r="V302" s="61" t="n"/>
      <c r="W302" s="61" t="n"/>
      <c r="X302" s="61" t="n"/>
      <c r="Y302" s="61" t="n"/>
      <c r="Z302" s="61" t="n"/>
      <c r="AA302" s="61" t="n"/>
      <c r="AB302" s="61" t="n"/>
      <c r="AC302" s="61" t="n"/>
      <c r="AD302" s="61" t="n"/>
      <c r="AE302" s="61" t="n"/>
      <c r="AF302" s="61" t="n"/>
      <c r="AG302" s="61" t="n"/>
      <c r="AH302" s="61" t="n"/>
      <c r="AI302" s="61" t="n"/>
      <c r="AJ302" s="61" t="n"/>
      <c r="AK302" s="61" t="n"/>
      <c r="AL302" s="61" t="n"/>
      <c r="AM302" s="61" t="n"/>
      <c r="AN302" s="61" t="n"/>
      <c r="AO302" s="61" t="n"/>
      <c r="AP302" s="57" t="n"/>
      <c r="AQ302" s="56" t="n"/>
      <c r="AR302" s="57" t="n"/>
      <c r="AS302" s="61" t="n"/>
      <c r="AT302" s="61" t="n"/>
      <c r="AU302" s="57" t="n"/>
      <c r="AV302" s="61" t="n"/>
      <c r="AW302" s="61" t="n"/>
      <c r="AX302" s="61" t="n"/>
      <c r="AY302" s="61" t="n"/>
      <c r="AZ302" s="61" t="n"/>
      <c r="BA302" s="61" t="n"/>
      <c r="BB302" s="61" t="n"/>
      <c r="BC302" s="61" t="n"/>
      <c r="BD302" s="57" t="n"/>
      <c r="BE302" s="56" t="n"/>
      <c r="BF302" s="56" t="n"/>
      <c r="BG302" s="57" t="n"/>
      <c r="BH302" s="61" t="n"/>
      <c r="BI302" s="61" t="n"/>
      <c r="BJ302" s="61" t="n"/>
      <c r="BK302" s="61" t="n"/>
      <c r="BL302" s="61" t="n"/>
      <c r="BM302" s="61" t="n"/>
      <c r="BN302" s="61" t="n"/>
      <c r="BO302" s="61" t="n"/>
      <c r="BP302" s="61" t="n"/>
      <c r="BQ302" s="61" t="n"/>
      <c r="BR302" s="61" t="n"/>
      <c r="BS302" s="61" t="n"/>
      <c r="BT302" s="61" t="n"/>
    </row>
    <row r="303" ht="15.75" customHeight="1" s="79">
      <c r="A303" s="61" t="n"/>
      <c r="B303" s="61" t="n"/>
      <c r="C303" s="61" t="n"/>
      <c r="D303" s="61" t="n"/>
      <c r="E303" s="61" t="n"/>
      <c r="F303" s="61" t="n"/>
      <c r="G303" s="61" t="n"/>
      <c r="H303" s="61" t="n"/>
      <c r="I303" s="61" t="n"/>
      <c r="J303" s="61" t="n"/>
      <c r="K303" s="61" t="n"/>
      <c r="L303" s="61" t="n"/>
      <c r="M303" s="61" t="n"/>
      <c r="N303" s="61" t="n"/>
      <c r="O303" s="61" t="n"/>
      <c r="P303" s="61" t="n"/>
      <c r="Q303" s="61" t="n"/>
      <c r="R303" s="61" t="n"/>
      <c r="S303" s="61" t="n"/>
      <c r="T303" s="61" t="n"/>
      <c r="U303" s="61" t="n"/>
      <c r="V303" s="61" t="n"/>
      <c r="W303" s="61" t="n"/>
      <c r="X303" s="61" t="n"/>
      <c r="Y303" s="61" t="n"/>
      <c r="Z303" s="61" t="n"/>
      <c r="AA303" s="61" t="n"/>
      <c r="AB303" s="61" t="n"/>
      <c r="AC303" s="61" t="n"/>
      <c r="AD303" s="61" t="n"/>
      <c r="AE303" s="61" t="n"/>
      <c r="AF303" s="61" t="n"/>
      <c r="AG303" s="61" t="n"/>
      <c r="AH303" s="61" t="n"/>
      <c r="AI303" s="61" t="n"/>
      <c r="AJ303" s="61" t="n"/>
      <c r="AK303" s="61" t="n"/>
      <c r="AL303" s="61" t="n"/>
      <c r="AM303" s="61" t="n"/>
      <c r="AN303" s="61" t="n"/>
      <c r="AO303" s="61" t="n"/>
      <c r="AP303" s="57" t="n"/>
      <c r="AQ303" s="56" t="n"/>
      <c r="AR303" s="57" t="n"/>
      <c r="AS303" s="61" t="n"/>
      <c r="AT303" s="61" t="n"/>
      <c r="AU303" s="57" t="n"/>
      <c r="AV303" s="61" t="n"/>
      <c r="AW303" s="61" t="n"/>
      <c r="AX303" s="61" t="n"/>
      <c r="AY303" s="61" t="n"/>
      <c r="AZ303" s="61" t="n"/>
      <c r="BA303" s="61" t="n"/>
      <c r="BB303" s="61" t="n"/>
      <c r="BC303" s="61" t="n"/>
      <c r="BD303" s="57" t="n"/>
      <c r="BE303" s="56" t="n"/>
      <c r="BF303" s="56" t="n"/>
      <c r="BG303" s="57" t="n"/>
      <c r="BH303" s="61" t="n"/>
      <c r="BI303" s="61" t="n"/>
      <c r="BJ303" s="61" t="n"/>
      <c r="BK303" s="61" t="n"/>
      <c r="BL303" s="61" t="n"/>
      <c r="BM303" s="61" t="n"/>
      <c r="BN303" s="61" t="n"/>
      <c r="BO303" s="61" t="n"/>
      <c r="BP303" s="61" t="n"/>
      <c r="BQ303" s="61" t="n"/>
      <c r="BR303" s="61" t="n"/>
      <c r="BS303" s="61" t="n"/>
      <c r="BT303" s="61" t="n"/>
    </row>
    <row r="304" ht="15.75" customHeight="1" s="79">
      <c r="A304" s="61" t="n"/>
      <c r="B304" s="61" t="n"/>
      <c r="C304" s="61" t="n"/>
      <c r="D304" s="61" t="n"/>
      <c r="E304" s="61" t="n"/>
      <c r="F304" s="61" t="n"/>
      <c r="G304" s="61" t="n"/>
      <c r="H304" s="61" t="n"/>
      <c r="I304" s="61" t="n"/>
      <c r="J304" s="61" t="n"/>
      <c r="K304" s="61" t="n"/>
      <c r="L304" s="61" t="n"/>
      <c r="M304" s="61" t="n"/>
      <c r="N304" s="61" t="n"/>
      <c r="O304" s="61" t="n"/>
      <c r="P304" s="61" t="n"/>
      <c r="Q304" s="61" t="n"/>
      <c r="R304" s="61" t="n"/>
      <c r="S304" s="61" t="n"/>
      <c r="T304" s="61" t="n"/>
      <c r="U304" s="61" t="n"/>
      <c r="V304" s="61" t="n"/>
      <c r="W304" s="61" t="n"/>
      <c r="X304" s="61" t="n"/>
      <c r="Y304" s="61" t="n"/>
      <c r="Z304" s="61" t="n"/>
      <c r="AA304" s="61" t="n"/>
      <c r="AB304" s="61" t="n"/>
      <c r="AC304" s="61" t="n"/>
      <c r="AD304" s="61" t="n"/>
      <c r="AE304" s="61" t="n"/>
      <c r="AF304" s="61" t="n"/>
      <c r="AG304" s="61" t="n"/>
      <c r="AH304" s="61" t="n"/>
      <c r="AI304" s="61" t="n"/>
      <c r="AJ304" s="61" t="n"/>
      <c r="AK304" s="61" t="n"/>
      <c r="AL304" s="61" t="n"/>
      <c r="AM304" s="61" t="n"/>
      <c r="AN304" s="61" t="n"/>
      <c r="AO304" s="61" t="n"/>
      <c r="AP304" s="57" t="n"/>
      <c r="AQ304" s="56" t="n"/>
      <c r="AR304" s="57" t="n"/>
      <c r="AS304" s="61" t="n"/>
      <c r="AT304" s="61" t="n"/>
      <c r="AU304" s="57" t="n"/>
      <c r="AV304" s="61" t="n"/>
      <c r="AW304" s="61" t="n"/>
      <c r="AX304" s="61" t="n"/>
      <c r="AY304" s="61" t="n"/>
      <c r="AZ304" s="61" t="n"/>
      <c r="BA304" s="61" t="n"/>
      <c r="BB304" s="61" t="n"/>
      <c r="BC304" s="61" t="n"/>
      <c r="BD304" s="57" t="n"/>
      <c r="BE304" s="56" t="n"/>
      <c r="BF304" s="56" t="n"/>
      <c r="BG304" s="57" t="n"/>
      <c r="BH304" s="61" t="n"/>
      <c r="BI304" s="61" t="n"/>
      <c r="BJ304" s="61" t="n"/>
      <c r="BK304" s="61" t="n"/>
      <c r="BL304" s="61" t="n"/>
      <c r="BM304" s="61" t="n"/>
      <c r="BN304" s="61" t="n"/>
      <c r="BO304" s="61" t="n"/>
      <c r="BP304" s="61" t="n"/>
      <c r="BQ304" s="61" t="n"/>
      <c r="BR304" s="61" t="n"/>
      <c r="BS304" s="61" t="n"/>
      <c r="BT304" s="61" t="n"/>
    </row>
    <row r="305" ht="15.75" customHeight="1" s="79">
      <c r="A305" s="61" t="n"/>
      <c r="B305" s="61" t="n"/>
      <c r="C305" s="61" t="n"/>
      <c r="D305" s="61" t="n"/>
      <c r="E305" s="61" t="n"/>
      <c r="F305" s="61" t="n"/>
      <c r="G305" s="61" t="n"/>
      <c r="H305" s="61" t="n"/>
      <c r="I305" s="61" t="n"/>
      <c r="J305" s="61" t="n"/>
      <c r="K305" s="61" t="n"/>
      <c r="L305" s="61" t="n"/>
      <c r="M305" s="61" t="n"/>
      <c r="N305" s="61" t="n"/>
      <c r="O305" s="61" t="n"/>
      <c r="P305" s="61" t="n"/>
      <c r="Q305" s="61" t="n"/>
      <c r="R305" s="61" t="n"/>
      <c r="S305" s="61" t="n"/>
      <c r="T305" s="61" t="n"/>
      <c r="U305" s="61" t="n"/>
      <c r="V305" s="61" t="n"/>
      <c r="W305" s="61" t="n"/>
      <c r="X305" s="61" t="n"/>
      <c r="Y305" s="61" t="n"/>
      <c r="Z305" s="61" t="n"/>
      <c r="AA305" s="61" t="n"/>
      <c r="AB305" s="61" t="n"/>
      <c r="AC305" s="61" t="n"/>
      <c r="AD305" s="61" t="n"/>
      <c r="AE305" s="61" t="n"/>
      <c r="AF305" s="61" t="n"/>
      <c r="AG305" s="61" t="n"/>
      <c r="AH305" s="61" t="n"/>
      <c r="AI305" s="61" t="n"/>
      <c r="AJ305" s="61" t="n"/>
      <c r="AK305" s="61" t="n"/>
      <c r="AL305" s="61" t="n"/>
      <c r="AM305" s="61" t="n"/>
      <c r="AN305" s="61" t="n"/>
      <c r="AO305" s="61" t="n"/>
      <c r="AP305" s="57" t="n"/>
      <c r="AQ305" s="56" t="n"/>
      <c r="AR305" s="57" t="n"/>
      <c r="AS305" s="61" t="n"/>
      <c r="AT305" s="61" t="n"/>
      <c r="AU305" s="57" t="n"/>
      <c r="AV305" s="61" t="n"/>
      <c r="AW305" s="61" t="n"/>
      <c r="AX305" s="61" t="n"/>
      <c r="AY305" s="61" t="n"/>
      <c r="AZ305" s="61" t="n"/>
      <c r="BA305" s="61" t="n"/>
      <c r="BB305" s="61" t="n"/>
      <c r="BC305" s="61" t="n"/>
      <c r="BD305" s="57" t="n"/>
      <c r="BE305" s="56" t="n"/>
      <c r="BF305" s="56" t="n"/>
      <c r="BG305" s="57" t="n"/>
      <c r="BH305" s="61" t="n"/>
      <c r="BI305" s="61" t="n"/>
      <c r="BJ305" s="61" t="n"/>
      <c r="BK305" s="61" t="n"/>
      <c r="BL305" s="61" t="n"/>
      <c r="BM305" s="61" t="n"/>
      <c r="BN305" s="61" t="n"/>
      <c r="BO305" s="61" t="n"/>
      <c r="BP305" s="61" t="n"/>
      <c r="BQ305" s="61" t="n"/>
      <c r="BR305" s="61" t="n"/>
      <c r="BS305" s="61" t="n"/>
      <c r="BT305" s="61" t="n"/>
    </row>
    <row r="306" ht="15.75" customHeight="1" s="79">
      <c r="A306" s="61" t="n"/>
      <c r="B306" s="61" t="n"/>
      <c r="C306" s="61" t="n"/>
      <c r="D306" s="61" t="n"/>
      <c r="E306" s="61" t="n"/>
      <c r="F306" s="61" t="n"/>
      <c r="G306" s="61" t="n"/>
      <c r="H306" s="61" t="n"/>
      <c r="I306" s="61" t="n"/>
      <c r="J306" s="61" t="n"/>
      <c r="K306" s="61" t="n"/>
      <c r="L306" s="61" t="n"/>
      <c r="M306" s="61" t="n"/>
      <c r="N306" s="61" t="n"/>
      <c r="O306" s="61" t="n"/>
      <c r="P306" s="61" t="n"/>
      <c r="Q306" s="61" t="n"/>
      <c r="R306" s="61" t="n"/>
      <c r="S306" s="61" t="n"/>
      <c r="T306" s="61" t="n"/>
      <c r="U306" s="61" t="n"/>
      <c r="V306" s="61" t="n"/>
      <c r="W306" s="61" t="n"/>
      <c r="X306" s="61" t="n"/>
      <c r="Y306" s="61" t="n"/>
      <c r="Z306" s="61" t="n"/>
      <c r="AA306" s="61" t="n"/>
      <c r="AB306" s="61" t="n"/>
      <c r="AC306" s="61" t="n"/>
      <c r="AD306" s="61" t="n"/>
      <c r="AE306" s="61" t="n"/>
      <c r="AF306" s="61" t="n"/>
      <c r="AG306" s="61" t="n"/>
      <c r="AH306" s="61" t="n"/>
      <c r="AI306" s="61" t="n"/>
      <c r="AJ306" s="61" t="n"/>
      <c r="AK306" s="61" t="n"/>
      <c r="AL306" s="61" t="n"/>
      <c r="AM306" s="61" t="n"/>
      <c r="AN306" s="61" t="n"/>
      <c r="AO306" s="61" t="n"/>
      <c r="AP306" s="57" t="n"/>
      <c r="AQ306" s="56" t="n"/>
      <c r="AR306" s="57" t="n"/>
      <c r="AS306" s="61" t="n"/>
      <c r="AT306" s="61" t="n"/>
      <c r="AU306" s="57" t="n"/>
      <c r="AV306" s="61" t="n"/>
      <c r="AW306" s="61" t="n"/>
      <c r="AX306" s="61" t="n"/>
      <c r="AY306" s="61" t="n"/>
      <c r="AZ306" s="61" t="n"/>
      <c r="BA306" s="61" t="n"/>
      <c r="BB306" s="61" t="n"/>
      <c r="BC306" s="61" t="n"/>
      <c r="BD306" s="57" t="n"/>
      <c r="BE306" s="56" t="n"/>
      <c r="BF306" s="56" t="n"/>
      <c r="BG306" s="57" t="n"/>
      <c r="BH306" s="61" t="n"/>
      <c r="BI306" s="61" t="n"/>
      <c r="BJ306" s="61" t="n"/>
      <c r="BK306" s="61" t="n"/>
      <c r="BL306" s="61" t="n"/>
      <c r="BM306" s="61" t="n"/>
      <c r="BN306" s="61" t="n"/>
      <c r="BO306" s="61" t="n"/>
      <c r="BP306" s="61" t="n"/>
      <c r="BQ306" s="61" t="n"/>
      <c r="BR306" s="61" t="n"/>
      <c r="BS306" s="61" t="n"/>
      <c r="BT306" s="61" t="n"/>
    </row>
    <row r="307" ht="15.75" customHeight="1" s="79">
      <c r="A307" s="61" t="n"/>
      <c r="B307" s="61" t="n"/>
      <c r="C307" s="61" t="n"/>
      <c r="D307" s="61" t="n"/>
      <c r="E307" s="61" t="n"/>
      <c r="F307" s="61" t="n"/>
      <c r="G307" s="61" t="n"/>
      <c r="H307" s="61" t="n"/>
      <c r="I307" s="61" t="n"/>
      <c r="J307" s="61" t="n"/>
      <c r="K307" s="61" t="n"/>
      <c r="L307" s="61" t="n"/>
      <c r="M307" s="61" t="n"/>
      <c r="N307" s="61" t="n"/>
      <c r="O307" s="61" t="n"/>
      <c r="P307" s="61" t="n"/>
      <c r="Q307" s="61" t="n"/>
      <c r="R307" s="61" t="n"/>
      <c r="S307" s="61" t="n"/>
      <c r="T307" s="61" t="n"/>
      <c r="U307" s="61" t="n"/>
      <c r="V307" s="61" t="n"/>
      <c r="W307" s="61" t="n"/>
      <c r="X307" s="61" t="n"/>
      <c r="Y307" s="61" t="n"/>
      <c r="Z307" s="61" t="n"/>
      <c r="AA307" s="61" t="n"/>
      <c r="AB307" s="61" t="n"/>
      <c r="AC307" s="61" t="n"/>
      <c r="AD307" s="61" t="n"/>
      <c r="AE307" s="61" t="n"/>
      <c r="AF307" s="61" t="n"/>
      <c r="AG307" s="61" t="n"/>
      <c r="AH307" s="61" t="n"/>
      <c r="AI307" s="61" t="n"/>
      <c r="AJ307" s="61" t="n"/>
      <c r="AK307" s="61" t="n"/>
      <c r="AL307" s="61" t="n"/>
      <c r="AM307" s="61" t="n"/>
      <c r="AN307" s="61" t="n"/>
      <c r="AO307" s="61" t="n"/>
      <c r="AP307" s="57" t="n"/>
      <c r="AQ307" s="56" t="n"/>
      <c r="AR307" s="57" t="n"/>
      <c r="AS307" s="61" t="n"/>
      <c r="AT307" s="61" t="n"/>
      <c r="AU307" s="57" t="n"/>
      <c r="AV307" s="61" t="n"/>
      <c r="AW307" s="61" t="n"/>
      <c r="AX307" s="61" t="n"/>
      <c r="AY307" s="61" t="n"/>
      <c r="AZ307" s="61" t="n"/>
      <c r="BA307" s="61" t="n"/>
      <c r="BB307" s="61" t="inlineStr">
        <is>
          <t>Under $10K</t>
        </is>
      </c>
      <c r="BC307" s="61">
        <f>COUNTIFS(Data!$AK$2:$AK$1105,1,Data!$AU$2:$AU$1105,$BB$307)</f>
        <v/>
      </c>
      <c r="BD307" s="57">
        <f>SUMIFS(Data!$P$2:$P$1105,Data!$AK$2:$AK$1105,1,Data!$AU$2:$AU$1105,$BB$307)</f>
        <v/>
      </c>
      <c r="BE307" s="56">
        <f>IF(COUNTIFS(Data!$AK$2:$AK$1105,1,Data!$AU$2:$AU$1105,$BB$307)&lt;Controls!$B$19,"",IFERROR(SUMIFS(Data!$AN$2:$AN$1105,Data!$AK$2:$AK$1105,1,Data!$AU$2:$AU$1105,$BB$307)/$BD$307,""))</f>
        <v/>
      </c>
      <c r="BF307" s="56">
        <f>IF(COUNTIFS(Data!$AK$2:$AK$1105,1,Data!$AU$2:$AU$1105,$BB$307)&lt;Controls!$B$19,"",IFERROR(SUMIFS(Data!$AM$2:$AM$1105,Data!$AK$2:$AK$1105,1,Data!$AU$2:$AU$1105,$BB$307)/SUMIFS(Data!$P$2:$P$1105,Data!$AK$2:$AK$1105,1,Data!$AU$2:$AU$1105,$BB$307),""))</f>
        <v/>
      </c>
      <c r="BG307" s="57">
        <f>SUMIFS(Data!$AN$2:$AN$1105,Data!$AK$2:$AK$1105,1,Data!$AU$2:$AU$1105,$BB$307)</f>
        <v/>
      </c>
      <c r="BH307" s="61" t="n"/>
      <c r="BI307" s="61" t="n"/>
      <c r="BJ307" s="61" t="n"/>
      <c r="BK307" s="56">
        <f>IF($BC$307&lt;Controls!$B$22,"",$BE$307)</f>
        <v/>
      </c>
      <c r="BL307" s="56">
        <f>IF($BC$307&lt;Controls!$B$22,"",$BF$307)</f>
        <v/>
      </c>
      <c r="BM307" s="57">
        <f>IF($BC$307&lt;Controls!$B$22,"",$BG$307)</f>
        <v/>
      </c>
      <c r="BN307" s="61" t="n"/>
      <c r="BO307" s="61" t="n"/>
      <c r="BP307" s="61" t="n"/>
      <c r="BQ307" s="61" t="n"/>
      <c r="BR307" s="61" t="n"/>
      <c r="BS307" s="61" t="n"/>
      <c r="BT307" s="61" t="n"/>
    </row>
    <row r="308" ht="15.75" customHeight="1" s="79">
      <c r="A308" s="61" t="n"/>
      <c r="B308" s="61" t="n"/>
      <c r="C308" s="61" t="n"/>
      <c r="D308" s="61" t="n"/>
      <c r="E308" s="61" t="n"/>
      <c r="F308" s="61" t="n"/>
      <c r="G308" s="61" t="n"/>
      <c r="H308" s="61" t="n"/>
      <c r="I308" s="61" t="n"/>
      <c r="J308" s="61" t="n"/>
      <c r="K308" s="61" t="n"/>
      <c r="L308" s="61" t="n"/>
      <c r="M308" s="61" t="n"/>
      <c r="N308" s="61" t="n"/>
      <c r="O308" s="61" t="n"/>
      <c r="P308" s="61" t="n"/>
      <c r="Q308" s="61" t="n"/>
      <c r="R308" s="61" t="n"/>
      <c r="S308" s="61" t="n"/>
      <c r="T308" s="61" t="n"/>
      <c r="U308" s="61" t="n"/>
      <c r="V308" s="61" t="n"/>
      <c r="W308" s="61" t="n"/>
      <c r="X308" s="61" t="n"/>
      <c r="Y308" s="61" t="n"/>
      <c r="Z308" s="61" t="n"/>
      <c r="AA308" s="61" t="n"/>
      <c r="AB308" s="61" t="n"/>
      <c r="AC308" s="61" t="n"/>
      <c r="AD308" s="61" t="n"/>
      <c r="AE308" s="61" t="n"/>
      <c r="AF308" s="61" t="n"/>
      <c r="AG308" s="61" t="n"/>
      <c r="AH308" s="61" t="n"/>
      <c r="AI308" s="61" t="n"/>
      <c r="AJ308" s="61" t="n"/>
      <c r="AK308" s="61" t="n"/>
      <c r="AL308" s="61" t="n"/>
      <c r="AM308" s="61" t="n"/>
      <c r="AN308" s="61" t="n"/>
      <c r="AO308" s="61" t="n"/>
      <c r="AP308" s="57" t="n"/>
      <c r="AQ308" s="56" t="n"/>
      <c r="AR308" s="57" t="n"/>
      <c r="AS308" s="61" t="n"/>
      <c r="AT308" s="61" t="n"/>
      <c r="AU308" s="57" t="n"/>
      <c r="AV308" s="61" t="n"/>
      <c r="AW308" s="61" t="n"/>
      <c r="AX308" s="61" t="n"/>
      <c r="AY308" s="61" t="n"/>
      <c r="AZ308" s="61" t="n"/>
      <c r="BA308" s="61" t="n"/>
      <c r="BB308" s="61" t="inlineStr">
        <is>
          <t>$10-20K</t>
        </is>
      </c>
      <c r="BC308" s="61">
        <f>COUNTIFS(Data!$AK$2:$AK$1105,1,Data!$AU$2:$AU$1105,$BB$308)</f>
        <v/>
      </c>
      <c r="BD308" s="57">
        <f>SUMIFS(Data!$P$2:$P$1105,Data!$AK$2:$AK$1105,1,Data!$AU$2:$AU$1105,$BB$308)</f>
        <v/>
      </c>
      <c r="BE308" s="56">
        <f>IF(COUNTIFS(Data!$AK$2:$AK$1105,1,Data!$AU$2:$AU$1105,$BB$308)&lt;Controls!$B$19,"",IFERROR(SUMIFS(Data!$AN$2:$AN$1105,Data!$AK$2:$AK$1105,1,Data!$AU$2:$AU$1105,$BB$308)/$BD$308,""))</f>
        <v/>
      </c>
      <c r="BF308" s="56">
        <f>IF(COUNTIFS(Data!$AK$2:$AK$1105,1,Data!$AU$2:$AU$1105,$BB$308)&lt;Controls!$B$19,"",IFERROR(SUMIFS(Data!$AM$2:$AM$1105,Data!$AK$2:$AK$1105,1,Data!$AU$2:$AU$1105,$BB$308)/SUMIFS(Data!$P$2:$P$1105,Data!$AK$2:$AK$1105,1,Data!$AU$2:$AU$1105,$BB$308),""))</f>
        <v/>
      </c>
      <c r="BG308" s="57">
        <f>SUMIFS(Data!$AN$2:$AN$1105,Data!$AK$2:$AK$1105,1,Data!$AU$2:$AU$1105,$BB$308)</f>
        <v/>
      </c>
      <c r="BH308" s="61" t="n"/>
      <c r="BI308" s="61" t="n"/>
      <c r="BJ308" s="61" t="n"/>
      <c r="BK308" s="56">
        <f>IF($BC$308&lt;Controls!$B$22,"",$BE$308)</f>
        <v/>
      </c>
      <c r="BL308" s="56">
        <f>IF($BC$308&lt;Controls!$B$22,"",$BF$308)</f>
        <v/>
      </c>
      <c r="BM308" s="57">
        <f>IF($BC$308&lt;Controls!$B$22,"",$BG$308)</f>
        <v/>
      </c>
      <c r="BN308" s="61" t="n"/>
      <c r="BO308" s="61" t="n"/>
      <c r="BP308" s="61" t="n"/>
      <c r="BQ308" s="61" t="n"/>
      <c r="BR308" s="61" t="n"/>
      <c r="BS308" s="61" t="n"/>
      <c r="BT308" s="61" t="n"/>
    </row>
    <row r="309" ht="15.75" customHeight="1" s="79">
      <c r="A309" s="61" t="n"/>
      <c r="B309" s="61" t="n"/>
      <c r="C309" s="61" t="n"/>
      <c r="D309" s="61" t="n"/>
      <c r="E309" s="61" t="n"/>
      <c r="F309" s="61" t="n"/>
      <c r="G309" s="61" t="n"/>
      <c r="H309" s="61" t="n"/>
      <c r="I309" s="61" t="n"/>
      <c r="J309" s="61" t="n"/>
      <c r="K309" s="61" t="n"/>
      <c r="L309" s="61" t="n"/>
      <c r="M309" s="61" t="n"/>
      <c r="N309" s="61" t="n"/>
      <c r="O309" s="61" t="n"/>
      <c r="P309" s="61" t="n"/>
      <c r="Q309" s="61" t="n"/>
      <c r="R309" s="61" t="n"/>
      <c r="S309" s="61" t="n"/>
      <c r="T309" s="61" t="n"/>
      <c r="U309" s="61" t="n"/>
      <c r="V309" s="61" t="n"/>
      <c r="W309" s="61" t="n"/>
      <c r="X309" s="61" t="n"/>
      <c r="Y309" s="61" t="n"/>
      <c r="Z309" s="61" t="n"/>
      <c r="AA309" s="61" t="n"/>
      <c r="AB309" s="61" t="n"/>
      <c r="AC309" s="61" t="n"/>
      <c r="AD309" s="61" t="n"/>
      <c r="AE309" s="61" t="n"/>
      <c r="AF309" s="61" t="n"/>
      <c r="AG309" s="61" t="n"/>
      <c r="AH309" s="61" t="n"/>
      <c r="AI309" s="61" t="n"/>
      <c r="AJ309" s="61" t="n"/>
      <c r="AK309" s="61" t="n"/>
      <c r="AL309" s="61" t="n"/>
      <c r="AM309" s="61" t="n"/>
      <c r="AN309" s="61" t="n"/>
      <c r="AO309" s="61" t="n"/>
      <c r="AP309" s="57" t="n"/>
      <c r="AQ309" s="56" t="n"/>
      <c r="AR309" s="57" t="n"/>
      <c r="AS309" s="61" t="n"/>
      <c r="AT309" s="61" t="n"/>
      <c r="AU309" s="57" t="n"/>
      <c r="AV309" s="61" t="n"/>
      <c r="AW309" s="61" t="n"/>
      <c r="AX309" s="61" t="n"/>
      <c r="AY309" s="61" t="n"/>
      <c r="AZ309" s="61" t="n"/>
      <c r="BA309" s="61" t="n"/>
      <c r="BB309" s="61" t="inlineStr">
        <is>
          <t>$20-30K</t>
        </is>
      </c>
      <c r="BC309" s="61">
        <f>COUNTIFS(Data!$AK$2:$AK$1105,1,Data!$AU$2:$AU$1105,$BB$309)</f>
        <v/>
      </c>
      <c r="BD309" s="57">
        <f>SUMIFS(Data!$P$2:$P$1105,Data!$AK$2:$AK$1105,1,Data!$AU$2:$AU$1105,$BB$309)</f>
        <v/>
      </c>
      <c r="BE309" s="56">
        <f>IF(COUNTIFS(Data!$AK$2:$AK$1105,1,Data!$AU$2:$AU$1105,$BB$309)&lt;Controls!$B$19,"",IFERROR(SUMIFS(Data!$AN$2:$AN$1105,Data!$AK$2:$AK$1105,1,Data!$AU$2:$AU$1105,$BB$309)/$BD$309,""))</f>
        <v/>
      </c>
      <c r="BF309" s="56">
        <f>IF(COUNTIFS(Data!$AK$2:$AK$1105,1,Data!$AU$2:$AU$1105,$BB$309)&lt;Controls!$B$19,"",IFERROR(SUMIFS(Data!$AM$2:$AM$1105,Data!$AK$2:$AK$1105,1,Data!$AU$2:$AU$1105,$BB$309)/SUMIFS(Data!$P$2:$P$1105,Data!$AK$2:$AK$1105,1,Data!$AU$2:$AU$1105,$BB$309),""))</f>
        <v/>
      </c>
      <c r="BG309" s="57">
        <f>SUMIFS(Data!$AN$2:$AN$1105,Data!$AK$2:$AK$1105,1,Data!$AU$2:$AU$1105,$BB$309)</f>
        <v/>
      </c>
      <c r="BH309" s="61" t="n"/>
      <c r="BI309" s="61" t="n"/>
      <c r="BJ309" s="61" t="n"/>
      <c r="BK309" s="56">
        <f>IF($BC$309&lt;Controls!$B$22,"",$BE$309)</f>
        <v/>
      </c>
      <c r="BL309" s="56">
        <f>IF($BC$309&lt;Controls!$B$22,"",$BF$309)</f>
        <v/>
      </c>
      <c r="BM309" s="57">
        <f>IF($BC$309&lt;Controls!$B$22,"",$BG$309)</f>
        <v/>
      </c>
      <c r="BN309" s="61" t="n"/>
      <c r="BO309" s="61" t="n"/>
      <c r="BP309" s="61" t="n"/>
      <c r="BQ309" s="61" t="n"/>
      <c r="BR309" s="61" t="n"/>
      <c r="BS309" s="61" t="n"/>
      <c r="BT309" s="61" t="n"/>
    </row>
    <row r="310" ht="15.75" customHeight="1" s="79">
      <c r="A310" s="61" t="n"/>
      <c r="B310" s="61" t="n"/>
      <c r="C310" s="61" t="n"/>
      <c r="D310" s="61" t="n"/>
      <c r="E310" s="61" t="n"/>
      <c r="F310" s="61" t="n"/>
      <c r="G310" s="61" t="n"/>
      <c r="H310" s="61" t="n"/>
      <c r="I310" s="61" t="n"/>
      <c r="J310" s="61" t="n"/>
      <c r="K310" s="61" t="n"/>
      <c r="L310" s="61" t="n"/>
      <c r="M310" s="61" t="n"/>
      <c r="N310" s="61" t="n"/>
      <c r="O310" s="61" t="n"/>
      <c r="P310" s="61" t="n"/>
      <c r="Q310" s="61" t="n"/>
      <c r="R310" s="61" t="n"/>
      <c r="S310" s="61" t="n"/>
      <c r="T310" s="61" t="n"/>
      <c r="U310" s="61" t="n"/>
      <c r="V310" s="61" t="n"/>
      <c r="W310" s="61" t="n"/>
      <c r="X310" s="61" t="n"/>
      <c r="Y310" s="61" t="n"/>
      <c r="Z310" s="61" t="n"/>
      <c r="AA310" s="61" t="n"/>
      <c r="AB310" s="61" t="n"/>
      <c r="AC310" s="61" t="n"/>
      <c r="AD310" s="61" t="n"/>
      <c r="AE310" s="61" t="n"/>
      <c r="AF310" s="61" t="n"/>
      <c r="AG310" s="61" t="n"/>
      <c r="AH310" s="61" t="n"/>
      <c r="AI310" s="61" t="n"/>
      <c r="AJ310" s="61" t="n"/>
      <c r="AK310" s="61" t="n"/>
      <c r="AL310" s="61" t="n"/>
      <c r="AM310" s="61" t="n"/>
      <c r="AN310" s="61" t="n"/>
      <c r="AO310" s="61" t="n"/>
      <c r="AP310" s="57" t="n"/>
      <c r="AQ310" s="56" t="n"/>
      <c r="AR310" s="57" t="n"/>
      <c r="AS310" s="61" t="n"/>
      <c r="AT310" s="61" t="n"/>
      <c r="AU310" s="57" t="n"/>
      <c r="AV310" s="61" t="n"/>
      <c r="AW310" s="61" t="n"/>
      <c r="AX310" s="61" t="n"/>
      <c r="AY310" s="61" t="n"/>
      <c r="AZ310" s="61" t="n"/>
      <c r="BA310" s="61" t="n"/>
      <c r="BB310" s="61" t="inlineStr">
        <is>
          <t>$30-50K</t>
        </is>
      </c>
      <c r="BC310" s="61">
        <f>COUNTIFS(Data!$AK$2:$AK$1105,1,Data!$AU$2:$AU$1105,$BB$310)</f>
        <v/>
      </c>
      <c r="BD310" s="57">
        <f>SUMIFS(Data!$P$2:$P$1105,Data!$AK$2:$AK$1105,1,Data!$AU$2:$AU$1105,$BB$310)</f>
        <v/>
      </c>
      <c r="BE310" s="56">
        <f>IF(COUNTIFS(Data!$AK$2:$AK$1105,1,Data!$AU$2:$AU$1105,$BB$310)&lt;Controls!$B$19,"",IFERROR(SUMIFS(Data!$AN$2:$AN$1105,Data!$AK$2:$AK$1105,1,Data!$AU$2:$AU$1105,$BB$310)/$BD$310,""))</f>
        <v/>
      </c>
      <c r="BF310" s="56">
        <f>IF(COUNTIFS(Data!$AK$2:$AK$1105,1,Data!$AU$2:$AU$1105,$BB$310)&lt;Controls!$B$19,"",IFERROR(SUMIFS(Data!$AM$2:$AM$1105,Data!$AK$2:$AK$1105,1,Data!$AU$2:$AU$1105,$BB$310)/SUMIFS(Data!$P$2:$P$1105,Data!$AK$2:$AK$1105,1,Data!$AU$2:$AU$1105,$BB$310),""))</f>
        <v/>
      </c>
      <c r="BG310" s="57">
        <f>SUMIFS(Data!$AN$2:$AN$1105,Data!$AK$2:$AK$1105,1,Data!$AU$2:$AU$1105,$BB$310)</f>
        <v/>
      </c>
      <c r="BH310" s="61" t="n"/>
      <c r="BI310" s="61" t="n"/>
      <c r="BJ310" s="61" t="n"/>
      <c r="BK310" s="56">
        <f>IF($BC$310&lt;Controls!$B$22,"",$BE$310)</f>
        <v/>
      </c>
      <c r="BL310" s="56">
        <f>IF($BC$310&lt;Controls!$B$22,"",$BF$310)</f>
        <v/>
      </c>
      <c r="BM310" s="57">
        <f>IF($BC$310&lt;Controls!$B$22,"",$BG$310)</f>
        <v/>
      </c>
      <c r="BN310" s="61" t="n"/>
      <c r="BO310" s="61" t="n"/>
      <c r="BP310" s="61" t="n"/>
      <c r="BQ310" s="61" t="n"/>
      <c r="BR310" s="61" t="n"/>
      <c r="BS310" s="61" t="n"/>
      <c r="BT310" s="61" t="n"/>
    </row>
    <row r="311" ht="15.75" customHeight="1" s="79">
      <c r="A311" s="61" t="n"/>
      <c r="B311" s="61" t="n"/>
      <c r="C311" s="61" t="n"/>
      <c r="D311" s="61" t="n"/>
      <c r="E311" s="61" t="n"/>
      <c r="F311" s="61" t="n"/>
      <c r="G311" s="61" t="n"/>
      <c r="H311" s="61" t="n"/>
      <c r="I311" s="61" t="n"/>
      <c r="J311" s="61" t="n"/>
      <c r="K311" s="61" t="n"/>
      <c r="L311" s="61" t="n"/>
      <c r="M311" s="61" t="n"/>
      <c r="N311" s="61" t="n"/>
      <c r="O311" s="61" t="n"/>
      <c r="P311" s="61" t="n"/>
      <c r="Q311" s="61" t="n"/>
      <c r="R311" s="61" t="n"/>
      <c r="S311" s="61" t="n"/>
      <c r="T311" s="61" t="n"/>
      <c r="U311" s="61" t="n"/>
      <c r="V311" s="61" t="n"/>
      <c r="W311" s="61" t="n"/>
      <c r="X311" s="61" t="n"/>
      <c r="Y311" s="61" t="n"/>
      <c r="Z311" s="61" t="n"/>
      <c r="AA311" s="61" t="n"/>
      <c r="AB311" s="61" t="n"/>
      <c r="AC311" s="61" t="n"/>
      <c r="AD311" s="61" t="n"/>
      <c r="AE311" s="61" t="n"/>
      <c r="AF311" s="61" t="n"/>
      <c r="AG311" s="61" t="n"/>
      <c r="AH311" s="61" t="n"/>
      <c r="AI311" s="61" t="n"/>
      <c r="AJ311" s="61" t="n"/>
      <c r="AK311" s="61" t="n"/>
      <c r="AL311" s="61" t="n"/>
      <c r="AM311" s="61" t="n"/>
      <c r="AN311" s="61" t="n"/>
      <c r="AO311" s="61" t="n"/>
      <c r="AP311" s="57" t="n"/>
      <c r="AQ311" s="56" t="n"/>
      <c r="AR311" s="57" t="n"/>
      <c r="AS311" s="61" t="n"/>
      <c r="AT311" s="61" t="n"/>
      <c r="AU311" s="57" t="n"/>
      <c r="AV311" s="61" t="n"/>
      <c r="AW311" s="61" t="n"/>
      <c r="AX311" s="61" t="n"/>
      <c r="AY311" s="61" t="n"/>
      <c r="AZ311" s="61" t="n"/>
      <c r="BA311" s="61" t="n"/>
      <c r="BB311" s="61" t="inlineStr">
        <is>
          <t>$50-100K</t>
        </is>
      </c>
      <c r="BC311" s="61">
        <f>COUNTIFS(Data!$AK$2:$AK$1105,1,Data!$AU$2:$AU$1105,$BB$311)</f>
        <v/>
      </c>
      <c r="BD311" s="57">
        <f>SUMIFS(Data!$P$2:$P$1105,Data!$AK$2:$AK$1105,1,Data!$AU$2:$AU$1105,$BB$311)</f>
        <v/>
      </c>
      <c r="BE311" s="56">
        <f>IF(COUNTIFS(Data!$AK$2:$AK$1105,1,Data!$AU$2:$AU$1105,$BB$311)&lt;Controls!$B$19,"",IFERROR(SUMIFS(Data!$AN$2:$AN$1105,Data!$AK$2:$AK$1105,1,Data!$AU$2:$AU$1105,$BB$311)/$BD$311,""))</f>
        <v/>
      </c>
      <c r="BF311" s="56">
        <f>IF(COUNTIFS(Data!$AK$2:$AK$1105,1,Data!$AU$2:$AU$1105,$BB$311)&lt;Controls!$B$19,"",IFERROR(SUMIFS(Data!$AM$2:$AM$1105,Data!$AK$2:$AK$1105,1,Data!$AU$2:$AU$1105,$BB$311)/SUMIFS(Data!$P$2:$P$1105,Data!$AK$2:$AK$1105,1,Data!$AU$2:$AU$1105,$BB$311),""))</f>
        <v/>
      </c>
      <c r="BG311" s="57">
        <f>SUMIFS(Data!$AN$2:$AN$1105,Data!$AK$2:$AK$1105,1,Data!$AU$2:$AU$1105,$BB$311)</f>
        <v/>
      </c>
      <c r="BH311" s="61" t="n"/>
      <c r="BI311" s="61" t="n"/>
      <c r="BJ311" s="61" t="n"/>
      <c r="BK311" s="56">
        <f>IF($BC$311&lt;Controls!$B$22,"",$BE$311)</f>
        <v/>
      </c>
      <c r="BL311" s="56">
        <f>IF($BC$311&lt;Controls!$B$22,"",$BF$311)</f>
        <v/>
      </c>
      <c r="BM311" s="57">
        <f>IF($BC$311&lt;Controls!$B$22,"",$BG$311)</f>
        <v/>
      </c>
      <c r="BN311" s="61" t="n"/>
      <c r="BO311" s="61" t="n"/>
      <c r="BP311" s="61" t="n"/>
      <c r="BQ311" s="61" t="n"/>
      <c r="BR311" s="61" t="n"/>
      <c r="BS311" s="61" t="n"/>
      <c r="BT311" s="61" t="n"/>
    </row>
    <row r="312" ht="15.75" customHeight="1" s="79">
      <c r="A312" s="61" t="n"/>
      <c r="B312" s="61" t="n"/>
      <c r="C312" s="61" t="n"/>
      <c r="D312" s="61" t="n"/>
      <c r="E312" s="61" t="n"/>
      <c r="F312" s="61" t="n"/>
      <c r="G312" s="61" t="n"/>
      <c r="H312" s="61" t="n"/>
      <c r="I312" s="61" t="n"/>
      <c r="J312" s="61" t="n"/>
      <c r="K312" s="61" t="n"/>
      <c r="L312" s="61" t="n"/>
      <c r="M312" s="61" t="n"/>
      <c r="N312" s="61" t="n"/>
      <c r="O312" s="61" t="n"/>
      <c r="P312" s="61" t="n"/>
      <c r="Q312" s="61" t="n"/>
      <c r="R312" s="61" t="n"/>
      <c r="S312" s="61" t="n"/>
      <c r="T312" s="61" t="n"/>
      <c r="U312" s="61" t="n"/>
      <c r="V312" s="61" t="n"/>
      <c r="W312" s="61" t="n"/>
      <c r="X312" s="61" t="n"/>
      <c r="Y312" s="61" t="n"/>
      <c r="Z312" s="61" t="n"/>
      <c r="AA312" s="61" t="n"/>
      <c r="AB312" s="61" t="n"/>
      <c r="AC312" s="61" t="n"/>
      <c r="AD312" s="61" t="n"/>
      <c r="AE312" s="61" t="n"/>
      <c r="AF312" s="61" t="n"/>
      <c r="AG312" s="61" t="n"/>
      <c r="AH312" s="61" t="n"/>
      <c r="AI312" s="61" t="n"/>
      <c r="AJ312" s="61" t="n"/>
      <c r="AK312" s="61" t="n"/>
      <c r="AL312" s="61" t="n"/>
      <c r="AM312" s="61" t="n"/>
      <c r="AN312" s="61" t="n"/>
      <c r="AO312" s="61" t="n"/>
      <c r="AP312" s="57" t="n"/>
      <c r="AQ312" s="56" t="n"/>
      <c r="AR312" s="57" t="n"/>
      <c r="AS312" s="61" t="n"/>
      <c r="AT312" s="61" t="n"/>
      <c r="AU312" s="57" t="n"/>
      <c r="AV312" s="61" t="n"/>
      <c r="AW312" s="61" t="n"/>
      <c r="AX312" s="61" t="n"/>
      <c r="AY312" s="61" t="n"/>
      <c r="AZ312" s="61" t="n"/>
      <c r="BA312" s="61" t="n"/>
      <c r="BB312" s="61" t="inlineStr">
        <is>
          <t>$100K+</t>
        </is>
      </c>
      <c r="BC312" s="61">
        <f>COUNTIFS(Data!$AK$2:$AK$1105,1,Data!$AU$2:$AU$1105,$BB$312)</f>
        <v/>
      </c>
      <c r="BD312" s="57">
        <f>SUMIFS(Data!$P$2:$P$1105,Data!$AK$2:$AK$1105,1,Data!$AU$2:$AU$1105,$BB$312)</f>
        <v/>
      </c>
      <c r="BE312" s="56">
        <f>IF(COUNTIFS(Data!$AK$2:$AK$1105,1,Data!$AU$2:$AU$1105,$BB$312)&lt;Controls!$B$19,"",IFERROR(SUMIFS(Data!$AN$2:$AN$1105,Data!$AK$2:$AK$1105,1,Data!$AU$2:$AU$1105,$BB$312)/$BD$312,""))</f>
        <v/>
      </c>
      <c r="BF312" s="56">
        <f>IF(COUNTIFS(Data!$AK$2:$AK$1105,1,Data!$AU$2:$AU$1105,$BB$312)&lt;Controls!$B$19,"",IFERROR(SUMIFS(Data!$AM$2:$AM$1105,Data!$AK$2:$AK$1105,1,Data!$AU$2:$AU$1105,$BB$312)/SUMIFS(Data!$P$2:$P$1105,Data!$AK$2:$AK$1105,1,Data!$AU$2:$AU$1105,$BB$312),""))</f>
        <v/>
      </c>
      <c r="BG312" s="57">
        <f>SUMIFS(Data!$AN$2:$AN$1105,Data!$AK$2:$AK$1105,1,Data!$AU$2:$AU$1105,$BB$312)</f>
        <v/>
      </c>
      <c r="BH312" s="61" t="n"/>
      <c r="BI312" s="61" t="n"/>
      <c r="BJ312" s="61" t="n"/>
      <c r="BK312" s="56">
        <f>IF($BC$312&lt;Controls!$B$22,"",$BE$312)</f>
        <v/>
      </c>
      <c r="BL312" s="56">
        <f>IF($BC$312&lt;Controls!$B$22,"",$BF$312)</f>
        <v/>
      </c>
      <c r="BM312" s="57">
        <f>IF($BC$312&lt;Controls!$B$22,"",$BG$312)</f>
        <v/>
      </c>
      <c r="BN312" s="61" t="n"/>
      <c r="BO312" s="61" t="n"/>
      <c r="BP312" s="61" t="n"/>
      <c r="BQ312" s="61" t="n"/>
      <c r="BR312" s="61" t="n"/>
      <c r="BS312" s="61" t="n"/>
      <c r="BT312" s="61" t="n"/>
    </row>
    <row r="313" ht="15.75" customHeight="1" s="79">
      <c r="A313" s="61" t="n"/>
      <c r="B313" s="61" t="n"/>
      <c r="C313" s="61" t="n"/>
      <c r="D313" s="61" t="n"/>
      <c r="E313" s="61" t="n"/>
      <c r="F313" s="61" t="n"/>
      <c r="G313" s="61" t="n"/>
      <c r="H313" s="61" t="n"/>
      <c r="I313" s="61" t="n"/>
      <c r="J313" s="61" t="n"/>
      <c r="K313" s="61" t="n"/>
      <c r="L313" s="61" t="n"/>
      <c r="M313" s="61" t="n"/>
      <c r="N313" s="61" t="n"/>
      <c r="O313" s="61" t="n"/>
      <c r="P313" s="61" t="n"/>
      <c r="Q313" s="61" t="n"/>
      <c r="R313" s="61" t="n"/>
      <c r="S313" s="61" t="n"/>
      <c r="T313" s="61" t="n"/>
      <c r="U313" s="61" t="n"/>
      <c r="V313" s="61" t="n"/>
      <c r="W313" s="61" t="n"/>
      <c r="X313" s="61" t="n"/>
      <c r="Y313" s="61" t="n"/>
      <c r="Z313" s="61" t="n"/>
      <c r="AA313" s="61" t="n"/>
      <c r="AB313" s="61" t="n"/>
      <c r="AC313" s="61" t="n"/>
      <c r="AD313" s="61" t="n"/>
      <c r="AE313" s="61" t="n"/>
      <c r="AF313" s="61" t="n"/>
      <c r="AG313" s="61" t="n"/>
      <c r="AH313" s="61" t="n"/>
      <c r="AI313" s="61" t="n"/>
      <c r="AJ313" s="61" t="n"/>
      <c r="AK313" s="61" t="n"/>
      <c r="AL313" s="61" t="n"/>
      <c r="AM313" s="61" t="n"/>
      <c r="AN313" s="61" t="n"/>
      <c r="AO313" s="61" t="n"/>
      <c r="AP313" s="57" t="n"/>
      <c r="AQ313" s="56" t="n"/>
      <c r="AR313" s="57" t="n"/>
      <c r="AS313" s="61" t="n"/>
      <c r="AT313" s="61" t="n"/>
      <c r="AU313" s="57" t="n"/>
      <c r="AV313" s="61" t="n"/>
      <c r="AW313" s="61" t="n"/>
      <c r="AX313" s="61" t="n"/>
      <c r="AY313" s="61" t="n"/>
      <c r="AZ313" s="61" t="n"/>
      <c r="BA313" s="61" t="n"/>
      <c r="BB313" s="61" t="n"/>
      <c r="BC313" s="61" t="n"/>
      <c r="BD313" s="57" t="n"/>
      <c r="BE313" s="56" t="n"/>
      <c r="BF313" s="56" t="n"/>
      <c r="BG313" s="57" t="n"/>
      <c r="BH313" s="61" t="n"/>
      <c r="BI313" s="61" t="n"/>
      <c r="BJ313" s="61" t="n"/>
      <c r="BK313" s="61" t="n"/>
      <c r="BL313" s="61" t="n"/>
      <c r="BM313" s="61" t="n"/>
      <c r="BN313" s="61" t="n"/>
      <c r="BO313" s="61" t="n"/>
      <c r="BP313" s="61" t="n"/>
      <c r="BQ313" s="61" t="n"/>
      <c r="BR313" s="61" t="n"/>
      <c r="BS313" s="61" t="n"/>
      <c r="BT313" s="61" t="n"/>
    </row>
    <row r="314" ht="15.75" customHeight="1" s="79">
      <c r="A314" s="61" t="n"/>
      <c r="B314" s="61" t="n"/>
      <c r="C314" s="61" t="n"/>
      <c r="D314" s="61" t="n"/>
      <c r="E314" s="61" t="n"/>
      <c r="F314" s="61" t="n"/>
      <c r="G314" s="61" t="n"/>
      <c r="H314" s="61" t="n"/>
      <c r="I314" s="61" t="n"/>
      <c r="J314" s="61" t="n"/>
      <c r="K314" s="61" t="n"/>
      <c r="L314" s="61" t="n"/>
      <c r="M314" s="61" t="n"/>
      <c r="N314" s="61" t="n"/>
      <c r="O314" s="61" t="n"/>
      <c r="P314" s="61" t="n"/>
      <c r="Q314" s="61" t="n"/>
      <c r="R314" s="61" t="n"/>
      <c r="S314" s="61" t="n"/>
      <c r="T314" s="61" t="n"/>
      <c r="U314" s="61" t="n"/>
      <c r="V314" s="61" t="n"/>
      <c r="W314" s="61" t="n"/>
      <c r="X314" s="61" t="n"/>
      <c r="Y314" s="61" t="n"/>
      <c r="Z314" s="61" t="n"/>
      <c r="AA314" s="61" t="n"/>
      <c r="AB314" s="61" t="n"/>
      <c r="AC314" s="61" t="n"/>
      <c r="AD314" s="61" t="n"/>
      <c r="AE314" s="61" t="n"/>
      <c r="AF314" s="61" t="n"/>
      <c r="AG314" s="61" t="n"/>
      <c r="AH314" s="61" t="n"/>
      <c r="AI314" s="61" t="n"/>
      <c r="AJ314" s="61" t="n"/>
      <c r="AK314" s="61" t="n"/>
      <c r="AL314" s="61" t="n"/>
      <c r="AM314" s="61" t="n"/>
      <c r="AN314" s="61" t="n"/>
      <c r="AO314" s="61" t="n"/>
      <c r="AP314" s="57" t="n"/>
      <c r="AQ314" s="56" t="n"/>
      <c r="AR314" s="57" t="n"/>
      <c r="AS314" s="61" t="n"/>
      <c r="AT314" s="61" t="n"/>
      <c r="AU314" s="57" t="n"/>
      <c r="AV314" s="61" t="n"/>
      <c r="AW314" s="61" t="n"/>
      <c r="AX314" s="61" t="n"/>
      <c r="AY314" s="61" t="n"/>
      <c r="AZ314" s="61" t="n"/>
      <c r="BA314" s="61" t="n"/>
      <c r="BB314" s="61" t="n"/>
      <c r="BC314" s="61" t="n"/>
      <c r="BD314" s="57" t="n"/>
      <c r="BE314" s="56" t="n"/>
      <c r="BF314" s="56" t="n"/>
      <c r="BG314" s="57" t="n"/>
      <c r="BH314" s="61" t="n"/>
      <c r="BI314" s="61" t="n"/>
      <c r="BJ314" s="61" t="n"/>
      <c r="BK314" s="61" t="n"/>
      <c r="BL314" s="61" t="n"/>
      <c r="BM314" s="61" t="n"/>
      <c r="BN314" s="61" t="n"/>
      <c r="BO314" s="61" t="n"/>
      <c r="BP314" s="61" t="n"/>
      <c r="BQ314" s="61" t="n"/>
      <c r="BR314" s="61" t="n"/>
      <c r="BS314" s="61" t="n"/>
      <c r="BT314" s="61" t="n"/>
    </row>
    <row r="315" ht="15.75" customHeight="1" s="79">
      <c r="A315" s="61" t="n"/>
      <c r="B315" s="61" t="n"/>
      <c r="C315" s="61" t="n"/>
      <c r="D315" s="61" t="n"/>
      <c r="E315" s="61" t="n"/>
      <c r="F315" s="61" t="n"/>
      <c r="G315" s="61" t="n"/>
      <c r="H315" s="61" t="n"/>
      <c r="I315" s="61" t="n"/>
      <c r="J315" s="61" t="n"/>
      <c r="K315" s="61" t="n"/>
      <c r="L315" s="61" t="n"/>
      <c r="M315" s="61" t="n"/>
      <c r="N315" s="61" t="n"/>
      <c r="O315" s="61" t="n"/>
      <c r="P315" s="61" t="n"/>
      <c r="Q315" s="61" t="n"/>
      <c r="R315" s="61" t="n"/>
      <c r="S315" s="61" t="n"/>
      <c r="T315" s="61" t="n"/>
      <c r="U315" s="61" t="n"/>
      <c r="V315" s="61" t="n"/>
      <c r="W315" s="61" t="n"/>
      <c r="X315" s="61" t="n"/>
      <c r="Y315" s="61" t="n"/>
      <c r="Z315" s="61" t="n"/>
      <c r="AA315" s="61" t="n"/>
      <c r="AB315" s="61" t="n"/>
      <c r="AC315" s="61" t="n"/>
      <c r="AD315" s="61" t="n"/>
      <c r="AE315" s="61" t="n"/>
      <c r="AF315" s="61" t="n"/>
      <c r="AG315" s="61" t="n"/>
      <c r="AH315" s="61" t="n"/>
      <c r="AI315" s="61" t="n"/>
      <c r="AJ315" s="61" t="n"/>
      <c r="AK315" s="61" t="n"/>
      <c r="AL315" s="61" t="n"/>
      <c r="AM315" s="61" t="n"/>
      <c r="AN315" s="61" t="n"/>
      <c r="AO315" s="61" t="n"/>
      <c r="AP315" s="57" t="n"/>
      <c r="AQ315" s="56" t="n"/>
      <c r="AR315" s="57" t="n"/>
      <c r="AS315" s="61" t="n"/>
      <c r="AT315" s="61" t="n"/>
      <c r="AU315" s="57" t="n"/>
      <c r="AV315" s="61" t="n"/>
      <c r="AW315" s="61" t="n"/>
      <c r="AX315" s="61" t="n"/>
      <c r="AY315" s="61" t="n"/>
      <c r="AZ315" s="61" t="n"/>
      <c r="BA315" s="61" t="n"/>
      <c r="BB315" s="61" t="n"/>
      <c r="BC315" s="61" t="n"/>
      <c r="BD315" s="57" t="n"/>
      <c r="BE315" s="56" t="n"/>
      <c r="BF315" s="56" t="n"/>
      <c r="BG315" s="57" t="n"/>
      <c r="BH315" s="61" t="n"/>
      <c r="BI315" s="61" t="n"/>
      <c r="BJ315" s="61" t="n"/>
      <c r="BK315" s="61" t="n"/>
      <c r="BL315" s="61" t="n"/>
      <c r="BM315" s="61" t="n"/>
      <c r="BN315" s="61" t="n"/>
      <c r="BO315" s="61" t="n"/>
      <c r="BP315" s="61" t="n"/>
      <c r="BQ315" s="61" t="n"/>
      <c r="BR315" s="61" t="n"/>
      <c r="BS315" s="61" t="n"/>
      <c r="BT315" s="61" t="n"/>
    </row>
    <row r="316" ht="15.75" customHeight="1" s="79">
      <c r="A316" s="61" t="n"/>
      <c r="B316" s="61" t="n"/>
      <c r="C316" s="61" t="n"/>
      <c r="D316" s="61" t="n"/>
      <c r="E316" s="61" t="n"/>
      <c r="F316" s="61" t="n"/>
      <c r="G316" s="61" t="n"/>
      <c r="H316" s="61" t="n"/>
      <c r="I316" s="61" t="n"/>
      <c r="J316" s="61" t="n"/>
      <c r="K316" s="61" t="n"/>
      <c r="L316" s="61" t="n"/>
      <c r="M316" s="61" t="n"/>
      <c r="N316" s="61" t="n"/>
      <c r="O316" s="61" t="n"/>
      <c r="P316" s="61" t="n"/>
      <c r="Q316" s="61" t="n"/>
      <c r="R316" s="61" t="n"/>
      <c r="S316" s="61" t="n"/>
      <c r="T316" s="61" t="n"/>
      <c r="U316" s="61" t="n"/>
      <c r="V316" s="61" t="n"/>
      <c r="W316" s="61" t="n"/>
      <c r="X316" s="61" t="n"/>
      <c r="Y316" s="61" t="n"/>
      <c r="Z316" s="61" t="n"/>
      <c r="AA316" s="61" t="n"/>
      <c r="AB316" s="61" t="n"/>
      <c r="AC316" s="61" t="n"/>
      <c r="AD316" s="61" t="n"/>
      <c r="AE316" s="61" t="n"/>
      <c r="AF316" s="61" t="n"/>
      <c r="AG316" s="61" t="n"/>
      <c r="AH316" s="61" t="n"/>
      <c r="AI316" s="61" t="n"/>
      <c r="AJ316" s="61" t="n"/>
      <c r="AK316" s="61" t="n"/>
      <c r="AL316" s="61" t="n"/>
      <c r="AM316" s="61" t="n"/>
      <c r="AN316" s="61" t="n"/>
      <c r="AO316" s="61" t="n"/>
      <c r="AP316" s="57" t="n"/>
      <c r="AQ316" s="56" t="n"/>
      <c r="AR316" s="57" t="n"/>
      <c r="AS316" s="61" t="n"/>
      <c r="AT316" s="61" t="n"/>
      <c r="AU316" s="57" t="n"/>
      <c r="AV316" s="61" t="n"/>
      <c r="AW316" s="61" t="n"/>
      <c r="AX316" s="61" t="n"/>
      <c r="AY316" s="61" t="n"/>
      <c r="AZ316" s="61" t="n"/>
      <c r="BA316" s="61" t="n"/>
      <c r="BB316" s="61" t="n"/>
      <c r="BC316" s="61" t="n"/>
      <c r="BD316" s="57" t="n"/>
      <c r="BE316" s="56" t="n"/>
      <c r="BF316" s="56" t="n"/>
      <c r="BG316" s="57" t="n"/>
      <c r="BH316" s="61" t="n"/>
      <c r="BI316" s="61" t="n"/>
      <c r="BJ316" s="61" t="n"/>
      <c r="BK316" s="61" t="n"/>
      <c r="BL316" s="61" t="n"/>
      <c r="BM316" s="61" t="n"/>
      <c r="BN316" s="61" t="n"/>
      <c r="BO316" s="61" t="n"/>
      <c r="BP316" s="61" t="n"/>
      <c r="BQ316" s="61" t="n"/>
      <c r="BR316" s="61" t="n"/>
      <c r="BS316" s="61" t="n"/>
      <c r="BT316" s="61" t="n"/>
    </row>
    <row r="317" ht="15.75" customHeight="1" s="79">
      <c r="A317" s="61" t="n"/>
      <c r="B317" s="61" t="n"/>
      <c r="C317" s="61" t="n"/>
      <c r="D317" s="61" t="n"/>
      <c r="E317" s="61" t="n"/>
      <c r="F317" s="61" t="n"/>
      <c r="G317" s="61" t="n"/>
      <c r="H317" s="61" t="n"/>
      <c r="I317" s="61" t="n"/>
      <c r="J317" s="61" t="n"/>
      <c r="K317" s="61" t="n"/>
      <c r="L317" s="61" t="n"/>
      <c r="M317" s="61" t="n"/>
      <c r="N317" s="61" t="n"/>
      <c r="O317" s="61" t="n"/>
      <c r="P317" s="61" t="n"/>
      <c r="Q317" s="61" t="n"/>
      <c r="R317" s="61" t="n"/>
      <c r="S317" s="61" t="n"/>
      <c r="T317" s="61" t="n"/>
      <c r="U317" s="61" t="n"/>
      <c r="V317" s="61" t="n"/>
      <c r="W317" s="61" t="n"/>
      <c r="X317" s="61" t="n"/>
      <c r="Y317" s="61" t="n"/>
      <c r="Z317" s="61" t="n"/>
      <c r="AA317" s="61" t="n"/>
      <c r="AB317" s="61" t="n"/>
      <c r="AC317" s="61" t="n"/>
      <c r="AD317" s="61" t="n"/>
      <c r="AE317" s="61" t="n"/>
      <c r="AF317" s="61" t="n"/>
      <c r="AG317" s="61" t="n"/>
      <c r="AH317" s="61" t="n"/>
      <c r="AI317" s="61" t="n"/>
      <c r="AJ317" s="61" t="n"/>
      <c r="AK317" s="61" t="n"/>
      <c r="AL317" s="61" t="n"/>
      <c r="AM317" s="61" t="n"/>
      <c r="AN317" s="61" t="n"/>
      <c r="AO317" s="61" t="n"/>
      <c r="AP317" s="57" t="n"/>
      <c r="AQ317" s="56" t="n"/>
      <c r="AR317" s="57" t="n"/>
      <c r="AS317" s="61" t="n"/>
      <c r="AT317" s="61" t="n"/>
      <c r="AU317" s="57" t="n"/>
      <c r="AV317" s="61" t="n"/>
      <c r="AW317" s="61" t="n"/>
      <c r="AX317" s="61" t="n"/>
      <c r="AY317" s="61" t="n"/>
      <c r="AZ317" s="61" t="n"/>
      <c r="BA317" s="61" t="n"/>
      <c r="BB317" s="61" t="n"/>
      <c r="BC317" s="61" t="n"/>
      <c r="BD317" s="57" t="n"/>
      <c r="BE317" s="56" t="n"/>
      <c r="BF317" s="56" t="n"/>
      <c r="BG317" s="57" t="n"/>
      <c r="BH317" s="61" t="n"/>
      <c r="BI317" s="61" t="n"/>
      <c r="BJ317" s="61" t="n"/>
      <c r="BK317" s="61" t="n"/>
      <c r="BL317" s="61" t="n"/>
      <c r="BM317" s="61" t="n"/>
      <c r="BN317" s="61" t="n"/>
      <c r="BO317" s="61" t="n"/>
      <c r="BP317" s="61" t="n"/>
      <c r="BQ317" s="61" t="n"/>
      <c r="BR317" s="61" t="n"/>
      <c r="BS317" s="61" t="n"/>
      <c r="BT317" s="61" t="n"/>
    </row>
    <row r="318" ht="15.75" customHeight="1" s="79">
      <c r="A318" s="61" t="n"/>
      <c r="B318" s="61" t="n"/>
      <c r="C318" s="61" t="n"/>
      <c r="D318" s="61" t="n"/>
      <c r="E318" s="61" t="n"/>
      <c r="F318" s="61" t="n"/>
      <c r="G318" s="61" t="n"/>
      <c r="H318" s="61" t="n"/>
      <c r="I318" s="61" t="n"/>
      <c r="J318" s="61" t="n"/>
      <c r="K318" s="61" t="n"/>
      <c r="L318" s="61" t="n"/>
      <c r="M318" s="61" t="n"/>
      <c r="N318" s="61" t="n"/>
      <c r="O318" s="61" t="n"/>
      <c r="P318" s="61" t="n"/>
      <c r="Q318" s="61" t="n"/>
      <c r="R318" s="61" t="n"/>
      <c r="S318" s="61" t="n"/>
      <c r="T318" s="61" t="n"/>
      <c r="U318" s="61" t="n"/>
      <c r="V318" s="61" t="n"/>
      <c r="W318" s="61" t="n"/>
      <c r="X318" s="61" t="n"/>
      <c r="Y318" s="61" t="n"/>
      <c r="Z318" s="61" t="n"/>
      <c r="AA318" s="61" t="n"/>
      <c r="AB318" s="61" t="n"/>
      <c r="AC318" s="61" t="n"/>
      <c r="AD318" s="61" t="n"/>
      <c r="AE318" s="61" t="n"/>
      <c r="AF318" s="61" t="n"/>
      <c r="AG318" s="61" t="n"/>
      <c r="AH318" s="61" t="n"/>
      <c r="AI318" s="61" t="n"/>
      <c r="AJ318" s="61" t="n"/>
      <c r="AK318" s="61" t="n"/>
      <c r="AL318" s="61" t="n"/>
      <c r="AM318" s="61" t="n"/>
      <c r="AN318" s="61" t="n"/>
      <c r="AO318" s="61" t="n"/>
      <c r="AP318" s="57" t="n"/>
      <c r="AQ318" s="56" t="n"/>
      <c r="AR318" s="57" t="n"/>
      <c r="AS318" s="61" t="n"/>
      <c r="AT318" s="61" t="n"/>
      <c r="AU318" s="57" t="n"/>
      <c r="AV318" s="61" t="n"/>
      <c r="AW318" s="61" t="n"/>
      <c r="AX318" s="61" t="n"/>
      <c r="AY318" s="61" t="n"/>
      <c r="AZ318" s="61" t="n"/>
      <c r="BA318" s="61" t="n"/>
      <c r="BB318" s="61" t="n"/>
      <c r="BC318" s="61" t="n"/>
      <c r="BD318" s="57" t="n"/>
      <c r="BE318" s="56" t="n"/>
      <c r="BF318" s="56" t="n"/>
      <c r="BG318" s="57" t="n"/>
      <c r="BH318" s="61" t="n"/>
      <c r="BI318" s="61" t="n"/>
      <c r="BJ318" s="61" t="n"/>
      <c r="BK318" s="61" t="n"/>
      <c r="BL318" s="61" t="n"/>
      <c r="BM318" s="61" t="n"/>
      <c r="BN318" s="61" t="n"/>
      <c r="BO318" s="61" t="n"/>
      <c r="BP318" s="61" t="n"/>
      <c r="BQ318" s="61" t="n"/>
      <c r="BR318" s="61" t="n"/>
      <c r="BS318" s="61" t="n"/>
      <c r="BT318" s="61" t="n"/>
    </row>
    <row r="319" ht="15.75" customHeight="1" s="79">
      <c r="A319" s="61" t="n"/>
      <c r="B319" s="61" t="n"/>
      <c r="C319" s="61" t="n"/>
      <c r="D319" s="61" t="n"/>
      <c r="E319" s="61" t="n"/>
      <c r="F319" s="61" t="n"/>
      <c r="G319" s="61" t="n"/>
      <c r="H319" s="61" t="n"/>
      <c r="I319" s="61" t="n"/>
      <c r="J319" s="61" t="n"/>
      <c r="K319" s="61" t="n"/>
      <c r="L319" s="61" t="n"/>
      <c r="M319" s="61" t="n"/>
      <c r="N319" s="61" t="n"/>
      <c r="O319" s="61" t="n"/>
      <c r="P319" s="61" t="n"/>
      <c r="Q319" s="61" t="n"/>
      <c r="R319" s="61" t="n"/>
      <c r="S319" s="61" t="n"/>
      <c r="T319" s="61" t="n"/>
      <c r="U319" s="61" t="n"/>
      <c r="V319" s="61" t="n"/>
      <c r="W319" s="61" t="n"/>
      <c r="X319" s="61" t="n"/>
      <c r="Y319" s="61" t="n"/>
      <c r="Z319" s="61" t="n"/>
      <c r="AA319" s="61" t="n"/>
      <c r="AB319" s="61" t="n"/>
      <c r="AC319" s="61" t="n"/>
      <c r="AD319" s="61" t="n"/>
      <c r="AE319" s="61" t="n"/>
      <c r="AF319" s="61" t="n"/>
      <c r="AG319" s="61" t="n"/>
      <c r="AH319" s="61" t="n"/>
      <c r="AI319" s="61" t="n"/>
      <c r="AJ319" s="61" t="n"/>
      <c r="AK319" s="61" t="n"/>
      <c r="AL319" s="61" t="n"/>
      <c r="AM319" s="61" t="n"/>
      <c r="AN319" s="61" t="n"/>
      <c r="AO319" s="61" t="n"/>
      <c r="AP319" s="57" t="n"/>
      <c r="AQ319" s="56" t="n"/>
      <c r="AR319" s="57" t="n"/>
      <c r="AS319" s="61" t="n"/>
      <c r="AT319" s="61" t="n"/>
      <c r="AU319" s="57" t="n"/>
      <c r="AV319" s="61" t="n"/>
      <c r="AW319" s="61" t="n"/>
      <c r="AX319" s="61" t="n"/>
      <c r="AY319" s="61" t="n"/>
      <c r="AZ319" s="61" t="n"/>
      <c r="BA319" s="61" t="n"/>
      <c r="BB319" s="61" t="inlineStr">
        <is>
          <t>Under 60</t>
        </is>
      </c>
      <c r="BC319" s="61">
        <f>COUNTIFS(Data!$AK$2:$AK$1105,1,Data!$AW$2:$AW$1105,$BB$319)</f>
        <v/>
      </c>
      <c r="BD319" s="57">
        <f>SUMIFS(Data!$P$2:$P$1105,Data!$AK$2:$AK$1105,1,Data!$AW$2:$AW$1105,$BB$319)</f>
        <v/>
      </c>
      <c r="BE319" s="56">
        <f>IF(COUNTIFS(Data!$AK$2:$AK$1105,1,Data!$AW$2:$AW$1105,$BB$319)&lt;Controls!$B$19,"",IFERROR(SUMIFS(Data!$AN$2:$AN$1105,Data!$AK$2:$AK$1105,1,Data!$AW$2:$AW$1105,$BB$319)/$BD$319,""))</f>
        <v/>
      </c>
      <c r="BF319" s="56">
        <f>IF(COUNTIFS(Data!$AK$2:$AK$1105,1,Data!$AW$2:$AW$1105,$BB$319)&lt;Controls!$B$19,"",IFERROR(SUMIFS(Data!$AM$2:$AM$1105,Data!$AK$2:$AK$1105,1,Data!$AW$2:$AW$1105,$BB$319)/SUMIFS(Data!$P$2:$P$1105,Data!$AK$2:$AK$1105,1,Data!$AW$2:$AW$1105,$BB$319),""))</f>
        <v/>
      </c>
      <c r="BG319" s="57">
        <f>SUMIFS(Data!$AN$2:$AN$1105,Data!$AK$2:$AK$1105,1,Data!$AW$2:$AW$1105,$BB$319)</f>
        <v/>
      </c>
      <c r="BH319" s="61" t="n"/>
      <c r="BI319" s="61" t="n"/>
      <c r="BJ319" s="61" t="n"/>
      <c r="BK319" s="56">
        <f>IF($BC$319&lt;Controls!$B$22,"",$BE$319)</f>
        <v/>
      </c>
      <c r="BL319" s="56">
        <f>IF($BC$319&lt;Controls!$B$22,"",$BF$319)</f>
        <v/>
      </c>
      <c r="BM319" s="57">
        <f>IF($BC$319&lt;Controls!$B$22,"",$BG$319)</f>
        <v/>
      </c>
      <c r="BN319" s="61" t="n"/>
      <c r="BO319" s="61" t="n"/>
      <c r="BP319" s="61" t="n"/>
      <c r="BQ319" s="61" t="n"/>
      <c r="BR319" s="61" t="n"/>
      <c r="BS319" s="61" t="n"/>
      <c r="BT319" s="61" t="n"/>
    </row>
    <row r="320" ht="15.75" customHeight="1" s="79">
      <c r="A320" s="61" t="n"/>
      <c r="B320" s="61" t="n"/>
      <c r="C320" s="61" t="n"/>
      <c r="D320" s="61" t="n"/>
      <c r="E320" s="61" t="n"/>
      <c r="F320" s="61" t="n"/>
      <c r="G320" s="61" t="n"/>
      <c r="H320" s="61" t="n"/>
      <c r="I320" s="61" t="n"/>
      <c r="J320" s="61" t="n"/>
      <c r="K320" s="61" t="n"/>
      <c r="L320" s="61" t="n"/>
      <c r="M320" s="61" t="n"/>
      <c r="N320" s="61" t="n"/>
      <c r="O320" s="61" t="n"/>
      <c r="P320" s="61" t="n"/>
      <c r="Q320" s="61" t="n"/>
      <c r="R320" s="61" t="n"/>
      <c r="S320" s="61" t="n"/>
      <c r="T320" s="61" t="n"/>
      <c r="U320" s="61" t="n"/>
      <c r="V320" s="61" t="n"/>
      <c r="W320" s="61" t="n"/>
      <c r="X320" s="61" t="n"/>
      <c r="Y320" s="61" t="n"/>
      <c r="Z320" s="61" t="n"/>
      <c r="AA320" s="61" t="n"/>
      <c r="AB320" s="61" t="n"/>
      <c r="AC320" s="61" t="n"/>
      <c r="AD320" s="61" t="n"/>
      <c r="AE320" s="61" t="n"/>
      <c r="AF320" s="61" t="n"/>
      <c r="AG320" s="61" t="n"/>
      <c r="AH320" s="61" t="n"/>
      <c r="AI320" s="61" t="n"/>
      <c r="AJ320" s="61" t="n"/>
      <c r="AK320" s="61" t="n"/>
      <c r="AL320" s="61" t="n"/>
      <c r="AM320" s="61" t="n"/>
      <c r="AN320" s="61" t="n"/>
      <c r="AO320" s="61" t="n"/>
      <c r="AP320" s="57" t="n"/>
      <c r="AQ320" s="56" t="n"/>
      <c r="AR320" s="57" t="n"/>
      <c r="AS320" s="61" t="n"/>
      <c r="AT320" s="61" t="n"/>
      <c r="AU320" s="57" t="n"/>
      <c r="AV320" s="61" t="n"/>
      <c r="AW320" s="61" t="n"/>
      <c r="AX320" s="61" t="n"/>
      <c r="AY320" s="61" t="n"/>
      <c r="AZ320" s="61" t="n"/>
      <c r="BA320" s="61" t="n"/>
      <c r="BB320" s="61" t="inlineStr">
        <is>
          <t>60-89</t>
        </is>
      </c>
      <c r="BC320" s="61">
        <f>COUNTIFS(Data!$AK$2:$AK$1105,1,Data!$AW$2:$AW$1105,$BB$320)</f>
        <v/>
      </c>
      <c r="BD320" s="57">
        <f>SUMIFS(Data!$P$2:$P$1105,Data!$AK$2:$AK$1105,1,Data!$AW$2:$AW$1105,$BB$320)</f>
        <v/>
      </c>
      <c r="BE320" s="56">
        <f>IF(COUNTIFS(Data!$AK$2:$AK$1105,1,Data!$AW$2:$AW$1105,$BB$320)&lt;Controls!$B$19,"",IFERROR(SUMIFS(Data!$AN$2:$AN$1105,Data!$AK$2:$AK$1105,1,Data!$AW$2:$AW$1105,$BB$320)/$BD$320,""))</f>
        <v/>
      </c>
      <c r="BF320" s="56">
        <f>IF(COUNTIFS(Data!$AK$2:$AK$1105,1,Data!$AW$2:$AW$1105,$BB$320)&lt;Controls!$B$19,"",IFERROR(SUMIFS(Data!$AM$2:$AM$1105,Data!$AK$2:$AK$1105,1,Data!$AW$2:$AW$1105,$BB$320)/SUMIFS(Data!$P$2:$P$1105,Data!$AK$2:$AK$1105,1,Data!$AW$2:$AW$1105,$BB$320),""))</f>
        <v/>
      </c>
      <c r="BG320" s="57">
        <f>SUMIFS(Data!$AN$2:$AN$1105,Data!$AK$2:$AK$1105,1,Data!$AW$2:$AW$1105,$BB$320)</f>
        <v/>
      </c>
      <c r="BH320" s="61" t="n"/>
      <c r="BI320" s="61" t="n"/>
      <c r="BJ320" s="61" t="n"/>
      <c r="BK320" s="56">
        <f>IF($BC$320&lt;Controls!$B$22,"",$BE$320)</f>
        <v/>
      </c>
      <c r="BL320" s="56">
        <f>IF($BC$320&lt;Controls!$B$22,"",$BF$320)</f>
        <v/>
      </c>
      <c r="BM320" s="57">
        <f>IF($BC$320&lt;Controls!$B$22,"",$BG$320)</f>
        <v/>
      </c>
      <c r="BN320" s="61" t="n"/>
      <c r="BO320" s="61" t="n"/>
      <c r="BP320" s="61" t="n"/>
      <c r="BQ320" s="61" t="n"/>
      <c r="BR320" s="61" t="n"/>
      <c r="BS320" s="61" t="n"/>
      <c r="BT320" s="61" t="n"/>
    </row>
    <row r="321" ht="15.75" customHeight="1" s="79">
      <c r="A321" s="61" t="n"/>
      <c r="B321" s="61" t="n"/>
      <c r="C321" s="61" t="n"/>
      <c r="D321" s="61" t="n"/>
      <c r="E321" s="61" t="n"/>
      <c r="F321" s="61" t="n"/>
      <c r="G321" s="61" t="n"/>
      <c r="H321" s="61" t="n"/>
      <c r="I321" s="61" t="n"/>
      <c r="J321" s="61" t="n"/>
      <c r="K321" s="61" t="n"/>
      <c r="L321" s="61" t="n"/>
      <c r="M321" s="61" t="n"/>
      <c r="N321" s="61" t="n"/>
      <c r="O321" s="61" t="n"/>
      <c r="P321" s="61" t="n"/>
      <c r="Q321" s="61" t="n"/>
      <c r="R321" s="61" t="n"/>
      <c r="S321" s="61" t="n"/>
      <c r="T321" s="61" t="n"/>
      <c r="U321" s="61" t="n"/>
      <c r="V321" s="61" t="n"/>
      <c r="W321" s="61" t="n"/>
      <c r="X321" s="61" t="n"/>
      <c r="Y321" s="61" t="n"/>
      <c r="Z321" s="61" t="n"/>
      <c r="AA321" s="61" t="n"/>
      <c r="AB321" s="61" t="n"/>
      <c r="AC321" s="61" t="n"/>
      <c r="AD321" s="61" t="n"/>
      <c r="AE321" s="61" t="n"/>
      <c r="AF321" s="61" t="n"/>
      <c r="AG321" s="61" t="n"/>
      <c r="AH321" s="61" t="n"/>
      <c r="AI321" s="61" t="n"/>
      <c r="AJ321" s="61" t="n"/>
      <c r="AK321" s="61" t="n"/>
      <c r="AL321" s="61" t="n"/>
      <c r="AM321" s="61" t="n"/>
      <c r="AN321" s="61" t="n"/>
      <c r="AO321" s="61" t="n"/>
      <c r="AP321" s="57" t="n"/>
      <c r="AQ321" s="56" t="n"/>
      <c r="AR321" s="57" t="n"/>
      <c r="AS321" s="61" t="n"/>
      <c r="AT321" s="61" t="n"/>
      <c r="AU321" s="57" t="n"/>
      <c r="AV321" s="61" t="n"/>
      <c r="AW321" s="61" t="n"/>
      <c r="AX321" s="61" t="n"/>
      <c r="AY321" s="61" t="n"/>
      <c r="AZ321" s="61" t="n"/>
      <c r="BA321" s="61" t="n"/>
      <c r="BB321" s="61" t="inlineStr">
        <is>
          <t>90-119</t>
        </is>
      </c>
      <c r="BC321" s="61">
        <f>COUNTIFS(Data!$AK$2:$AK$1105,1,Data!$AW$2:$AW$1105,$BB$321)</f>
        <v/>
      </c>
      <c r="BD321" s="57">
        <f>SUMIFS(Data!$P$2:$P$1105,Data!$AK$2:$AK$1105,1,Data!$AW$2:$AW$1105,$BB$321)</f>
        <v/>
      </c>
      <c r="BE321" s="56">
        <f>IF(COUNTIFS(Data!$AK$2:$AK$1105,1,Data!$AW$2:$AW$1105,$BB$321)&lt;Controls!$B$19,"",IFERROR(SUMIFS(Data!$AN$2:$AN$1105,Data!$AK$2:$AK$1105,1,Data!$AW$2:$AW$1105,$BB$321)/$BD$321,""))</f>
        <v/>
      </c>
      <c r="BF321" s="56">
        <f>IF(COUNTIFS(Data!$AK$2:$AK$1105,1,Data!$AW$2:$AW$1105,$BB$321)&lt;Controls!$B$19,"",IFERROR(SUMIFS(Data!$AM$2:$AM$1105,Data!$AK$2:$AK$1105,1,Data!$AW$2:$AW$1105,$BB$321)/SUMIFS(Data!$P$2:$P$1105,Data!$AK$2:$AK$1105,1,Data!$AW$2:$AW$1105,$BB$321),""))</f>
        <v/>
      </c>
      <c r="BG321" s="57">
        <f>SUMIFS(Data!$AN$2:$AN$1105,Data!$AK$2:$AK$1105,1,Data!$AW$2:$AW$1105,$BB$321)</f>
        <v/>
      </c>
      <c r="BH321" s="61" t="n"/>
      <c r="BI321" s="61" t="n"/>
      <c r="BJ321" s="61" t="n"/>
      <c r="BK321" s="56">
        <f>IF($BC$321&lt;Controls!$B$22,"",$BE$321)</f>
        <v/>
      </c>
      <c r="BL321" s="56">
        <f>IF($BC$321&lt;Controls!$B$22,"",$BF$321)</f>
        <v/>
      </c>
      <c r="BM321" s="57">
        <f>IF($BC$321&lt;Controls!$B$22,"",$BG$321)</f>
        <v/>
      </c>
      <c r="BN321" s="61" t="n"/>
      <c r="BO321" s="61" t="n"/>
      <c r="BP321" s="61" t="n"/>
      <c r="BQ321" s="61" t="n"/>
      <c r="BR321" s="61" t="n"/>
      <c r="BS321" s="61" t="n"/>
      <c r="BT321" s="61" t="n"/>
    </row>
    <row r="322" ht="15.75" customHeight="1" s="79">
      <c r="A322" s="61" t="n"/>
      <c r="B322" s="61" t="n"/>
      <c r="C322" s="61" t="n"/>
      <c r="D322" s="61" t="n"/>
      <c r="E322" s="61" t="n"/>
      <c r="F322" s="61" t="n"/>
      <c r="G322" s="61" t="n"/>
      <c r="H322" s="61" t="n"/>
      <c r="I322" s="61" t="n"/>
      <c r="J322" s="61" t="n"/>
      <c r="K322" s="61" t="n"/>
      <c r="L322" s="61" t="n"/>
      <c r="M322" s="61" t="n"/>
      <c r="N322" s="61" t="n"/>
      <c r="O322" s="61" t="n"/>
      <c r="P322" s="61" t="n"/>
      <c r="Q322" s="61" t="n"/>
      <c r="R322" s="61" t="n"/>
      <c r="S322" s="61" t="n"/>
      <c r="T322" s="61" t="n"/>
      <c r="U322" s="61" t="n"/>
      <c r="V322" s="61" t="n"/>
      <c r="W322" s="61" t="n"/>
      <c r="X322" s="61" t="n"/>
      <c r="Y322" s="61" t="n"/>
      <c r="Z322" s="61" t="n"/>
      <c r="AA322" s="61" t="n"/>
      <c r="AB322" s="61" t="n"/>
      <c r="AC322" s="61" t="n"/>
      <c r="AD322" s="61" t="n"/>
      <c r="AE322" s="61" t="n"/>
      <c r="AF322" s="61" t="n"/>
      <c r="AG322" s="61" t="n"/>
      <c r="AH322" s="61" t="n"/>
      <c r="AI322" s="61" t="n"/>
      <c r="AJ322" s="61" t="n"/>
      <c r="AK322" s="61" t="n"/>
      <c r="AL322" s="61" t="n"/>
      <c r="AM322" s="61" t="n"/>
      <c r="AN322" s="61" t="n"/>
      <c r="AO322" s="61" t="n"/>
      <c r="AP322" s="57" t="n"/>
      <c r="AQ322" s="56" t="n"/>
      <c r="AR322" s="57" t="n"/>
      <c r="AS322" s="61" t="n"/>
      <c r="AT322" s="61" t="n"/>
      <c r="AU322" s="57" t="n"/>
      <c r="AV322" s="61" t="n"/>
      <c r="AW322" s="61" t="n"/>
      <c r="AX322" s="61" t="n"/>
      <c r="AY322" s="61" t="n"/>
      <c r="AZ322" s="61" t="n"/>
      <c r="BA322" s="61" t="n"/>
      <c r="BB322" s="61" t="inlineStr">
        <is>
          <t>120-149</t>
        </is>
      </c>
      <c r="BC322" s="61">
        <f>COUNTIFS(Data!$AK$2:$AK$1105,1,Data!$AW$2:$AW$1105,$BB$322)</f>
        <v/>
      </c>
      <c r="BD322" s="57">
        <f>SUMIFS(Data!$P$2:$P$1105,Data!$AK$2:$AK$1105,1,Data!$AW$2:$AW$1105,$BB$322)</f>
        <v/>
      </c>
      <c r="BE322" s="56">
        <f>IF(COUNTIFS(Data!$AK$2:$AK$1105,1,Data!$AW$2:$AW$1105,$BB$322)&lt;Controls!$B$19,"",IFERROR(SUMIFS(Data!$AN$2:$AN$1105,Data!$AK$2:$AK$1105,1,Data!$AW$2:$AW$1105,$BB$322)/$BD$322,""))</f>
        <v/>
      </c>
      <c r="BF322" s="56">
        <f>IF(COUNTIFS(Data!$AK$2:$AK$1105,1,Data!$AW$2:$AW$1105,$BB$322)&lt;Controls!$B$19,"",IFERROR(SUMIFS(Data!$AM$2:$AM$1105,Data!$AK$2:$AK$1105,1,Data!$AW$2:$AW$1105,$BB$322)/SUMIFS(Data!$P$2:$P$1105,Data!$AK$2:$AK$1105,1,Data!$AW$2:$AW$1105,$BB$322),""))</f>
        <v/>
      </c>
      <c r="BG322" s="57">
        <f>SUMIFS(Data!$AN$2:$AN$1105,Data!$AK$2:$AK$1105,1,Data!$AW$2:$AW$1105,$BB$322)</f>
        <v/>
      </c>
      <c r="BH322" s="61" t="n"/>
      <c r="BI322" s="61" t="n"/>
      <c r="BJ322" s="61" t="n"/>
      <c r="BK322" s="56">
        <f>IF($BC$322&lt;Controls!$B$22,"",$BE$322)</f>
        <v/>
      </c>
      <c r="BL322" s="56">
        <f>IF($BC$322&lt;Controls!$B$22,"",$BF$322)</f>
        <v/>
      </c>
      <c r="BM322" s="57">
        <f>IF($BC$322&lt;Controls!$B$22,"",$BG$322)</f>
        <v/>
      </c>
      <c r="BN322" s="61" t="n"/>
      <c r="BO322" s="61" t="n"/>
      <c r="BP322" s="61" t="n"/>
      <c r="BQ322" s="61" t="n"/>
      <c r="BR322" s="61" t="n"/>
      <c r="BS322" s="61" t="n"/>
      <c r="BT322" s="61" t="n"/>
    </row>
    <row r="323" ht="15.75" customHeight="1" s="79">
      <c r="A323" s="61" t="n"/>
      <c r="B323" s="61" t="n"/>
      <c r="C323" s="61" t="n"/>
      <c r="D323" s="61" t="n"/>
      <c r="E323" s="61" t="n"/>
      <c r="F323" s="61" t="n"/>
      <c r="G323" s="61" t="n"/>
      <c r="H323" s="61" t="n"/>
      <c r="I323" s="61" t="n"/>
      <c r="J323" s="61" t="n"/>
      <c r="K323" s="61" t="n"/>
      <c r="L323" s="61" t="n"/>
      <c r="M323" s="61" t="n"/>
      <c r="N323" s="61" t="n"/>
      <c r="O323" s="61" t="n"/>
      <c r="P323" s="61" t="n"/>
      <c r="Q323" s="61" t="n"/>
      <c r="R323" s="61" t="n"/>
      <c r="S323" s="61" t="n"/>
      <c r="T323" s="61" t="n"/>
      <c r="U323" s="61" t="n"/>
      <c r="V323" s="61" t="n"/>
      <c r="W323" s="61" t="n"/>
      <c r="X323" s="61" t="n"/>
      <c r="Y323" s="61" t="n"/>
      <c r="Z323" s="61" t="n"/>
      <c r="AA323" s="61" t="n"/>
      <c r="AB323" s="61" t="n"/>
      <c r="AC323" s="61" t="n"/>
      <c r="AD323" s="61" t="n"/>
      <c r="AE323" s="61" t="n"/>
      <c r="AF323" s="61" t="n"/>
      <c r="AG323" s="61" t="n"/>
      <c r="AH323" s="61" t="n"/>
      <c r="AI323" s="61" t="n"/>
      <c r="AJ323" s="61" t="n"/>
      <c r="AK323" s="61" t="n"/>
      <c r="AL323" s="61" t="n"/>
      <c r="AM323" s="61" t="n"/>
      <c r="AN323" s="61" t="n"/>
      <c r="AO323" s="61" t="n"/>
      <c r="AP323" s="57" t="n"/>
      <c r="AQ323" s="56" t="n"/>
      <c r="AR323" s="57" t="n"/>
      <c r="AS323" s="61" t="n"/>
      <c r="AT323" s="61" t="n"/>
      <c r="AU323" s="57" t="n"/>
      <c r="AV323" s="61" t="n"/>
      <c r="AW323" s="61" t="n"/>
      <c r="AX323" s="61" t="n"/>
      <c r="AY323" s="61" t="n"/>
      <c r="AZ323" s="61" t="n"/>
      <c r="BA323" s="61" t="n"/>
      <c r="BB323" s="61" t="inlineStr">
        <is>
          <t>150+</t>
        </is>
      </c>
      <c r="BC323" s="61">
        <f>COUNTIFS(Data!$AK$2:$AK$1105,1,Data!$AW$2:$AW$1105,$BB$323)</f>
        <v/>
      </c>
      <c r="BD323" s="57">
        <f>SUMIFS(Data!$P$2:$P$1105,Data!$AK$2:$AK$1105,1,Data!$AW$2:$AW$1105,$BB$323)</f>
        <v/>
      </c>
      <c r="BE323" s="56">
        <f>IF(COUNTIFS(Data!$AK$2:$AK$1105,1,Data!$AW$2:$AW$1105,$BB$323)&lt;Controls!$B$19,"",IFERROR(SUMIFS(Data!$AN$2:$AN$1105,Data!$AK$2:$AK$1105,1,Data!$AW$2:$AW$1105,$BB$323)/$BD$323,""))</f>
        <v/>
      </c>
      <c r="BF323" s="56">
        <f>IF(COUNTIFS(Data!$AK$2:$AK$1105,1,Data!$AW$2:$AW$1105,$BB$323)&lt;Controls!$B$19,"",IFERROR(SUMIFS(Data!$AM$2:$AM$1105,Data!$AK$2:$AK$1105,1,Data!$AW$2:$AW$1105,$BB$323)/SUMIFS(Data!$P$2:$P$1105,Data!$AK$2:$AK$1105,1,Data!$AW$2:$AW$1105,$BB$323),""))</f>
        <v/>
      </c>
      <c r="BG323" s="57">
        <f>SUMIFS(Data!$AN$2:$AN$1105,Data!$AK$2:$AK$1105,1,Data!$AW$2:$AW$1105,$BB$323)</f>
        <v/>
      </c>
      <c r="BH323" s="61" t="n"/>
      <c r="BI323" s="61" t="n"/>
      <c r="BJ323" s="61" t="n"/>
      <c r="BK323" s="56">
        <f>IF($BC$323&lt;Controls!$B$22,"",$BE$323)</f>
        <v/>
      </c>
      <c r="BL323" s="56">
        <f>IF($BC$323&lt;Controls!$B$22,"",$BF$323)</f>
        <v/>
      </c>
      <c r="BM323" s="57">
        <f>IF($BC$323&lt;Controls!$B$22,"",$BG$323)</f>
        <v/>
      </c>
      <c r="BN323" s="61" t="n"/>
      <c r="BO323" s="61" t="n"/>
      <c r="BP323" s="61" t="n"/>
      <c r="BQ323" s="61" t="n"/>
      <c r="BR323" s="61" t="n"/>
      <c r="BS323" s="61" t="n"/>
      <c r="BT323" s="61" t="n"/>
    </row>
    <row r="324" ht="15.75" customHeight="1" s="79">
      <c r="A324" s="61" t="n"/>
      <c r="B324" s="61" t="n"/>
      <c r="C324" s="61" t="n"/>
      <c r="D324" s="61" t="n"/>
      <c r="E324" s="61" t="n"/>
      <c r="F324" s="61" t="n"/>
      <c r="G324" s="61" t="n"/>
      <c r="H324" s="61" t="n"/>
      <c r="I324" s="61" t="n"/>
      <c r="J324" s="61" t="n"/>
      <c r="K324" s="61" t="n"/>
      <c r="L324" s="61" t="n"/>
      <c r="M324" s="61" t="n"/>
      <c r="N324" s="61" t="n"/>
      <c r="O324" s="61" t="n"/>
      <c r="P324" s="61" t="n"/>
      <c r="Q324" s="61" t="n"/>
      <c r="R324" s="61" t="n"/>
      <c r="S324" s="61" t="n"/>
      <c r="T324" s="61" t="n"/>
      <c r="U324" s="61" t="n"/>
      <c r="V324" s="61" t="n"/>
      <c r="W324" s="61" t="n"/>
      <c r="X324" s="61" t="n"/>
      <c r="Y324" s="61" t="n"/>
      <c r="Z324" s="61" t="n"/>
      <c r="AA324" s="61" t="n"/>
      <c r="AB324" s="61" t="n"/>
      <c r="AC324" s="61" t="n"/>
      <c r="AD324" s="61" t="n"/>
      <c r="AE324" s="61" t="n"/>
      <c r="AF324" s="61" t="n"/>
      <c r="AG324" s="61" t="n"/>
      <c r="AH324" s="61" t="n"/>
      <c r="AI324" s="61" t="n"/>
      <c r="AJ324" s="61" t="n"/>
      <c r="AK324" s="61" t="n"/>
      <c r="AL324" s="61" t="n"/>
      <c r="AM324" s="61" t="n"/>
      <c r="AN324" s="61" t="n"/>
      <c r="AO324" s="61" t="n"/>
      <c r="AP324" s="57" t="n"/>
      <c r="AQ324" s="56" t="n"/>
      <c r="AR324" s="57" t="n"/>
      <c r="AS324" s="61" t="n"/>
      <c r="AT324" s="61" t="n"/>
      <c r="AU324" s="57" t="n"/>
      <c r="AV324" s="61" t="n"/>
      <c r="AW324" s="61" t="n"/>
      <c r="AX324" s="61" t="n"/>
      <c r="AY324" s="61" t="n"/>
      <c r="AZ324" s="61" t="n"/>
      <c r="BA324" s="61" t="n"/>
      <c r="BB324" s="61" t="n"/>
      <c r="BC324" s="61" t="n"/>
      <c r="BD324" s="57" t="n"/>
      <c r="BE324" s="56" t="n"/>
      <c r="BF324" s="56" t="n"/>
      <c r="BG324" s="57" t="n"/>
      <c r="BH324" s="61" t="n"/>
      <c r="BI324" s="61" t="n"/>
      <c r="BJ324" s="61" t="n"/>
      <c r="BK324" s="61" t="n"/>
      <c r="BL324" s="61" t="n"/>
      <c r="BM324" s="61" t="n"/>
      <c r="BN324" s="61" t="n"/>
      <c r="BO324" s="61" t="n"/>
      <c r="BP324" s="61" t="n"/>
      <c r="BQ324" s="61" t="n"/>
      <c r="BR324" s="61" t="n"/>
      <c r="BS324" s="61" t="n"/>
      <c r="BT324" s="61" t="n"/>
    </row>
    <row r="325" ht="15.75" customHeight="1" s="79">
      <c r="A325" s="61" t="n"/>
      <c r="B325" s="61" t="n"/>
      <c r="C325" s="61" t="n"/>
      <c r="D325" s="61" t="n"/>
      <c r="E325" s="61" t="n"/>
      <c r="F325" s="61" t="n"/>
      <c r="G325" s="61" t="n"/>
      <c r="H325" s="61" t="n"/>
      <c r="I325" s="61" t="n"/>
      <c r="J325" s="61" t="n"/>
      <c r="K325" s="61" t="n"/>
      <c r="L325" s="61" t="n"/>
      <c r="M325" s="61" t="n"/>
      <c r="N325" s="61" t="n"/>
      <c r="O325" s="61" t="n"/>
      <c r="P325" s="61" t="n"/>
      <c r="Q325" s="61" t="n"/>
      <c r="R325" s="61" t="n"/>
      <c r="S325" s="61" t="n"/>
      <c r="T325" s="61" t="n"/>
      <c r="U325" s="61" t="n"/>
      <c r="V325" s="61" t="n"/>
      <c r="W325" s="61" t="n"/>
      <c r="X325" s="61" t="n"/>
      <c r="Y325" s="61" t="n"/>
      <c r="Z325" s="61" t="n"/>
      <c r="AA325" s="61" t="n"/>
      <c r="AB325" s="61" t="n"/>
      <c r="AC325" s="61" t="n"/>
      <c r="AD325" s="61" t="n"/>
      <c r="AE325" s="61" t="n"/>
      <c r="AF325" s="61" t="n"/>
      <c r="AG325" s="61" t="n"/>
      <c r="AH325" s="61" t="n"/>
      <c r="AI325" s="61" t="n"/>
      <c r="AJ325" s="61" t="n"/>
      <c r="AK325" s="61" t="n"/>
      <c r="AL325" s="61" t="n"/>
      <c r="AM325" s="61" t="n"/>
      <c r="AN325" s="61" t="n"/>
      <c r="AO325" s="61" t="n"/>
      <c r="AP325" s="57" t="n"/>
      <c r="AQ325" s="56" t="n"/>
      <c r="AR325" s="57" t="n"/>
      <c r="AS325" s="61" t="n"/>
      <c r="AT325" s="61" t="n"/>
      <c r="AU325" s="57" t="n"/>
      <c r="AV325" s="61" t="n"/>
      <c r="AW325" s="61" t="n"/>
      <c r="AX325" s="61" t="n"/>
      <c r="AY325" s="61" t="n"/>
      <c r="AZ325" s="61" t="n"/>
      <c r="BA325" s="61" t="n"/>
      <c r="BB325" s="61" t="n"/>
      <c r="BC325" s="61" t="n"/>
      <c r="BD325" s="57" t="n"/>
      <c r="BE325" s="56" t="n"/>
      <c r="BF325" s="56" t="n"/>
      <c r="BG325" s="57" t="n"/>
      <c r="BH325" s="61" t="n"/>
      <c r="BI325" s="61" t="n"/>
      <c r="BJ325" s="61" t="n"/>
      <c r="BK325" s="61" t="n"/>
      <c r="BL325" s="61" t="n"/>
      <c r="BM325" s="61" t="n"/>
      <c r="BN325" s="61" t="n"/>
      <c r="BO325" s="61" t="n"/>
      <c r="BP325" s="61" t="n"/>
      <c r="BQ325" s="61" t="n"/>
      <c r="BR325" s="61" t="n"/>
      <c r="BS325" s="61" t="n"/>
      <c r="BT325" s="61" t="n"/>
    </row>
    <row r="326" ht="15.75" customHeight="1" s="79">
      <c r="A326" s="61" t="n"/>
      <c r="B326" s="61" t="n"/>
      <c r="C326" s="61" t="n"/>
      <c r="D326" s="61" t="n"/>
      <c r="E326" s="61" t="n"/>
      <c r="F326" s="61" t="n"/>
      <c r="G326" s="61" t="n"/>
      <c r="H326" s="61" t="n"/>
      <c r="I326" s="61" t="n"/>
      <c r="J326" s="61" t="n"/>
      <c r="K326" s="61" t="n"/>
      <c r="L326" s="61" t="n"/>
      <c r="M326" s="61" t="n"/>
      <c r="N326" s="61" t="n"/>
      <c r="O326" s="61" t="n"/>
      <c r="P326" s="61" t="n"/>
      <c r="Q326" s="61" t="n"/>
      <c r="R326" s="61" t="n"/>
      <c r="S326" s="61" t="n"/>
      <c r="T326" s="61" t="n"/>
      <c r="U326" s="61" t="n"/>
      <c r="V326" s="61" t="n"/>
      <c r="W326" s="61" t="n"/>
      <c r="X326" s="61" t="n"/>
      <c r="Y326" s="61" t="n"/>
      <c r="Z326" s="61" t="n"/>
      <c r="AA326" s="61" t="n"/>
      <c r="AB326" s="61" t="n"/>
      <c r="AC326" s="61" t="n"/>
      <c r="AD326" s="61" t="n"/>
      <c r="AE326" s="61" t="n"/>
      <c r="AF326" s="61" t="n"/>
      <c r="AG326" s="61" t="n"/>
      <c r="AH326" s="61" t="n"/>
      <c r="AI326" s="61" t="n"/>
      <c r="AJ326" s="61" t="n"/>
      <c r="AK326" s="61" t="n"/>
      <c r="AL326" s="61" t="n"/>
      <c r="AM326" s="61" t="n"/>
      <c r="AN326" s="61" t="n"/>
      <c r="AO326" s="61" t="n"/>
      <c r="AP326" s="57" t="n"/>
      <c r="AQ326" s="56" t="n"/>
      <c r="AR326" s="57" t="n"/>
      <c r="AS326" s="61" t="n"/>
      <c r="AT326" s="61" t="n"/>
      <c r="AU326" s="57" t="n"/>
      <c r="AV326" s="61" t="n"/>
      <c r="AW326" s="61" t="n"/>
      <c r="AX326" s="61" t="n"/>
      <c r="AY326" s="61" t="n"/>
      <c r="AZ326" s="61" t="n"/>
      <c r="BA326" s="61" t="n"/>
      <c r="BB326" s="61" t="n"/>
      <c r="BC326" s="61" t="n"/>
      <c r="BD326" s="57" t="n"/>
      <c r="BE326" s="56" t="n"/>
      <c r="BF326" s="56" t="n"/>
      <c r="BG326" s="57" t="n"/>
      <c r="BH326" s="61" t="n"/>
      <c r="BI326" s="61" t="n"/>
      <c r="BJ326" s="61" t="n"/>
      <c r="BK326" s="61" t="n"/>
      <c r="BL326" s="61" t="n"/>
      <c r="BM326" s="61" t="n"/>
      <c r="BN326" s="61" t="n"/>
      <c r="BO326" s="61" t="n"/>
      <c r="BP326" s="61" t="n"/>
      <c r="BQ326" s="61" t="n"/>
      <c r="BR326" s="61" t="n"/>
      <c r="BS326" s="61" t="n"/>
      <c r="BT326" s="61" t="n"/>
    </row>
    <row r="327" ht="15.75" customHeight="1" s="79">
      <c r="A327" s="61" t="n"/>
      <c r="B327" s="61" t="n"/>
      <c r="C327" s="61" t="n"/>
      <c r="D327" s="61" t="n"/>
      <c r="E327" s="61" t="n"/>
      <c r="F327" s="61" t="n"/>
      <c r="G327" s="61" t="n"/>
      <c r="H327" s="61" t="n"/>
      <c r="I327" s="61" t="n"/>
      <c r="J327" s="61" t="n"/>
      <c r="K327" s="61" t="n"/>
      <c r="L327" s="61" t="n"/>
      <c r="M327" s="61" t="n"/>
      <c r="N327" s="61" t="n"/>
      <c r="O327" s="61" t="n"/>
      <c r="P327" s="61" t="n"/>
      <c r="Q327" s="61" t="n"/>
      <c r="R327" s="61" t="n"/>
      <c r="S327" s="61" t="n"/>
      <c r="T327" s="61" t="n"/>
      <c r="U327" s="61" t="n"/>
      <c r="V327" s="61" t="n"/>
      <c r="W327" s="61" t="n"/>
      <c r="X327" s="61" t="n"/>
      <c r="Y327" s="61" t="n"/>
      <c r="Z327" s="61" t="n"/>
      <c r="AA327" s="61" t="n"/>
      <c r="AB327" s="61" t="n"/>
      <c r="AC327" s="61" t="n"/>
      <c r="AD327" s="61" t="n"/>
      <c r="AE327" s="61" t="n"/>
      <c r="AF327" s="61" t="n"/>
      <c r="AG327" s="61" t="n"/>
      <c r="AH327" s="61" t="n"/>
      <c r="AI327" s="61" t="n"/>
      <c r="AJ327" s="61" t="n"/>
      <c r="AK327" s="61" t="n"/>
      <c r="AL327" s="61" t="n"/>
      <c r="AM327" s="61" t="n"/>
      <c r="AN327" s="61" t="n"/>
      <c r="AO327" s="61" t="n"/>
      <c r="AP327" s="57" t="n"/>
      <c r="AQ327" s="56" t="n"/>
      <c r="AR327" s="57" t="n"/>
      <c r="AS327" s="61" t="n"/>
      <c r="AT327" s="61" t="n"/>
      <c r="AU327" s="57" t="n"/>
      <c r="AV327" s="61" t="n"/>
      <c r="AW327" s="61" t="n"/>
      <c r="AX327" s="61" t="n"/>
      <c r="AY327" s="61" t="n"/>
      <c r="AZ327" s="61" t="n"/>
      <c r="BA327" s="61" t="n"/>
      <c r="BB327" s="61" t="n"/>
      <c r="BC327" s="61" t="n"/>
      <c r="BD327" s="57" t="n"/>
      <c r="BE327" s="56" t="n"/>
      <c r="BF327" s="56" t="n"/>
      <c r="BG327" s="57" t="n"/>
      <c r="BH327" s="61" t="n"/>
      <c r="BI327" s="61" t="n"/>
      <c r="BJ327" s="61" t="n"/>
      <c r="BK327" s="61" t="n"/>
      <c r="BL327" s="61" t="n"/>
      <c r="BM327" s="61" t="n"/>
      <c r="BN327" s="61" t="n"/>
      <c r="BO327" s="61" t="n"/>
      <c r="BP327" s="61" t="n"/>
      <c r="BQ327" s="61" t="n"/>
      <c r="BR327" s="61" t="n"/>
      <c r="BS327" s="61" t="n"/>
      <c r="BT327" s="61" t="n"/>
    </row>
    <row r="328" ht="15.75" customHeight="1" s="79">
      <c r="A328" s="61" t="n"/>
      <c r="B328" s="61" t="n"/>
      <c r="C328" s="61" t="n"/>
      <c r="D328" s="61" t="n"/>
      <c r="E328" s="61" t="n"/>
      <c r="F328" s="61" t="n"/>
      <c r="G328" s="61" t="n"/>
      <c r="H328" s="61" t="n"/>
      <c r="I328" s="61" t="n"/>
      <c r="J328" s="61" t="n"/>
      <c r="K328" s="61" t="n"/>
      <c r="L328" s="61" t="n"/>
      <c r="M328" s="61" t="n"/>
      <c r="N328" s="61" t="n"/>
      <c r="O328" s="61" t="n"/>
      <c r="P328" s="61" t="n"/>
      <c r="Q328" s="61" t="n"/>
      <c r="R328" s="61" t="n"/>
      <c r="S328" s="61" t="n"/>
      <c r="T328" s="61" t="n"/>
      <c r="U328" s="61" t="n"/>
      <c r="V328" s="61" t="n"/>
      <c r="W328" s="61" t="n"/>
      <c r="X328" s="61" t="n"/>
      <c r="Y328" s="61" t="n"/>
      <c r="Z328" s="61" t="n"/>
      <c r="AA328" s="61" t="n"/>
      <c r="AB328" s="61" t="n"/>
      <c r="AC328" s="61" t="n"/>
      <c r="AD328" s="61" t="n"/>
      <c r="AE328" s="61" t="n"/>
      <c r="AF328" s="61" t="n"/>
      <c r="AG328" s="61" t="n"/>
      <c r="AH328" s="61" t="n"/>
      <c r="AI328" s="61" t="n"/>
      <c r="AJ328" s="61" t="n"/>
      <c r="AK328" s="61" t="n"/>
      <c r="AL328" s="61" t="n"/>
      <c r="AM328" s="61" t="n"/>
      <c r="AN328" s="61" t="n"/>
      <c r="AO328" s="61" t="n"/>
      <c r="AP328" s="57" t="n"/>
      <c r="AQ328" s="56" t="n"/>
      <c r="AR328" s="57" t="n"/>
      <c r="AS328" s="61" t="n"/>
      <c r="AT328" s="61" t="n"/>
      <c r="AU328" s="57" t="n"/>
      <c r="AV328" s="61" t="n"/>
      <c r="AW328" s="61" t="n"/>
      <c r="AX328" s="61" t="n"/>
      <c r="AY328" s="61" t="n"/>
      <c r="AZ328" s="61" t="n"/>
      <c r="BA328" s="61" t="n"/>
      <c r="BB328" s="61" t="n"/>
      <c r="BC328" s="61" t="n"/>
      <c r="BD328" s="57" t="n"/>
      <c r="BE328" s="56" t="n"/>
      <c r="BF328" s="56" t="n"/>
      <c r="BG328" s="57" t="n"/>
      <c r="BH328" s="61" t="n"/>
      <c r="BI328" s="61" t="n"/>
      <c r="BJ328" s="61" t="n"/>
      <c r="BK328" s="61" t="n"/>
      <c r="BL328" s="61" t="n"/>
      <c r="BM328" s="61" t="n"/>
      <c r="BN328" s="61" t="n"/>
      <c r="BO328" s="61" t="n"/>
      <c r="BP328" s="61" t="n"/>
      <c r="BQ328" s="61" t="n"/>
      <c r="BR328" s="61" t="n"/>
      <c r="BS328" s="61" t="n"/>
      <c r="BT328" s="61" t="n"/>
    </row>
    <row r="329" ht="15.75" customHeight="1" s="79">
      <c r="A329" s="61" t="n"/>
      <c r="B329" s="61" t="n"/>
      <c r="C329" s="61" t="n"/>
      <c r="D329" s="61" t="n"/>
      <c r="E329" s="61" t="n"/>
      <c r="F329" s="61" t="n"/>
      <c r="G329" s="61" t="n"/>
      <c r="H329" s="61" t="n"/>
      <c r="I329" s="61" t="n"/>
      <c r="J329" s="61" t="n"/>
      <c r="K329" s="61" t="n"/>
      <c r="L329" s="61" t="n"/>
      <c r="M329" s="61" t="n"/>
      <c r="N329" s="61" t="n"/>
      <c r="O329" s="61" t="n"/>
      <c r="P329" s="61" t="n"/>
      <c r="Q329" s="61" t="n"/>
      <c r="R329" s="61" t="n"/>
      <c r="S329" s="61" t="n"/>
      <c r="T329" s="61" t="n"/>
      <c r="U329" s="61" t="n"/>
      <c r="V329" s="61" t="n"/>
      <c r="W329" s="61" t="n"/>
      <c r="X329" s="61" t="n"/>
      <c r="Y329" s="61" t="n"/>
      <c r="Z329" s="61" t="n"/>
      <c r="AA329" s="61" t="n"/>
      <c r="AB329" s="61" t="n"/>
      <c r="AC329" s="61" t="n"/>
      <c r="AD329" s="61" t="n"/>
      <c r="AE329" s="61" t="n"/>
      <c r="AF329" s="61" t="n"/>
      <c r="AG329" s="61" t="n"/>
      <c r="AH329" s="61" t="n"/>
      <c r="AI329" s="61" t="n"/>
      <c r="AJ329" s="61" t="n"/>
      <c r="AK329" s="61" t="n"/>
      <c r="AL329" s="61" t="n"/>
      <c r="AM329" s="61" t="n"/>
      <c r="AN329" s="61" t="n"/>
      <c r="AO329" s="61" t="n"/>
      <c r="AP329" s="57" t="n"/>
      <c r="AQ329" s="56" t="n"/>
      <c r="AR329" s="57" t="n"/>
      <c r="AS329" s="61" t="n"/>
      <c r="AT329" s="61" t="n"/>
      <c r="AU329" s="57" t="n"/>
      <c r="AV329" s="61" t="n"/>
      <c r="AW329" s="61" t="n"/>
      <c r="AX329" s="61" t="n"/>
      <c r="AY329" s="61" t="n"/>
      <c r="AZ329" s="61" t="n"/>
      <c r="BA329" s="61" t="n"/>
      <c r="BB329" s="61" t="n"/>
      <c r="BC329" s="61" t="n"/>
      <c r="BD329" s="57" t="n"/>
      <c r="BE329" s="56" t="n"/>
      <c r="BF329" s="56" t="n"/>
      <c r="BG329" s="57" t="n"/>
      <c r="BH329" s="61" t="n"/>
      <c r="BI329" s="61" t="n"/>
      <c r="BJ329" s="61" t="n"/>
      <c r="BK329" s="61" t="n"/>
      <c r="BL329" s="61" t="n"/>
      <c r="BM329" s="61" t="n"/>
      <c r="BN329" s="61" t="n"/>
      <c r="BO329" s="61" t="n"/>
      <c r="BP329" s="61" t="n"/>
      <c r="BQ329" s="61" t="n"/>
      <c r="BR329" s="61" t="n"/>
      <c r="BS329" s="61" t="n"/>
      <c r="BT329" s="61" t="n"/>
    </row>
    <row r="330" ht="15.75" customHeight="1" s="79">
      <c r="A330" s="61" t="n"/>
      <c r="B330" s="61" t="n"/>
      <c r="C330" s="61" t="n"/>
      <c r="D330" s="61" t="n"/>
      <c r="E330" s="61" t="n"/>
      <c r="F330" s="61" t="n"/>
      <c r="G330" s="61" t="n"/>
      <c r="H330" s="61" t="n"/>
      <c r="I330" s="61" t="n"/>
      <c r="J330" s="61" t="n"/>
      <c r="K330" s="61" t="n"/>
      <c r="L330" s="61" t="n"/>
      <c r="M330" s="61" t="n"/>
      <c r="N330" s="61" t="n"/>
      <c r="O330" s="61" t="n"/>
      <c r="P330" s="61" t="n"/>
      <c r="Q330" s="61" t="n"/>
      <c r="R330" s="61" t="n"/>
      <c r="S330" s="61" t="n"/>
      <c r="T330" s="61" t="n"/>
      <c r="U330" s="61" t="n"/>
      <c r="V330" s="61" t="n"/>
      <c r="W330" s="61" t="n"/>
      <c r="X330" s="61" t="n"/>
      <c r="Y330" s="61" t="n"/>
      <c r="Z330" s="61" t="n"/>
      <c r="AA330" s="61" t="n"/>
      <c r="AB330" s="61" t="n"/>
      <c r="AC330" s="61" t="n"/>
      <c r="AD330" s="61" t="n"/>
      <c r="AE330" s="61" t="n"/>
      <c r="AF330" s="61" t="n"/>
      <c r="AG330" s="61" t="n"/>
      <c r="AH330" s="61" t="n"/>
      <c r="AI330" s="61" t="n"/>
      <c r="AJ330" s="61" t="n"/>
      <c r="AK330" s="61" t="n"/>
      <c r="AL330" s="61" t="n"/>
      <c r="AM330" s="61" t="n"/>
      <c r="AN330" s="61" t="n"/>
      <c r="AO330" s="61" t="n"/>
      <c r="AP330" s="57" t="n"/>
      <c r="AQ330" s="56" t="n"/>
      <c r="AR330" s="57" t="n"/>
      <c r="AS330" s="61" t="n"/>
      <c r="AT330" s="61" t="n"/>
      <c r="AU330" s="57" t="n"/>
      <c r="AV330" s="61" t="n"/>
      <c r="AW330" s="61" t="n"/>
      <c r="AX330" s="61" t="n"/>
      <c r="AY330" s="61" t="n"/>
      <c r="AZ330" s="61" t="n"/>
      <c r="BA330" s="61" t="n"/>
      <c r="BB330" s="61" t="inlineStr">
        <is>
          <t>New Deal</t>
        </is>
      </c>
      <c r="BC330" s="61">
        <f>COUNTIFS(Data!$AK$2:$AK$1105,1,Data!$N$2:$N$1105,$BB$330)</f>
        <v/>
      </c>
      <c r="BD330" s="57">
        <f>SUMIFS(Data!$P$2:$P$1105,Data!$AK$2:$AK$1105,1,Data!$N$2:$N$1105,$BB$330)</f>
        <v/>
      </c>
      <c r="BE330" s="56">
        <f>IF(COUNTIFS(Data!$AK$2:$AK$1105,1,Data!$N$2:$N$1105,$BB$330)&lt;Controls!$B$19,"",IFERROR(SUMIFS(Data!$AN$2:$AN$1105,Data!$AK$2:$AK$1105,1,Data!$N$2:$N$1105,$BB$330)/$BD$330,""))</f>
        <v/>
      </c>
      <c r="BF330" s="56">
        <f>IF(COUNTIFS(Data!$AK$2:$AK$1105,1,Data!$N$2:$N$1105,$BB$330)&lt;Controls!$B$19,"",IFERROR(SUMIFS(Data!$AM$2:$AM$1105,Data!$AK$2:$AK$1105,1,Data!$N$2:$N$1105,$BB$330)/SUMIFS(Data!$P$2:$P$1105,Data!$AK$2:$AK$1105,1,Data!$N$2:$N$1105,$BB$330),""))</f>
        <v/>
      </c>
      <c r="BG330" s="57">
        <f>SUMIFS(Data!$AN$2:$AN$1105,Data!$AK$2:$AK$1105,1,Data!$N$2:$N$1105,$BB$330)</f>
        <v/>
      </c>
      <c r="BH330" s="61" t="n"/>
      <c r="BI330" s="61" t="n"/>
      <c r="BJ330" s="61" t="n"/>
      <c r="BK330" s="56">
        <f>IF($BC$330&lt;Controls!$B$22,"",$BE$330)</f>
        <v/>
      </c>
      <c r="BL330" s="56">
        <f>IF($BC$330&lt;Controls!$B$22,"",$BF$330)</f>
        <v/>
      </c>
      <c r="BM330" s="57">
        <f>IF($BC$330&lt;Controls!$B$22,"",$BG$330)</f>
        <v/>
      </c>
      <c r="BN330" s="61" t="n"/>
      <c r="BO330" s="61" t="n"/>
      <c r="BP330" s="61" t="n"/>
      <c r="BQ330" s="61" t="n"/>
      <c r="BR330" s="61" t="n"/>
      <c r="BS330" s="61" t="n"/>
      <c r="BT330" s="61" t="n"/>
    </row>
    <row r="331" ht="15.75" customHeight="1" s="79">
      <c r="A331" s="61" t="n"/>
      <c r="B331" s="61" t="n"/>
      <c r="C331" s="61" t="n"/>
      <c r="D331" s="61" t="n"/>
      <c r="E331" s="61" t="n"/>
      <c r="F331" s="61" t="n"/>
      <c r="G331" s="61" t="n"/>
      <c r="H331" s="61" t="n"/>
      <c r="I331" s="61" t="n"/>
      <c r="J331" s="61" t="n"/>
      <c r="K331" s="61" t="n"/>
      <c r="L331" s="61" t="n"/>
      <c r="M331" s="61" t="n"/>
      <c r="N331" s="61" t="n"/>
      <c r="O331" s="61" t="n"/>
      <c r="P331" s="61" t="n"/>
      <c r="Q331" s="61" t="n"/>
      <c r="R331" s="61" t="n"/>
      <c r="S331" s="61" t="n"/>
      <c r="T331" s="61" t="n"/>
      <c r="U331" s="61" t="n"/>
      <c r="V331" s="61" t="n"/>
      <c r="W331" s="61" t="n"/>
      <c r="X331" s="61" t="n"/>
      <c r="Y331" s="61" t="n"/>
      <c r="Z331" s="61" t="n"/>
      <c r="AA331" s="61" t="n"/>
      <c r="AB331" s="61" t="n"/>
      <c r="AC331" s="61" t="n"/>
      <c r="AD331" s="61" t="n"/>
      <c r="AE331" s="61" t="n"/>
      <c r="AF331" s="61" t="n"/>
      <c r="AG331" s="61" t="n"/>
      <c r="AH331" s="61" t="n"/>
      <c r="AI331" s="61" t="n"/>
      <c r="AJ331" s="61" t="n"/>
      <c r="AK331" s="61" t="n"/>
      <c r="AL331" s="61" t="n"/>
      <c r="AM331" s="61" t="n"/>
      <c r="AN331" s="61" t="n"/>
      <c r="AO331" s="61" t="n"/>
      <c r="AP331" s="57" t="n"/>
      <c r="AQ331" s="56" t="n"/>
      <c r="AR331" s="57" t="n"/>
      <c r="AS331" s="61" t="n"/>
      <c r="AT331" s="61" t="n"/>
      <c r="AU331" s="57" t="n"/>
      <c r="AV331" s="61" t="n"/>
      <c r="AW331" s="61" t="n"/>
      <c r="AX331" s="61" t="n"/>
      <c r="AY331" s="61" t="n"/>
      <c r="AZ331" s="61" t="n"/>
      <c r="BA331" s="61" t="n"/>
      <c r="BB331" s="61" t="inlineStr">
        <is>
          <t>Renewal</t>
        </is>
      </c>
      <c r="BC331" s="61">
        <f>COUNTIFS(Data!$AK$2:$AK$1105,1,Data!$N$2:$N$1105,$BB$331)</f>
        <v/>
      </c>
      <c r="BD331" s="57">
        <f>SUMIFS(Data!$P$2:$P$1105,Data!$AK$2:$AK$1105,1,Data!$N$2:$N$1105,$BB$331)</f>
        <v/>
      </c>
      <c r="BE331" s="56">
        <f>IF(COUNTIFS(Data!$AK$2:$AK$1105,1,Data!$N$2:$N$1105,$BB$331)&lt;Controls!$B$19,"",IFERROR(SUMIFS(Data!$AN$2:$AN$1105,Data!$AK$2:$AK$1105,1,Data!$N$2:$N$1105,$BB$331)/$BD$331,""))</f>
        <v/>
      </c>
      <c r="BF331" s="56">
        <f>IF(COUNTIFS(Data!$AK$2:$AK$1105,1,Data!$N$2:$N$1105,$BB$331)&lt;Controls!$B$19,"",IFERROR(SUMIFS(Data!$AM$2:$AM$1105,Data!$AK$2:$AK$1105,1,Data!$N$2:$N$1105,$BB$331)/SUMIFS(Data!$P$2:$P$1105,Data!$AK$2:$AK$1105,1,Data!$N$2:$N$1105,$BB$331),""))</f>
        <v/>
      </c>
      <c r="BG331" s="57">
        <f>SUMIFS(Data!$AN$2:$AN$1105,Data!$AK$2:$AK$1105,1,Data!$N$2:$N$1105,$BB$331)</f>
        <v/>
      </c>
      <c r="BH331" s="61" t="n"/>
      <c r="BI331" s="61" t="n"/>
      <c r="BJ331" s="61" t="n"/>
      <c r="BK331" s="56">
        <f>IF($BC$331&lt;Controls!$B$22,"",$BE$331)</f>
        <v/>
      </c>
      <c r="BL331" s="56">
        <f>IF($BC$331&lt;Controls!$B$22,"",$BF$331)</f>
        <v/>
      </c>
      <c r="BM331" s="57">
        <f>IF($BC$331&lt;Controls!$B$22,"",$BG$331)</f>
        <v/>
      </c>
      <c r="BN331" s="61" t="n"/>
      <c r="BO331" s="61" t="n"/>
      <c r="BP331" s="61" t="n"/>
      <c r="BQ331" s="61" t="n"/>
      <c r="BR331" s="61" t="n"/>
      <c r="BS331" s="61" t="n"/>
      <c r="BT331" s="61" t="n"/>
    </row>
    <row r="332" ht="15.75" customHeight="1" s="79">
      <c r="A332" s="61" t="n"/>
      <c r="B332" s="61" t="n"/>
      <c r="C332" s="61" t="n"/>
      <c r="D332" s="61" t="n"/>
      <c r="E332" s="61" t="n"/>
      <c r="F332" s="61" t="n"/>
      <c r="G332" s="61" t="n"/>
      <c r="H332" s="61" t="n"/>
      <c r="I332" s="61" t="n"/>
      <c r="J332" s="61" t="n"/>
      <c r="K332" s="61" t="n"/>
      <c r="L332" s="61" t="n"/>
      <c r="M332" s="61" t="n"/>
      <c r="N332" s="61" t="n"/>
      <c r="O332" s="61" t="n"/>
      <c r="P332" s="61" t="n"/>
      <c r="Q332" s="61" t="n"/>
      <c r="R332" s="61" t="n"/>
      <c r="S332" s="61" t="n"/>
      <c r="T332" s="61" t="n"/>
      <c r="U332" s="61" t="n"/>
      <c r="V332" s="61" t="n"/>
      <c r="W332" s="61" t="n"/>
      <c r="X332" s="61" t="n"/>
      <c r="Y332" s="61" t="n"/>
      <c r="Z332" s="61" t="n"/>
      <c r="AA332" s="61" t="n"/>
      <c r="AB332" s="61" t="n"/>
      <c r="AC332" s="61" t="n"/>
      <c r="AD332" s="61" t="n"/>
      <c r="AE332" s="61" t="n"/>
      <c r="AF332" s="61" t="n"/>
      <c r="AG332" s="61" t="n"/>
      <c r="AH332" s="61" t="n"/>
      <c r="AI332" s="61" t="n"/>
      <c r="AJ332" s="61" t="n"/>
      <c r="AK332" s="61" t="n"/>
      <c r="AL332" s="61" t="n"/>
      <c r="AM332" s="61" t="n"/>
      <c r="AN332" s="61" t="n"/>
      <c r="AO332" s="61" t="n"/>
      <c r="AP332" s="57" t="n"/>
      <c r="AQ332" s="56" t="n"/>
      <c r="AR332" s="57" t="n"/>
      <c r="AS332" s="61" t="n"/>
      <c r="AT332" s="61" t="n"/>
      <c r="AU332" s="57" t="n"/>
      <c r="AV332" s="61" t="n"/>
      <c r="AW332" s="61" t="n"/>
      <c r="AX332" s="61" t="n"/>
      <c r="AY332" s="61" t="n"/>
      <c r="AZ332" s="61" t="n"/>
      <c r="BA332" s="61" t="n"/>
      <c r="BB332" s="61" t="n"/>
      <c r="BC332" s="61" t="n"/>
      <c r="BD332" s="57" t="n"/>
      <c r="BE332" s="56" t="n"/>
      <c r="BF332" s="56" t="n"/>
      <c r="BG332" s="57" t="n"/>
      <c r="BH332" s="61" t="n"/>
      <c r="BI332" s="61" t="n"/>
      <c r="BJ332" s="61" t="n"/>
      <c r="BK332" s="61" t="n"/>
      <c r="BL332" s="61" t="n"/>
      <c r="BM332" s="61" t="n"/>
      <c r="BN332" s="61" t="n"/>
      <c r="BO332" s="61" t="n"/>
      <c r="BP332" s="61" t="n"/>
      <c r="BQ332" s="61" t="n"/>
      <c r="BR332" s="61" t="n"/>
      <c r="BS332" s="61" t="n"/>
      <c r="BT332" s="61" t="n"/>
    </row>
    <row r="333" ht="15.75" customHeight="1" s="79">
      <c r="A333" s="61" t="n"/>
      <c r="B333" s="61" t="n"/>
      <c r="C333" s="61" t="n"/>
      <c r="D333" s="61" t="n"/>
      <c r="E333" s="61" t="n"/>
      <c r="F333" s="61" t="n"/>
      <c r="G333" s="61" t="n"/>
      <c r="H333" s="61" t="n"/>
      <c r="I333" s="61" t="n"/>
      <c r="J333" s="61" t="n"/>
      <c r="K333" s="61" t="n"/>
      <c r="L333" s="61" t="n"/>
      <c r="M333" s="61" t="n"/>
      <c r="N333" s="61" t="n"/>
      <c r="O333" s="61" t="n"/>
      <c r="P333" s="61" t="n"/>
      <c r="Q333" s="61" t="n"/>
      <c r="R333" s="61" t="n"/>
      <c r="S333" s="61" t="n"/>
      <c r="T333" s="61" t="n"/>
      <c r="U333" s="61" t="n"/>
      <c r="V333" s="61" t="n"/>
      <c r="W333" s="61" t="n"/>
      <c r="X333" s="61" t="n"/>
      <c r="Y333" s="61" t="n"/>
      <c r="Z333" s="61" t="n"/>
      <c r="AA333" s="61" t="n"/>
      <c r="AB333" s="61" t="n"/>
      <c r="AC333" s="61" t="n"/>
      <c r="AD333" s="61" t="n"/>
      <c r="AE333" s="61" t="n"/>
      <c r="AF333" s="61" t="n"/>
      <c r="AG333" s="61" t="n"/>
      <c r="AH333" s="61" t="n"/>
      <c r="AI333" s="61" t="n"/>
      <c r="AJ333" s="61" t="n"/>
      <c r="AK333" s="61" t="n"/>
      <c r="AL333" s="61" t="n"/>
      <c r="AM333" s="61" t="n"/>
      <c r="AN333" s="61" t="n"/>
      <c r="AO333" s="61" t="n"/>
      <c r="AP333" s="57" t="n"/>
      <c r="AQ333" s="56" t="n"/>
      <c r="AR333" s="57" t="n"/>
      <c r="AS333" s="61" t="n"/>
      <c r="AT333" s="61" t="n"/>
      <c r="AU333" s="57" t="n"/>
      <c r="AV333" s="61" t="n"/>
      <c r="AW333" s="61" t="n"/>
      <c r="AX333" s="61" t="n"/>
      <c r="AY333" s="61" t="n"/>
      <c r="AZ333" s="61" t="n"/>
      <c r="BA333" s="61" t="n"/>
      <c r="BB333" s="61" t="n"/>
      <c r="BC333" s="61" t="n"/>
      <c r="BD333" s="57" t="n"/>
      <c r="BE333" s="56" t="n"/>
      <c r="BF333" s="56" t="n"/>
      <c r="BG333" s="57" t="n"/>
      <c r="BH333" s="61" t="n"/>
      <c r="BI333" s="61" t="n"/>
      <c r="BJ333" s="61" t="n"/>
      <c r="BK333" s="61" t="n"/>
      <c r="BL333" s="61" t="n"/>
      <c r="BM333" s="61" t="n"/>
      <c r="BN333" s="61" t="n"/>
      <c r="BO333" s="61" t="n"/>
      <c r="BP333" s="61" t="n"/>
      <c r="BQ333" s="61" t="n"/>
      <c r="BR333" s="61" t="n"/>
      <c r="BS333" s="61" t="n"/>
      <c r="BT333" s="61" t="n"/>
    </row>
    <row r="334" ht="15.75" customHeight="1" s="79">
      <c r="A334" s="61" t="n"/>
      <c r="B334" s="61" t="n"/>
      <c r="C334" s="61" t="n"/>
      <c r="D334" s="61" t="n"/>
      <c r="E334" s="61" t="n"/>
      <c r="F334" s="61" t="n"/>
      <c r="G334" s="61" t="n"/>
      <c r="H334" s="61" t="n"/>
      <c r="I334" s="61" t="n"/>
      <c r="J334" s="61" t="n"/>
      <c r="K334" s="61" t="n"/>
      <c r="L334" s="61" t="n"/>
      <c r="M334" s="61" t="n"/>
      <c r="N334" s="61" t="n"/>
      <c r="O334" s="61" t="n"/>
      <c r="P334" s="61" t="n"/>
      <c r="Q334" s="61" t="n"/>
      <c r="R334" s="61" t="n"/>
      <c r="S334" s="61" t="n"/>
      <c r="T334" s="61" t="n"/>
      <c r="U334" s="61" t="n"/>
      <c r="V334" s="61" t="n"/>
      <c r="W334" s="61" t="n"/>
      <c r="X334" s="61" t="n"/>
      <c r="Y334" s="61" t="n"/>
      <c r="Z334" s="61" t="n"/>
      <c r="AA334" s="61" t="n"/>
      <c r="AB334" s="61" t="n"/>
      <c r="AC334" s="61" t="n"/>
      <c r="AD334" s="61" t="n"/>
      <c r="AE334" s="61" t="n"/>
      <c r="AF334" s="61" t="n"/>
      <c r="AG334" s="61" t="n"/>
      <c r="AH334" s="61" t="n"/>
      <c r="AI334" s="61" t="n"/>
      <c r="AJ334" s="61" t="n"/>
      <c r="AK334" s="61" t="n"/>
      <c r="AL334" s="61" t="n"/>
      <c r="AM334" s="61" t="n"/>
      <c r="AN334" s="61" t="n"/>
      <c r="AO334" s="61" t="n"/>
      <c r="AP334" s="57" t="n"/>
      <c r="AQ334" s="56" t="n"/>
      <c r="AR334" s="57" t="n"/>
      <c r="AS334" s="61" t="n"/>
      <c r="AT334" s="61" t="n"/>
      <c r="AU334" s="57" t="n"/>
      <c r="AV334" s="61" t="n"/>
      <c r="AW334" s="61" t="n"/>
      <c r="AX334" s="61" t="n"/>
      <c r="AY334" s="61" t="n"/>
      <c r="AZ334" s="61" t="n"/>
      <c r="BA334" s="61" t="n"/>
      <c r="BB334" s="61" t="n"/>
      <c r="BC334" s="61" t="n"/>
      <c r="BD334" s="57" t="n"/>
      <c r="BE334" s="56" t="n"/>
      <c r="BF334" s="56" t="n"/>
      <c r="BG334" s="57" t="n"/>
      <c r="BH334" s="61" t="n"/>
      <c r="BI334" s="61" t="n"/>
      <c r="BJ334" s="61" t="n"/>
      <c r="BK334" s="61" t="n"/>
      <c r="BL334" s="61" t="n"/>
      <c r="BM334" s="61" t="n"/>
      <c r="BN334" s="61" t="n"/>
      <c r="BO334" s="61" t="n"/>
      <c r="BP334" s="61" t="n"/>
      <c r="BQ334" s="61" t="n"/>
      <c r="BR334" s="61" t="n"/>
      <c r="BS334" s="61" t="n"/>
      <c r="BT334" s="61" t="n"/>
    </row>
    <row r="335" ht="15.75" customHeight="1" s="79">
      <c r="A335" s="61" t="n"/>
      <c r="B335" s="61" t="n"/>
      <c r="C335" s="61" t="n"/>
      <c r="D335" s="61" t="n"/>
      <c r="E335" s="61" t="n"/>
      <c r="F335" s="61" t="n"/>
      <c r="G335" s="61" t="n"/>
      <c r="H335" s="61" t="n"/>
      <c r="I335" s="61" t="n"/>
      <c r="J335" s="61" t="n"/>
      <c r="K335" s="61" t="n"/>
      <c r="L335" s="61" t="n"/>
      <c r="M335" s="61" t="n"/>
      <c r="N335" s="61" t="n"/>
      <c r="O335" s="61" t="n"/>
      <c r="P335" s="61" t="n"/>
      <c r="Q335" s="61" t="n"/>
      <c r="R335" s="61" t="n"/>
      <c r="S335" s="61" t="n"/>
      <c r="T335" s="61" t="n"/>
      <c r="U335" s="61" t="n"/>
      <c r="V335" s="61" t="n"/>
      <c r="W335" s="61" t="n"/>
      <c r="X335" s="61" t="n"/>
      <c r="Y335" s="61" t="n"/>
      <c r="Z335" s="61" t="n"/>
      <c r="AA335" s="61" t="n"/>
      <c r="AB335" s="61" t="n"/>
      <c r="AC335" s="61" t="n"/>
      <c r="AD335" s="61" t="n"/>
      <c r="AE335" s="61" t="n"/>
      <c r="AF335" s="61" t="n"/>
      <c r="AG335" s="61" t="n"/>
      <c r="AH335" s="61" t="n"/>
      <c r="AI335" s="61" t="n"/>
      <c r="AJ335" s="61" t="n"/>
      <c r="AK335" s="61" t="n"/>
      <c r="AL335" s="61" t="n"/>
      <c r="AM335" s="61" t="n"/>
      <c r="AN335" s="61" t="n"/>
      <c r="AO335" s="61" t="n"/>
      <c r="AP335" s="57" t="n"/>
      <c r="AQ335" s="56" t="n"/>
      <c r="AR335" s="57" t="n"/>
      <c r="AS335" s="61" t="n"/>
      <c r="AT335" s="61" t="n"/>
      <c r="AU335" s="57" t="n"/>
      <c r="AV335" s="61" t="n"/>
      <c r="AW335" s="61" t="n"/>
      <c r="AX335" s="61" t="n"/>
      <c r="AY335" s="61" t="n"/>
      <c r="AZ335" s="61" t="n"/>
      <c r="BA335" s="61" t="n"/>
      <c r="BB335" s="61" t="n"/>
      <c r="BC335" s="61" t="n"/>
      <c r="BD335" s="57" t="n"/>
      <c r="BE335" s="56" t="n"/>
      <c r="BF335" s="56" t="n"/>
      <c r="BG335" s="57" t="n"/>
      <c r="BH335" s="61" t="n"/>
      <c r="BI335" s="61" t="n"/>
      <c r="BJ335" s="61" t="n"/>
      <c r="BK335" s="61" t="n"/>
      <c r="BL335" s="61" t="n"/>
      <c r="BM335" s="61" t="n"/>
      <c r="BN335" s="61" t="n"/>
      <c r="BO335" s="61" t="n"/>
      <c r="BP335" s="61" t="n"/>
      <c r="BQ335" s="61" t="n"/>
      <c r="BR335" s="61" t="n"/>
      <c r="BS335" s="61" t="n"/>
      <c r="BT335" s="61" t="n"/>
    </row>
    <row r="336" ht="15.75" customHeight="1" s="79">
      <c r="A336" s="61" t="n"/>
      <c r="B336" s="61" t="n"/>
      <c r="C336" s="61" t="n"/>
      <c r="D336" s="61" t="n"/>
      <c r="E336" s="61" t="n"/>
      <c r="F336" s="61" t="n"/>
      <c r="G336" s="61" t="n"/>
      <c r="H336" s="61" t="n"/>
      <c r="I336" s="61" t="n"/>
      <c r="J336" s="61" t="n"/>
      <c r="K336" s="61" t="n"/>
      <c r="L336" s="61" t="n"/>
      <c r="M336" s="61" t="n"/>
      <c r="N336" s="61" t="n"/>
      <c r="O336" s="61" t="n"/>
      <c r="P336" s="61" t="n"/>
      <c r="Q336" s="61" t="n"/>
      <c r="R336" s="61" t="n"/>
      <c r="S336" s="61" t="n"/>
      <c r="T336" s="61" t="n"/>
      <c r="U336" s="61" t="n"/>
      <c r="V336" s="61" t="n"/>
      <c r="W336" s="61" t="n"/>
      <c r="X336" s="61" t="n"/>
      <c r="Y336" s="61" t="n"/>
      <c r="Z336" s="61" t="n"/>
      <c r="AA336" s="61" t="n"/>
      <c r="AB336" s="61" t="n"/>
      <c r="AC336" s="61" t="n"/>
      <c r="AD336" s="61" t="n"/>
      <c r="AE336" s="61" t="n"/>
      <c r="AF336" s="61" t="n"/>
      <c r="AG336" s="61" t="n"/>
      <c r="AH336" s="61" t="n"/>
      <c r="AI336" s="61" t="n"/>
      <c r="AJ336" s="61" t="n"/>
      <c r="AK336" s="61" t="n"/>
      <c r="AL336" s="61" t="n"/>
      <c r="AM336" s="61" t="n"/>
      <c r="AN336" s="61" t="n"/>
      <c r="AO336" s="61" t="n"/>
      <c r="AP336" s="57" t="n"/>
      <c r="AQ336" s="56" t="n"/>
      <c r="AR336" s="57" t="n"/>
      <c r="AS336" s="61" t="n"/>
      <c r="AT336" s="61" t="n"/>
      <c r="AU336" s="57" t="n"/>
      <c r="AV336" s="61" t="n"/>
      <c r="AW336" s="61" t="n"/>
      <c r="AX336" s="61" t="n"/>
      <c r="AY336" s="61" t="n"/>
      <c r="AZ336" s="61" t="n"/>
      <c r="BA336" s="61" t="n"/>
      <c r="BB336" s="61" t="n"/>
      <c r="BC336" s="61" t="n"/>
      <c r="BD336" s="57" t="n"/>
      <c r="BE336" s="56" t="n"/>
      <c r="BF336" s="56" t="n"/>
      <c r="BG336" s="57" t="n"/>
      <c r="BH336" s="61" t="n"/>
      <c r="BI336" s="61" t="n"/>
      <c r="BJ336" s="61" t="n"/>
      <c r="BK336" s="61" t="n"/>
      <c r="BL336" s="61" t="n"/>
      <c r="BM336" s="61" t="n"/>
      <c r="BN336" s="61" t="n"/>
      <c r="BO336" s="61" t="n"/>
      <c r="BP336" s="61" t="n"/>
      <c r="BQ336" s="61" t="n"/>
      <c r="BR336" s="61" t="n"/>
      <c r="BS336" s="61" t="n"/>
      <c r="BT336" s="61" t="n"/>
    </row>
    <row r="337" ht="15.75" customHeight="1" s="79">
      <c r="A337" s="61" t="n"/>
      <c r="B337" s="61" t="n"/>
      <c r="C337" s="61" t="n"/>
      <c r="D337" s="61" t="n"/>
      <c r="E337" s="61" t="n"/>
      <c r="F337" s="61" t="n"/>
      <c r="G337" s="61" t="n"/>
      <c r="H337" s="61" t="n"/>
      <c r="I337" s="61" t="n"/>
      <c r="J337" s="61" t="n"/>
      <c r="K337" s="61" t="n"/>
      <c r="L337" s="61" t="n"/>
      <c r="M337" s="61" t="n"/>
      <c r="N337" s="61" t="n"/>
      <c r="O337" s="61" t="n"/>
      <c r="P337" s="61" t="n"/>
      <c r="Q337" s="61" t="n"/>
      <c r="R337" s="61" t="n"/>
      <c r="S337" s="61" t="n"/>
      <c r="T337" s="61" t="n"/>
      <c r="U337" s="61" t="n"/>
      <c r="V337" s="61" t="n"/>
      <c r="W337" s="61" t="n"/>
      <c r="X337" s="61" t="n"/>
      <c r="Y337" s="61" t="n"/>
      <c r="Z337" s="61" t="n"/>
      <c r="AA337" s="61" t="n"/>
      <c r="AB337" s="61" t="n"/>
      <c r="AC337" s="61" t="n"/>
      <c r="AD337" s="61" t="n"/>
      <c r="AE337" s="61" t="n"/>
      <c r="AF337" s="61" t="n"/>
      <c r="AG337" s="61" t="n"/>
      <c r="AH337" s="61" t="n"/>
      <c r="AI337" s="61" t="n"/>
      <c r="AJ337" s="61" t="n"/>
      <c r="AK337" s="61" t="n"/>
      <c r="AL337" s="61" t="n"/>
      <c r="AM337" s="61" t="n"/>
      <c r="AN337" s="61" t="n"/>
      <c r="AO337" s="61" t="n"/>
      <c r="AP337" s="57" t="n"/>
      <c r="AQ337" s="56" t="n"/>
      <c r="AR337" s="57" t="n"/>
      <c r="AS337" s="61" t="n"/>
      <c r="AT337" s="61" t="n"/>
      <c r="AU337" s="57" t="n"/>
      <c r="AV337" s="61" t="n"/>
      <c r="AW337" s="61" t="n"/>
      <c r="AX337" s="61" t="n"/>
      <c r="AY337" s="61" t="n"/>
      <c r="AZ337" s="61" t="n"/>
      <c r="BA337" s="61" t="n"/>
      <c r="BB337" s="61" t="n"/>
      <c r="BC337" s="61" t="n"/>
      <c r="BD337" s="57" t="n"/>
      <c r="BE337" s="56" t="n"/>
      <c r="BF337" s="56" t="n"/>
      <c r="BG337" s="57" t="n"/>
      <c r="BH337" s="61" t="n"/>
      <c r="BI337" s="61" t="n"/>
      <c r="BJ337" s="61" t="n"/>
      <c r="BK337" s="61" t="n"/>
      <c r="BL337" s="61" t="n"/>
      <c r="BM337" s="61" t="n"/>
      <c r="BN337" s="61" t="n"/>
      <c r="BO337" s="61" t="n"/>
      <c r="BP337" s="61" t="n"/>
      <c r="BQ337" s="61" t="n"/>
      <c r="BR337" s="61" t="n"/>
      <c r="BS337" s="61" t="n"/>
      <c r="BT337" s="61" t="n"/>
    </row>
    <row r="338" ht="15.75" customHeight="1" s="79">
      <c r="A338" s="61" t="n"/>
      <c r="B338" s="61" t="n"/>
      <c r="C338" s="61" t="n"/>
      <c r="D338" s="61" t="n"/>
      <c r="E338" s="61" t="n"/>
      <c r="F338" s="61" t="n"/>
      <c r="G338" s="61" t="n"/>
      <c r="H338" s="61" t="n"/>
      <c r="I338" s="61" t="n"/>
      <c r="J338" s="61" t="n"/>
      <c r="K338" s="61" t="n"/>
      <c r="L338" s="61" t="n"/>
      <c r="M338" s="61" t="n"/>
      <c r="N338" s="61" t="n"/>
      <c r="O338" s="61" t="n"/>
      <c r="P338" s="61" t="n"/>
      <c r="Q338" s="61" t="n"/>
      <c r="R338" s="61" t="n"/>
      <c r="S338" s="61" t="n"/>
      <c r="T338" s="61" t="n"/>
      <c r="U338" s="61" t="n"/>
      <c r="V338" s="61" t="n"/>
      <c r="W338" s="61" t="n"/>
      <c r="X338" s="61" t="n"/>
      <c r="Y338" s="61" t="n"/>
      <c r="Z338" s="61" t="n"/>
      <c r="AA338" s="61" t="n"/>
      <c r="AB338" s="61" t="n"/>
      <c r="AC338" s="61" t="n"/>
      <c r="AD338" s="61" t="n"/>
      <c r="AE338" s="61" t="n"/>
      <c r="AF338" s="61" t="n"/>
      <c r="AG338" s="61" t="n"/>
      <c r="AH338" s="61" t="n"/>
      <c r="AI338" s="61" t="n"/>
      <c r="AJ338" s="61" t="n"/>
      <c r="AK338" s="61" t="n"/>
      <c r="AL338" s="61" t="n"/>
      <c r="AM338" s="61" t="n"/>
      <c r="AN338" s="61" t="n"/>
      <c r="AO338" s="61" t="n"/>
      <c r="AP338" s="57" t="n"/>
      <c r="AQ338" s="56" t="n"/>
      <c r="AR338" s="57" t="n"/>
      <c r="AS338" s="61" t="n"/>
      <c r="AT338" s="61" t="n"/>
      <c r="AU338" s="57" t="n"/>
      <c r="AV338" s="61" t="n"/>
      <c r="AW338" s="61" t="n"/>
      <c r="AX338" s="61" t="n"/>
      <c r="AY338" s="61" t="n"/>
      <c r="AZ338" s="61" t="n"/>
      <c r="BA338" s="61" t="n"/>
      <c r="BB338" s="61" t="inlineStr">
        <is>
          <t>2024</t>
        </is>
      </c>
      <c r="BC338" s="61">
        <f>COUNTIFS(Data!$AK$2:$AK$1105,1,Data!$BB$2:$BB$1105,$BB$338)</f>
        <v/>
      </c>
      <c r="BD338" s="57">
        <f>SUMIFS(Data!$P$2:$P$1105,Data!$AK$2:$AK$1105,1,Data!$BB$2:$BB$1105,$BB$338)</f>
        <v/>
      </c>
      <c r="BE338" s="56">
        <f>IF(COUNTIFS(Data!$AK$2:$AK$1105,1,Data!$BB$2:$BB$1105,$BB$338)&lt;Controls!$B$19,"",IFERROR(SUMIFS(Data!$AN$2:$AN$1105,Data!$AK$2:$AK$1105,1,Data!$BB$2:$BB$1105,$BB$338)/$BD$338,""))</f>
        <v/>
      </c>
      <c r="BF338" s="56">
        <f>IF(COUNTIFS(Data!$AK$2:$AK$1105,1,Data!$BB$2:$BB$1105,$BB$338)&lt;Controls!$B$19,"",IFERROR(SUMIFS(Data!$AM$2:$AM$1105,Data!$AK$2:$AK$1105,1,Data!$BB$2:$BB$1105,$BB$338)/SUMIFS(Data!$P$2:$P$1105,Data!$AK$2:$AK$1105,1,Data!$BB$2:$BB$1105,$BB$338),""))</f>
        <v/>
      </c>
      <c r="BG338" s="57">
        <f>SUMIFS(Data!$AN$2:$AN$1105,Data!$AK$2:$AK$1105,1,Data!$BB$2:$BB$1105,$BB$338)</f>
        <v/>
      </c>
      <c r="BH338" s="61" t="n"/>
      <c r="BI338" s="61" t="n"/>
      <c r="BJ338" s="61" t="n"/>
      <c r="BK338" s="61">
        <f>IF($BC$338&lt;Controls!$B$22,"",$BE$338)</f>
        <v/>
      </c>
      <c r="BL338" s="61">
        <f>IF($BC$338&lt;Controls!$B$22,"",$BF$338)</f>
        <v/>
      </c>
      <c r="BM338" s="61">
        <f>IF($BC$338&lt;Controls!$B$22,"",$BG$338)</f>
        <v/>
      </c>
      <c r="BN338" s="61" t="n"/>
      <c r="BO338" s="61" t="n"/>
      <c r="BP338" s="61" t="n"/>
      <c r="BQ338" s="61" t="n"/>
      <c r="BR338" s="61" t="n"/>
      <c r="BS338" s="61" t="n"/>
      <c r="BT338" s="61" t="n"/>
    </row>
    <row r="339" ht="15.75" customHeight="1" s="79">
      <c r="A339" s="61" t="n"/>
      <c r="B339" s="61" t="n"/>
      <c r="C339" s="61" t="n"/>
      <c r="D339" s="61" t="n"/>
      <c r="E339" s="61" t="n"/>
      <c r="F339" s="61" t="n"/>
      <c r="G339" s="61" t="n"/>
      <c r="H339" s="61" t="n"/>
      <c r="I339" s="61" t="n"/>
      <c r="J339" s="61" t="n"/>
      <c r="K339" s="61" t="n"/>
      <c r="L339" s="61" t="n"/>
      <c r="M339" s="61" t="n"/>
      <c r="N339" s="61" t="n"/>
      <c r="O339" s="61" t="n"/>
      <c r="P339" s="61" t="n"/>
      <c r="Q339" s="61" t="n"/>
      <c r="R339" s="61" t="n"/>
      <c r="S339" s="61" t="n"/>
      <c r="T339" s="61" t="n"/>
      <c r="U339" s="61" t="n"/>
      <c r="V339" s="61" t="n"/>
      <c r="W339" s="61" t="n"/>
      <c r="X339" s="61" t="n"/>
      <c r="Y339" s="61" t="n"/>
      <c r="Z339" s="61" t="n"/>
      <c r="AA339" s="61" t="n"/>
      <c r="AB339" s="61" t="n"/>
      <c r="AC339" s="61" t="n"/>
      <c r="AD339" s="61" t="n"/>
      <c r="AE339" s="61" t="n"/>
      <c r="AF339" s="61" t="n"/>
      <c r="AG339" s="61" t="n"/>
      <c r="AH339" s="61" t="n"/>
      <c r="AI339" s="61" t="n"/>
      <c r="AJ339" s="61" t="n"/>
      <c r="AK339" s="61" t="n"/>
      <c r="AL339" s="61" t="n"/>
      <c r="AM339" s="61" t="n"/>
      <c r="AN339" s="61" t="n"/>
      <c r="AO339" s="61" t="n"/>
      <c r="AP339" s="57" t="n"/>
      <c r="AQ339" s="56" t="n"/>
      <c r="AR339" s="57" t="n"/>
      <c r="AS339" s="61" t="n"/>
      <c r="AT339" s="61" t="n"/>
      <c r="AU339" s="57" t="n"/>
      <c r="AV339" s="61" t="n"/>
      <c r="AW339" s="61" t="n"/>
      <c r="AX339" s="61" t="n"/>
      <c r="AY339" s="61" t="n"/>
      <c r="AZ339" s="61" t="n"/>
      <c r="BA339" s="61" t="n"/>
      <c r="BB339" s="61" t="inlineStr">
        <is>
          <t>2025</t>
        </is>
      </c>
      <c r="BC339" s="61">
        <f>COUNTIFS(Data!$AK$2:$AK$1105,1,Data!$BB$2:$BB$1105,$BB$339)</f>
        <v/>
      </c>
      <c r="BD339" s="57">
        <f>SUMIFS(Data!$P$2:$P$1105,Data!$AK$2:$AK$1105,1,Data!$BB$2:$BB$1105,$BB$339)</f>
        <v/>
      </c>
      <c r="BE339" s="56">
        <f>IF(COUNTIFS(Data!$AK$2:$AK$1105,1,Data!$BB$2:$BB$1105,$BB$339)&lt;Controls!$B$19,"",IFERROR(SUMIFS(Data!$AN$2:$AN$1105,Data!$AK$2:$AK$1105,1,Data!$BB$2:$BB$1105,$BB$339)/$BD$339,""))</f>
        <v/>
      </c>
      <c r="BF339" s="56">
        <f>IF(COUNTIFS(Data!$AK$2:$AK$1105,1,Data!$BB$2:$BB$1105,$BB$339)&lt;Controls!$B$19,"",IFERROR(SUMIFS(Data!$AM$2:$AM$1105,Data!$AK$2:$AK$1105,1,Data!$BB$2:$BB$1105,$BB$339)/SUMIFS(Data!$P$2:$P$1105,Data!$AK$2:$AK$1105,1,Data!$BB$2:$BB$1105,$BB$339),""))</f>
        <v/>
      </c>
      <c r="BG339" s="57">
        <f>SUMIFS(Data!$AN$2:$AN$1105,Data!$AK$2:$AK$1105,1,Data!$BB$2:$BB$1105,$BB$339)</f>
        <v/>
      </c>
      <c r="BH339" s="61" t="n"/>
      <c r="BI339" s="61" t="n"/>
      <c r="BJ339" s="61" t="n"/>
      <c r="BK339" s="56">
        <f>IF($BC$339&lt;Controls!$B$22,"",$BE$339)</f>
        <v/>
      </c>
      <c r="BL339" s="56">
        <f>IF($BC$339&lt;Controls!$B$22,"",$BF$339)</f>
        <v/>
      </c>
      <c r="BM339" s="57">
        <f>IF($BC$339&lt;Controls!$B$22,"",$BG$339)</f>
        <v/>
      </c>
      <c r="BN339" s="61" t="n"/>
      <c r="BO339" s="61" t="n"/>
      <c r="BP339" s="61" t="n"/>
      <c r="BQ339" s="61" t="n"/>
      <c r="BR339" s="61" t="n"/>
      <c r="BS339" s="61" t="n"/>
      <c r="BT339" s="61" t="n"/>
    </row>
    <row r="340" ht="15.75" customHeight="1" s="79">
      <c r="A340" s="61" t="n"/>
      <c r="B340" s="61" t="n"/>
      <c r="C340" s="61" t="n"/>
      <c r="D340" s="61" t="n"/>
      <c r="E340" s="61" t="n"/>
      <c r="F340" s="61" t="n"/>
      <c r="G340" s="61" t="n"/>
      <c r="H340" s="61" t="n"/>
      <c r="I340" s="61" t="n"/>
      <c r="J340" s="61" t="n"/>
      <c r="K340" s="61" t="n"/>
      <c r="L340" s="61" t="n"/>
      <c r="M340" s="61" t="n"/>
      <c r="N340" s="61" t="n"/>
      <c r="O340" s="61" t="n"/>
      <c r="P340" s="61" t="n"/>
      <c r="Q340" s="61" t="n"/>
      <c r="R340" s="61" t="n"/>
      <c r="S340" s="61" t="n"/>
      <c r="T340" s="61" t="n"/>
      <c r="U340" s="61" t="n"/>
      <c r="V340" s="61" t="n"/>
      <c r="W340" s="61" t="n"/>
      <c r="X340" s="61" t="n"/>
      <c r="Y340" s="61" t="n"/>
      <c r="Z340" s="61" t="n"/>
      <c r="AA340" s="61" t="n"/>
      <c r="AB340" s="61" t="n"/>
      <c r="AC340" s="61" t="n"/>
      <c r="AD340" s="61" t="n"/>
      <c r="AE340" s="61" t="n"/>
      <c r="AF340" s="61" t="n"/>
      <c r="AG340" s="61" t="n"/>
      <c r="AH340" s="61" t="n"/>
      <c r="AI340" s="61" t="n"/>
      <c r="AJ340" s="61" t="n"/>
      <c r="AK340" s="61" t="n"/>
      <c r="AL340" s="61" t="n"/>
      <c r="AM340" s="61" t="n"/>
      <c r="AN340" s="61" t="n"/>
      <c r="AO340" s="61" t="n"/>
      <c r="AP340" s="57" t="n"/>
      <c r="AQ340" s="56" t="n"/>
      <c r="AR340" s="57" t="n"/>
      <c r="AS340" s="61" t="n"/>
      <c r="AT340" s="61" t="n"/>
      <c r="AU340" s="57" t="n"/>
      <c r="AV340" s="61" t="n"/>
      <c r="AW340" s="61" t="n"/>
      <c r="AX340" s="61" t="n"/>
      <c r="AY340" s="61" t="n"/>
      <c r="AZ340" s="61" t="n"/>
      <c r="BA340" s="61" t="n"/>
      <c r="BB340" s="61" t="inlineStr">
        <is>
          <t>2026</t>
        </is>
      </c>
      <c r="BC340" s="61">
        <f>COUNTIFS(Data!$AK$2:$AK$1105,1,Data!$BB$2:$BB$1105,$BB$340)</f>
        <v/>
      </c>
      <c r="BD340" s="57">
        <f>SUMIFS(Data!$P$2:$P$1105,Data!$AK$2:$AK$1105,1,Data!$BB$2:$BB$1105,$BB$340)</f>
        <v/>
      </c>
      <c r="BE340" s="56">
        <f>IF(COUNTIFS(Data!$AK$2:$AK$1105,1,Data!$BB$2:$BB$1105,$BB$340)&lt;Controls!$B$19,"",IFERROR(SUMIFS(Data!$AN$2:$AN$1105,Data!$AK$2:$AK$1105,1,Data!$BB$2:$BB$1105,$BB$340)/$BD$340,""))</f>
        <v/>
      </c>
      <c r="BF340" s="56">
        <f>IF(COUNTIFS(Data!$AK$2:$AK$1105,1,Data!$BB$2:$BB$1105,$BB$340)&lt;Controls!$B$19,"",IFERROR(SUMIFS(Data!$AM$2:$AM$1105,Data!$AK$2:$AK$1105,1,Data!$BB$2:$BB$1105,$BB$340)/SUMIFS(Data!$P$2:$P$1105,Data!$AK$2:$AK$1105,1,Data!$BB$2:$BB$1105,$BB$340),""))</f>
        <v/>
      </c>
      <c r="BG340" s="57">
        <f>SUMIFS(Data!$AN$2:$AN$1105,Data!$AK$2:$AK$1105,1,Data!$BB$2:$BB$1105,$BB$340)</f>
        <v/>
      </c>
      <c r="BH340" s="61" t="n"/>
      <c r="BI340" s="61" t="n"/>
      <c r="BJ340" s="61" t="n"/>
      <c r="BK340" s="56">
        <f>IF($BC$340&lt;Controls!$B$22,"",$BE$340)</f>
        <v/>
      </c>
      <c r="BL340" s="56">
        <f>IF($BC$340&lt;Controls!$B$22,"",$BF$340)</f>
        <v/>
      </c>
      <c r="BM340" s="57">
        <f>IF($BC$340&lt;Controls!$B$22,"",$BG$340)</f>
        <v/>
      </c>
      <c r="BN340" s="61" t="n"/>
      <c r="BO340" s="61" t="n"/>
      <c r="BP340" s="61" t="n"/>
      <c r="BQ340" s="61" t="n"/>
      <c r="BR340" s="61" t="n"/>
      <c r="BS340" s="61" t="n"/>
      <c r="BT340" s="61" t="n"/>
    </row>
    <row r="341" ht="15.75" customHeight="1" s="79">
      <c r="A341" s="61" t="n"/>
      <c r="B341" s="61" t="n"/>
      <c r="C341" s="61" t="n"/>
      <c r="D341" s="61" t="n"/>
      <c r="E341" s="61" t="n"/>
      <c r="F341" s="61" t="n"/>
      <c r="G341" s="61" t="n"/>
      <c r="H341" s="61" t="n"/>
      <c r="I341" s="61" t="n"/>
      <c r="J341" s="61" t="n"/>
      <c r="K341" s="61" t="n"/>
      <c r="L341" s="61" t="n"/>
      <c r="M341" s="61" t="n"/>
      <c r="N341" s="61" t="n"/>
      <c r="O341" s="61" t="n"/>
      <c r="P341" s="61" t="n"/>
      <c r="Q341" s="61" t="n"/>
      <c r="R341" s="61" t="n"/>
      <c r="S341" s="61" t="n"/>
      <c r="T341" s="61" t="n"/>
      <c r="U341" s="61" t="n"/>
      <c r="V341" s="61" t="n"/>
      <c r="W341" s="61" t="n"/>
      <c r="X341" s="61" t="n"/>
      <c r="Y341" s="61" t="n"/>
      <c r="Z341" s="61" t="n"/>
      <c r="AA341" s="61" t="n"/>
      <c r="AB341" s="61" t="n"/>
      <c r="AC341" s="61" t="n"/>
      <c r="AD341" s="61" t="n"/>
      <c r="AE341" s="61" t="n"/>
      <c r="AF341" s="61" t="n"/>
      <c r="AG341" s="61" t="n"/>
      <c r="AH341" s="61" t="n"/>
      <c r="AI341" s="61" t="n"/>
      <c r="AJ341" s="61" t="n"/>
      <c r="AK341" s="61" t="n"/>
      <c r="AL341" s="61" t="n"/>
      <c r="AM341" s="61" t="n"/>
      <c r="AN341" s="61" t="n"/>
      <c r="AO341" s="61" t="n"/>
      <c r="AP341" s="57" t="n"/>
      <c r="AQ341" s="56" t="n"/>
      <c r="AR341" s="57" t="n"/>
      <c r="AS341" s="61" t="n"/>
      <c r="AT341" s="61" t="n"/>
      <c r="AU341" s="57" t="n"/>
      <c r="AV341" s="61" t="n"/>
      <c r="AW341" s="61" t="n"/>
      <c r="AX341" s="61" t="n"/>
      <c r="AY341" s="61" t="n"/>
      <c r="AZ341" s="61" t="n"/>
      <c r="BA341" s="61" t="n"/>
      <c r="BB341" s="61" t="inlineStr">
        <is>
          <t>2027</t>
        </is>
      </c>
      <c r="BC341" s="61">
        <f>COUNTIFS(Data!$AK$2:$AK$1105,1,Data!$BB$2:$BB$1105,$BB$341)</f>
        <v/>
      </c>
      <c r="BD341" s="57">
        <f>SUMIFS(Data!$P$2:$P$1105,Data!$AK$2:$AK$1105,1,Data!$BB$2:$BB$1105,$BB$341)</f>
        <v/>
      </c>
      <c r="BE341" s="56">
        <f>IF(COUNTIFS(Data!$AK$2:$AK$1105,1,Data!$BB$2:$BB$1105,$BB$341)&lt;Controls!$B$19,"",IFERROR(SUMIFS(Data!$AN$2:$AN$1105,Data!$AK$2:$AK$1105,1,Data!$BB$2:$BB$1105,$BB$341)/$BD$341,""))</f>
        <v/>
      </c>
      <c r="BF341" s="56">
        <f>IF(COUNTIFS(Data!$AK$2:$AK$1105,1,Data!$BB$2:$BB$1105,$BB$341)&lt;Controls!$B$19,"",IFERROR(SUMIFS(Data!$AM$2:$AM$1105,Data!$AK$2:$AK$1105,1,Data!$BB$2:$BB$1105,$BB$341)/SUMIFS(Data!$P$2:$P$1105,Data!$AK$2:$AK$1105,1,Data!$BB$2:$BB$1105,$BB$341),""))</f>
        <v/>
      </c>
      <c r="BG341" s="57">
        <f>SUMIFS(Data!$AN$2:$AN$1105,Data!$AK$2:$AK$1105,1,Data!$BB$2:$BB$1105,$BB$341)</f>
        <v/>
      </c>
      <c r="BH341" s="61" t="n"/>
      <c r="BI341" s="61" t="n"/>
      <c r="BJ341" s="61" t="n"/>
      <c r="BK341" s="61">
        <f>IF($BC$341&lt;Controls!$B$22,"",$BE$341)</f>
        <v/>
      </c>
      <c r="BL341" s="61">
        <f>IF($BC$341&lt;Controls!$B$22,"",$BF$341)</f>
        <v/>
      </c>
      <c r="BM341" s="61">
        <f>IF($BC$341&lt;Controls!$B$22,"",$BG$341)</f>
        <v/>
      </c>
      <c r="BN341" s="61" t="n"/>
      <c r="BO341" s="61" t="n"/>
      <c r="BP341" s="61" t="n"/>
      <c r="BQ341" s="61" t="n"/>
      <c r="BR341" s="61" t="n"/>
      <c r="BS341" s="61" t="n"/>
      <c r="BT341" s="61" t="n"/>
    </row>
    <row r="342" ht="15.75" customHeight="1" s="79">
      <c r="A342" s="61" t="n"/>
      <c r="B342" s="61" t="n"/>
      <c r="C342" s="61" t="n"/>
      <c r="D342" s="61" t="n"/>
      <c r="E342" s="61" t="n"/>
      <c r="F342" s="61" t="n"/>
      <c r="G342" s="61" t="n"/>
      <c r="H342" s="61" t="n"/>
      <c r="I342" s="61" t="n"/>
      <c r="J342" s="61" t="n"/>
      <c r="K342" s="61" t="n"/>
      <c r="L342" s="61" t="n"/>
      <c r="M342" s="61" t="n"/>
      <c r="N342" s="61" t="n"/>
      <c r="O342" s="61" t="n"/>
      <c r="P342" s="61" t="n"/>
      <c r="Q342" s="61" t="n"/>
      <c r="R342" s="61" t="n"/>
      <c r="S342" s="61" t="n"/>
      <c r="T342" s="61" t="n"/>
      <c r="U342" s="61" t="n"/>
      <c r="V342" s="61" t="n"/>
      <c r="W342" s="61" t="n"/>
      <c r="X342" s="61" t="n"/>
      <c r="Y342" s="61" t="n"/>
      <c r="Z342" s="61" t="n"/>
      <c r="AA342" s="61" t="n"/>
      <c r="AB342" s="61" t="n"/>
      <c r="AC342" s="61" t="n"/>
      <c r="AD342" s="61" t="n"/>
      <c r="AE342" s="61" t="n"/>
      <c r="AF342" s="61" t="n"/>
      <c r="AG342" s="61" t="n"/>
      <c r="AH342" s="61" t="n"/>
      <c r="AI342" s="61" t="n"/>
      <c r="AJ342" s="61" t="n"/>
      <c r="AK342" s="61" t="n"/>
      <c r="AL342" s="61" t="n"/>
      <c r="AM342" s="61" t="n"/>
      <c r="AN342" s="61" t="n"/>
      <c r="AO342" s="61" t="n"/>
      <c r="AP342" s="57" t="n"/>
      <c r="AQ342" s="56" t="n"/>
      <c r="AR342" s="57" t="n"/>
      <c r="AS342" s="61" t="n"/>
      <c r="AT342" s="61" t="n"/>
      <c r="AU342" s="57" t="n"/>
      <c r="AV342" s="61" t="n"/>
      <c r="AW342" s="61" t="n"/>
      <c r="AX342" s="61" t="n"/>
      <c r="AY342" s="61" t="n"/>
      <c r="AZ342" s="61" t="n"/>
      <c r="BA342" s="61" t="n"/>
      <c r="BB342" s="61" t="n"/>
      <c r="BC342" s="61" t="n"/>
      <c r="BD342" s="57" t="n"/>
      <c r="BE342" s="56" t="n"/>
      <c r="BF342" s="56" t="n"/>
      <c r="BG342" s="57" t="n"/>
      <c r="BH342" s="61" t="n"/>
      <c r="BI342" s="61" t="n"/>
      <c r="BJ342" s="61" t="n"/>
      <c r="BK342" s="61" t="n"/>
      <c r="BL342" s="61" t="n"/>
      <c r="BM342" s="61" t="n"/>
      <c r="BN342" s="61" t="n"/>
      <c r="BO342" s="61" t="n"/>
      <c r="BP342" s="61" t="n"/>
      <c r="BQ342" s="61" t="n"/>
      <c r="BR342" s="61" t="n"/>
      <c r="BS342" s="61" t="n"/>
      <c r="BT342" s="61" t="n"/>
    </row>
    <row r="343" ht="15.75" customHeight="1" s="79">
      <c r="A343" s="61" t="n"/>
      <c r="B343" s="61" t="n"/>
      <c r="C343" s="61" t="n"/>
      <c r="D343" s="61" t="n"/>
      <c r="E343" s="61" t="n"/>
      <c r="F343" s="61" t="n"/>
      <c r="G343" s="61" t="n"/>
      <c r="H343" s="61" t="n"/>
      <c r="I343" s="61" t="n"/>
      <c r="J343" s="61" t="n"/>
      <c r="K343" s="61" t="n"/>
      <c r="L343" s="61" t="n"/>
      <c r="M343" s="61" t="n"/>
      <c r="N343" s="61" t="n"/>
      <c r="O343" s="61" t="n"/>
      <c r="P343" s="61" t="n"/>
      <c r="Q343" s="61" t="n"/>
      <c r="R343" s="61" t="n"/>
      <c r="S343" s="61" t="n"/>
      <c r="T343" s="61" t="n"/>
      <c r="U343" s="61" t="n"/>
      <c r="V343" s="61" t="n"/>
      <c r="W343" s="61" t="n"/>
      <c r="X343" s="61" t="n"/>
      <c r="Y343" s="61" t="n"/>
      <c r="Z343" s="61" t="n"/>
      <c r="AA343" s="61" t="n"/>
      <c r="AB343" s="61" t="n"/>
      <c r="AC343" s="61" t="n"/>
      <c r="AD343" s="61" t="n"/>
      <c r="AE343" s="61" t="n"/>
      <c r="AF343" s="61" t="n"/>
      <c r="AG343" s="61" t="n"/>
      <c r="AH343" s="61" t="n"/>
      <c r="AI343" s="61" t="n"/>
      <c r="AJ343" s="61" t="n"/>
      <c r="AK343" s="61" t="n"/>
      <c r="AL343" s="61" t="n"/>
      <c r="AM343" s="61" t="n"/>
      <c r="AN343" s="61" t="n"/>
      <c r="AO343" s="61" t="n"/>
      <c r="AP343" s="57" t="n"/>
      <c r="AQ343" s="56" t="n"/>
      <c r="AR343" s="57" t="n"/>
      <c r="AS343" s="61" t="n"/>
      <c r="AT343" s="61" t="n"/>
      <c r="AU343" s="57" t="n"/>
      <c r="AV343" s="61" t="n"/>
      <c r="AW343" s="61" t="n"/>
      <c r="AX343" s="61" t="n"/>
      <c r="AY343" s="61" t="n"/>
      <c r="AZ343" s="61" t="n"/>
      <c r="BA343" s="61" t="n"/>
      <c r="BB343" s="61" t="n"/>
      <c r="BC343" s="61" t="n"/>
      <c r="BD343" s="57" t="n"/>
      <c r="BE343" s="56" t="n"/>
      <c r="BF343" s="56" t="n"/>
      <c r="BG343" s="57" t="n"/>
      <c r="BH343" s="61" t="n"/>
      <c r="BI343" s="61" t="n"/>
      <c r="BJ343" s="61" t="n"/>
      <c r="BK343" s="61" t="n"/>
      <c r="BL343" s="61" t="n"/>
      <c r="BM343" s="61" t="n"/>
      <c r="BN343" s="61" t="n"/>
      <c r="BO343" s="61" t="n"/>
      <c r="BP343" s="61" t="n"/>
      <c r="BQ343" s="61" t="n"/>
      <c r="BR343" s="61" t="n"/>
      <c r="BS343" s="61" t="n"/>
      <c r="BT343" s="61" t="n"/>
    </row>
    <row r="344" ht="15.75" customHeight="1" s="79">
      <c r="A344" s="61" t="n"/>
      <c r="B344" s="61" t="n"/>
      <c r="C344" s="61" t="n"/>
      <c r="D344" s="61" t="n"/>
      <c r="E344" s="61" t="n"/>
      <c r="F344" s="61" t="n"/>
      <c r="G344" s="61" t="n"/>
      <c r="H344" s="61" t="n"/>
      <c r="I344" s="61" t="n"/>
      <c r="J344" s="61" t="n"/>
      <c r="K344" s="61" t="n"/>
      <c r="L344" s="61" t="n"/>
      <c r="M344" s="61" t="n"/>
      <c r="N344" s="61" t="n"/>
      <c r="O344" s="61" t="n"/>
      <c r="P344" s="61" t="n"/>
      <c r="Q344" s="61" t="n"/>
      <c r="R344" s="61" t="n"/>
      <c r="S344" s="61" t="n"/>
      <c r="T344" s="61" t="n"/>
      <c r="U344" s="61" t="n"/>
      <c r="V344" s="61" t="n"/>
      <c r="W344" s="61" t="n"/>
      <c r="X344" s="61" t="n"/>
      <c r="Y344" s="61" t="n"/>
      <c r="Z344" s="61" t="n"/>
      <c r="AA344" s="61" t="n"/>
      <c r="AB344" s="61" t="n"/>
      <c r="AC344" s="61" t="n"/>
      <c r="AD344" s="61" t="n"/>
      <c r="AE344" s="61" t="n"/>
      <c r="AF344" s="61" t="n"/>
      <c r="AG344" s="61" t="n"/>
      <c r="AH344" s="61" t="n"/>
      <c r="AI344" s="61" t="n"/>
      <c r="AJ344" s="61" t="n"/>
      <c r="AK344" s="61" t="n"/>
      <c r="AL344" s="61" t="n"/>
      <c r="AM344" s="61" t="n"/>
      <c r="AN344" s="61" t="n"/>
      <c r="AO344" s="61" t="n"/>
      <c r="AP344" s="57" t="n"/>
      <c r="AQ344" s="56" t="n"/>
      <c r="AR344" s="57" t="n"/>
      <c r="AS344" s="61" t="n"/>
      <c r="AT344" s="61" t="n"/>
      <c r="AU344" s="57" t="n"/>
      <c r="AV344" s="61" t="n"/>
      <c r="AW344" s="61" t="n"/>
      <c r="AX344" s="61" t="n"/>
      <c r="AY344" s="61" t="n"/>
      <c r="AZ344" s="61" t="n"/>
      <c r="BA344" s="61" t="n"/>
      <c r="BB344" s="61" t="n"/>
      <c r="BC344" s="61" t="n"/>
      <c r="BD344" s="57" t="n"/>
      <c r="BE344" s="56" t="n"/>
      <c r="BF344" s="56" t="n"/>
      <c r="BG344" s="57" t="n"/>
      <c r="BH344" s="61" t="n"/>
      <c r="BI344" s="61" t="n"/>
      <c r="BJ344" s="61" t="n"/>
      <c r="BK344" s="61" t="n"/>
      <c r="BL344" s="61" t="n"/>
      <c r="BM344" s="61" t="n"/>
      <c r="BN344" s="61" t="n"/>
      <c r="BO344" s="61" t="n"/>
      <c r="BP344" s="61" t="n"/>
      <c r="BQ344" s="61" t="n"/>
      <c r="BR344" s="61" t="n"/>
      <c r="BS344" s="61" t="n"/>
      <c r="BT344" s="61" t="n"/>
    </row>
    <row r="345" ht="15.75" customHeight="1" s="79">
      <c r="A345" s="61" t="n"/>
      <c r="B345" s="61" t="n"/>
      <c r="C345" s="61" t="n"/>
      <c r="D345" s="61" t="n"/>
      <c r="E345" s="61" t="n"/>
      <c r="F345" s="61" t="n"/>
      <c r="G345" s="61" t="n"/>
      <c r="H345" s="61" t="n"/>
      <c r="I345" s="61" t="n"/>
      <c r="J345" s="61" t="n"/>
      <c r="K345" s="61" t="n"/>
      <c r="L345" s="61" t="n"/>
      <c r="M345" s="61" t="n"/>
      <c r="N345" s="61" t="n"/>
      <c r="O345" s="61" t="n"/>
      <c r="P345" s="61" t="n"/>
      <c r="Q345" s="61" t="n"/>
      <c r="R345" s="61" t="n"/>
      <c r="S345" s="61" t="n"/>
      <c r="T345" s="61" t="n"/>
      <c r="U345" s="61" t="n"/>
      <c r="V345" s="61" t="n"/>
      <c r="W345" s="61" t="n"/>
      <c r="X345" s="61" t="n"/>
      <c r="Y345" s="61" t="n"/>
      <c r="Z345" s="61" t="n"/>
      <c r="AA345" s="61" t="n"/>
      <c r="AB345" s="61" t="n"/>
      <c r="AC345" s="61" t="n"/>
      <c r="AD345" s="61" t="n"/>
      <c r="AE345" s="61" t="n"/>
      <c r="AF345" s="61" t="n"/>
      <c r="AG345" s="61" t="n"/>
      <c r="AH345" s="61" t="n"/>
      <c r="AI345" s="61" t="n"/>
      <c r="AJ345" s="61" t="n"/>
      <c r="AK345" s="61" t="n"/>
      <c r="AL345" s="61" t="n"/>
      <c r="AM345" s="61" t="n"/>
      <c r="AN345" s="61" t="n"/>
      <c r="AO345" s="61" t="n"/>
      <c r="AP345" s="57" t="n"/>
      <c r="AQ345" s="56" t="n"/>
      <c r="AR345" s="57" t="n"/>
      <c r="AS345" s="61" t="n"/>
      <c r="AT345" s="61" t="n"/>
      <c r="AU345" s="57" t="n"/>
      <c r="AV345" s="61" t="n"/>
      <c r="AW345" s="61" t="n"/>
      <c r="AX345" s="61" t="n"/>
      <c r="AY345" s="61" t="n"/>
      <c r="AZ345" s="61" t="n"/>
      <c r="BA345" s="61" t="n"/>
      <c r="BB345" s="61" t="n"/>
      <c r="BC345" s="61" t="n"/>
      <c r="BD345" s="57" t="n"/>
      <c r="BE345" s="56" t="n"/>
      <c r="BF345" s="56" t="n"/>
      <c r="BG345" s="57" t="n"/>
      <c r="BH345" s="61" t="n"/>
      <c r="BI345" s="61" t="n"/>
      <c r="BJ345" s="61" t="n"/>
      <c r="BK345" s="61" t="n"/>
      <c r="BL345" s="61" t="n"/>
      <c r="BM345" s="61" t="n"/>
      <c r="BN345" s="61" t="n"/>
      <c r="BO345" s="61" t="n"/>
      <c r="BP345" s="61" t="n"/>
      <c r="BQ345" s="61" t="n"/>
      <c r="BR345" s="61" t="n"/>
      <c r="BS345" s="61" t="n"/>
      <c r="BT345" s="61" t="n"/>
    </row>
    <row r="346" ht="15.75" customHeight="1" s="79">
      <c r="A346" s="61" t="n"/>
      <c r="B346" s="61" t="n"/>
      <c r="C346" s="61" t="n"/>
      <c r="D346" s="61" t="n"/>
      <c r="E346" s="61" t="n"/>
      <c r="F346" s="61" t="n"/>
      <c r="G346" s="61" t="n"/>
      <c r="H346" s="61" t="n"/>
      <c r="I346" s="61" t="n"/>
      <c r="J346" s="61" t="n"/>
      <c r="K346" s="61" t="n"/>
      <c r="L346" s="61" t="n"/>
      <c r="M346" s="61" t="n"/>
      <c r="N346" s="61" t="n"/>
      <c r="O346" s="61" t="n"/>
      <c r="P346" s="61" t="n"/>
      <c r="Q346" s="61" t="n"/>
      <c r="R346" s="61" t="n"/>
      <c r="S346" s="61" t="n"/>
      <c r="T346" s="61" t="n"/>
      <c r="U346" s="61" t="n"/>
      <c r="V346" s="61" t="n"/>
      <c r="W346" s="61" t="n"/>
      <c r="X346" s="61" t="n"/>
      <c r="Y346" s="61" t="n"/>
      <c r="Z346" s="61" t="n"/>
      <c r="AA346" s="61" t="n"/>
      <c r="AB346" s="61" t="n"/>
      <c r="AC346" s="61" t="n"/>
      <c r="AD346" s="61" t="n"/>
      <c r="AE346" s="61" t="n"/>
      <c r="AF346" s="61" t="n"/>
      <c r="AG346" s="61" t="n"/>
      <c r="AH346" s="61" t="n"/>
      <c r="AI346" s="61" t="n"/>
      <c r="AJ346" s="61" t="n"/>
      <c r="AK346" s="61" t="n"/>
      <c r="AL346" s="61" t="n"/>
      <c r="AM346" s="61" t="n"/>
      <c r="AN346" s="61" t="n"/>
      <c r="AO346" s="61" t="n"/>
      <c r="AP346" s="57" t="n"/>
      <c r="AQ346" s="56" t="n"/>
      <c r="AR346" s="57" t="n"/>
      <c r="AS346" s="61" t="n"/>
      <c r="AT346" s="61" t="n"/>
      <c r="AU346" s="57" t="n"/>
      <c r="AV346" s="61" t="n"/>
      <c r="AW346" s="61" t="n"/>
      <c r="AX346" s="61" t="n"/>
      <c r="AY346" s="61" t="n"/>
      <c r="AZ346" s="61" t="n"/>
      <c r="BA346" s="61" t="n"/>
      <c r="BB346" s="61" t="n"/>
      <c r="BC346" s="61" t="n"/>
      <c r="BD346" s="57" t="n"/>
      <c r="BE346" s="56" t="n"/>
      <c r="BF346" s="56" t="n"/>
      <c r="BG346" s="57" t="n"/>
      <c r="BH346" s="61" t="n"/>
      <c r="BI346" s="61" t="n"/>
      <c r="BJ346" s="61" t="n"/>
      <c r="BK346" s="61" t="n"/>
      <c r="BL346" s="61" t="n"/>
      <c r="BM346" s="61" t="n"/>
      <c r="BN346" s="61" t="n"/>
      <c r="BO346" s="61" t="n"/>
      <c r="BP346" s="61" t="n"/>
      <c r="BQ346" s="61" t="n"/>
      <c r="BR346" s="61" t="n"/>
      <c r="BS346" s="61" t="n"/>
      <c r="BT346" s="61" t="n"/>
    </row>
    <row r="347" ht="15.75" customHeight="1" s="79">
      <c r="A347" s="61" t="n"/>
      <c r="B347" s="61" t="n"/>
      <c r="C347" s="61" t="n"/>
      <c r="D347" s="61" t="n"/>
      <c r="E347" s="61" t="n"/>
      <c r="F347" s="61" t="n"/>
      <c r="G347" s="61" t="n"/>
      <c r="H347" s="61" t="n"/>
      <c r="I347" s="61" t="n"/>
      <c r="J347" s="61" t="n"/>
      <c r="K347" s="61" t="n"/>
      <c r="L347" s="61" t="n"/>
      <c r="M347" s="61" t="n"/>
      <c r="N347" s="61" t="n"/>
      <c r="O347" s="61" t="n"/>
      <c r="P347" s="61" t="n"/>
      <c r="Q347" s="61" t="n"/>
      <c r="R347" s="61" t="n"/>
      <c r="S347" s="61" t="n"/>
      <c r="T347" s="61" t="n"/>
      <c r="U347" s="61" t="n"/>
      <c r="V347" s="61" t="n"/>
      <c r="W347" s="61" t="n"/>
      <c r="X347" s="61" t="n"/>
      <c r="Y347" s="61" t="n"/>
      <c r="Z347" s="61" t="n"/>
      <c r="AA347" s="61" t="n"/>
      <c r="AB347" s="61" t="n"/>
      <c r="AC347" s="61" t="n"/>
      <c r="AD347" s="61" t="n"/>
      <c r="AE347" s="61" t="n"/>
      <c r="AF347" s="61" t="n"/>
      <c r="AG347" s="61" t="n"/>
      <c r="AH347" s="61" t="n"/>
      <c r="AI347" s="61" t="n"/>
      <c r="AJ347" s="61" t="n"/>
      <c r="AK347" s="61" t="n"/>
      <c r="AL347" s="61" t="n"/>
      <c r="AM347" s="61" t="n"/>
      <c r="AN347" s="61" t="n"/>
      <c r="AO347" s="61" t="n"/>
      <c r="AP347" s="57" t="n"/>
      <c r="AQ347" s="56" t="n"/>
      <c r="AR347" s="57" t="n"/>
      <c r="AS347" s="61" t="n"/>
      <c r="AT347" s="61" t="n"/>
      <c r="AU347" s="57" t="n"/>
      <c r="AV347" s="61" t="n"/>
      <c r="AW347" s="61" t="n"/>
      <c r="AX347" s="61" t="n"/>
      <c r="AY347" s="61" t="n"/>
      <c r="AZ347" s="61" t="n"/>
      <c r="BA347" s="61" t="n"/>
      <c r="BB347" s="61" t="n"/>
      <c r="BC347" s="61" t="n"/>
      <c r="BD347" s="57" t="n"/>
      <c r="BE347" s="56" t="n"/>
      <c r="BF347" s="56" t="n"/>
      <c r="BG347" s="57" t="n"/>
      <c r="BH347" s="61" t="n"/>
      <c r="BI347" s="61" t="n"/>
      <c r="BJ347" s="61" t="n"/>
      <c r="BK347" s="61" t="n"/>
      <c r="BL347" s="61" t="n"/>
      <c r="BM347" s="61" t="n"/>
      <c r="BN347" s="61" t="n"/>
      <c r="BO347" s="61" t="n"/>
      <c r="BP347" s="61" t="n"/>
      <c r="BQ347" s="61" t="n"/>
      <c r="BR347" s="61" t="n"/>
      <c r="BS347" s="61" t="n"/>
      <c r="BT347" s="61" t="n"/>
    </row>
    <row r="348" ht="15.75" customHeight="1" s="79">
      <c r="A348" s="61" t="n"/>
      <c r="B348" s="61" t="n"/>
      <c r="C348" s="61" t="n"/>
      <c r="D348" s="61" t="n"/>
      <c r="E348" s="61" t="n"/>
      <c r="F348" s="61" t="n"/>
      <c r="G348" s="61" t="n"/>
      <c r="H348" s="61" t="n"/>
      <c r="I348" s="61" t="n"/>
      <c r="J348" s="61" t="n"/>
      <c r="K348" s="61" t="n"/>
      <c r="L348" s="61" t="n"/>
      <c r="M348" s="61" t="n"/>
      <c r="N348" s="61" t="n"/>
      <c r="O348" s="61" t="n"/>
      <c r="P348" s="61" t="n"/>
      <c r="Q348" s="61" t="n"/>
      <c r="R348" s="61" t="n"/>
      <c r="S348" s="61" t="n"/>
      <c r="T348" s="61" t="n"/>
      <c r="U348" s="61" t="n"/>
      <c r="V348" s="61" t="n"/>
      <c r="W348" s="61" t="n"/>
      <c r="X348" s="61" t="n"/>
      <c r="Y348" s="61" t="n"/>
      <c r="Z348" s="61" t="n"/>
      <c r="AA348" s="61" t="n"/>
      <c r="AB348" s="61" t="n"/>
      <c r="AC348" s="61" t="n"/>
      <c r="AD348" s="61" t="n"/>
      <c r="AE348" s="61" t="n"/>
      <c r="AF348" s="61" t="n"/>
      <c r="AG348" s="61" t="n"/>
      <c r="AH348" s="61" t="n"/>
      <c r="AI348" s="61" t="n"/>
      <c r="AJ348" s="61" t="n"/>
      <c r="AK348" s="61" t="n"/>
      <c r="AL348" s="61" t="n"/>
      <c r="AM348" s="61" t="n"/>
      <c r="AN348" s="61" t="n"/>
      <c r="AO348" s="61" t="n"/>
      <c r="AP348" s="57" t="n"/>
      <c r="AQ348" s="56" t="n"/>
      <c r="AR348" s="57" t="n"/>
      <c r="AS348" s="61" t="n"/>
      <c r="AT348" s="61" t="n"/>
      <c r="AU348" s="57" t="n"/>
      <c r="AV348" s="61" t="n"/>
      <c r="AW348" s="61" t="n"/>
      <c r="AX348" s="61" t="n"/>
      <c r="AY348" s="61" t="n"/>
      <c r="AZ348" s="61" t="n"/>
      <c r="BA348" s="61" t="n"/>
      <c r="BB348" s="61" t="n"/>
      <c r="BC348" s="61" t="n"/>
      <c r="BD348" s="57" t="n"/>
      <c r="BE348" s="56" t="n"/>
      <c r="BF348" s="56" t="n"/>
      <c r="BG348" s="57" t="n"/>
      <c r="BH348" s="61" t="n"/>
      <c r="BI348" s="61" t="n"/>
      <c r="BJ348" s="61" t="n"/>
      <c r="BK348" s="61" t="n"/>
      <c r="BL348" s="61" t="n"/>
      <c r="BM348" s="61" t="n"/>
      <c r="BN348" s="61" t="n"/>
      <c r="BO348" s="61" t="n"/>
      <c r="BP348" s="61" t="n"/>
      <c r="BQ348" s="61" t="n"/>
      <c r="BR348" s="61" t="n"/>
      <c r="BS348" s="61" t="n"/>
      <c r="BT348" s="61" t="n"/>
    </row>
    <row r="349" ht="15.75" customHeight="1" s="79">
      <c r="A349" s="61" t="n"/>
      <c r="B349" s="61" t="n"/>
      <c r="C349" s="61" t="n"/>
      <c r="D349" s="61" t="n"/>
      <c r="E349" s="61" t="n"/>
      <c r="F349" s="61" t="n"/>
      <c r="G349" s="61" t="n"/>
      <c r="H349" s="61" t="n"/>
      <c r="I349" s="61" t="n"/>
      <c r="J349" s="61" t="n"/>
      <c r="K349" s="61" t="n"/>
      <c r="L349" s="61" t="n"/>
      <c r="M349" s="61" t="n"/>
      <c r="N349" s="61" t="n"/>
      <c r="O349" s="61" t="n"/>
      <c r="P349" s="61" t="n"/>
      <c r="Q349" s="61" t="n"/>
      <c r="R349" s="61" t="n"/>
      <c r="S349" s="61" t="n"/>
      <c r="T349" s="61" t="n"/>
      <c r="U349" s="61" t="n"/>
      <c r="V349" s="61" t="n"/>
      <c r="W349" s="61" t="n"/>
      <c r="X349" s="61" t="n"/>
      <c r="Y349" s="61" t="n"/>
      <c r="Z349" s="61" t="n"/>
      <c r="AA349" s="61" t="n"/>
      <c r="AB349" s="61" t="n"/>
      <c r="AC349" s="61" t="n"/>
      <c r="AD349" s="61" t="n"/>
      <c r="AE349" s="61" t="n"/>
      <c r="AF349" s="61" t="n"/>
      <c r="AG349" s="61" t="n"/>
      <c r="AH349" s="61" t="n"/>
      <c r="AI349" s="61" t="n"/>
      <c r="AJ349" s="61" t="n"/>
      <c r="AK349" s="61" t="n"/>
      <c r="AL349" s="61" t="n"/>
      <c r="AM349" s="61" t="n"/>
      <c r="AN349" s="61" t="n"/>
      <c r="AO349" s="61" t="n"/>
      <c r="AP349" s="57" t="n"/>
      <c r="AQ349" s="56" t="n"/>
      <c r="AR349" s="57" t="n"/>
      <c r="AS349" s="61" t="n"/>
      <c r="AT349" s="61" t="n"/>
      <c r="AU349" s="57" t="n"/>
      <c r="AV349" s="61" t="n"/>
      <c r="AW349" s="61" t="n"/>
      <c r="AX349" s="61" t="n"/>
      <c r="AY349" s="61" t="n"/>
      <c r="AZ349" s="61" t="n"/>
      <c r="BA349" s="61" t="n"/>
      <c r="BB349" s="61" t="n"/>
      <c r="BC349" s="61" t="n"/>
      <c r="BD349" s="57" t="n"/>
      <c r="BE349" s="56" t="n"/>
      <c r="BF349" s="56" t="n"/>
      <c r="BG349" s="57" t="n"/>
      <c r="BH349" s="61" t="n"/>
      <c r="BI349" s="61" t="n"/>
      <c r="BJ349" s="61" t="n"/>
      <c r="BK349" s="61" t="n"/>
      <c r="BL349" s="61" t="n"/>
      <c r="BM349" s="61" t="n"/>
      <c r="BN349" s="61" t="n"/>
      <c r="BO349" s="61" t="n"/>
      <c r="BP349" s="61" t="n"/>
      <c r="BQ349" s="61" t="n"/>
      <c r="BR349" s="61" t="n"/>
      <c r="BS349" s="61" t="n"/>
      <c r="BT349" s="61" t="n"/>
    </row>
    <row r="350" ht="15.75" customHeight="1" s="79">
      <c r="A350" s="61" t="n"/>
      <c r="B350" s="61" t="n"/>
      <c r="C350" s="61" t="n"/>
      <c r="D350" s="61" t="n"/>
      <c r="E350" s="61" t="n"/>
      <c r="F350" s="61" t="n"/>
      <c r="G350" s="61" t="n"/>
      <c r="H350" s="61" t="n"/>
      <c r="I350" s="61" t="n"/>
      <c r="J350" s="61" t="n"/>
      <c r="K350" s="61" t="n"/>
      <c r="L350" s="61" t="n"/>
      <c r="M350" s="61" t="n"/>
      <c r="N350" s="61" t="n"/>
      <c r="O350" s="61" t="n"/>
      <c r="P350" s="61" t="n"/>
      <c r="Q350" s="61" t="n"/>
      <c r="R350" s="61" t="n"/>
      <c r="S350" s="61" t="n"/>
      <c r="T350" s="61" t="n"/>
      <c r="U350" s="61" t="n"/>
      <c r="V350" s="61" t="n"/>
      <c r="W350" s="61" t="n"/>
      <c r="X350" s="61" t="n"/>
      <c r="Y350" s="61" t="n"/>
      <c r="Z350" s="61" t="n"/>
      <c r="AA350" s="61" t="n"/>
      <c r="AB350" s="61" t="n"/>
      <c r="AC350" s="61" t="n"/>
      <c r="AD350" s="61" t="n"/>
      <c r="AE350" s="61" t="n"/>
      <c r="AF350" s="61" t="n"/>
      <c r="AG350" s="61" t="n"/>
      <c r="AH350" s="61" t="n"/>
      <c r="AI350" s="61" t="n"/>
      <c r="AJ350" s="61" t="n"/>
      <c r="AK350" s="61" t="n"/>
      <c r="AL350" s="61" t="n"/>
      <c r="AM350" s="61" t="n"/>
      <c r="AN350" s="61" t="n"/>
      <c r="AO350" s="61" t="n"/>
      <c r="AP350" s="57" t="n"/>
      <c r="AQ350" s="56" t="n"/>
      <c r="AR350" s="57" t="n"/>
      <c r="AS350" s="61" t="n"/>
      <c r="AT350" s="61" t="n"/>
      <c r="AU350" s="57" t="n"/>
      <c r="AV350" s="61" t="n"/>
      <c r="AW350" s="61" t="n"/>
      <c r="AX350" s="61" t="n"/>
      <c r="AY350" s="61" t="n"/>
      <c r="AZ350" s="61" t="n"/>
      <c r="BA350" s="61" t="n"/>
      <c r="BB350" s="61" t="n"/>
      <c r="BC350" s="61" t="n"/>
      <c r="BD350" s="57" t="n"/>
      <c r="BE350" s="56" t="n"/>
      <c r="BF350" s="56" t="n"/>
      <c r="BG350" s="57" t="n"/>
      <c r="BH350" s="61" t="n"/>
      <c r="BI350" s="61" t="n"/>
      <c r="BJ350" s="61" t="n"/>
      <c r="BK350" s="61" t="n"/>
      <c r="BL350" s="61" t="n"/>
      <c r="BM350" s="61" t="n"/>
      <c r="BN350" s="61" t="n"/>
      <c r="BO350" s="61" t="n"/>
      <c r="BP350" s="61" t="n"/>
      <c r="BQ350" s="61" t="n"/>
      <c r="BR350" s="61" t="n"/>
      <c r="BS350" s="61" t="n"/>
      <c r="BT350" s="61" t="n"/>
    </row>
    <row r="351" ht="15.75" customHeight="1" s="79">
      <c r="A351" s="61" t="n"/>
      <c r="B351" s="61" t="n"/>
      <c r="C351" s="61" t="n"/>
      <c r="D351" s="61" t="n"/>
      <c r="E351" s="61" t="n"/>
      <c r="F351" s="61" t="n"/>
      <c r="G351" s="61" t="n"/>
      <c r="H351" s="61" t="n"/>
      <c r="I351" s="61" t="n"/>
      <c r="J351" s="61" t="n"/>
      <c r="K351" s="61" t="n"/>
      <c r="L351" s="61" t="n"/>
      <c r="M351" s="61" t="n"/>
      <c r="N351" s="61" t="n"/>
      <c r="O351" s="61" t="n"/>
      <c r="P351" s="61" t="n"/>
      <c r="Q351" s="61" t="n"/>
      <c r="R351" s="61" t="n"/>
      <c r="S351" s="61" t="n"/>
      <c r="T351" s="61" t="n"/>
      <c r="U351" s="61" t="n"/>
      <c r="V351" s="61" t="n"/>
      <c r="W351" s="61" t="n"/>
      <c r="X351" s="61" t="n"/>
      <c r="Y351" s="61" t="n"/>
      <c r="Z351" s="61" t="n"/>
      <c r="AA351" s="61" t="n"/>
      <c r="AB351" s="61" t="n"/>
      <c r="AC351" s="61" t="n"/>
      <c r="AD351" s="61" t="n"/>
      <c r="AE351" s="61" t="n"/>
      <c r="AF351" s="61" t="n"/>
      <c r="AG351" s="61" t="n"/>
      <c r="AH351" s="61" t="n"/>
      <c r="AI351" s="61" t="n"/>
      <c r="AJ351" s="61" t="n"/>
      <c r="AK351" s="61" t="n"/>
      <c r="AL351" s="61" t="n"/>
      <c r="AM351" s="61" t="n"/>
      <c r="AN351" s="61" t="n"/>
      <c r="AO351" s="61" t="n"/>
      <c r="AP351" s="57" t="n"/>
      <c r="AQ351" s="56" t="n"/>
      <c r="AR351" s="57" t="n"/>
      <c r="AS351" s="61" t="n"/>
      <c r="AT351" s="61" t="n"/>
      <c r="AU351" s="57" t="n"/>
      <c r="AV351" s="61" t="n"/>
      <c r="AW351" s="61" t="n"/>
      <c r="AX351" s="61" t="n"/>
      <c r="AY351" s="61" t="n"/>
      <c r="AZ351" s="61" t="n"/>
      <c r="BA351" s="61" t="n"/>
      <c r="BB351" s="61" t="n"/>
      <c r="BC351" s="61" t="n"/>
      <c r="BD351" s="57" t="n"/>
      <c r="BE351" s="56" t="n"/>
      <c r="BF351" s="56" t="n"/>
      <c r="BG351" s="57" t="n"/>
      <c r="BH351" s="61" t="n"/>
      <c r="BI351" s="61" t="n"/>
      <c r="BJ351" s="61" t="n"/>
      <c r="BK351" s="61" t="n"/>
      <c r="BL351" s="61" t="n"/>
      <c r="BM351" s="61" t="n"/>
      <c r="BN351" s="61" t="n"/>
      <c r="BO351" s="61" t="n"/>
      <c r="BP351" s="61" t="n"/>
      <c r="BQ351" s="61" t="n"/>
      <c r="BR351" s="61" t="n"/>
      <c r="BS351" s="61" t="n"/>
      <c r="BT351" s="61" t="n"/>
    </row>
    <row r="352" ht="15.75" customHeight="1" s="79">
      <c r="A352" s="61" t="n"/>
      <c r="B352" s="61" t="n"/>
      <c r="C352" s="61" t="n"/>
      <c r="D352" s="61" t="n"/>
      <c r="E352" s="61" t="n"/>
      <c r="F352" s="61" t="n"/>
      <c r="G352" s="61" t="n"/>
      <c r="H352" s="61" t="n"/>
      <c r="I352" s="61" t="n"/>
      <c r="J352" s="61" t="n"/>
      <c r="K352" s="61" t="n"/>
      <c r="L352" s="61" t="n"/>
      <c r="M352" s="61" t="n"/>
      <c r="N352" s="61" t="n"/>
      <c r="O352" s="61" t="n"/>
      <c r="P352" s="61" t="n"/>
      <c r="Q352" s="61" t="n"/>
      <c r="R352" s="61" t="n"/>
      <c r="S352" s="61" t="n"/>
      <c r="T352" s="61" t="n"/>
      <c r="U352" s="61" t="n"/>
      <c r="V352" s="61" t="n"/>
      <c r="W352" s="61" t="n"/>
      <c r="X352" s="61" t="n"/>
      <c r="Y352" s="61" t="n"/>
      <c r="Z352" s="61" t="n"/>
      <c r="AA352" s="61" t="n"/>
      <c r="AB352" s="61" t="n"/>
      <c r="AC352" s="61" t="n"/>
      <c r="AD352" s="61" t="n"/>
      <c r="AE352" s="61" t="n"/>
      <c r="AF352" s="61" t="n"/>
      <c r="AG352" s="61" t="n"/>
      <c r="AH352" s="61" t="n"/>
      <c r="AI352" s="61" t="n"/>
      <c r="AJ352" s="61" t="n"/>
      <c r="AK352" s="61" t="n"/>
      <c r="AL352" s="61" t="n"/>
      <c r="AM352" s="61" t="n"/>
      <c r="AN352" s="61" t="n"/>
      <c r="AO352" s="61" t="n"/>
      <c r="AP352" s="57" t="n"/>
      <c r="AQ352" s="56" t="n"/>
      <c r="AR352" s="57" t="n"/>
      <c r="AS352" s="61" t="n"/>
      <c r="AT352" s="61" t="n"/>
      <c r="AU352" s="57" t="n"/>
      <c r="AV352" s="61" t="n"/>
      <c r="AW352" s="61" t="n"/>
      <c r="AX352" s="61" t="n"/>
      <c r="AY352" s="61" t="n"/>
      <c r="AZ352" s="61" t="n"/>
      <c r="BA352" s="61" t="n"/>
      <c r="BB352" s="61" t="n"/>
      <c r="BC352" s="61" t="n"/>
      <c r="BD352" s="57" t="n"/>
      <c r="BE352" s="56" t="n"/>
      <c r="BF352" s="56" t="n"/>
      <c r="BG352" s="57" t="n"/>
      <c r="BH352" s="61" t="n"/>
      <c r="BI352" s="61" t="n"/>
      <c r="BJ352" s="61" t="n"/>
      <c r="BK352" s="61" t="n"/>
      <c r="BL352" s="61" t="n"/>
      <c r="BM352" s="61" t="n"/>
      <c r="BN352" s="61" t="n"/>
      <c r="BO352" s="61" t="n"/>
      <c r="BP352" s="61" t="n"/>
      <c r="BQ352" s="61" t="n"/>
      <c r="BR352" s="61" t="n"/>
      <c r="BS352" s="61" t="n"/>
      <c r="BT352" s="61" t="n"/>
    </row>
    <row r="353" ht="15.75" customHeight="1" s="79">
      <c r="A353" s="61" t="n"/>
      <c r="B353" s="61" t="n"/>
      <c r="C353" s="61" t="n"/>
      <c r="D353" s="61" t="n"/>
      <c r="E353" s="61" t="n"/>
      <c r="F353" s="61" t="n"/>
      <c r="G353" s="61" t="n"/>
      <c r="H353" s="61" t="n"/>
      <c r="I353" s="61" t="n"/>
      <c r="J353" s="61" t="n"/>
      <c r="K353" s="61" t="n"/>
      <c r="L353" s="61" t="n"/>
      <c r="M353" s="61" t="n"/>
      <c r="N353" s="61" t="n"/>
      <c r="O353" s="61" t="n"/>
      <c r="P353" s="61" t="n"/>
      <c r="Q353" s="61" t="n"/>
      <c r="R353" s="61" t="n"/>
      <c r="S353" s="61" t="n"/>
      <c r="T353" s="61" t="n"/>
      <c r="U353" s="61" t="n"/>
      <c r="V353" s="61" t="n"/>
      <c r="W353" s="61" t="n"/>
      <c r="X353" s="61" t="n"/>
      <c r="Y353" s="61" t="n"/>
      <c r="Z353" s="61" t="n"/>
      <c r="AA353" s="61" t="n"/>
      <c r="AB353" s="61" t="n"/>
      <c r="AC353" s="61" t="n"/>
      <c r="AD353" s="61" t="n"/>
      <c r="AE353" s="61" t="n"/>
      <c r="AF353" s="61" t="n"/>
      <c r="AG353" s="61" t="n"/>
      <c r="AH353" s="61" t="n"/>
      <c r="AI353" s="61" t="n"/>
      <c r="AJ353" s="61" t="n"/>
      <c r="AK353" s="61" t="n"/>
      <c r="AL353" s="61" t="n"/>
      <c r="AM353" s="61" t="n"/>
      <c r="AN353" s="61" t="n"/>
      <c r="AO353" s="61" t="n"/>
      <c r="AP353" s="57" t="n"/>
      <c r="AQ353" s="56" t="n"/>
      <c r="AR353" s="57" t="n"/>
      <c r="AS353" s="61" t="n"/>
      <c r="AT353" s="61" t="n"/>
      <c r="AU353" s="57" t="n"/>
      <c r="AV353" s="61" t="n"/>
      <c r="AW353" s="61" t="n"/>
      <c r="AX353" s="61" t="n"/>
      <c r="AY353" s="61" t="n"/>
      <c r="AZ353" s="61" t="n"/>
      <c r="BA353" s="61" t="n"/>
      <c r="BB353" s="61" t="n"/>
      <c r="BC353" s="61" t="n"/>
      <c r="BD353" s="57" t="n"/>
      <c r="BE353" s="56" t="n"/>
      <c r="BF353" s="56" t="n"/>
      <c r="BG353" s="57" t="n"/>
      <c r="BH353" s="61" t="n"/>
      <c r="BI353" s="61" t="n"/>
      <c r="BJ353" s="61" t="n"/>
      <c r="BK353" s="61" t="n"/>
      <c r="BL353" s="61" t="n"/>
      <c r="BM353" s="61" t="n"/>
      <c r="BN353" s="61" t="n"/>
      <c r="BO353" s="61" t="n"/>
      <c r="BP353" s="61" t="n"/>
      <c r="BQ353" s="61" t="n"/>
      <c r="BR353" s="61" t="n"/>
      <c r="BS353" s="61" t="n"/>
      <c r="BT353" s="61" t="n"/>
    </row>
    <row r="354" ht="15.75" customHeight="1" s="79">
      <c r="A354" s="61" t="n"/>
      <c r="B354" s="61" t="n"/>
      <c r="C354" s="61" t="n"/>
      <c r="D354" s="61" t="n"/>
      <c r="E354" s="61" t="n"/>
      <c r="F354" s="61" t="n"/>
      <c r="G354" s="61" t="n"/>
      <c r="H354" s="61" t="n"/>
      <c r="I354" s="61" t="n"/>
      <c r="J354" s="61" t="n"/>
      <c r="K354" s="61" t="n"/>
      <c r="L354" s="61" t="n"/>
      <c r="M354" s="61" t="n"/>
      <c r="N354" s="61" t="n"/>
      <c r="O354" s="61" t="n"/>
      <c r="P354" s="61" t="n"/>
      <c r="Q354" s="61" t="n"/>
      <c r="R354" s="61" t="n"/>
      <c r="S354" s="61" t="n"/>
      <c r="T354" s="61" t="n"/>
      <c r="U354" s="61" t="n"/>
      <c r="V354" s="61" t="n"/>
      <c r="W354" s="61" t="n"/>
      <c r="X354" s="61" t="n"/>
      <c r="Y354" s="61" t="n"/>
      <c r="Z354" s="61" t="n"/>
      <c r="AA354" s="61" t="n"/>
      <c r="AB354" s="61" t="n"/>
      <c r="AC354" s="61" t="n"/>
      <c r="AD354" s="61" t="n"/>
      <c r="AE354" s="61" t="n"/>
      <c r="AF354" s="61" t="n"/>
      <c r="AG354" s="61" t="n"/>
      <c r="AH354" s="61" t="n"/>
      <c r="AI354" s="61" t="n"/>
      <c r="AJ354" s="61" t="n"/>
      <c r="AK354" s="61" t="n"/>
      <c r="AL354" s="61" t="n"/>
      <c r="AM354" s="61" t="n"/>
      <c r="AN354" s="61" t="n"/>
      <c r="AO354" s="61" t="n"/>
      <c r="AP354" s="57" t="n"/>
      <c r="AQ354" s="56" t="n"/>
      <c r="AR354" s="57" t="n"/>
      <c r="AS354" s="61" t="n"/>
      <c r="AT354" s="61" t="n"/>
      <c r="AU354" s="57" t="n"/>
      <c r="AV354" s="61" t="n"/>
      <c r="AW354" s="61" t="n"/>
      <c r="AX354" s="61" t="n"/>
      <c r="AY354" s="61" t="n"/>
      <c r="AZ354" s="61" t="n"/>
      <c r="BA354" s="61" t="n"/>
      <c r="BB354" s="61" t="n"/>
      <c r="BC354" s="61" t="n"/>
      <c r="BD354" s="57" t="n"/>
      <c r="BE354" s="56" t="n"/>
      <c r="BF354" s="56" t="n"/>
      <c r="BG354" s="57" t="n"/>
      <c r="BH354" s="61" t="n"/>
      <c r="BI354" s="61" t="n"/>
      <c r="BJ354" s="61" t="n"/>
      <c r="BK354" s="61" t="n"/>
      <c r="BL354" s="61" t="n"/>
      <c r="BM354" s="61" t="n"/>
      <c r="BN354" s="61" t="n"/>
      <c r="BO354" s="61" t="n"/>
      <c r="BP354" s="61" t="n"/>
      <c r="BQ354" s="61" t="n"/>
      <c r="BR354" s="61" t="n"/>
      <c r="BS354" s="61" t="n"/>
      <c r="BT354" s="61" t="n"/>
    </row>
    <row r="355" ht="15.75" customHeight="1" s="79">
      <c r="A355" s="61" t="n"/>
      <c r="B355" s="61" t="n"/>
      <c r="C355" s="61" t="n"/>
      <c r="D355" s="61" t="n"/>
      <c r="E355" s="61" t="n"/>
      <c r="F355" s="61" t="n"/>
      <c r="G355" s="61" t="n"/>
      <c r="H355" s="61" t="n"/>
      <c r="I355" s="61" t="n"/>
      <c r="J355" s="61" t="n"/>
      <c r="K355" s="61" t="n"/>
      <c r="L355" s="61" t="n"/>
      <c r="M355" s="61" t="n"/>
      <c r="N355" s="61" t="n"/>
      <c r="O355" s="61" t="n"/>
      <c r="P355" s="61" t="n"/>
      <c r="Q355" s="61" t="n"/>
      <c r="R355" s="61" t="n"/>
      <c r="S355" s="61" t="n"/>
      <c r="T355" s="61" t="n"/>
      <c r="U355" s="61" t="n"/>
      <c r="V355" s="61" t="n"/>
      <c r="W355" s="61" t="n"/>
      <c r="X355" s="61" t="n"/>
      <c r="Y355" s="61" t="n"/>
      <c r="Z355" s="61" t="n"/>
      <c r="AA355" s="61" t="n"/>
      <c r="AB355" s="61" t="n"/>
      <c r="AC355" s="61" t="n"/>
      <c r="AD355" s="61" t="n"/>
      <c r="AE355" s="61" t="n"/>
      <c r="AF355" s="61" t="n"/>
      <c r="AG355" s="61" t="n"/>
      <c r="AH355" s="61" t="n"/>
      <c r="AI355" s="61" t="n"/>
      <c r="AJ355" s="61" t="n"/>
      <c r="AK355" s="61" t="n"/>
      <c r="AL355" s="61" t="n"/>
      <c r="AM355" s="61" t="n"/>
      <c r="AN355" s="61" t="n"/>
      <c r="AO355" s="61" t="n"/>
      <c r="AP355" s="57" t="n"/>
      <c r="AQ355" s="56" t="n"/>
      <c r="AR355" s="57" t="n"/>
      <c r="AS355" s="61" t="n"/>
      <c r="AT355" s="61" t="n"/>
      <c r="AU355" s="57" t="n"/>
      <c r="AV355" s="61" t="n"/>
      <c r="AW355" s="61" t="n"/>
      <c r="AX355" s="61" t="n"/>
      <c r="AY355" s="61" t="n"/>
      <c r="AZ355" s="61" t="n"/>
      <c r="BA355" s="61" t="n"/>
      <c r="BB355" s="61" t="n"/>
      <c r="BC355" s="61" t="n"/>
      <c r="BD355" s="57" t="n"/>
      <c r="BE355" s="56" t="n"/>
      <c r="BF355" s="56" t="n"/>
      <c r="BG355" s="57" t="n"/>
      <c r="BH355" s="61" t="n"/>
      <c r="BI355" s="61" t="n"/>
      <c r="BJ355" s="61" t="n"/>
      <c r="BK355" s="61" t="n"/>
      <c r="BL355" s="61" t="n"/>
      <c r="BM355" s="61" t="n"/>
      <c r="BN355" s="61" t="n"/>
      <c r="BO355" s="61" t="n"/>
      <c r="BP355" s="61" t="n"/>
      <c r="BQ355" s="61" t="n"/>
      <c r="BR355" s="61" t="n"/>
      <c r="BS355" s="61" t="n"/>
      <c r="BT355" s="61" t="n"/>
    </row>
    <row r="356" ht="15.75" customHeight="1" s="79">
      <c r="A356" s="61" t="n"/>
      <c r="B356" s="61" t="n"/>
      <c r="C356" s="61" t="n"/>
      <c r="D356" s="61" t="n"/>
      <c r="E356" s="61" t="n"/>
      <c r="F356" s="61" t="n"/>
      <c r="G356" s="61" t="n"/>
      <c r="H356" s="61" t="n"/>
      <c r="I356" s="61" t="n"/>
      <c r="J356" s="61" t="n"/>
      <c r="K356" s="61" t="n"/>
      <c r="L356" s="61" t="n"/>
      <c r="M356" s="61" t="n"/>
      <c r="N356" s="61" t="n"/>
      <c r="O356" s="61" t="n"/>
      <c r="P356" s="61" t="n"/>
      <c r="Q356" s="61" t="n"/>
      <c r="R356" s="61" t="n"/>
      <c r="S356" s="61" t="n"/>
      <c r="T356" s="61" t="n"/>
      <c r="U356" s="61" t="n"/>
      <c r="V356" s="61" t="n"/>
      <c r="W356" s="61" t="n"/>
      <c r="X356" s="61" t="n"/>
      <c r="Y356" s="61" t="n"/>
      <c r="Z356" s="61" t="n"/>
      <c r="AA356" s="61" t="n"/>
      <c r="AB356" s="61" t="n"/>
      <c r="AC356" s="61" t="n"/>
      <c r="AD356" s="61" t="n"/>
      <c r="AE356" s="61" t="n"/>
      <c r="AF356" s="61" t="n"/>
      <c r="AG356" s="61" t="n"/>
      <c r="AH356" s="61" t="n"/>
      <c r="AI356" s="61" t="n"/>
      <c r="AJ356" s="61" t="n"/>
      <c r="AK356" s="61" t="n"/>
      <c r="AL356" s="61" t="n"/>
      <c r="AM356" s="61" t="n"/>
      <c r="AN356" s="61" t="n"/>
      <c r="AO356" s="61" t="n"/>
      <c r="AP356" s="57" t="n"/>
      <c r="AQ356" s="56" t="n"/>
      <c r="AR356" s="57" t="n"/>
      <c r="AS356" s="61" t="n"/>
      <c r="AT356" s="61" t="n"/>
      <c r="AU356" s="57" t="n"/>
      <c r="AV356" s="61" t="n"/>
      <c r="AW356" s="61" t="n"/>
      <c r="AX356" s="61" t="n"/>
      <c r="AY356" s="61" t="n"/>
      <c r="AZ356" s="61" t="n"/>
      <c r="BA356" s="61" t="n"/>
      <c r="BB356" s="61" t="n"/>
      <c r="BC356" s="61" t="n"/>
      <c r="BD356" s="57" t="n"/>
      <c r="BE356" s="56" t="n"/>
      <c r="BF356" s="56" t="n"/>
      <c r="BG356" s="57" t="n"/>
      <c r="BH356" s="61" t="n"/>
      <c r="BI356" s="61" t="n"/>
      <c r="BJ356" s="61" t="n"/>
      <c r="BK356" s="61" t="n"/>
      <c r="BL356" s="61" t="n"/>
      <c r="BM356" s="61" t="n"/>
      <c r="BN356" s="61" t="n"/>
      <c r="BO356" s="61" t="n"/>
      <c r="BP356" s="61" t="n"/>
      <c r="BQ356" s="61" t="n"/>
      <c r="BR356" s="61" t="n"/>
      <c r="BS356" s="61" t="n"/>
      <c r="BT356" s="61" t="n"/>
    </row>
    <row r="357" ht="15.75" customHeight="1" s="79">
      <c r="A357" s="61" t="n"/>
      <c r="B357" s="61" t="n"/>
      <c r="C357" s="61" t="n"/>
      <c r="D357" s="61" t="n"/>
      <c r="E357" s="61" t="n"/>
      <c r="F357" s="61" t="n"/>
      <c r="G357" s="61" t="n"/>
      <c r="H357" s="61" t="n"/>
      <c r="I357" s="61" t="n"/>
      <c r="J357" s="61" t="n"/>
      <c r="K357" s="61" t="n"/>
      <c r="L357" s="61" t="n"/>
      <c r="M357" s="61" t="n"/>
      <c r="N357" s="61" t="n"/>
      <c r="O357" s="61" t="n"/>
      <c r="P357" s="61" t="n"/>
      <c r="Q357" s="61" t="n"/>
      <c r="R357" s="61" t="n"/>
      <c r="S357" s="61" t="n"/>
      <c r="T357" s="61" t="n"/>
      <c r="U357" s="61" t="n"/>
      <c r="V357" s="61" t="n"/>
      <c r="W357" s="61" t="n"/>
      <c r="X357" s="61" t="n"/>
      <c r="Y357" s="61" t="n"/>
      <c r="Z357" s="61" t="n"/>
      <c r="AA357" s="61" t="n"/>
      <c r="AB357" s="61" t="n"/>
      <c r="AC357" s="61" t="n"/>
      <c r="AD357" s="61" t="n"/>
      <c r="AE357" s="61" t="n"/>
      <c r="AF357" s="61" t="n"/>
      <c r="AG357" s="61" t="n"/>
      <c r="AH357" s="61" t="n"/>
      <c r="AI357" s="61" t="n"/>
      <c r="AJ357" s="61" t="n"/>
      <c r="AK357" s="61" t="n"/>
      <c r="AL357" s="61" t="n"/>
      <c r="AM357" s="61" t="n"/>
      <c r="AN357" s="61" t="n"/>
      <c r="AO357" s="61" t="n"/>
      <c r="AP357" s="57" t="n"/>
      <c r="AQ357" s="56" t="n"/>
      <c r="AR357" s="57" t="n"/>
      <c r="AS357" s="61" t="n"/>
      <c r="AT357" s="61" t="n"/>
      <c r="AU357" s="57" t="n"/>
      <c r="AV357" s="61" t="n"/>
      <c r="AW357" s="61" t="n"/>
      <c r="AX357" s="61" t="n"/>
      <c r="AY357" s="61" t="n"/>
      <c r="AZ357" s="61" t="n"/>
      <c r="BA357" s="61" t="n"/>
      <c r="BB357" s="61" t="n"/>
      <c r="BC357" s="61" t="n"/>
      <c r="BD357" s="57" t="n"/>
      <c r="BE357" s="56" t="n"/>
      <c r="BF357" s="56" t="n"/>
      <c r="BG357" s="57" t="n"/>
      <c r="BH357" s="61" t="n"/>
      <c r="BI357" s="61" t="n"/>
      <c r="BJ357" s="61" t="n"/>
      <c r="BK357" s="61" t="n"/>
      <c r="BL357" s="61" t="n"/>
      <c r="BM357" s="61" t="n"/>
      <c r="BN357" s="61" t="n"/>
      <c r="BO357" s="61" t="n"/>
      <c r="BP357" s="61" t="n"/>
      <c r="BQ357" s="61" t="n"/>
      <c r="BR357" s="61" t="n"/>
      <c r="BS357" s="61" t="n"/>
      <c r="BT357" s="61" t="n"/>
    </row>
    <row r="358" ht="15.75" customHeight="1" s="79">
      <c r="A358" s="61" t="n"/>
      <c r="B358" s="61" t="n"/>
      <c r="C358" s="61" t="n"/>
      <c r="D358" s="61" t="n"/>
      <c r="E358" s="61" t="n"/>
      <c r="F358" s="61" t="n"/>
      <c r="G358" s="61" t="n"/>
      <c r="H358" s="61" t="n"/>
      <c r="I358" s="61" t="n"/>
      <c r="J358" s="61" t="n"/>
      <c r="K358" s="61" t="n"/>
      <c r="L358" s="61" t="n"/>
      <c r="M358" s="61" t="n"/>
      <c r="N358" s="61" t="n"/>
      <c r="O358" s="61" t="n"/>
      <c r="P358" s="61" t="n"/>
      <c r="Q358" s="61" t="n"/>
      <c r="R358" s="61" t="n"/>
      <c r="S358" s="61" t="n"/>
      <c r="T358" s="61" t="n"/>
      <c r="U358" s="61" t="n"/>
      <c r="V358" s="61" t="n"/>
      <c r="W358" s="61" t="n"/>
      <c r="X358" s="61" t="n"/>
      <c r="Y358" s="61" t="n"/>
      <c r="Z358" s="61" t="n"/>
      <c r="AA358" s="61" t="n"/>
      <c r="AB358" s="61" t="n"/>
      <c r="AC358" s="61" t="n"/>
      <c r="AD358" s="61" t="n"/>
      <c r="AE358" s="61" t="n"/>
      <c r="AF358" s="61" t="n"/>
      <c r="AG358" s="61" t="n"/>
      <c r="AH358" s="61" t="n"/>
      <c r="AI358" s="61" t="n"/>
      <c r="AJ358" s="61" t="n"/>
      <c r="AK358" s="61" t="n"/>
      <c r="AL358" s="61" t="n"/>
      <c r="AM358" s="61" t="n"/>
      <c r="AN358" s="61" t="n"/>
      <c r="AO358" s="61" t="n"/>
      <c r="AP358" s="57" t="n"/>
      <c r="AQ358" s="56" t="n"/>
      <c r="AR358" s="57" t="n"/>
      <c r="AS358" s="61" t="n"/>
      <c r="AT358" s="61" t="n"/>
      <c r="AU358" s="57" t="n"/>
      <c r="AV358" s="61" t="n"/>
      <c r="AW358" s="61" t="n"/>
      <c r="AX358" s="61" t="n"/>
      <c r="AY358" s="61" t="n"/>
      <c r="AZ358" s="61" t="n"/>
      <c r="BA358" s="61" t="n"/>
      <c r="BB358" s="61" t="n"/>
      <c r="BC358" s="61" t="n"/>
      <c r="BD358" s="57" t="n"/>
      <c r="BE358" s="56" t="n"/>
      <c r="BF358" s="56" t="n"/>
      <c r="BG358" s="57" t="n"/>
      <c r="BH358" s="61" t="n"/>
      <c r="BI358" s="61" t="n"/>
      <c r="BJ358" s="61" t="n"/>
      <c r="BK358" s="61" t="n"/>
      <c r="BL358" s="61" t="n"/>
      <c r="BM358" s="61" t="n"/>
      <c r="BN358" s="61" t="n"/>
      <c r="BO358" s="61" t="n"/>
      <c r="BP358" s="61" t="n"/>
      <c r="BQ358" s="61" t="n"/>
      <c r="BR358" s="61" t="n"/>
      <c r="BS358" s="61" t="n"/>
      <c r="BT358" s="61" t="n"/>
    </row>
    <row r="359" ht="15.75" customHeight="1" s="79">
      <c r="A359" s="61" t="n"/>
      <c r="B359" s="61" t="n"/>
      <c r="C359" s="61" t="n"/>
      <c r="D359" s="61" t="n"/>
      <c r="E359" s="61" t="n"/>
      <c r="F359" s="61" t="n"/>
      <c r="G359" s="61" t="n"/>
      <c r="H359" s="61" t="n"/>
      <c r="I359" s="61" t="n"/>
      <c r="J359" s="61" t="n"/>
      <c r="K359" s="61" t="n"/>
      <c r="L359" s="61" t="n"/>
      <c r="M359" s="61" t="n"/>
      <c r="N359" s="61" t="n"/>
      <c r="O359" s="61" t="n"/>
      <c r="P359" s="61" t="n"/>
      <c r="Q359" s="61" t="n"/>
      <c r="R359" s="61" t="n"/>
      <c r="S359" s="61" t="n"/>
      <c r="T359" s="61" t="n"/>
      <c r="U359" s="61" t="n"/>
      <c r="V359" s="61" t="n"/>
      <c r="W359" s="61" t="n"/>
      <c r="X359" s="61" t="n"/>
      <c r="Y359" s="61" t="n"/>
      <c r="Z359" s="61" t="n"/>
      <c r="AA359" s="61" t="n"/>
      <c r="AB359" s="61" t="n"/>
      <c r="AC359" s="61" t="n"/>
      <c r="AD359" s="61" t="n"/>
      <c r="AE359" s="61" t="n"/>
      <c r="AF359" s="61" t="n"/>
      <c r="AG359" s="61" t="n"/>
      <c r="AH359" s="61" t="n"/>
      <c r="AI359" s="61" t="n"/>
      <c r="AJ359" s="61" t="n"/>
      <c r="AK359" s="61" t="n"/>
      <c r="AL359" s="61" t="n"/>
      <c r="AM359" s="61" t="n"/>
      <c r="AN359" s="61" t="n"/>
      <c r="AO359" s="61" t="n"/>
      <c r="AP359" s="57" t="n"/>
      <c r="AQ359" s="56" t="n"/>
      <c r="AR359" s="57" t="n"/>
      <c r="AS359" s="61" t="n"/>
      <c r="AT359" s="61" t="n"/>
      <c r="AU359" s="57" t="n"/>
      <c r="AV359" s="61" t="n"/>
      <c r="AW359" s="61" t="n"/>
      <c r="AX359" s="61" t="n"/>
      <c r="AY359" s="61" t="n"/>
      <c r="AZ359" s="61" t="n"/>
      <c r="BA359" s="61" t="n"/>
      <c r="BB359" s="61" t="n"/>
      <c r="BC359" s="61" t="n"/>
      <c r="BD359" s="57" t="n"/>
      <c r="BE359" s="56" t="n"/>
      <c r="BF359" s="56" t="n"/>
      <c r="BG359" s="57" t="n"/>
      <c r="BH359" s="61" t="n"/>
      <c r="BI359" s="61" t="n"/>
      <c r="BJ359" s="61" t="n"/>
      <c r="BK359" s="61" t="n"/>
      <c r="BL359" s="61" t="n"/>
      <c r="BM359" s="61" t="n"/>
      <c r="BN359" s="61" t="n"/>
      <c r="BO359" s="61" t="n"/>
      <c r="BP359" s="61" t="n"/>
      <c r="BQ359" s="61" t="n"/>
      <c r="BR359" s="61" t="n"/>
      <c r="BS359" s="61" t="n"/>
      <c r="BT359" s="61" t="n"/>
    </row>
    <row r="360" ht="15.75" customHeight="1" s="79">
      <c r="A360" s="61" t="n"/>
      <c r="B360" s="61" t="n"/>
      <c r="C360" s="61" t="n"/>
      <c r="D360" s="61" t="n"/>
      <c r="E360" s="61" t="n"/>
      <c r="F360" s="61" t="n"/>
      <c r="G360" s="61" t="n"/>
      <c r="H360" s="61" t="n"/>
      <c r="I360" s="61" t="n"/>
      <c r="J360" s="61" t="n"/>
      <c r="K360" s="61" t="n"/>
      <c r="L360" s="61" t="n"/>
      <c r="M360" s="61" t="n"/>
      <c r="N360" s="61" t="n"/>
      <c r="O360" s="61" t="n"/>
      <c r="P360" s="61" t="n"/>
      <c r="Q360" s="61" t="n"/>
      <c r="R360" s="61" t="n"/>
      <c r="S360" s="61" t="n"/>
      <c r="T360" s="61" t="n"/>
      <c r="U360" s="61" t="n"/>
      <c r="V360" s="61" t="n"/>
      <c r="W360" s="61" t="n"/>
      <c r="X360" s="61" t="n"/>
      <c r="Y360" s="61" t="n"/>
      <c r="Z360" s="61" t="n"/>
      <c r="AA360" s="61" t="n"/>
      <c r="AB360" s="61" t="n"/>
      <c r="AC360" s="61" t="n"/>
      <c r="AD360" s="61" t="n"/>
      <c r="AE360" s="61" t="n"/>
      <c r="AF360" s="61" t="n"/>
      <c r="AG360" s="61" t="n"/>
      <c r="AH360" s="61" t="n"/>
      <c r="AI360" s="61" t="n"/>
      <c r="AJ360" s="61" t="n"/>
      <c r="AK360" s="61" t="n"/>
      <c r="AL360" s="61" t="n"/>
      <c r="AM360" s="61" t="n"/>
      <c r="AN360" s="61" t="n"/>
      <c r="AO360" s="61" t="n"/>
      <c r="AP360" s="57" t="n"/>
      <c r="AQ360" s="56" t="n"/>
      <c r="AR360" s="57" t="n"/>
      <c r="AS360" s="61" t="n"/>
      <c r="AT360" s="61" t="n"/>
      <c r="AU360" s="57" t="n"/>
      <c r="AV360" s="61" t="n"/>
      <c r="AW360" s="61" t="n"/>
      <c r="AX360" s="61" t="n"/>
      <c r="AY360" s="61" t="n"/>
      <c r="AZ360" s="61" t="n"/>
      <c r="BA360" s="61" t="n"/>
      <c r="BB360" s="61" t="n"/>
      <c r="BC360" s="61" t="n"/>
      <c r="BD360" s="57" t="n"/>
      <c r="BE360" s="56" t="n"/>
      <c r="BF360" s="56" t="n"/>
      <c r="BG360" s="57" t="n"/>
      <c r="BH360" s="61" t="n"/>
      <c r="BI360" s="61" t="n"/>
      <c r="BJ360" s="61" t="n"/>
      <c r="BK360" s="61" t="n"/>
      <c r="BL360" s="61" t="n"/>
      <c r="BM360" s="61" t="n"/>
      <c r="BN360" s="61" t="n"/>
      <c r="BO360" s="61" t="n"/>
      <c r="BP360" s="61" t="n"/>
      <c r="BQ360" s="61" t="n"/>
      <c r="BR360" s="61" t="n"/>
      <c r="BS360" s="61" t="n"/>
      <c r="BT360" s="61" t="n"/>
    </row>
    <row r="361" ht="15.75" customHeight="1" s="79">
      <c r="A361" s="61" t="n"/>
      <c r="B361" s="61" t="n"/>
      <c r="C361" s="61" t="n"/>
      <c r="D361" s="61" t="n"/>
      <c r="E361" s="61" t="n"/>
      <c r="F361" s="61" t="n"/>
      <c r="G361" s="61" t="n"/>
      <c r="H361" s="61" t="n"/>
      <c r="I361" s="61" t="n"/>
      <c r="J361" s="61" t="n"/>
      <c r="K361" s="61" t="n"/>
      <c r="L361" s="61" t="n"/>
      <c r="M361" s="61" t="n"/>
      <c r="N361" s="61" t="n"/>
      <c r="O361" s="61" t="n"/>
      <c r="P361" s="61" t="n"/>
      <c r="Q361" s="61" t="n"/>
      <c r="R361" s="61" t="n"/>
      <c r="S361" s="61" t="n"/>
      <c r="T361" s="61" t="n"/>
      <c r="U361" s="61" t="n"/>
      <c r="V361" s="61" t="n"/>
      <c r="W361" s="61" t="n"/>
      <c r="X361" s="61" t="n"/>
      <c r="Y361" s="61" t="n"/>
      <c r="Z361" s="61" t="n"/>
      <c r="AA361" s="61" t="n"/>
      <c r="AB361" s="61" t="n"/>
      <c r="AC361" s="61" t="n"/>
      <c r="AD361" s="61" t="n"/>
      <c r="AE361" s="61" t="n"/>
      <c r="AF361" s="61" t="n"/>
      <c r="AG361" s="61" t="n"/>
      <c r="AH361" s="61" t="n"/>
      <c r="AI361" s="61" t="n"/>
      <c r="AJ361" s="61" t="n"/>
      <c r="AK361" s="61" t="n"/>
      <c r="AL361" s="61" t="n"/>
      <c r="AM361" s="61" t="n"/>
      <c r="AN361" s="61" t="n"/>
      <c r="AO361" s="61" t="n"/>
      <c r="AP361" s="57" t="n"/>
      <c r="AQ361" s="56" t="n"/>
      <c r="AR361" s="57" t="n"/>
      <c r="AS361" s="61" t="n"/>
      <c r="AT361" s="61" t="n"/>
      <c r="AU361" s="57" t="n"/>
      <c r="AV361" s="61" t="n"/>
      <c r="AW361" s="61" t="n"/>
      <c r="AX361" s="61" t="n"/>
      <c r="AY361" s="61" t="n"/>
      <c r="AZ361" s="61" t="n"/>
      <c r="BA361" s="61" t="n"/>
      <c r="BB361" s="61" t="n"/>
      <c r="BC361" s="61" t="n"/>
      <c r="BD361" s="57" t="n"/>
      <c r="BE361" s="56" t="n"/>
      <c r="BF361" s="56" t="n"/>
      <c r="BG361" s="57" t="n"/>
      <c r="BH361" s="61" t="n"/>
      <c r="BI361" s="61" t="n"/>
      <c r="BJ361" s="61" t="n"/>
      <c r="BK361" s="61" t="n"/>
      <c r="BL361" s="61" t="n"/>
      <c r="BM361" s="61" t="n"/>
      <c r="BN361" s="61" t="n"/>
      <c r="BO361" s="61" t="n"/>
      <c r="BP361" s="61" t="n"/>
      <c r="BQ361" s="61" t="n"/>
      <c r="BR361" s="61" t="n"/>
      <c r="BS361" s="61" t="n"/>
      <c r="BT361" s="61" t="n"/>
    </row>
    <row r="362" ht="15.75" customHeight="1" s="79">
      <c r="A362" s="61" t="n"/>
      <c r="B362" s="61" t="n"/>
      <c r="C362" s="61" t="n"/>
      <c r="D362" s="61" t="n"/>
      <c r="E362" s="61" t="n"/>
      <c r="F362" s="61" t="n"/>
      <c r="G362" s="61" t="n"/>
      <c r="H362" s="61" t="n"/>
      <c r="I362" s="61" t="n"/>
      <c r="J362" s="61" t="n"/>
      <c r="K362" s="61" t="n"/>
      <c r="L362" s="61" t="n"/>
      <c r="M362" s="61" t="n"/>
      <c r="N362" s="61" t="n"/>
      <c r="O362" s="61" t="n"/>
      <c r="P362" s="61" t="n"/>
      <c r="Q362" s="61" t="n"/>
      <c r="R362" s="61" t="n"/>
      <c r="S362" s="61" t="n"/>
      <c r="T362" s="61" t="n"/>
      <c r="U362" s="61" t="n"/>
      <c r="V362" s="61" t="n"/>
      <c r="W362" s="61" t="n"/>
      <c r="X362" s="61" t="n"/>
      <c r="Y362" s="61" t="n"/>
      <c r="Z362" s="61" t="n"/>
      <c r="AA362" s="61" t="n"/>
      <c r="AB362" s="61" t="n"/>
      <c r="AC362" s="61" t="n"/>
      <c r="AD362" s="61" t="n"/>
      <c r="AE362" s="61" t="n"/>
      <c r="AF362" s="61" t="n"/>
      <c r="AG362" s="61" t="n"/>
      <c r="AH362" s="61" t="n"/>
      <c r="AI362" s="61" t="n"/>
      <c r="AJ362" s="61" t="n"/>
      <c r="AK362" s="61" t="n"/>
      <c r="AL362" s="61" t="n"/>
      <c r="AM362" s="61" t="n"/>
      <c r="AN362" s="61" t="n"/>
      <c r="AO362" s="61" t="n"/>
      <c r="AP362" s="57" t="n"/>
      <c r="AQ362" s="56" t="n"/>
      <c r="AR362" s="57" t="n"/>
      <c r="AS362" s="61" t="n"/>
      <c r="AT362" s="61" t="n"/>
      <c r="AU362" s="57" t="n"/>
      <c r="AV362" s="61" t="n"/>
      <c r="AW362" s="61" t="n"/>
      <c r="AX362" s="61" t="n"/>
      <c r="AY362" s="61" t="n"/>
      <c r="AZ362" s="61" t="n"/>
      <c r="BA362" s="61" t="n"/>
      <c r="BB362" s="61" t="n"/>
      <c r="BC362" s="61" t="n"/>
      <c r="BD362" s="57" t="n"/>
      <c r="BE362" s="56" t="n"/>
      <c r="BF362" s="56" t="n"/>
      <c r="BG362" s="57" t="n"/>
      <c r="BH362" s="61" t="n"/>
      <c r="BI362" s="61" t="n"/>
      <c r="BJ362" s="61" t="n"/>
      <c r="BK362" s="61" t="n"/>
      <c r="BL362" s="61" t="n"/>
      <c r="BM362" s="61" t="n"/>
      <c r="BN362" s="61" t="n"/>
      <c r="BO362" s="61" t="n"/>
      <c r="BP362" s="61" t="n"/>
      <c r="BQ362" s="61" t="n"/>
      <c r="BR362" s="61" t="n"/>
      <c r="BS362" s="61" t="n"/>
      <c r="BT362" s="61" t="n"/>
    </row>
    <row r="363" ht="15.75" customHeight="1" s="79">
      <c r="A363" s="61" t="n"/>
      <c r="B363" s="61" t="n"/>
      <c r="C363" s="61" t="n"/>
      <c r="D363" s="61" t="n"/>
      <c r="E363" s="61" t="n"/>
      <c r="F363" s="61" t="n"/>
      <c r="G363" s="61" t="n"/>
      <c r="H363" s="61" t="n"/>
      <c r="I363" s="61" t="n"/>
      <c r="J363" s="61" t="n"/>
      <c r="K363" s="61" t="n"/>
      <c r="L363" s="61" t="n"/>
      <c r="M363" s="61" t="n"/>
      <c r="N363" s="61" t="n"/>
      <c r="O363" s="61" t="n"/>
      <c r="P363" s="61" t="n"/>
      <c r="Q363" s="61" t="n"/>
      <c r="R363" s="61" t="n"/>
      <c r="S363" s="61" t="n"/>
      <c r="T363" s="61" t="n"/>
      <c r="U363" s="61" t="n"/>
      <c r="V363" s="61" t="n"/>
      <c r="W363" s="61" t="n"/>
      <c r="X363" s="61" t="n"/>
      <c r="Y363" s="61" t="n"/>
      <c r="Z363" s="61" t="n"/>
      <c r="AA363" s="61" t="n"/>
      <c r="AB363" s="61" t="n"/>
      <c r="AC363" s="61" t="n"/>
      <c r="AD363" s="61" t="n"/>
      <c r="AE363" s="61" t="n"/>
      <c r="AF363" s="61" t="n"/>
      <c r="AG363" s="61" t="n"/>
      <c r="AH363" s="61" t="n"/>
      <c r="AI363" s="61" t="n"/>
      <c r="AJ363" s="61" t="n"/>
      <c r="AK363" s="61" t="n"/>
      <c r="AL363" s="61" t="n"/>
      <c r="AM363" s="61" t="n"/>
      <c r="AN363" s="61" t="n"/>
      <c r="AO363" s="61" t="n"/>
      <c r="AP363" s="57" t="n"/>
      <c r="AQ363" s="56" t="n"/>
      <c r="AR363" s="57" t="n"/>
      <c r="AS363" s="61" t="n"/>
      <c r="AT363" s="61" t="n"/>
      <c r="AU363" s="57" t="n"/>
      <c r="AV363" s="61" t="n"/>
      <c r="AW363" s="61" t="n"/>
      <c r="AX363" s="61" t="n"/>
      <c r="AY363" s="61" t="n"/>
      <c r="AZ363" s="61" t="n"/>
      <c r="BA363" s="61" t="n"/>
      <c r="BB363" s="61" t="n"/>
      <c r="BC363" s="61" t="n"/>
      <c r="BD363" s="57" t="n"/>
      <c r="BE363" s="56" t="n"/>
      <c r="BF363" s="56" t="n"/>
      <c r="BG363" s="57" t="n"/>
      <c r="BH363" s="61" t="n"/>
      <c r="BI363" s="61" t="n"/>
      <c r="BJ363" s="61" t="n"/>
      <c r="BK363" s="61" t="n"/>
      <c r="BL363" s="61" t="n"/>
      <c r="BM363" s="61" t="n"/>
      <c r="BN363" s="61" t="n"/>
      <c r="BO363" s="61" t="n"/>
      <c r="BP363" s="61" t="n"/>
      <c r="BQ363" s="61" t="n"/>
      <c r="BR363" s="61" t="n"/>
      <c r="BS363" s="61" t="n"/>
      <c r="BT363" s="61" t="n"/>
    </row>
    <row r="364" ht="15.75" customHeight="1" s="79">
      <c r="A364" s="61" t="n"/>
      <c r="B364" s="61" t="n"/>
      <c r="C364" s="61" t="n"/>
      <c r="D364" s="61" t="n"/>
      <c r="E364" s="61" t="n"/>
      <c r="F364" s="61" t="n"/>
      <c r="G364" s="61" t="n"/>
      <c r="H364" s="61" t="n"/>
      <c r="I364" s="61" t="n"/>
      <c r="J364" s="61" t="n"/>
      <c r="K364" s="61" t="n"/>
      <c r="L364" s="61" t="n"/>
      <c r="M364" s="61" t="n"/>
      <c r="N364" s="61" t="n"/>
      <c r="O364" s="61" t="n"/>
      <c r="P364" s="61" t="n"/>
      <c r="Q364" s="61" t="n"/>
      <c r="R364" s="61" t="n"/>
      <c r="S364" s="61" t="n"/>
      <c r="T364" s="61" t="n"/>
      <c r="U364" s="61" t="n"/>
      <c r="V364" s="61" t="n"/>
      <c r="W364" s="61" t="n"/>
      <c r="X364" s="61" t="n"/>
      <c r="Y364" s="61" t="n"/>
      <c r="Z364" s="61" t="n"/>
      <c r="AA364" s="61" t="n"/>
      <c r="AB364" s="61" t="n"/>
      <c r="AC364" s="61" t="n"/>
      <c r="AD364" s="61" t="n"/>
      <c r="AE364" s="61" t="n"/>
      <c r="AF364" s="61" t="n"/>
      <c r="AG364" s="61" t="n"/>
      <c r="AH364" s="61" t="n"/>
      <c r="AI364" s="61" t="n"/>
      <c r="AJ364" s="61" t="n"/>
      <c r="AK364" s="61" t="n"/>
      <c r="AL364" s="61" t="n"/>
      <c r="AM364" s="61" t="n"/>
      <c r="AN364" s="61" t="n"/>
      <c r="AO364" s="61" t="n"/>
      <c r="AP364" s="57" t="n"/>
      <c r="AQ364" s="56" t="n"/>
      <c r="AR364" s="57" t="n"/>
      <c r="AS364" s="61" t="n"/>
      <c r="AT364" s="61" t="n"/>
      <c r="AU364" s="57" t="n"/>
      <c r="AV364" s="61" t="n"/>
      <c r="AW364" s="61" t="n"/>
      <c r="AX364" s="61" t="n"/>
      <c r="AY364" s="61" t="n"/>
      <c r="AZ364" s="61" t="n"/>
      <c r="BA364" s="61" t="n"/>
      <c r="BB364" s="61" t="n"/>
      <c r="BC364" s="61" t="n"/>
      <c r="BD364" s="57" t="n"/>
      <c r="BE364" s="56" t="n"/>
      <c r="BF364" s="56" t="n"/>
      <c r="BG364" s="57" t="n"/>
      <c r="BH364" s="61" t="n"/>
      <c r="BI364" s="61" t="n"/>
      <c r="BJ364" s="61" t="n"/>
      <c r="BK364" s="61" t="n"/>
      <c r="BL364" s="61" t="n"/>
      <c r="BM364" s="61" t="n"/>
      <c r="BN364" s="61" t="n"/>
      <c r="BO364" s="61" t="n"/>
      <c r="BP364" s="61" t="n"/>
      <c r="BQ364" s="61" t="n"/>
      <c r="BR364" s="61" t="n"/>
      <c r="BS364" s="61" t="n"/>
      <c r="BT364" s="61" t="n"/>
    </row>
    <row r="365" ht="15.75" customHeight="1" s="79">
      <c r="A365" s="61" t="n"/>
      <c r="B365" s="61" t="n"/>
      <c r="C365" s="61" t="n"/>
      <c r="D365" s="61" t="n"/>
      <c r="E365" s="61" t="n"/>
      <c r="F365" s="61" t="n"/>
      <c r="G365" s="61" t="n"/>
      <c r="H365" s="61" t="n"/>
      <c r="I365" s="61" t="n"/>
      <c r="J365" s="61" t="n"/>
      <c r="K365" s="61" t="n"/>
      <c r="L365" s="61" t="n"/>
      <c r="M365" s="61" t="n"/>
      <c r="N365" s="61" t="n"/>
      <c r="O365" s="61" t="n"/>
      <c r="P365" s="61" t="n"/>
      <c r="Q365" s="61" t="n"/>
      <c r="R365" s="61" t="n"/>
      <c r="S365" s="61" t="n"/>
      <c r="T365" s="61" t="n"/>
      <c r="U365" s="61" t="n"/>
      <c r="V365" s="61" t="n"/>
      <c r="W365" s="61" t="n"/>
      <c r="X365" s="61" t="n"/>
      <c r="Y365" s="61" t="n"/>
      <c r="Z365" s="61" t="n"/>
      <c r="AA365" s="61" t="n"/>
      <c r="AB365" s="61" t="n"/>
      <c r="AC365" s="61" t="n"/>
      <c r="AD365" s="61" t="n"/>
      <c r="AE365" s="61" t="n"/>
      <c r="AF365" s="61" t="n"/>
      <c r="AG365" s="61" t="n"/>
      <c r="AH365" s="61" t="n"/>
      <c r="AI365" s="61" t="n"/>
      <c r="AJ365" s="61" t="n"/>
      <c r="AK365" s="61" t="n"/>
      <c r="AL365" s="61" t="n"/>
      <c r="AM365" s="61" t="n"/>
      <c r="AN365" s="61" t="n"/>
      <c r="AO365" s="61" t="n"/>
      <c r="AP365" s="57" t="n"/>
      <c r="AQ365" s="56" t="n"/>
      <c r="AR365" s="57" t="n"/>
      <c r="AS365" s="61" t="n"/>
      <c r="AT365" s="61" t="n"/>
      <c r="AU365" s="57" t="n"/>
      <c r="AV365" s="61" t="n"/>
      <c r="AW365" s="61" t="n"/>
      <c r="AX365" s="61" t="n"/>
      <c r="AY365" s="61" t="n"/>
      <c r="AZ365" s="61" t="n"/>
      <c r="BA365" s="61" t="n"/>
      <c r="BB365" s="61" t="n"/>
      <c r="BC365" s="61" t="n"/>
      <c r="BD365" s="57" t="n"/>
      <c r="BE365" s="56" t="n"/>
      <c r="BF365" s="56" t="n"/>
      <c r="BG365" s="57" t="n"/>
      <c r="BH365" s="61" t="n"/>
      <c r="BI365" s="61" t="n"/>
      <c r="BJ365" s="61" t="n"/>
      <c r="BK365" s="61" t="n"/>
      <c r="BL365" s="61" t="n"/>
      <c r="BM365" s="61" t="n"/>
      <c r="BN365" s="61" t="n"/>
      <c r="BO365" s="61" t="n"/>
      <c r="BP365" s="61" t="n"/>
      <c r="BQ365" s="61" t="n"/>
      <c r="BR365" s="61" t="n"/>
      <c r="BS365" s="61" t="n"/>
      <c r="BT365" s="61" t="n"/>
    </row>
    <row r="366" ht="15.75" customHeight="1" s="79">
      <c r="A366" s="61" t="n"/>
      <c r="B366" s="61" t="n"/>
      <c r="C366" s="61" t="n"/>
      <c r="D366" s="61" t="n"/>
      <c r="E366" s="61" t="n"/>
      <c r="F366" s="61" t="n"/>
      <c r="G366" s="61" t="n"/>
      <c r="H366" s="61" t="n"/>
      <c r="I366" s="61" t="n"/>
      <c r="J366" s="61" t="n"/>
      <c r="K366" s="61" t="n"/>
      <c r="L366" s="61" t="n"/>
      <c r="M366" s="61" t="n"/>
      <c r="N366" s="61" t="n"/>
      <c r="O366" s="61" t="n"/>
      <c r="P366" s="61" t="n"/>
      <c r="Q366" s="61" t="n"/>
      <c r="R366" s="61" t="n"/>
      <c r="S366" s="61" t="n"/>
      <c r="T366" s="61" t="n"/>
      <c r="U366" s="61" t="n"/>
      <c r="V366" s="61" t="n"/>
      <c r="W366" s="61" t="n"/>
      <c r="X366" s="61" t="n"/>
      <c r="Y366" s="61" t="n"/>
      <c r="Z366" s="61" t="n"/>
      <c r="AA366" s="61" t="n"/>
      <c r="AB366" s="61" t="n"/>
      <c r="AC366" s="61" t="n"/>
      <c r="AD366" s="61" t="n"/>
      <c r="AE366" s="61" t="n"/>
      <c r="AF366" s="61" t="n"/>
      <c r="AG366" s="61" t="n"/>
      <c r="AH366" s="61" t="n"/>
      <c r="AI366" s="61" t="n"/>
      <c r="AJ366" s="61" t="n"/>
      <c r="AK366" s="61" t="n"/>
      <c r="AL366" s="61" t="n"/>
      <c r="AM366" s="61" t="n"/>
      <c r="AN366" s="61" t="n"/>
      <c r="AO366" s="61" t="n"/>
      <c r="AP366" s="57" t="n"/>
      <c r="AQ366" s="56" t="n"/>
      <c r="AR366" s="57" t="n"/>
      <c r="AS366" s="61" t="n"/>
      <c r="AT366" s="61" t="n"/>
      <c r="AU366" s="57" t="n"/>
      <c r="AV366" s="61" t="n"/>
      <c r="AW366" s="61" t="n"/>
      <c r="AX366" s="61" t="n"/>
      <c r="AY366" s="61" t="n"/>
      <c r="AZ366" s="61" t="n"/>
      <c r="BA366" s="61" t="n"/>
      <c r="BB366" s="61" t="n"/>
      <c r="BC366" s="61" t="n"/>
      <c r="BD366" s="57" t="n"/>
      <c r="BE366" s="56" t="n"/>
      <c r="BF366" s="56" t="n"/>
      <c r="BG366" s="57" t="n"/>
      <c r="BH366" s="61" t="n"/>
      <c r="BI366" s="61" t="n"/>
      <c r="BJ366" s="61" t="n"/>
      <c r="BK366" s="61" t="n"/>
      <c r="BL366" s="61" t="n"/>
      <c r="BM366" s="61" t="n"/>
      <c r="BN366" s="61" t="n"/>
      <c r="BO366" s="61" t="n"/>
      <c r="BP366" s="61" t="n"/>
      <c r="BQ366" s="61" t="n"/>
      <c r="BR366" s="61" t="n"/>
      <c r="BS366" s="61" t="n"/>
      <c r="BT366" s="61" t="n"/>
    </row>
    <row r="367" ht="15.75" customHeight="1" s="79">
      <c r="A367" s="61" t="n"/>
      <c r="B367" s="61" t="n"/>
      <c r="C367" s="61" t="n"/>
      <c r="D367" s="61" t="n"/>
      <c r="E367" s="61" t="n"/>
      <c r="F367" s="61" t="n"/>
      <c r="G367" s="61" t="n"/>
      <c r="H367" s="61" t="n"/>
      <c r="I367" s="61" t="n"/>
      <c r="J367" s="61" t="n"/>
      <c r="K367" s="61" t="n"/>
      <c r="L367" s="61" t="n"/>
      <c r="M367" s="61" t="n"/>
      <c r="N367" s="61" t="n"/>
      <c r="O367" s="61" t="n"/>
      <c r="P367" s="61" t="n"/>
      <c r="Q367" s="61" t="n"/>
      <c r="R367" s="61" t="n"/>
      <c r="S367" s="61" t="n"/>
      <c r="T367" s="61" t="n"/>
      <c r="U367" s="61" t="n"/>
      <c r="V367" s="61" t="n"/>
      <c r="W367" s="61" t="n"/>
      <c r="X367" s="61" t="n"/>
      <c r="Y367" s="61" t="n"/>
      <c r="Z367" s="61" t="n"/>
      <c r="AA367" s="61" t="n"/>
      <c r="AB367" s="61" t="n"/>
      <c r="AC367" s="61" t="n"/>
      <c r="AD367" s="61" t="n"/>
      <c r="AE367" s="61" t="n"/>
      <c r="AF367" s="61" t="n"/>
      <c r="AG367" s="61" t="n"/>
      <c r="AH367" s="61" t="n"/>
      <c r="AI367" s="61" t="n"/>
      <c r="AJ367" s="61" t="n"/>
      <c r="AK367" s="61" t="n"/>
      <c r="AL367" s="61" t="n"/>
      <c r="AM367" s="61" t="n"/>
      <c r="AN367" s="61" t="n"/>
      <c r="AO367" s="61" t="n"/>
      <c r="AP367" s="57" t="n"/>
      <c r="AQ367" s="56" t="n"/>
      <c r="AR367" s="57" t="n"/>
      <c r="AS367" s="61" t="n"/>
      <c r="AT367" s="61" t="n"/>
      <c r="AU367" s="57" t="n"/>
      <c r="AV367" s="61" t="n"/>
      <c r="AW367" s="61" t="n"/>
      <c r="AX367" s="61" t="n"/>
      <c r="AY367" s="61" t="n"/>
      <c r="AZ367" s="61" t="n"/>
      <c r="BA367" s="61" t="n"/>
      <c r="BB367" s="61" t="n"/>
      <c r="BC367" s="61" t="n"/>
      <c r="BD367" s="57" t="n"/>
      <c r="BE367" s="56" t="n"/>
      <c r="BF367" s="56" t="n"/>
      <c r="BG367" s="57" t="n"/>
      <c r="BH367" s="61" t="n"/>
      <c r="BI367" s="61" t="n"/>
      <c r="BJ367" s="61" t="n"/>
      <c r="BK367" s="61" t="n"/>
      <c r="BL367" s="61" t="n"/>
      <c r="BM367" s="61" t="n"/>
      <c r="BN367" s="61" t="n"/>
      <c r="BO367" s="61" t="n"/>
      <c r="BP367" s="61" t="n"/>
      <c r="BQ367" s="61" t="n"/>
      <c r="BR367" s="61" t="n"/>
      <c r="BS367" s="61" t="n"/>
      <c r="BT367" s="61" t="n"/>
    </row>
    <row r="368" ht="15.75" customHeight="1" s="79">
      <c r="A368" s="61" t="n"/>
      <c r="B368" s="61" t="n"/>
      <c r="C368" s="61" t="n"/>
      <c r="D368" s="61" t="n"/>
      <c r="E368" s="61" t="n"/>
      <c r="F368" s="61" t="n"/>
      <c r="G368" s="61" t="n"/>
      <c r="H368" s="61" t="n"/>
      <c r="I368" s="61" t="n"/>
      <c r="J368" s="61" t="n"/>
      <c r="K368" s="61" t="n"/>
      <c r="L368" s="61" t="n"/>
      <c r="M368" s="61" t="n"/>
      <c r="N368" s="61" t="n"/>
      <c r="O368" s="61" t="n"/>
      <c r="P368" s="61" t="n"/>
      <c r="Q368" s="61" t="n"/>
      <c r="R368" s="61" t="n"/>
      <c r="S368" s="61" t="n"/>
      <c r="T368" s="61" t="n"/>
      <c r="U368" s="61" t="n"/>
      <c r="V368" s="61" t="n"/>
      <c r="W368" s="61" t="n"/>
      <c r="X368" s="61" t="n"/>
      <c r="Y368" s="61" t="n"/>
      <c r="Z368" s="61" t="n"/>
      <c r="AA368" s="61" t="n"/>
      <c r="AB368" s="61" t="n"/>
      <c r="AC368" s="61" t="n"/>
      <c r="AD368" s="61" t="n"/>
      <c r="AE368" s="61" t="n"/>
      <c r="AF368" s="61" t="n"/>
      <c r="AG368" s="61" t="n"/>
      <c r="AH368" s="61" t="n"/>
      <c r="AI368" s="61" t="n"/>
      <c r="AJ368" s="61" t="n"/>
      <c r="AK368" s="61" t="n"/>
      <c r="AL368" s="61" t="n"/>
      <c r="AM368" s="61" t="n"/>
      <c r="AN368" s="61" t="n"/>
      <c r="AO368" s="61" t="n"/>
      <c r="AP368" s="57" t="n"/>
      <c r="AQ368" s="56" t="n"/>
      <c r="AR368" s="57" t="n"/>
      <c r="AS368" s="61" t="n"/>
      <c r="AT368" s="61" t="n"/>
      <c r="AU368" s="57" t="n"/>
      <c r="AV368" s="61" t="n"/>
      <c r="AW368" s="61" t="n"/>
      <c r="AX368" s="61" t="n"/>
      <c r="AY368" s="61" t="n"/>
      <c r="AZ368" s="61" t="n"/>
      <c r="BA368" s="61" t="n"/>
      <c r="BB368" s="61" t="n"/>
      <c r="BC368" s="61" t="n"/>
      <c r="BD368" s="57" t="n"/>
      <c r="BE368" s="56" t="n"/>
      <c r="BF368" s="56" t="n"/>
      <c r="BG368" s="57" t="n"/>
      <c r="BH368" s="61" t="n"/>
      <c r="BI368" s="61" t="n"/>
      <c r="BJ368" s="61" t="n"/>
      <c r="BK368" s="61" t="n"/>
      <c r="BL368" s="61" t="n"/>
      <c r="BM368" s="61" t="n"/>
      <c r="BN368" s="61" t="n"/>
      <c r="BO368" s="61" t="n"/>
      <c r="BP368" s="61" t="n"/>
      <c r="BQ368" s="61" t="n"/>
      <c r="BR368" s="61" t="n"/>
      <c r="BS368" s="61" t="n"/>
      <c r="BT368" s="61" t="n"/>
    </row>
    <row r="369" ht="15.75" customHeight="1" s="79">
      <c r="A369" s="61" t="n"/>
      <c r="B369" s="61" t="n"/>
      <c r="C369" s="61" t="n"/>
      <c r="D369" s="61" t="n"/>
      <c r="E369" s="61" t="n"/>
      <c r="F369" s="61" t="n"/>
      <c r="G369" s="61" t="n"/>
      <c r="H369" s="61" t="n"/>
      <c r="I369" s="61" t="n"/>
      <c r="J369" s="61" t="n"/>
      <c r="K369" s="61" t="n"/>
      <c r="L369" s="61" t="n"/>
      <c r="M369" s="61" t="n"/>
      <c r="N369" s="61" t="n"/>
      <c r="O369" s="61" t="n"/>
      <c r="P369" s="61" t="n"/>
      <c r="Q369" s="61" t="n"/>
      <c r="R369" s="61" t="n"/>
      <c r="S369" s="61" t="n"/>
      <c r="T369" s="61" t="n"/>
      <c r="U369" s="61" t="n"/>
      <c r="V369" s="61" t="n"/>
      <c r="W369" s="61" t="n"/>
      <c r="X369" s="61" t="n"/>
      <c r="Y369" s="61" t="n"/>
      <c r="Z369" s="61" t="n"/>
      <c r="AA369" s="61" t="n"/>
      <c r="AB369" s="61" t="n"/>
      <c r="AC369" s="61" t="n"/>
      <c r="AD369" s="61" t="n"/>
      <c r="AE369" s="61" t="n"/>
      <c r="AF369" s="61" t="n"/>
      <c r="AG369" s="61" t="n"/>
      <c r="AH369" s="61" t="n"/>
      <c r="AI369" s="61" t="n"/>
      <c r="AJ369" s="61" t="n"/>
      <c r="AK369" s="61" t="n"/>
      <c r="AL369" s="61" t="n"/>
      <c r="AM369" s="61" t="n"/>
      <c r="AN369" s="61" t="n"/>
      <c r="AO369" s="61" t="n"/>
      <c r="AP369" s="57" t="n"/>
      <c r="AQ369" s="56" t="n"/>
      <c r="AR369" s="57" t="n"/>
      <c r="AS369" s="61" t="n"/>
      <c r="AT369" s="61" t="n"/>
      <c r="AU369" s="57" t="n"/>
      <c r="AV369" s="61" t="n"/>
      <c r="AW369" s="61" t="n"/>
      <c r="AX369" s="61" t="n"/>
      <c r="AY369" s="61" t="n"/>
      <c r="AZ369" s="61" t="n"/>
      <c r="BA369" s="61" t="n"/>
      <c r="BB369" s="61" t="n"/>
      <c r="BC369" s="61" t="n"/>
      <c r="BD369" s="57" t="n"/>
      <c r="BE369" s="56" t="n"/>
      <c r="BF369" s="56" t="n"/>
      <c r="BG369" s="57" t="n"/>
      <c r="BH369" s="61" t="n"/>
      <c r="BI369" s="61" t="n"/>
      <c r="BJ369" s="61" t="n"/>
      <c r="BK369" s="61" t="n"/>
      <c r="BL369" s="61" t="n"/>
      <c r="BM369" s="61" t="n"/>
      <c r="BN369" s="61" t="n"/>
      <c r="BO369" s="61" t="n"/>
      <c r="BP369" s="61" t="n"/>
      <c r="BQ369" s="61" t="n"/>
      <c r="BR369" s="61" t="n"/>
      <c r="BS369" s="61" t="n"/>
      <c r="BT369" s="61" t="n"/>
    </row>
    <row r="370" ht="15.75" customHeight="1" s="79">
      <c r="A370" s="61" t="n"/>
      <c r="B370" s="61" t="n"/>
      <c r="C370" s="61" t="n"/>
      <c r="D370" s="61" t="n"/>
      <c r="E370" s="61" t="n"/>
      <c r="F370" s="61" t="n"/>
      <c r="G370" s="61" t="n"/>
      <c r="H370" s="61" t="n"/>
      <c r="I370" s="61" t="n"/>
      <c r="J370" s="61" t="n"/>
      <c r="K370" s="61" t="n"/>
      <c r="L370" s="61" t="n"/>
      <c r="M370" s="61" t="n"/>
      <c r="N370" s="61" t="n"/>
      <c r="O370" s="61" t="n"/>
      <c r="P370" s="61" t="n"/>
      <c r="Q370" s="61" t="n"/>
      <c r="R370" s="61" t="n"/>
      <c r="S370" s="61" t="n"/>
      <c r="T370" s="61" t="n"/>
      <c r="U370" s="61" t="n"/>
      <c r="V370" s="61" t="n"/>
      <c r="W370" s="61" t="n"/>
      <c r="X370" s="61" t="n"/>
      <c r="Y370" s="61" t="n"/>
      <c r="Z370" s="61" t="n"/>
      <c r="AA370" s="61" t="n"/>
      <c r="AB370" s="61" t="n"/>
      <c r="AC370" s="61" t="n"/>
      <c r="AD370" s="61" t="n"/>
      <c r="AE370" s="61" t="n"/>
      <c r="AF370" s="61" t="n"/>
      <c r="AG370" s="61" t="n"/>
      <c r="AH370" s="61" t="n"/>
      <c r="AI370" s="61" t="n"/>
      <c r="AJ370" s="61" t="n"/>
      <c r="AK370" s="61" t="n"/>
      <c r="AL370" s="61" t="n"/>
      <c r="AM370" s="61" t="n"/>
      <c r="AN370" s="61" t="n"/>
      <c r="AO370" s="61" t="n"/>
      <c r="AP370" s="57" t="n"/>
      <c r="AQ370" s="56" t="n"/>
      <c r="AR370" s="57" t="n"/>
      <c r="AS370" s="61" t="n"/>
      <c r="AT370" s="61" t="n"/>
      <c r="AU370" s="57" t="n"/>
      <c r="AV370" s="61" t="n"/>
      <c r="AW370" s="61" t="n"/>
      <c r="AX370" s="61" t="n"/>
      <c r="AY370" s="61" t="n"/>
      <c r="AZ370" s="61" t="n"/>
      <c r="BA370" s="61" t="n"/>
      <c r="BB370" s="61" t="n"/>
      <c r="BC370" s="61" t="n"/>
      <c r="BD370" s="57" t="n"/>
      <c r="BE370" s="56" t="n"/>
      <c r="BF370" s="56" t="n"/>
      <c r="BG370" s="57" t="n"/>
      <c r="BH370" s="61" t="n"/>
      <c r="BI370" s="61" t="n"/>
      <c r="BJ370" s="61" t="n"/>
      <c r="BK370" s="61" t="n"/>
      <c r="BL370" s="61" t="n"/>
      <c r="BM370" s="61" t="n"/>
      <c r="BN370" s="61" t="n"/>
      <c r="BO370" s="61" t="n"/>
      <c r="BP370" s="61" t="n"/>
      <c r="BQ370" s="61" t="n"/>
      <c r="BR370" s="61" t="n"/>
      <c r="BS370" s="61" t="n"/>
      <c r="BT370" s="61" t="n"/>
    </row>
    <row r="371" ht="15.75" customHeight="1" s="79">
      <c r="A371" s="61" t="n"/>
      <c r="B371" s="61" t="n"/>
      <c r="C371" s="61" t="n"/>
      <c r="D371" s="61" t="n"/>
      <c r="E371" s="61" t="n"/>
      <c r="F371" s="61" t="n"/>
      <c r="G371" s="61" t="n"/>
      <c r="H371" s="61" t="n"/>
      <c r="I371" s="61" t="n"/>
      <c r="J371" s="61" t="n"/>
      <c r="K371" s="61" t="n"/>
      <c r="L371" s="61" t="n"/>
      <c r="M371" s="61" t="n"/>
      <c r="N371" s="61" t="n"/>
      <c r="O371" s="61" t="n"/>
      <c r="P371" s="61" t="n"/>
      <c r="Q371" s="61" t="n"/>
      <c r="R371" s="61" t="n"/>
      <c r="S371" s="61" t="n"/>
      <c r="T371" s="61" t="n"/>
      <c r="U371" s="61" t="n"/>
      <c r="V371" s="61" t="n"/>
      <c r="W371" s="61" t="n"/>
      <c r="X371" s="61" t="n"/>
      <c r="Y371" s="61" t="n"/>
      <c r="Z371" s="61" t="n"/>
      <c r="AA371" s="61" t="n"/>
      <c r="AB371" s="61" t="n"/>
      <c r="AC371" s="61" t="n"/>
      <c r="AD371" s="61" t="n"/>
      <c r="AE371" s="61" t="n"/>
      <c r="AF371" s="61" t="n"/>
      <c r="AG371" s="61" t="n"/>
      <c r="AH371" s="61" t="n"/>
      <c r="AI371" s="61" t="n"/>
      <c r="AJ371" s="61" t="n"/>
      <c r="AK371" s="61" t="n"/>
      <c r="AL371" s="61" t="n"/>
      <c r="AM371" s="61" t="n"/>
      <c r="AN371" s="61" t="n"/>
      <c r="AO371" s="61" t="n"/>
      <c r="AP371" s="57" t="n"/>
      <c r="AQ371" s="56" t="n"/>
      <c r="AR371" s="57" t="n"/>
      <c r="AS371" s="61" t="n"/>
      <c r="AT371" s="61" t="n"/>
      <c r="AU371" s="57" t="n"/>
      <c r="AV371" s="61" t="n"/>
      <c r="AW371" s="61" t="n"/>
      <c r="AX371" s="61" t="n"/>
      <c r="AY371" s="61" t="n"/>
      <c r="AZ371" s="61" t="n"/>
      <c r="BA371" s="61" t="n"/>
      <c r="BB371" s="61" t="n"/>
      <c r="BC371" s="61" t="n"/>
      <c r="BD371" s="57" t="n"/>
      <c r="BE371" s="56" t="n"/>
      <c r="BF371" s="56" t="n"/>
      <c r="BG371" s="57" t="n"/>
      <c r="BH371" s="61" t="n"/>
      <c r="BI371" s="61" t="n"/>
      <c r="BJ371" s="61" t="n"/>
      <c r="BK371" s="61" t="n"/>
      <c r="BL371" s="61" t="n"/>
      <c r="BM371" s="61" t="n"/>
      <c r="BN371" s="61" t="n"/>
      <c r="BO371" s="61" t="n"/>
      <c r="BP371" s="61" t="n"/>
      <c r="BQ371" s="61" t="n"/>
      <c r="BR371" s="61" t="n"/>
      <c r="BS371" s="61" t="n"/>
      <c r="BT371" s="61" t="n"/>
    </row>
    <row r="372" ht="15.75" customHeight="1" s="79">
      <c r="A372" s="61" t="n"/>
      <c r="B372" s="61" t="n"/>
      <c r="C372" s="61" t="n"/>
      <c r="D372" s="61" t="n"/>
      <c r="E372" s="61" t="n"/>
      <c r="F372" s="61" t="n"/>
      <c r="G372" s="61" t="n"/>
      <c r="H372" s="61" t="n"/>
      <c r="I372" s="61" t="n"/>
      <c r="J372" s="61" t="n"/>
      <c r="K372" s="61" t="n"/>
      <c r="L372" s="61" t="n"/>
      <c r="M372" s="61" t="n"/>
      <c r="N372" s="61" t="n"/>
      <c r="O372" s="61" t="n"/>
      <c r="P372" s="61" t="n"/>
      <c r="Q372" s="61" t="n"/>
      <c r="R372" s="61" t="n"/>
      <c r="S372" s="61" t="n"/>
      <c r="T372" s="61" t="n"/>
      <c r="U372" s="61" t="n"/>
      <c r="V372" s="61" t="n"/>
      <c r="W372" s="61" t="n"/>
      <c r="X372" s="61" t="n"/>
      <c r="Y372" s="61" t="n"/>
      <c r="Z372" s="61" t="n"/>
      <c r="AA372" s="61" t="n"/>
      <c r="AB372" s="61" t="n"/>
      <c r="AC372" s="61" t="n"/>
      <c r="AD372" s="61" t="n"/>
      <c r="AE372" s="61" t="n"/>
      <c r="AF372" s="61" t="n"/>
      <c r="AG372" s="61" t="n"/>
      <c r="AH372" s="61" t="n"/>
      <c r="AI372" s="61" t="n"/>
      <c r="AJ372" s="61" t="n"/>
      <c r="AK372" s="61" t="n"/>
      <c r="AL372" s="61" t="n"/>
      <c r="AM372" s="61" t="n"/>
      <c r="AN372" s="61" t="n"/>
      <c r="AO372" s="61" t="n"/>
      <c r="AP372" s="57" t="n"/>
      <c r="AQ372" s="56" t="n"/>
      <c r="AR372" s="57" t="n"/>
      <c r="AS372" s="61" t="n"/>
      <c r="AT372" s="61" t="n"/>
      <c r="AU372" s="57" t="n"/>
      <c r="AV372" s="61" t="n"/>
      <c r="AW372" s="61" t="n"/>
      <c r="AX372" s="61" t="n"/>
      <c r="AY372" s="61" t="n"/>
      <c r="AZ372" s="61" t="n"/>
      <c r="BA372" s="61" t="n"/>
      <c r="BB372" s="61" t="n"/>
      <c r="BC372" s="61" t="n"/>
      <c r="BD372" s="57" t="n"/>
      <c r="BE372" s="56" t="n"/>
      <c r="BF372" s="56" t="n"/>
      <c r="BG372" s="57" t="n"/>
      <c r="BH372" s="61" t="n"/>
      <c r="BI372" s="61" t="n"/>
      <c r="BJ372" s="61" t="n"/>
      <c r="BK372" s="61" t="n"/>
      <c r="BL372" s="61" t="n"/>
      <c r="BM372" s="61" t="n"/>
      <c r="BN372" s="61" t="n"/>
      <c r="BO372" s="61" t="n"/>
      <c r="BP372" s="61" t="n"/>
      <c r="BQ372" s="61" t="n"/>
      <c r="BR372" s="61" t="n"/>
      <c r="BS372" s="61" t="n"/>
      <c r="BT372" s="61" t="n"/>
    </row>
    <row r="373" ht="15.75" customHeight="1" s="79">
      <c r="A373" s="61" t="n"/>
      <c r="B373" s="61" t="n"/>
      <c r="C373" s="61" t="n"/>
      <c r="D373" s="61" t="n"/>
      <c r="E373" s="61" t="n"/>
      <c r="F373" s="61" t="n"/>
      <c r="G373" s="61" t="n"/>
      <c r="H373" s="61" t="n"/>
      <c r="I373" s="61" t="n"/>
      <c r="J373" s="61" t="n"/>
      <c r="K373" s="61" t="n"/>
      <c r="L373" s="61" t="n"/>
      <c r="M373" s="61" t="n"/>
      <c r="N373" s="61" t="n"/>
      <c r="O373" s="61" t="n"/>
      <c r="P373" s="61" t="n"/>
      <c r="Q373" s="61" t="n"/>
      <c r="R373" s="61" t="n"/>
      <c r="S373" s="61" t="n"/>
      <c r="T373" s="61" t="n"/>
      <c r="U373" s="61" t="n"/>
      <c r="V373" s="61" t="n"/>
      <c r="W373" s="61" t="n"/>
      <c r="X373" s="61" t="n"/>
      <c r="Y373" s="61" t="n"/>
      <c r="Z373" s="61" t="n"/>
      <c r="AA373" s="61" t="n"/>
      <c r="AB373" s="61" t="n"/>
      <c r="AC373" s="61" t="n"/>
      <c r="AD373" s="61" t="n"/>
      <c r="AE373" s="61" t="n"/>
      <c r="AF373" s="61" t="n"/>
      <c r="AG373" s="61" t="n"/>
      <c r="AH373" s="61" t="n"/>
      <c r="AI373" s="61" t="n"/>
      <c r="AJ373" s="61" t="n"/>
      <c r="AK373" s="61" t="n"/>
      <c r="AL373" s="61" t="n"/>
      <c r="AM373" s="61" t="n"/>
      <c r="AN373" s="61" t="n"/>
      <c r="AO373" s="61" t="n"/>
      <c r="AP373" s="57" t="n"/>
      <c r="AQ373" s="56" t="n"/>
      <c r="AR373" s="57" t="n"/>
      <c r="AS373" s="61" t="n"/>
      <c r="AT373" s="61" t="n"/>
      <c r="AU373" s="57" t="n"/>
      <c r="AV373" s="61" t="n"/>
      <c r="AW373" s="61" t="n"/>
      <c r="AX373" s="61" t="n"/>
      <c r="AY373" s="61" t="n"/>
      <c r="AZ373" s="61" t="n"/>
      <c r="BA373" s="61" t="n"/>
      <c r="BB373" s="61" t="n"/>
      <c r="BC373" s="61" t="n"/>
      <c r="BD373" s="57" t="n"/>
      <c r="BE373" s="56" t="n"/>
      <c r="BF373" s="56" t="n"/>
      <c r="BG373" s="57" t="n"/>
      <c r="BH373" s="61" t="n"/>
      <c r="BI373" s="61" t="n"/>
      <c r="BJ373" s="61" t="n"/>
      <c r="BK373" s="61" t="n"/>
      <c r="BL373" s="61" t="n"/>
      <c r="BM373" s="61" t="n"/>
      <c r="BN373" s="61" t="n"/>
      <c r="BO373" s="61" t="n"/>
      <c r="BP373" s="61" t="n"/>
      <c r="BQ373" s="61" t="n"/>
      <c r="BR373" s="61" t="n"/>
      <c r="BS373" s="61" t="n"/>
      <c r="BT373" s="61" t="n"/>
    </row>
    <row r="374" ht="15.75" customHeight="1" s="79">
      <c r="A374" s="61" t="n"/>
      <c r="B374" s="61" t="n"/>
      <c r="C374" s="61" t="n"/>
      <c r="D374" s="61" t="n"/>
      <c r="E374" s="61" t="n"/>
      <c r="F374" s="61" t="n"/>
      <c r="G374" s="61" t="n"/>
      <c r="H374" s="61" t="n"/>
      <c r="I374" s="61" t="n"/>
      <c r="J374" s="61" t="n"/>
      <c r="K374" s="61" t="n"/>
      <c r="L374" s="61" t="n"/>
      <c r="M374" s="61" t="n"/>
      <c r="N374" s="61" t="n"/>
      <c r="O374" s="61" t="n"/>
      <c r="P374" s="61" t="n"/>
      <c r="Q374" s="61" t="n"/>
      <c r="R374" s="61" t="n"/>
      <c r="S374" s="61" t="n"/>
      <c r="T374" s="61" t="n"/>
      <c r="U374" s="61" t="n"/>
      <c r="V374" s="61" t="n"/>
      <c r="W374" s="61" t="n"/>
      <c r="X374" s="61" t="n"/>
      <c r="Y374" s="61" t="n"/>
      <c r="Z374" s="61" t="n"/>
      <c r="AA374" s="61" t="n"/>
      <c r="AB374" s="61" t="n"/>
      <c r="AC374" s="61" t="n"/>
      <c r="AD374" s="61" t="n"/>
      <c r="AE374" s="61" t="n"/>
      <c r="AF374" s="61" t="n"/>
      <c r="AG374" s="61" t="n"/>
      <c r="AH374" s="61" t="n"/>
      <c r="AI374" s="61" t="n"/>
      <c r="AJ374" s="61" t="n"/>
      <c r="AK374" s="61" t="n"/>
      <c r="AL374" s="61" t="n"/>
      <c r="AM374" s="61" t="n"/>
      <c r="AN374" s="61" t="n"/>
      <c r="AO374" s="61" t="n"/>
      <c r="AP374" s="57" t="n"/>
      <c r="AQ374" s="56" t="n"/>
      <c r="AR374" s="57" t="n"/>
      <c r="AS374" s="61" t="n"/>
      <c r="AT374" s="61" t="n"/>
      <c r="AU374" s="57" t="n"/>
      <c r="AV374" s="61" t="n"/>
      <c r="AW374" s="61" t="n"/>
      <c r="AX374" s="61" t="n"/>
      <c r="AY374" s="61" t="n"/>
      <c r="AZ374" s="61" t="n"/>
      <c r="BA374" s="61" t="n"/>
      <c r="BB374" s="61" t="n"/>
      <c r="BC374" s="61" t="n"/>
      <c r="BD374" s="57" t="n"/>
      <c r="BE374" s="56" t="n"/>
      <c r="BF374" s="56" t="n"/>
      <c r="BG374" s="57" t="n"/>
      <c r="BH374" s="61" t="n"/>
      <c r="BI374" s="61" t="n"/>
      <c r="BJ374" s="61" t="n"/>
      <c r="BK374" s="61" t="n"/>
      <c r="BL374" s="61" t="n"/>
      <c r="BM374" s="61" t="n"/>
      <c r="BN374" s="61" t="n"/>
      <c r="BO374" s="61" t="n"/>
      <c r="BP374" s="61" t="n"/>
      <c r="BQ374" s="61" t="n"/>
      <c r="BR374" s="61" t="n"/>
      <c r="BS374" s="61" t="n"/>
      <c r="BT374" s="61" t="n"/>
    </row>
    <row r="375" ht="15.75" customHeight="1" s="79">
      <c r="A375" s="61" t="n"/>
      <c r="B375" s="61" t="n"/>
      <c r="C375" s="61" t="n"/>
      <c r="D375" s="61" t="n"/>
      <c r="E375" s="61" t="n"/>
      <c r="F375" s="61" t="n"/>
      <c r="G375" s="61" t="n"/>
      <c r="H375" s="61" t="n"/>
      <c r="I375" s="61" t="n"/>
      <c r="J375" s="61" t="n"/>
      <c r="K375" s="61" t="n"/>
      <c r="L375" s="61" t="n"/>
      <c r="M375" s="61" t="n"/>
      <c r="N375" s="61" t="n"/>
      <c r="O375" s="61" t="n"/>
      <c r="P375" s="61" t="n"/>
      <c r="Q375" s="61" t="n"/>
      <c r="R375" s="61" t="n"/>
      <c r="S375" s="61" t="n"/>
      <c r="T375" s="61" t="n"/>
      <c r="U375" s="61" t="n"/>
      <c r="V375" s="61" t="n"/>
      <c r="W375" s="61" t="n"/>
      <c r="X375" s="61" t="n"/>
      <c r="Y375" s="61" t="n"/>
      <c r="Z375" s="61" t="n"/>
      <c r="AA375" s="61" t="n"/>
      <c r="AB375" s="61" t="n"/>
      <c r="AC375" s="61" t="n"/>
      <c r="AD375" s="61" t="n"/>
      <c r="AE375" s="61" t="n"/>
      <c r="AF375" s="61" t="n"/>
      <c r="AG375" s="61" t="n"/>
      <c r="AH375" s="61" t="n"/>
      <c r="AI375" s="61" t="n"/>
      <c r="AJ375" s="61" t="n"/>
      <c r="AK375" s="61" t="n"/>
      <c r="AL375" s="61" t="n"/>
      <c r="AM375" s="61" t="n"/>
      <c r="AN375" s="61" t="n"/>
      <c r="AO375" s="61" t="n"/>
      <c r="AP375" s="57" t="n"/>
      <c r="AQ375" s="56" t="n"/>
      <c r="AR375" s="57" t="n"/>
      <c r="AS375" s="61" t="n"/>
      <c r="AT375" s="61" t="n"/>
      <c r="AU375" s="57" t="n"/>
      <c r="AV375" s="61" t="n"/>
      <c r="AW375" s="61" t="n"/>
      <c r="AX375" s="61" t="n"/>
      <c r="AY375" s="61" t="n"/>
      <c r="AZ375" s="61" t="n"/>
      <c r="BA375" s="61" t="n"/>
      <c r="BB375" s="61" t="n"/>
      <c r="BC375" s="61" t="n"/>
      <c r="BD375" s="57" t="n"/>
      <c r="BE375" s="56" t="n"/>
      <c r="BF375" s="56" t="n"/>
      <c r="BG375" s="57" t="n"/>
      <c r="BH375" s="61" t="n"/>
      <c r="BI375" s="61" t="n"/>
      <c r="BJ375" s="61" t="n"/>
      <c r="BK375" s="61" t="n"/>
      <c r="BL375" s="61" t="n"/>
      <c r="BM375" s="61" t="n"/>
      <c r="BN375" s="61" t="n"/>
      <c r="BO375" s="61" t="n"/>
      <c r="BP375" s="61" t="n"/>
      <c r="BQ375" s="61" t="n"/>
      <c r="BR375" s="61" t="n"/>
      <c r="BS375" s="61" t="n"/>
      <c r="BT375" s="61" t="n"/>
    </row>
    <row r="376" ht="15.75" customHeight="1" s="79">
      <c r="A376" s="61" t="n"/>
      <c r="B376" s="61" t="n"/>
      <c r="C376" s="61" t="n"/>
      <c r="D376" s="61" t="n"/>
      <c r="E376" s="61" t="n"/>
      <c r="F376" s="61" t="n"/>
      <c r="G376" s="61" t="n"/>
      <c r="H376" s="61" t="n"/>
      <c r="I376" s="61" t="n"/>
      <c r="J376" s="61" t="n"/>
      <c r="K376" s="61" t="n"/>
      <c r="L376" s="61" t="n"/>
      <c r="M376" s="61" t="n"/>
      <c r="N376" s="61" t="n"/>
      <c r="O376" s="61" t="n"/>
      <c r="P376" s="61" t="n"/>
      <c r="Q376" s="61" t="n"/>
      <c r="R376" s="61" t="n"/>
      <c r="S376" s="61" t="n"/>
      <c r="T376" s="61" t="n"/>
      <c r="U376" s="61" t="n"/>
      <c r="V376" s="61" t="n"/>
      <c r="W376" s="61" t="n"/>
      <c r="X376" s="61" t="n"/>
      <c r="Y376" s="61" t="n"/>
      <c r="Z376" s="61" t="n"/>
      <c r="AA376" s="61" t="n"/>
      <c r="AB376" s="61" t="n"/>
      <c r="AC376" s="61" t="n"/>
      <c r="AD376" s="61" t="n"/>
      <c r="AE376" s="61" t="n"/>
      <c r="AF376" s="61" t="n"/>
      <c r="AG376" s="61" t="n"/>
      <c r="AH376" s="61" t="n"/>
      <c r="AI376" s="61" t="n"/>
      <c r="AJ376" s="61" t="n"/>
      <c r="AK376" s="61" t="n"/>
      <c r="AL376" s="61" t="n"/>
      <c r="AM376" s="61" t="n"/>
      <c r="AN376" s="61" t="n"/>
      <c r="AO376" s="61" t="n"/>
      <c r="AP376" s="57" t="n"/>
      <c r="AQ376" s="56" t="n"/>
      <c r="AR376" s="57" t="n"/>
      <c r="AS376" s="61" t="n"/>
      <c r="AT376" s="61" t="n"/>
      <c r="AU376" s="57" t="n"/>
      <c r="AV376" s="61" t="n"/>
      <c r="AW376" s="61" t="n"/>
      <c r="AX376" s="61" t="n"/>
      <c r="AY376" s="61" t="n"/>
      <c r="AZ376" s="61" t="n"/>
      <c r="BA376" s="61" t="n"/>
      <c r="BB376" s="61" t="n"/>
      <c r="BC376" s="61" t="n"/>
      <c r="BD376" s="57" t="n"/>
      <c r="BE376" s="56" t="n"/>
      <c r="BF376" s="56" t="n"/>
      <c r="BG376" s="57" t="n"/>
      <c r="BH376" s="61" t="n"/>
      <c r="BI376" s="61" t="n"/>
      <c r="BJ376" s="61" t="n"/>
      <c r="BK376" s="61" t="n"/>
      <c r="BL376" s="61" t="n"/>
      <c r="BM376" s="61" t="n"/>
      <c r="BN376" s="61" t="n"/>
      <c r="BO376" s="61" t="n"/>
      <c r="BP376" s="61" t="n"/>
      <c r="BQ376" s="61" t="n"/>
      <c r="BR376" s="61" t="n"/>
      <c r="BS376" s="61" t="n"/>
      <c r="BT376" s="61" t="n"/>
    </row>
    <row r="377" ht="15.75" customHeight="1" s="79">
      <c r="A377" s="61" t="n"/>
      <c r="B377" s="61" t="n"/>
      <c r="C377" s="61" t="n"/>
      <c r="D377" s="61" t="n"/>
      <c r="E377" s="61" t="n"/>
      <c r="F377" s="61" t="n"/>
      <c r="G377" s="61" t="n"/>
      <c r="H377" s="61" t="n"/>
      <c r="I377" s="61" t="n"/>
      <c r="J377" s="61" t="n"/>
      <c r="K377" s="61" t="n"/>
      <c r="L377" s="61" t="n"/>
      <c r="M377" s="61" t="n"/>
      <c r="N377" s="61" t="n"/>
      <c r="O377" s="61" t="n"/>
      <c r="P377" s="61" t="n"/>
      <c r="Q377" s="61" t="n"/>
      <c r="R377" s="61" t="n"/>
      <c r="S377" s="61" t="n"/>
      <c r="T377" s="61" t="n"/>
      <c r="U377" s="61" t="n"/>
      <c r="V377" s="61" t="n"/>
      <c r="W377" s="61" t="n"/>
      <c r="X377" s="61" t="n"/>
      <c r="Y377" s="61" t="n"/>
      <c r="Z377" s="61" t="n"/>
      <c r="AA377" s="61" t="n"/>
      <c r="AB377" s="61" t="n"/>
      <c r="AC377" s="61" t="n"/>
      <c r="AD377" s="61" t="n"/>
      <c r="AE377" s="61" t="n"/>
      <c r="AF377" s="61" t="n"/>
      <c r="AG377" s="61" t="n"/>
      <c r="AH377" s="61" t="n"/>
      <c r="AI377" s="61" t="n"/>
      <c r="AJ377" s="61" t="n"/>
      <c r="AK377" s="61" t="n"/>
      <c r="AL377" s="61" t="n"/>
      <c r="AM377" s="61" t="n"/>
      <c r="AN377" s="61" t="n"/>
      <c r="AO377" s="61" t="n"/>
      <c r="AP377" s="57" t="n"/>
      <c r="AQ377" s="56" t="n"/>
      <c r="AR377" s="57" t="n"/>
      <c r="AS377" s="61" t="n"/>
      <c r="AT377" s="61" t="n"/>
      <c r="AU377" s="57" t="n"/>
      <c r="AV377" s="61" t="n"/>
      <c r="AW377" s="61" t="n"/>
      <c r="AX377" s="61" t="n"/>
      <c r="AY377" s="61" t="n"/>
      <c r="AZ377" s="61" t="n"/>
      <c r="BA377" s="61" t="n"/>
      <c r="BB377" s="61" t="n"/>
      <c r="BC377" s="61" t="n"/>
      <c r="BD377" s="57" t="n"/>
      <c r="BE377" s="56" t="n"/>
      <c r="BF377" s="56" t="n"/>
      <c r="BG377" s="57" t="n"/>
      <c r="BH377" s="61" t="n"/>
      <c r="BI377" s="61" t="n"/>
      <c r="BJ377" s="61" t="n"/>
      <c r="BK377" s="61" t="n"/>
      <c r="BL377" s="61" t="n"/>
      <c r="BM377" s="61" t="n"/>
      <c r="BN377" s="61" t="n"/>
      <c r="BO377" s="61" t="n"/>
      <c r="BP377" s="61" t="n"/>
      <c r="BQ377" s="61" t="n"/>
      <c r="BR377" s="61" t="n"/>
      <c r="BS377" s="61" t="n"/>
      <c r="BT377" s="61" t="n"/>
    </row>
    <row r="378" ht="15.75" customHeight="1" s="79">
      <c r="A378" s="61" t="n"/>
      <c r="B378" s="61" t="n"/>
      <c r="C378" s="61" t="n"/>
      <c r="D378" s="61" t="n"/>
      <c r="E378" s="61" t="n"/>
      <c r="F378" s="61" t="n"/>
      <c r="G378" s="61" t="n"/>
      <c r="H378" s="61" t="n"/>
      <c r="I378" s="61" t="n"/>
      <c r="J378" s="61" t="n"/>
      <c r="K378" s="61" t="n"/>
      <c r="L378" s="61" t="n"/>
      <c r="M378" s="61" t="n"/>
      <c r="N378" s="61" t="n"/>
      <c r="O378" s="61" t="n"/>
      <c r="P378" s="61" t="n"/>
      <c r="Q378" s="61" t="n"/>
      <c r="R378" s="61" t="n"/>
      <c r="S378" s="61" t="n"/>
      <c r="T378" s="61" t="n"/>
      <c r="U378" s="61" t="n"/>
      <c r="V378" s="61" t="n"/>
      <c r="W378" s="61" t="n"/>
      <c r="X378" s="61" t="n"/>
      <c r="Y378" s="61" t="n"/>
      <c r="Z378" s="61" t="n"/>
      <c r="AA378" s="61" t="n"/>
      <c r="AB378" s="61" t="n"/>
      <c r="AC378" s="61" t="n"/>
      <c r="AD378" s="61" t="n"/>
      <c r="AE378" s="61" t="n"/>
      <c r="AF378" s="61" t="n"/>
      <c r="AG378" s="61" t="n"/>
      <c r="AH378" s="61" t="n"/>
      <c r="AI378" s="61" t="n"/>
      <c r="AJ378" s="61" t="n"/>
      <c r="AK378" s="61" t="n"/>
      <c r="AL378" s="61" t="n"/>
      <c r="AM378" s="61" t="n"/>
      <c r="AN378" s="61" t="n"/>
      <c r="AO378" s="61" t="n"/>
      <c r="AP378" s="57" t="n"/>
      <c r="AQ378" s="56" t="n"/>
      <c r="AR378" s="57" t="n"/>
      <c r="AS378" s="61" t="n"/>
      <c r="AT378" s="61" t="n"/>
      <c r="AU378" s="57" t="n"/>
      <c r="AV378" s="61" t="n"/>
      <c r="AW378" s="61" t="n"/>
      <c r="AX378" s="61" t="n"/>
      <c r="AY378" s="61" t="n"/>
      <c r="AZ378" s="61" t="n"/>
      <c r="BA378" s="61" t="n"/>
      <c r="BB378" s="61" t="n"/>
      <c r="BC378" s="61" t="n"/>
      <c r="BD378" s="57" t="n"/>
      <c r="BE378" s="56" t="n"/>
      <c r="BF378" s="56" t="n"/>
      <c r="BG378" s="57" t="n"/>
      <c r="BH378" s="61" t="n"/>
      <c r="BI378" s="61" t="n"/>
      <c r="BJ378" s="61" t="n"/>
      <c r="BK378" s="61" t="n"/>
      <c r="BL378" s="61" t="n"/>
      <c r="BM378" s="61" t="n"/>
      <c r="BN378" s="61" t="n"/>
      <c r="BO378" s="61" t="n"/>
      <c r="BP378" s="61" t="n"/>
      <c r="BQ378" s="61" t="n"/>
      <c r="BR378" s="61" t="n"/>
      <c r="BS378" s="61" t="n"/>
      <c r="BT378" s="61" t="n"/>
    </row>
    <row r="379" ht="15.75" customHeight="1" s="79">
      <c r="A379" s="61" t="n"/>
      <c r="B379" s="61" t="n"/>
      <c r="C379" s="61" t="n"/>
      <c r="D379" s="61" t="n"/>
      <c r="E379" s="61" t="n"/>
      <c r="F379" s="61" t="n"/>
      <c r="G379" s="61" t="n"/>
      <c r="H379" s="61" t="n"/>
      <c r="I379" s="61" t="n"/>
      <c r="J379" s="61" t="n"/>
      <c r="K379" s="61" t="n"/>
      <c r="L379" s="61" t="n"/>
      <c r="M379" s="61" t="n"/>
      <c r="N379" s="61" t="n"/>
      <c r="O379" s="61" t="n"/>
      <c r="P379" s="61" t="n"/>
      <c r="Q379" s="61" t="n"/>
      <c r="R379" s="61" t="n"/>
      <c r="S379" s="61" t="n"/>
      <c r="T379" s="61" t="n"/>
      <c r="U379" s="61" t="n"/>
      <c r="V379" s="61" t="n"/>
      <c r="W379" s="61" t="n"/>
      <c r="X379" s="61" t="n"/>
      <c r="Y379" s="61" t="n"/>
      <c r="Z379" s="61" t="n"/>
      <c r="AA379" s="61" t="n"/>
      <c r="AB379" s="61" t="n"/>
      <c r="AC379" s="61" t="n"/>
      <c r="AD379" s="61" t="n"/>
      <c r="AE379" s="61" t="n"/>
      <c r="AF379" s="61" t="n"/>
      <c r="AG379" s="61" t="n"/>
      <c r="AH379" s="61" t="n"/>
      <c r="AI379" s="61" t="n"/>
      <c r="AJ379" s="61" t="n"/>
      <c r="AK379" s="61" t="n"/>
      <c r="AL379" s="61" t="n"/>
      <c r="AM379" s="61" t="n"/>
      <c r="AN379" s="61" t="n"/>
      <c r="AO379" s="61" t="n"/>
      <c r="AP379" s="57" t="n"/>
      <c r="AQ379" s="56" t="n"/>
      <c r="AR379" s="57" t="n"/>
      <c r="AS379" s="61" t="n"/>
      <c r="AT379" s="61" t="n"/>
      <c r="AU379" s="57" t="n"/>
      <c r="AV379" s="61" t="n"/>
      <c r="AW379" s="61" t="n"/>
      <c r="AX379" s="61" t="n"/>
      <c r="AY379" s="61" t="n"/>
      <c r="AZ379" s="61" t="n"/>
      <c r="BA379" s="61" t="n"/>
      <c r="BB379" s="61" t="n"/>
      <c r="BC379" s="61" t="n"/>
      <c r="BD379" s="57" t="n"/>
      <c r="BE379" s="56" t="n"/>
      <c r="BF379" s="56" t="n"/>
      <c r="BG379" s="57" t="n"/>
      <c r="BH379" s="61" t="n"/>
      <c r="BI379" s="61" t="n"/>
      <c r="BJ379" s="61" t="n"/>
      <c r="BK379" s="61" t="n"/>
      <c r="BL379" s="61" t="n"/>
      <c r="BM379" s="61" t="n"/>
      <c r="BN379" s="61" t="n"/>
      <c r="BO379" s="61" t="n"/>
      <c r="BP379" s="61" t="n"/>
      <c r="BQ379" s="61" t="n"/>
      <c r="BR379" s="61" t="n"/>
      <c r="BS379" s="61" t="n"/>
      <c r="BT379" s="61" t="n"/>
    </row>
    <row r="380" ht="15.75" customHeight="1" s="79">
      <c r="A380" s="61" t="n"/>
      <c r="B380" s="61" t="n"/>
      <c r="C380" s="61" t="n"/>
      <c r="D380" s="61" t="n"/>
      <c r="E380" s="61" t="n"/>
      <c r="F380" s="61" t="n"/>
      <c r="G380" s="61" t="n"/>
      <c r="H380" s="61" t="n"/>
      <c r="I380" s="61" t="n"/>
      <c r="J380" s="61" t="n"/>
      <c r="K380" s="61" t="n"/>
      <c r="L380" s="61" t="n"/>
      <c r="M380" s="61" t="n"/>
      <c r="N380" s="61" t="n"/>
      <c r="O380" s="61" t="n"/>
      <c r="P380" s="61" t="n"/>
      <c r="Q380" s="61" t="n"/>
      <c r="R380" s="61" t="n"/>
      <c r="S380" s="61" t="n"/>
      <c r="T380" s="61" t="n"/>
      <c r="U380" s="61" t="n"/>
      <c r="V380" s="61" t="n"/>
      <c r="W380" s="61" t="n"/>
      <c r="X380" s="61" t="n"/>
      <c r="Y380" s="61" t="n"/>
      <c r="Z380" s="61" t="n"/>
      <c r="AA380" s="61" t="n"/>
      <c r="AB380" s="61" t="n"/>
      <c r="AC380" s="61" t="n"/>
      <c r="AD380" s="61" t="n"/>
      <c r="AE380" s="61" t="n"/>
      <c r="AF380" s="61" t="n"/>
      <c r="AG380" s="61" t="n"/>
      <c r="AH380" s="61" t="n"/>
      <c r="AI380" s="61" t="n"/>
      <c r="AJ380" s="61" t="n"/>
      <c r="AK380" s="61" t="n"/>
      <c r="AL380" s="61" t="n"/>
      <c r="AM380" s="61" t="n"/>
      <c r="AN380" s="61" t="n"/>
      <c r="AO380" s="61" t="n"/>
      <c r="AP380" s="57" t="n"/>
      <c r="AQ380" s="56" t="n"/>
      <c r="AR380" s="57" t="n"/>
      <c r="AS380" s="61" t="n"/>
      <c r="AT380" s="61" t="n"/>
      <c r="AU380" s="57" t="n"/>
      <c r="AV380" s="61" t="n"/>
      <c r="AW380" s="61" t="n"/>
      <c r="AX380" s="61" t="n"/>
      <c r="AY380" s="61" t="n"/>
      <c r="AZ380" s="61" t="n"/>
      <c r="BA380" s="61" t="n"/>
      <c r="BB380" s="61" t="n"/>
      <c r="BC380" s="61" t="n"/>
      <c r="BD380" s="57" t="n"/>
      <c r="BE380" s="56" t="n"/>
      <c r="BF380" s="56" t="n"/>
      <c r="BG380" s="57" t="n"/>
      <c r="BH380" s="61" t="n"/>
      <c r="BI380" s="61" t="n"/>
      <c r="BJ380" s="61" t="n"/>
      <c r="BK380" s="61" t="n"/>
      <c r="BL380" s="61" t="n"/>
      <c r="BM380" s="61" t="n"/>
      <c r="BN380" s="61" t="n"/>
      <c r="BO380" s="61" t="n"/>
      <c r="BP380" s="61" t="n"/>
      <c r="BQ380" s="61" t="n"/>
      <c r="BR380" s="61" t="n"/>
      <c r="BS380" s="61" t="n"/>
      <c r="BT380" s="61" t="n"/>
    </row>
    <row r="381" ht="15.75" customHeight="1" s="79">
      <c r="A381" s="61" t="n"/>
      <c r="B381" s="61" t="n"/>
      <c r="C381" s="61" t="n"/>
      <c r="D381" s="61" t="n"/>
      <c r="E381" s="61" t="n"/>
      <c r="F381" s="61" t="n"/>
      <c r="G381" s="61" t="n"/>
      <c r="H381" s="61" t="n"/>
      <c r="I381" s="61" t="n"/>
      <c r="J381" s="61" t="n"/>
      <c r="K381" s="61" t="n"/>
      <c r="L381" s="61" t="n"/>
      <c r="M381" s="61" t="n"/>
      <c r="N381" s="61" t="n"/>
      <c r="O381" s="61" t="n"/>
      <c r="P381" s="61" t="n"/>
      <c r="Q381" s="61" t="n"/>
      <c r="R381" s="61" t="n"/>
      <c r="S381" s="61" t="n"/>
      <c r="T381" s="61" t="n"/>
      <c r="U381" s="61" t="n"/>
      <c r="V381" s="61" t="n"/>
      <c r="W381" s="61" t="n"/>
      <c r="X381" s="61" t="n"/>
      <c r="Y381" s="61" t="n"/>
      <c r="Z381" s="61" t="n"/>
      <c r="AA381" s="61" t="n"/>
      <c r="AB381" s="61" t="n"/>
      <c r="AC381" s="61" t="n"/>
      <c r="AD381" s="61" t="n"/>
      <c r="AE381" s="61" t="n"/>
      <c r="AF381" s="61" t="n"/>
      <c r="AG381" s="61" t="n"/>
      <c r="AH381" s="61" t="n"/>
      <c r="AI381" s="61" t="n"/>
      <c r="AJ381" s="61" t="n"/>
      <c r="AK381" s="61" t="n"/>
      <c r="AL381" s="61" t="n"/>
      <c r="AM381" s="61" t="n"/>
      <c r="AN381" s="61" t="n"/>
      <c r="AO381" s="61" t="n"/>
      <c r="AP381" s="57" t="n"/>
      <c r="AQ381" s="56" t="n"/>
      <c r="AR381" s="57" t="n"/>
      <c r="AS381" s="61" t="n"/>
      <c r="AT381" s="61" t="n"/>
      <c r="AU381" s="57" t="n"/>
      <c r="AV381" s="61" t="n"/>
      <c r="AW381" s="61" t="n"/>
      <c r="AX381" s="61" t="n"/>
      <c r="AY381" s="61" t="n"/>
      <c r="AZ381" s="61" t="n"/>
      <c r="BA381" s="61" t="n"/>
      <c r="BB381" s="61" t="n"/>
      <c r="BC381" s="61" t="n"/>
      <c r="BD381" s="57" t="n"/>
      <c r="BE381" s="56" t="n"/>
      <c r="BF381" s="56" t="n"/>
      <c r="BG381" s="57" t="n"/>
      <c r="BH381" s="61" t="n"/>
      <c r="BI381" s="61" t="n"/>
      <c r="BJ381" s="61" t="n"/>
      <c r="BK381" s="61" t="n"/>
      <c r="BL381" s="61" t="n"/>
      <c r="BM381" s="61" t="n"/>
      <c r="BN381" s="61" t="n"/>
      <c r="BO381" s="61" t="n"/>
      <c r="BP381" s="61" t="n"/>
      <c r="BQ381" s="61" t="n"/>
      <c r="BR381" s="61" t="n"/>
      <c r="BS381" s="61" t="n"/>
      <c r="BT381" s="61" t="n"/>
    </row>
    <row r="382" ht="15.75" customHeight="1" s="79">
      <c r="A382" s="61" t="n"/>
      <c r="B382" s="61" t="n"/>
      <c r="C382" s="61" t="n"/>
      <c r="D382" s="61" t="n"/>
      <c r="E382" s="61" t="n"/>
      <c r="F382" s="61" t="n"/>
      <c r="G382" s="61" t="n"/>
      <c r="H382" s="61" t="n"/>
      <c r="I382" s="61" t="n"/>
      <c r="J382" s="61" t="n"/>
      <c r="K382" s="61" t="n"/>
      <c r="L382" s="61" t="n"/>
      <c r="M382" s="61" t="n"/>
      <c r="N382" s="61" t="n"/>
      <c r="O382" s="61" t="n"/>
      <c r="P382" s="61" t="n"/>
      <c r="Q382" s="61" t="n"/>
      <c r="R382" s="61" t="n"/>
      <c r="S382" s="61" t="n"/>
      <c r="T382" s="61" t="n"/>
      <c r="U382" s="61" t="n"/>
      <c r="V382" s="61" t="n"/>
      <c r="W382" s="61" t="n"/>
      <c r="X382" s="61" t="n"/>
      <c r="Y382" s="61" t="n"/>
      <c r="Z382" s="61" t="n"/>
      <c r="AA382" s="61" t="n"/>
      <c r="AB382" s="61" t="n"/>
      <c r="AC382" s="61" t="n"/>
      <c r="AD382" s="61" t="n"/>
      <c r="AE382" s="61" t="n"/>
      <c r="AF382" s="61" t="n"/>
      <c r="AG382" s="61" t="n"/>
      <c r="AH382" s="61" t="n"/>
      <c r="AI382" s="61" t="n"/>
      <c r="AJ382" s="61" t="n"/>
      <c r="AK382" s="61" t="n"/>
      <c r="AL382" s="61" t="n"/>
      <c r="AM382" s="61" t="n"/>
      <c r="AN382" s="61" t="n"/>
      <c r="AO382" s="61" t="n"/>
      <c r="AP382" s="57" t="n"/>
      <c r="AQ382" s="56" t="n"/>
      <c r="AR382" s="57" t="n"/>
      <c r="AS382" s="61" t="n"/>
      <c r="AT382" s="61" t="n"/>
      <c r="AU382" s="57" t="n"/>
      <c r="AV382" s="61" t="n"/>
      <c r="AW382" s="61" t="n"/>
      <c r="AX382" s="61" t="n"/>
      <c r="AY382" s="61" t="n"/>
      <c r="AZ382" s="61" t="n"/>
      <c r="BA382" s="61" t="n"/>
      <c r="BB382" s="61" t="n"/>
      <c r="BC382" s="61" t="n"/>
      <c r="BD382" s="57" t="n"/>
      <c r="BE382" s="56" t="n"/>
      <c r="BF382" s="56" t="n"/>
      <c r="BG382" s="57" t="n"/>
      <c r="BH382" s="61" t="n"/>
      <c r="BI382" s="61" t="n"/>
      <c r="BJ382" s="61" t="n"/>
      <c r="BK382" s="61" t="n"/>
      <c r="BL382" s="61" t="n"/>
      <c r="BM382" s="61" t="n"/>
      <c r="BN382" s="61" t="n"/>
      <c r="BO382" s="61" t="n"/>
      <c r="BP382" s="61" t="n"/>
      <c r="BQ382" s="61" t="n"/>
      <c r="BR382" s="61" t="n"/>
      <c r="BS382" s="61" t="n"/>
      <c r="BT382" s="61" t="n"/>
    </row>
    <row r="383" ht="15.75" customHeight="1" s="79">
      <c r="A383" s="61" t="n"/>
      <c r="B383" s="61" t="n"/>
      <c r="C383" s="61" t="n"/>
      <c r="D383" s="61" t="n"/>
      <c r="E383" s="61" t="n"/>
      <c r="F383" s="61" t="n"/>
      <c r="G383" s="61" t="n"/>
      <c r="H383" s="61" t="n"/>
      <c r="I383" s="61" t="n"/>
      <c r="J383" s="61" t="n"/>
      <c r="K383" s="61" t="n"/>
      <c r="L383" s="61" t="n"/>
      <c r="M383" s="61" t="n"/>
      <c r="N383" s="61" t="n"/>
      <c r="O383" s="61" t="n"/>
      <c r="P383" s="61" t="n"/>
      <c r="Q383" s="61" t="n"/>
      <c r="R383" s="61" t="n"/>
      <c r="S383" s="61" t="n"/>
      <c r="T383" s="61" t="n"/>
      <c r="U383" s="61" t="n"/>
      <c r="V383" s="61" t="n"/>
      <c r="W383" s="61" t="n"/>
      <c r="X383" s="61" t="n"/>
      <c r="Y383" s="61" t="n"/>
      <c r="Z383" s="61" t="n"/>
      <c r="AA383" s="61" t="n"/>
      <c r="AB383" s="61" t="n"/>
      <c r="AC383" s="61" t="n"/>
      <c r="AD383" s="61" t="n"/>
      <c r="AE383" s="61" t="n"/>
      <c r="AF383" s="61" t="n"/>
      <c r="AG383" s="61" t="n"/>
      <c r="AH383" s="61" t="n"/>
      <c r="AI383" s="61" t="n"/>
      <c r="AJ383" s="61" t="n"/>
      <c r="AK383" s="61" t="n"/>
      <c r="AL383" s="61" t="n"/>
      <c r="AM383" s="61" t="n"/>
      <c r="AN383" s="61" t="n"/>
      <c r="AO383" s="61" t="n"/>
      <c r="AP383" s="57" t="n"/>
      <c r="AQ383" s="56" t="n"/>
      <c r="AR383" s="57" t="n"/>
      <c r="AS383" s="61" t="n"/>
      <c r="AT383" s="61" t="n"/>
      <c r="AU383" s="57" t="n"/>
      <c r="AV383" s="61" t="n"/>
      <c r="AW383" s="61" t="n"/>
      <c r="AX383" s="61" t="n"/>
      <c r="AY383" s="61" t="n"/>
      <c r="AZ383" s="61" t="n"/>
      <c r="BA383" s="61" t="n"/>
      <c r="BB383" s="61" t="n"/>
      <c r="BC383" s="61" t="n"/>
      <c r="BD383" s="57" t="n"/>
      <c r="BE383" s="56" t="n"/>
      <c r="BF383" s="56" t="n"/>
      <c r="BG383" s="57" t="n"/>
      <c r="BH383" s="61" t="n"/>
      <c r="BI383" s="61" t="n"/>
      <c r="BJ383" s="61" t="n"/>
      <c r="BK383" s="61" t="n"/>
      <c r="BL383" s="61" t="n"/>
      <c r="BM383" s="61" t="n"/>
      <c r="BN383" s="61" t="n"/>
      <c r="BO383" s="61" t="n"/>
      <c r="BP383" s="61" t="n"/>
      <c r="BQ383" s="61" t="n"/>
      <c r="BR383" s="61" t="n"/>
      <c r="BS383" s="61" t="n"/>
      <c r="BT383" s="61" t="n"/>
    </row>
    <row r="384" ht="15.75" customHeight="1" s="79">
      <c r="A384" s="61" t="n"/>
      <c r="B384" s="61" t="n"/>
      <c r="C384" s="61" t="n"/>
      <c r="D384" s="61" t="n"/>
      <c r="E384" s="61" t="n"/>
      <c r="F384" s="61" t="n"/>
      <c r="G384" s="61" t="n"/>
      <c r="H384" s="61" t="n"/>
      <c r="I384" s="61" t="n"/>
      <c r="J384" s="61" t="n"/>
      <c r="K384" s="61" t="n"/>
      <c r="L384" s="61" t="n"/>
      <c r="M384" s="61" t="n"/>
      <c r="N384" s="61" t="n"/>
      <c r="O384" s="61" t="n"/>
      <c r="P384" s="61" t="n"/>
      <c r="Q384" s="61" t="n"/>
      <c r="R384" s="61" t="n"/>
      <c r="S384" s="61" t="n"/>
      <c r="T384" s="61" t="n"/>
      <c r="U384" s="61" t="n"/>
      <c r="V384" s="61" t="n"/>
      <c r="W384" s="61" t="n"/>
      <c r="X384" s="61" t="n"/>
      <c r="Y384" s="61" t="n"/>
      <c r="Z384" s="61" t="n"/>
      <c r="AA384" s="61" t="n"/>
      <c r="AB384" s="61" t="n"/>
      <c r="AC384" s="61" t="n"/>
      <c r="AD384" s="61" t="n"/>
      <c r="AE384" s="61" t="n"/>
      <c r="AF384" s="61" t="n"/>
      <c r="AG384" s="61" t="n"/>
      <c r="AH384" s="61" t="n"/>
      <c r="AI384" s="61" t="n"/>
      <c r="AJ384" s="61" t="n"/>
      <c r="AK384" s="61" t="n"/>
      <c r="AL384" s="61" t="n"/>
      <c r="AM384" s="61" t="n"/>
      <c r="AN384" s="61" t="n"/>
      <c r="AO384" s="61" t="n"/>
      <c r="AP384" s="57" t="n"/>
      <c r="AQ384" s="56" t="n"/>
      <c r="AR384" s="57" t="n"/>
      <c r="AS384" s="61" t="n"/>
      <c r="AT384" s="61" t="n"/>
      <c r="AU384" s="57" t="n"/>
      <c r="AV384" s="61" t="n"/>
      <c r="AW384" s="61" t="n"/>
      <c r="AX384" s="61" t="n"/>
      <c r="AY384" s="61" t="n"/>
      <c r="AZ384" s="61" t="n"/>
      <c r="BA384" s="61" t="n"/>
      <c r="BB384" s="61" t="n"/>
      <c r="BC384" s="61" t="n"/>
      <c r="BD384" s="57" t="n"/>
      <c r="BE384" s="56" t="n"/>
      <c r="BF384" s="56" t="n"/>
      <c r="BG384" s="57" t="n"/>
      <c r="BH384" s="61" t="n"/>
      <c r="BI384" s="61" t="n"/>
      <c r="BJ384" s="61" t="n"/>
      <c r="BK384" s="61" t="n"/>
      <c r="BL384" s="61" t="n"/>
      <c r="BM384" s="61" t="n"/>
      <c r="BN384" s="61" t="n"/>
      <c r="BO384" s="61" t="n"/>
      <c r="BP384" s="61" t="n"/>
      <c r="BQ384" s="61" t="n"/>
      <c r="BR384" s="61" t="n"/>
      <c r="BS384" s="61" t="n"/>
      <c r="BT384" s="61" t="n"/>
    </row>
    <row r="385" ht="15.75" customHeight="1" s="79">
      <c r="A385" s="61" t="n"/>
      <c r="B385" s="61" t="n"/>
      <c r="C385" s="61" t="n"/>
      <c r="D385" s="61" t="n"/>
      <c r="E385" s="61" t="n"/>
      <c r="F385" s="61" t="n"/>
      <c r="G385" s="61" t="n"/>
      <c r="H385" s="61" t="n"/>
      <c r="I385" s="61" t="n"/>
      <c r="J385" s="61" t="n"/>
      <c r="K385" s="61" t="n"/>
      <c r="L385" s="61" t="n"/>
      <c r="M385" s="61" t="n"/>
      <c r="N385" s="61" t="n"/>
      <c r="O385" s="61" t="n"/>
      <c r="P385" s="61" t="n"/>
      <c r="Q385" s="61" t="n"/>
      <c r="R385" s="61" t="n"/>
      <c r="S385" s="61" t="n"/>
      <c r="T385" s="61" t="n"/>
      <c r="U385" s="61" t="n"/>
      <c r="V385" s="61" t="n"/>
      <c r="W385" s="61" t="n"/>
      <c r="X385" s="61" t="n"/>
      <c r="Y385" s="61" t="n"/>
      <c r="Z385" s="61" t="n"/>
      <c r="AA385" s="61" t="n"/>
      <c r="AB385" s="61" t="n"/>
      <c r="AC385" s="61" t="n"/>
      <c r="AD385" s="61" t="n"/>
      <c r="AE385" s="61" t="n"/>
      <c r="AF385" s="61" t="n"/>
      <c r="AG385" s="61" t="n"/>
      <c r="AH385" s="61" t="n"/>
      <c r="AI385" s="61" t="n"/>
      <c r="AJ385" s="61" t="n"/>
      <c r="AK385" s="61" t="n"/>
      <c r="AL385" s="61" t="n"/>
      <c r="AM385" s="61" t="n"/>
      <c r="AN385" s="61" t="n"/>
      <c r="AO385" s="61" t="n"/>
      <c r="AP385" s="57" t="n"/>
      <c r="AQ385" s="56" t="n"/>
      <c r="AR385" s="57" t="n"/>
      <c r="AS385" s="61" t="n"/>
      <c r="AT385" s="61" t="n"/>
      <c r="AU385" s="57" t="n"/>
      <c r="AV385" s="61" t="n"/>
      <c r="AW385" s="61" t="n"/>
      <c r="AX385" s="61" t="n"/>
      <c r="AY385" s="61" t="n"/>
      <c r="AZ385" s="61" t="n"/>
      <c r="BA385" s="61" t="n"/>
      <c r="BB385" s="61" t="n"/>
      <c r="BC385" s="61" t="n"/>
      <c r="BD385" s="57" t="n"/>
      <c r="BE385" s="56" t="n"/>
      <c r="BF385" s="56" t="n"/>
      <c r="BG385" s="57" t="n"/>
      <c r="BH385" s="61" t="n"/>
      <c r="BI385" s="61" t="n"/>
      <c r="BJ385" s="61" t="n"/>
      <c r="BK385" s="61" t="n"/>
      <c r="BL385" s="61" t="n"/>
      <c r="BM385" s="61" t="n"/>
      <c r="BN385" s="61" t="n"/>
      <c r="BO385" s="61" t="n"/>
      <c r="BP385" s="61" t="n"/>
      <c r="BQ385" s="61" t="n"/>
      <c r="BR385" s="61" t="n"/>
      <c r="BS385" s="61" t="n"/>
      <c r="BT385" s="61" t="n"/>
    </row>
    <row r="386" ht="15.75" customHeight="1" s="79">
      <c r="A386" s="61" t="n"/>
      <c r="B386" s="61" t="n"/>
      <c r="C386" s="61" t="n"/>
      <c r="D386" s="61" t="n"/>
      <c r="E386" s="61" t="n"/>
      <c r="F386" s="61" t="n"/>
      <c r="G386" s="61" t="n"/>
      <c r="H386" s="61" t="n"/>
      <c r="I386" s="61" t="n"/>
      <c r="J386" s="61" t="n"/>
      <c r="K386" s="61" t="n"/>
      <c r="L386" s="61" t="n"/>
      <c r="M386" s="61" t="n"/>
      <c r="N386" s="61" t="n"/>
      <c r="O386" s="61" t="n"/>
      <c r="P386" s="61" t="n"/>
      <c r="Q386" s="61" t="n"/>
      <c r="R386" s="61" t="n"/>
      <c r="S386" s="61" t="n"/>
      <c r="T386" s="61" t="n"/>
      <c r="U386" s="61" t="n"/>
      <c r="V386" s="61" t="n"/>
      <c r="W386" s="61" t="n"/>
      <c r="X386" s="61" t="n"/>
      <c r="Y386" s="61" t="n"/>
      <c r="Z386" s="61" t="n"/>
      <c r="AA386" s="61" t="n"/>
      <c r="AB386" s="61" t="n"/>
      <c r="AC386" s="61" t="n"/>
      <c r="AD386" s="61" t="n"/>
      <c r="AE386" s="61" t="n"/>
      <c r="AF386" s="61" t="n"/>
      <c r="AG386" s="61" t="n"/>
      <c r="AH386" s="61" t="n"/>
      <c r="AI386" s="61" t="n"/>
      <c r="AJ386" s="61" t="n"/>
      <c r="AK386" s="61" t="n"/>
      <c r="AL386" s="61" t="n"/>
      <c r="AM386" s="61" t="n"/>
      <c r="AN386" s="61" t="n"/>
      <c r="AO386" s="61" t="n"/>
      <c r="AP386" s="57" t="n"/>
      <c r="AQ386" s="56" t="n"/>
      <c r="AR386" s="57" t="n"/>
      <c r="AS386" s="61" t="n"/>
      <c r="AT386" s="61" t="n"/>
      <c r="AU386" s="57" t="n"/>
      <c r="AV386" s="61" t="n"/>
      <c r="AW386" s="61" t="n"/>
      <c r="AX386" s="61" t="n"/>
      <c r="AY386" s="61" t="n"/>
      <c r="AZ386" s="61" t="n"/>
      <c r="BA386" s="61" t="n"/>
      <c r="BB386" s="61" t="n"/>
      <c r="BC386" s="61" t="n"/>
      <c r="BD386" s="57" t="n"/>
      <c r="BE386" s="56" t="n"/>
      <c r="BF386" s="56" t="n"/>
      <c r="BG386" s="57" t="n"/>
      <c r="BH386" s="61" t="n"/>
      <c r="BI386" s="61" t="n"/>
      <c r="BJ386" s="61" t="n"/>
      <c r="BK386" s="61" t="n"/>
      <c r="BL386" s="61" t="n"/>
      <c r="BM386" s="61" t="n"/>
      <c r="BN386" s="61" t="n"/>
      <c r="BO386" s="61" t="n"/>
      <c r="BP386" s="61" t="n"/>
      <c r="BQ386" s="61" t="n"/>
      <c r="BR386" s="61" t="n"/>
      <c r="BS386" s="61" t="n"/>
      <c r="BT386" s="61" t="n"/>
    </row>
    <row r="387" ht="15.75" customHeight="1" s="79">
      <c r="A387" s="61" t="n"/>
      <c r="B387" s="61" t="n"/>
      <c r="C387" s="61" t="n"/>
      <c r="D387" s="61" t="n"/>
      <c r="E387" s="61" t="n"/>
      <c r="F387" s="61" t="n"/>
      <c r="G387" s="61" t="n"/>
      <c r="H387" s="61" t="n"/>
      <c r="I387" s="61" t="n"/>
      <c r="J387" s="61" t="n"/>
      <c r="K387" s="61" t="n"/>
      <c r="L387" s="61" t="n"/>
      <c r="M387" s="61" t="n"/>
      <c r="N387" s="61" t="n"/>
      <c r="O387" s="61" t="n"/>
      <c r="P387" s="61" t="n"/>
      <c r="Q387" s="61" t="n"/>
      <c r="R387" s="61" t="n"/>
      <c r="S387" s="61" t="n"/>
      <c r="T387" s="61" t="n"/>
      <c r="U387" s="61" t="n"/>
      <c r="V387" s="61" t="n"/>
      <c r="W387" s="61" t="n"/>
      <c r="X387" s="61" t="n"/>
      <c r="Y387" s="61" t="n"/>
      <c r="Z387" s="61" t="n"/>
      <c r="AA387" s="61" t="n"/>
      <c r="AB387" s="61" t="n"/>
      <c r="AC387" s="61" t="n"/>
      <c r="AD387" s="61" t="n"/>
      <c r="AE387" s="61" t="n"/>
      <c r="AF387" s="61" t="n"/>
      <c r="AG387" s="61" t="n"/>
      <c r="AH387" s="61" t="n"/>
      <c r="AI387" s="61" t="n"/>
      <c r="AJ387" s="61" t="n"/>
      <c r="AK387" s="61" t="n"/>
      <c r="AL387" s="61" t="n"/>
      <c r="AM387" s="61" t="n"/>
      <c r="AN387" s="61" t="n"/>
      <c r="AO387" s="61" t="n"/>
      <c r="AP387" s="57" t="n"/>
      <c r="AQ387" s="56" t="n"/>
      <c r="AR387" s="57" t="n"/>
      <c r="AS387" s="61" t="n"/>
      <c r="AT387" s="61" t="n"/>
      <c r="AU387" s="57" t="n"/>
      <c r="AV387" s="61" t="n"/>
      <c r="AW387" s="61" t="n"/>
      <c r="AX387" s="61" t="n"/>
      <c r="AY387" s="61" t="n"/>
      <c r="AZ387" s="61" t="n"/>
      <c r="BA387" s="61" t="n"/>
      <c r="BB387" s="61" t="n"/>
      <c r="BC387" s="61" t="n"/>
      <c r="BD387" s="57" t="n"/>
      <c r="BE387" s="56" t="n"/>
      <c r="BF387" s="56" t="n"/>
      <c r="BG387" s="57" t="n"/>
      <c r="BH387" s="61" t="n"/>
      <c r="BI387" s="61" t="n"/>
      <c r="BJ387" s="61" t="n"/>
      <c r="BK387" s="61" t="n"/>
      <c r="BL387" s="61" t="n"/>
      <c r="BM387" s="61" t="n"/>
      <c r="BN387" s="61" t="n"/>
      <c r="BO387" s="61" t="n"/>
      <c r="BP387" s="61" t="n"/>
      <c r="BQ387" s="61" t="n"/>
      <c r="BR387" s="61" t="n"/>
      <c r="BS387" s="61" t="n"/>
      <c r="BT387" s="61" t="n"/>
    </row>
    <row r="388" ht="15.75" customHeight="1" s="79">
      <c r="A388" s="61" t="n"/>
      <c r="B388" s="61" t="n"/>
      <c r="C388" s="61" t="n"/>
      <c r="D388" s="61" t="n"/>
      <c r="E388" s="61" t="n"/>
      <c r="F388" s="61" t="n"/>
      <c r="G388" s="61" t="n"/>
      <c r="H388" s="61" t="n"/>
      <c r="I388" s="61" t="n"/>
      <c r="J388" s="61" t="n"/>
      <c r="K388" s="61" t="n"/>
      <c r="L388" s="61" t="n"/>
      <c r="M388" s="61" t="n"/>
      <c r="N388" s="61" t="n"/>
      <c r="O388" s="61" t="n"/>
      <c r="P388" s="61" t="n"/>
      <c r="Q388" s="61" t="n"/>
      <c r="R388" s="61" t="n"/>
      <c r="S388" s="61" t="n"/>
      <c r="T388" s="61" t="n"/>
      <c r="U388" s="61" t="n"/>
      <c r="V388" s="61" t="n"/>
      <c r="W388" s="61" t="n"/>
      <c r="X388" s="61" t="n"/>
      <c r="Y388" s="61" t="n"/>
      <c r="Z388" s="61" t="n"/>
      <c r="AA388" s="61" t="n"/>
      <c r="AB388" s="61" t="n"/>
      <c r="AC388" s="61" t="n"/>
      <c r="AD388" s="61" t="n"/>
      <c r="AE388" s="61" t="n"/>
      <c r="AF388" s="61" t="n"/>
      <c r="AG388" s="61" t="n"/>
      <c r="AH388" s="61" t="n"/>
      <c r="AI388" s="61" t="n"/>
      <c r="AJ388" s="61" t="n"/>
      <c r="AK388" s="61" t="n"/>
      <c r="AL388" s="61" t="n"/>
      <c r="AM388" s="61" t="n"/>
      <c r="AN388" s="61" t="n"/>
      <c r="AO388" s="61" t="n"/>
      <c r="AP388" s="57" t="n"/>
      <c r="AQ388" s="56" t="n"/>
      <c r="AR388" s="57" t="n"/>
      <c r="AS388" s="61" t="n"/>
      <c r="AT388" s="61" t="n"/>
      <c r="AU388" s="57" t="n"/>
      <c r="AV388" s="61" t="n"/>
      <c r="AW388" s="61" t="n"/>
      <c r="AX388" s="61" t="n"/>
      <c r="AY388" s="61" t="n"/>
      <c r="AZ388" s="61" t="n"/>
      <c r="BA388" s="61" t="n"/>
      <c r="BB388" s="61" t="n"/>
      <c r="BC388" s="61" t="n"/>
      <c r="BD388" s="57" t="n"/>
      <c r="BE388" s="56" t="n"/>
      <c r="BF388" s="56" t="n"/>
      <c r="BG388" s="57" t="n"/>
      <c r="BH388" s="61" t="n"/>
      <c r="BI388" s="61" t="n"/>
      <c r="BJ388" s="61" t="n"/>
      <c r="BK388" s="61" t="n"/>
      <c r="BL388" s="61" t="n"/>
      <c r="BM388" s="61" t="n"/>
      <c r="BN388" s="61" t="n"/>
      <c r="BO388" s="61" t="n"/>
      <c r="BP388" s="61" t="n"/>
      <c r="BQ388" s="61" t="n"/>
      <c r="BR388" s="61" t="n"/>
      <c r="BS388" s="61" t="n"/>
      <c r="BT388" s="61" t="n"/>
    </row>
    <row r="389" ht="15.75" customHeight="1" s="79">
      <c r="A389" s="61" t="n"/>
      <c r="B389" s="61" t="n"/>
      <c r="C389" s="61" t="n"/>
      <c r="D389" s="61" t="n"/>
      <c r="E389" s="61" t="n"/>
      <c r="F389" s="61" t="n"/>
      <c r="G389" s="61" t="n"/>
      <c r="H389" s="61" t="n"/>
      <c r="I389" s="61" t="n"/>
      <c r="J389" s="61" t="n"/>
      <c r="K389" s="61" t="n"/>
      <c r="L389" s="61" t="n"/>
      <c r="M389" s="61" t="n"/>
      <c r="N389" s="61" t="n"/>
      <c r="O389" s="61" t="n"/>
      <c r="P389" s="61" t="n"/>
      <c r="Q389" s="61" t="n"/>
      <c r="R389" s="61" t="n"/>
      <c r="S389" s="61" t="n"/>
      <c r="T389" s="61" t="n"/>
      <c r="U389" s="61" t="n"/>
      <c r="V389" s="61" t="n"/>
      <c r="W389" s="61" t="n"/>
      <c r="X389" s="61" t="n"/>
      <c r="Y389" s="61" t="n"/>
      <c r="Z389" s="61" t="n"/>
      <c r="AA389" s="61" t="n"/>
      <c r="AB389" s="61" t="n"/>
      <c r="AC389" s="61" t="n"/>
      <c r="AD389" s="61" t="n"/>
      <c r="AE389" s="61" t="n"/>
      <c r="AF389" s="61" t="n"/>
      <c r="AG389" s="61" t="n"/>
      <c r="AH389" s="61" t="n"/>
      <c r="AI389" s="61" t="n"/>
      <c r="AJ389" s="61" t="n"/>
      <c r="AK389" s="61" t="n"/>
      <c r="AL389" s="61" t="n"/>
      <c r="AM389" s="61" t="n"/>
      <c r="AN389" s="61" t="n"/>
      <c r="AO389" s="61" t="n"/>
      <c r="AP389" s="57" t="n"/>
      <c r="AQ389" s="56" t="n"/>
      <c r="AR389" s="57" t="n"/>
      <c r="AS389" s="61" t="n"/>
      <c r="AT389" s="61" t="n"/>
      <c r="AU389" s="57" t="n"/>
      <c r="AV389" s="61" t="n"/>
      <c r="AW389" s="61" t="n"/>
      <c r="AX389" s="61" t="n"/>
      <c r="AY389" s="61" t="n"/>
      <c r="AZ389" s="61" t="n"/>
      <c r="BA389" s="61" t="n"/>
      <c r="BB389" s="61" t="n"/>
      <c r="BC389" s="61" t="n"/>
      <c r="BD389" s="57" t="n"/>
      <c r="BE389" s="56" t="n"/>
      <c r="BF389" s="56" t="n"/>
      <c r="BG389" s="57" t="n"/>
      <c r="BH389" s="61" t="n"/>
      <c r="BI389" s="61" t="n"/>
      <c r="BJ389" s="61" t="n"/>
      <c r="BK389" s="61" t="n"/>
      <c r="BL389" s="61" t="n"/>
      <c r="BM389" s="61" t="n"/>
      <c r="BN389" s="61" t="n"/>
      <c r="BO389" s="61" t="n"/>
      <c r="BP389" s="61" t="n"/>
      <c r="BQ389" s="61" t="n"/>
      <c r="BR389" s="61" t="n"/>
      <c r="BS389" s="61" t="n"/>
      <c r="BT389" s="61" t="n"/>
    </row>
    <row r="390" ht="15.75" customHeight="1" s="79">
      <c r="A390" s="61" t="n"/>
      <c r="B390" s="61" t="n"/>
      <c r="C390" s="61" t="n"/>
      <c r="D390" s="61" t="n"/>
      <c r="E390" s="61" t="n"/>
      <c r="F390" s="61" t="n"/>
      <c r="G390" s="61" t="n"/>
      <c r="H390" s="61" t="n"/>
      <c r="I390" s="61" t="n"/>
      <c r="J390" s="61" t="n"/>
      <c r="K390" s="61" t="n"/>
      <c r="L390" s="61" t="n"/>
      <c r="M390" s="61" t="n"/>
      <c r="N390" s="61" t="n"/>
      <c r="O390" s="61" t="n"/>
      <c r="P390" s="61" t="n"/>
      <c r="Q390" s="61" t="n"/>
      <c r="R390" s="61" t="n"/>
      <c r="S390" s="61" t="n"/>
      <c r="T390" s="61" t="n"/>
      <c r="U390" s="61" t="n"/>
      <c r="V390" s="61" t="n"/>
      <c r="W390" s="61" t="n"/>
      <c r="X390" s="61" t="n"/>
      <c r="Y390" s="61" t="n"/>
      <c r="Z390" s="61" t="n"/>
      <c r="AA390" s="61" t="n"/>
      <c r="AB390" s="61" t="n"/>
      <c r="AC390" s="61" t="n"/>
      <c r="AD390" s="61" t="n"/>
      <c r="AE390" s="61" t="n"/>
      <c r="AF390" s="61" t="n"/>
      <c r="AG390" s="61" t="n"/>
      <c r="AH390" s="61" t="n"/>
      <c r="AI390" s="61" t="n"/>
      <c r="AJ390" s="61" t="n"/>
      <c r="AK390" s="61" t="n"/>
      <c r="AL390" s="61" t="n"/>
      <c r="AM390" s="61" t="n"/>
      <c r="AN390" s="61" t="n"/>
      <c r="AO390" s="61" t="n"/>
      <c r="AP390" s="57" t="n"/>
      <c r="AQ390" s="56" t="n"/>
      <c r="AR390" s="57" t="n"/>
      <c r="AS390" s="61" t="n"/>
      <c r="AT390" s="61" t="n"/>
      <c r="AU390" s="57" t="n"/>
      <c r="AV390" s="61" t="n"/>
      <c r="AW390" s="61" t="n"/>
      <c r="AX390" s="61" t="n"/>
      <c r="AY390" s="61" t="n"/>
      <c r="AZ390" s="61" t="n"/>
      <c r="BA390" s="61" t="n"/>
      <c r="BB390" s="61" t="n"/>
      <c r="BC390" s="61" t="n"/>
      <c r="BD390" s="57" t="n"/>
      <c r="BE390" s="56" t="n"/>
      <c r="BF390" s="56" t="n"/>
      <c r="BG390" s="57" t="n"/>
      <c r="BH390" s="61" t="n"/>
      <c r="BI390" s="61" t="n"/>
      <c r="BJ390" s="61" t="n"/>
      <c r="BK390" s="61" t="n"/>
      <c r="BL390" s="61" t="n"/>
      <c r="BM390" s="61" t="n"/>
      <c r="BN390" s="61" t="n"/>
      <c r="BO390" s="61" t="n"/>
      <c r="BP390" s="61" t="n"/>
      <c r="BQ390" s="61" t="n"/>
      <c r="BR390" s="61" t="n"/>
      <c r="BS390" s="61" t="n"/>
      <c r="BT390" s="61" t="n"/>
    </row>
    <row r="391" ht="15.75" customHeight="1" s="79">
      <c r="A391" s="61" t="n"/>
      <c r="B391" s="61" t="n"/>
      <c r="C391" s="61" t="n"/>
      <c r="D391" s="61" t="n"/>
      <c r="E391" s="61" t="n"/>
      <c r="F391" s="61" t="n"/>
      <c r="G391" s="61" t="n"/>
      <c r="H391" s="61" t="n"/>
      <c r="I391" s="61" t="n"/>
      <c r="J391" s="61" t="n"/>
      <c r="K391" s="61" t="n"/>
      <c r="L391" s="61" t="n"/>
      <c r="M391" s="61" t="n"/>
      <c r="N391" s="61" t="n"/>
      <c r="O391" s="61" t="n"/>
      <c r="P391" s="61" t="n"/>
      <c r="Q391" s="61" t="n"/>
      <c r="R391" s="61" t="n"/>
      <c r="S391" s="61" t="n"/>
      <c r="T391" s="61" t="n"/>
      <c r="U391" s="61" t="n"/>
      <c r="V391" s="61" t="n"/>
      <c r="W391" s="61" t="n"/>
      <c r="X391" s="61" t="n"/>
      <c r="Y391" s="61" t="n"/>
      <c r="Z391" s="61" t="n"/>
      <c r="AA391" s="61" t="n"/>
      <c r="AB391" s="61" t="n"/>
      <c r="AC391" s="61" t="n"/>
      <c r="AD391" s="61" t="n"/>
      <c r="AE391" s="61" t="n"/>
      <c r="AF391" s="61" t="n"/>
      <c r="AG391" s="61" t="n"/>
      <c r="AH391" s="61" t="n"/>
      <c r="AI391" s="61" t="n"/>
      <c r="AJ391" s="61" t="n"/>
      <c r="AK391" s="61" t="n"/>
      <c r="AL391" s="61" t="n"/>
      <c r="AM391" s="61" t="n"/>
      <c r="AN391" s="61" t="n"/>
      <c r="AO391" s="61" t="n"/>
      <c r="AP391" s="57" t="n"/>
      <c r="AQ391" s="56" t="n"/>
      <c r="AR391" s="57" t="n"/>
      <c r="AS391" s="61" t="n"/>
      <c r="AT391" s="61" t="n"/>
      <c r="AU391" s="57" t="n"/>
      <c r="AV391" s="61" t="n"/>
      <c r="AW391" s="61" t="n"/>
      <c r="AX391" s="61" t="n"/>
      <c r="AY391" s="61" t="n"/>
      <c r="AZ391" s="61" t="n"/>
      <c r="BA391" s="61" t="n"/>
      <c r="BB391" s="61" t="n"/>
      <c r="BC391" s="61" t="n"/>
      <c r="BD391" s="57" t="n"/>
      <c r="BE391" s="56" t="n"/>
      <c r="BF391" s="56" t="n"/>
      <c r="BG391" s="57" t="n"/>
      <c r="BH391" s="61" t="n"/>
      <c r="BI391" s="61" t="n"/>
      <c r="BJ391" s="61" t="n"/>
      <c r="BK391" s="61" t="n"/>
      <c r="BL391" s="61" t="n"/>
      <c r="BM391" s="61" t="n"/>
      <c r="BN391" s="61" t="n"/>
      <c r="BO391" s="61" t="n"/>
      <c r="BP391" s="61" t="n"/>
      <c r="BQ391" s="61" t="n"/>
      <c r="BR391" s="61" t="n"/>
      <c r="BS391" s="61" t="n"/>
      <c r="BT391" s="61" t="n"/>
    </row>
    <row r="392" ht="15.75" customHeight="1" s="79">
      <c r="A392" s="61" t="n"/>
      <c r="B392" s="61" t="n"/>
      <c r="C392" s="61" t="n"/>
      <c r="D392" s="61" t="n"/>
      <c r="E392" s="61" t="n"/>
      <c r="F392" s="61" t="n"/>
      <c r="G392" s="61" t="n"/>
      <c r="H392" s="61" t="n"/>
      <c r="I392" s="61" t="n"/>
      <c r="J392" s="61" t="n"/>
      <c r="K392" s="61" t="n"/>
      <c r="L392" s="61" t="n"/>
      <c r="M392" s="61" t="n"/>
      <c r="N392" s="61" t="n"/>
      <c r="O392" s="61" t="n"/>
      <c r="P392" s="61" t="n"/>
      <c r="Q392" s="61" t="n"/>
      <c r="R392" s="61" t="n"/>
      <c r="S392" s="61" t="n"/>
      <c r="T392" s="61" t="n"/>
      <c r="U392" s="61" t="n"/>
      <c r="V392" s="61" t="n"/>
      <c r="W392" s="61" t="n"/>
      <c r="X392" s="61" t="n"/>
      <c r="Y392" s="61" t="n"/>
      <c r="Z392" s="61" t="n"/>
      <c r="AA392" s="61" t="n"/>
      <c r="AB392" s="61" t="n"/>
      <c r="AC392" s="61" t="n"/>
      <c r="AD392" s="61" t="n"/>
      <c r="AE392" s="61" t="n"/>
      <c r="AF392" s="61" t="n"/>
      <c r="AG392" s="61" t="n"/>
      <c r="AH392" s="61" t="n"/>
      <c r="AI392" s="61" t="n"/>
      <c r="AJ392" s="61" t="n"/>
      <c r="AK392" s="61" t="n"/>
      <c r="AL392" s="61" t="n"/>
      <c r="AM392" s="61" t="n"/>
      <c r="AN392" s="61" t="n"/>
      <c r="AO392" s="61" t="n"/>
      <c r="AP392" s="57" t="n"/>
      <c r="AQ392" s="56" t="n"/>
      <c r="AR392" s="57" t="n"/>
      <c r="AS392" s="61" t="n"/>
      <c r="AT392" s="61" t="n"/>
      <c r="AU392" s="57" t="n"/>
      <c r="AV392" s="61" t="n"/>
      <c r="AW392" s="61" t="n"/>
      <c r="AX392" s="61" t="n"/>
      <c r="AY392" s="61" t="n"/>
      <c r="AZ392" s="61" t="n"/>
      <c r="BA392" s="61" t="n"/>
      <c r="BB392" s="61" t="n"/>
      <c r="BC392" s="61" t="n"/>
      <c r="BD392" s="57" t="n"/>
      <c r="BE392" s="56" t="n"/>
      <c r="BF392" s="56" t="n"/>
      <c r="BG392" s="57" t="n"/>
      <c r="BH392" s="61" t="n"/>
      <c r="BI392" s="61" t="n"/>
      <c r="BJ392" s="61" t="n"/>
      <c r="BK392" s="61" t="n"/>
      <c r="BL392" s="61" t="n"/>
      <c r="BM392" s="61" t="n"/>
      <c r="BN392" s="61" t="n"/>
      <c r="BO392" s="61" t="n"/>
      <c r="BP392" s="61" t="n"/>
      <c r="BQ392" s="61" t="n"/>
      <c r="BR392" s="61" t="n"/>
      <c r="BS392" s="61" t="n"/>
      <c r="BT392" s="61" t="n"/>
    </row>
    <row r="393" ht="15.75" customHeight="1" s="79">
      <c r="A393" s="61" t="n"/>
      <c r="B393" s="61" t="n"/>
      <c r="C393" s="61" t="n"/>
      <c r="D393" s="61" t="n"/>
      <c r="E393" s="61" t="n"/>
      <c r="F393" s="61" t="n"/>
      <c r="G393" s="61" t="n"/>
      <c r="H393" s="61" t="n"/>
      <c r="I393" s="61" t="n"/>
      <c r="J393" s="61" t="n"/>
      <c r="K393" s="61" t="n"/>
      <c r="L393" s="61" t="n"/>
      <c r="M393" s="61" t="n"/>
      <c r="N393" s="61" t="n"/>
      <c r="O393" s="61" t="n"/>
      <c r="P393" s="61" t="n"/>
      <c r="Q393" s="61" t="n"/>
      <c r="R393" s="61" t="n"/>
      <c r="S393" s="61" t="n"/>
      <c r="T393" s="61" t="n"/>
      <c r="U393" s="61" t="n"/>
      <c r="V393" s="61" t="n"/>
      <c r="W393" s="61" t="n"/>
      <c r="X393" s="61" t="n"/>
      <c r="Y393" s="61" t="n"/>
      <c r="Z393" s="61" t="n"/>
      <c r="AA393" s="61" t="n"/>
      <c r="AB393" s="61" t="n"/>
      <c r="AC393" s="61" t="n"/>
      <c r="AD393" s="61" t="n"/>
      <c r="AE393" s="61" t="n"/>
      <c r="AF393" s="61" t="n"/>
      <c r="AG393" s="61" t="n"/>
      <c r="AH393" s="61" t="n"/>
      <c r="AI393" s="61" t="n"/>
      <c r="AJ393" s="61" t="n"/>
      <c r="AK393" s="61" t="n"/>
      <c r="AL393" s="61" t="n"/>
      <c r="AM393" s="61" t="n"/>
      <c r="AN393" s="61" t="n"/>
      <c r="AO393" s="61" t="n"/>
      <c r="AP393" s="57" t="n"/>
      <c r="AQ393" s="56" t="n"/>
      <c r="AR393" s="57" t="n"/>
      <c r="AS393" s="61" t="n"/>
      <c r="AT393" s="61" t="n"/>
      <c r="AU393" s="57" t="n"/>
      <c r="AV393" s="61" t="n"/>
      <c r="AW393" s="61" t="n"/>
      <c r="AX393" s="61" t="n"/>
      <c r="AY393" s="61" t="n"/>
      <c r="AZ393" s="61" t="n"/>
      <c r="BA393" s="61" t="n"/>
      <c r="BB393" s="61" t="n"/>
      <c r="BC393" s="61" t="n"/>
      <c r="BD393" s="57" t="n"/>
      <c r="BE393" s="56" t="n"/>
      <c r="BF393" s="56" t="n"/>
      <c r="BG393" s="57" t="n"/>
      <c r="BH393" s="61" t="n"/>
      <c r="BI393" s="61" t="n"/>
      <c r="BJ393" s="61" t="n"/>
      <c r="BK393" s="61" t="n"/>
      <c r="BL393" s="61" t="n"/>
      <c r="BM393" s="61" t="n"/>
      <c r="BN393" s="61" t="n"/>
      <c r="BO393" s="61" t="n"/>
      <c r="BP393" s="61" t="n"/>
      <c r="BQ393" s="61" t="n"/>
      <c r="BR393" s="61" t="n"/>
      <c r="BS393" s="61" t="n"/>
      <c r="BT393" s="61" t="n"/>
    </row>
    <row r="394" ht="15.75" customHeight="1" s="79">
      <c r="A394" s="61" t="n"/>
      <c r="B394" s="61" t="n"/>
      <c r="C394" s="61" t="n"/>
      <c r="D394" s="61" t="n"/>
      <c r="E394" s="61" t="n"/>
      <c r="F394" s="61" t="n"/>
      <c r="G394" s="61" t="n"/>
      <c r="H394" s="61" t="n"/>
      <c r="I394" s="61" t="n"/>
      <c r="J394" s="61" t="n"/>
      <c r="K394" s="61" t="n"/>
      <c r="L394" s="61" t="n"/>
      <c r="M394" s="61" t="n"/>
      <c r="N394" s="61" t="n"/>
      <c r="O394" s="61" t="n"/>
      <c r="P394" s="61" t="n"/>
      <c r="Q394" s="61" t="n"/>
      <c r="R394" s="61" t="n"/>
      <c r="S394" s="61" t="n"/>
      <c r="T394" s="61" t="n"/>
      <c r="U394" s="61" t="n"/>
      <c r="V394" s="61" t="n"/>
      <c r="W394" s="61" t="n"/>
      <c r="X394" s="61" t="n"/>
      <c r="Y394" s="61" t="n"/>
      <c r="Z394" s="61" t="n"/>
      <c r="AA394" s="61" t="n"/>
      <c r="AB394" s="61" t="n"/>
      <c r="AC394" s="61" t="n"/>
      <c r="AD394" s="61" t="n"/>
      <c r="AE394" s="61" t="n"/>
      <c r="AF394" s="61" t="n"/>
      <c r="AG394" s="61" t="n"/>
      <c r="AH394" s="61" t="n"/>
      <c r="AI394" s="61" t="n"/>
      <c r="AJ394" s="61" t="n"/>
      <c r="AK394" s="61" t="n"/>
      <c r="AL394" s="61" t="n"/>
      <c r="AM394" s="61" t="n"/>
      <c r="AN394" s="61" t="n"/>
      <c r="AO394" s="61" t="n"/>
      <c r="AP394" s="57" t="n"/>
      <c r="AQ394" s="56" t="n"/>
      <c r="AR394" s="57" t="n"/>
      <c r="AS394" s="61" t="n"/>
      <c r="AT394" s="61" t="n"/>
      <c r="AU394" s="57" t="n"/>
      <c r="AV394" s="61" t="n"/>
      <c r="AW394" s="61" t="n"/>
      <c r="AX394" s="61" t="n"/>
      <c r="AY394" s="61" t="n"/>
      <c r="AZ394" s="61" t="n"/>
      <c r="BA394" s="61" t="n"/>
      <c r="BB394" s="61" t="n"/>
      <c r="BC394" s="61" t="n"/>
      <c r="BD394" s="57" t="n"/>
      <c r="BE394" s="56" t="n"/>
      <c r="BF394" s="56" t="n"/>
      <c r="BG394" s="57" t="n"/>
      <c r="BH394" s="61" t="n"/>
      <c r="BI394" s="61" t="n"/>
      <c r="BJ394" s="61" t="n"/>
      <c r="BK394" s="61" t="n"/>
      <c r="BL394" s="61" t="n"/>
      <c r="BM394" s="61" t="n"/>
      <c r="BN394" s="61" t="n"/>
      <c r="BO394" s="61" t="n"/>
      <c r="BP394" s="61" t="n"/>
      <c r="BQ394" s="61" t="n"/>
      <c r="BR394" s="61" t="n"/>
      <c r="BS394" s="61" t="n"/>
      <c r="BT394" s="61" t="n"/>
    </row>
    <row r="395" ht="15.75" customHeight="1" s="79">
      <c r="A395" s="61" t="n"/>
      <c r="B395" s="61" t="n"/>
      <c r="C395" s="61" t="n"/>
      <c r="D395" s="61" t="n"/>
      <c r="E395" s="61" t="n"/>
      <c r="F395" s="61" t="n"/>
      <c r="G395" s="61" t="n"/>
      <c r="H395" s="61" t="n"/>
      <c r="I395" s="61" t="n"/>
      <c r="J395" s="61" t="n"/>
      <c r="K395" s="61" t="n"/>
      <c r="L395" s="61" t="n"/>
      <c r="M395" s="61" t="n"/>
      <c r="N395" s="61" t="n"/>
      <c r="O395" s="61" t="n"/>
      <c r="P395" s="61" t="n"/>
      <c r="Q395" s="61" t="n"/>
      <c r="R395" s="61" t="n"/>
      <c r="S395" s="61" t="n"/>
      <c r="T395" s="61" t="n"/>
      <c r="U395" s="61" t="n"/>
      <c r="V395" s="61" t="n"/>
      <c r="W395" s="61" t="n"/>
      <c r="X395" s="61" t="n"/>
      <c r="Y395" s="61" t="n"/>
      <c r="Z395" s="61" t="n"/>
      <c r="AA395" s="61" t="n"/>
      <c r="AB395" s="61" t="n"/>
      <c r="AC395" s="61" t="n"/>
      <c r="AD395" s="61" t="n"/>
      <c r="AE395" s="61" t="n"/>
      <c r="AF395" s="61" t="n"/>
      <c r="AG395" s="61" t="n"/>
      <c r="AH395" s="61" t="n"/>
      <c r="AI395" s="61" t="n"/>
      <c r="AJ395" s="61" t="n"/>
      <c r="AK395" s="61" t="n"/>
      <c r="AL395" s="61" t="n"/>
      <c r="AM395" s="61" t="n"/>
      <c r="AN395" s="61" t="n"/>
      <c r="AO395" s="61" t="n"/>
      <c r="AP395" s="57" t="n"/>
      <c r="AQ395" s="56" t="n"/>
      <c r="AR395" s="57" t="n"/>
      <c r="AS395" s="61" t="n"/>
      <c r="AT395" s="61" t="n"/>
      <c r="AU395" s="57" t="n"/>
      <c r="AV395" s="61" t="n"/>
      <c r="AW395" s="61" t="n"/>
      <c r="AX395" s="61" t="n"/>
      <c r="AY395" s="61" t="n"/>
      <c r="AZ395" s="61" t="n"/>
      <c r="BA395" s="61" t="n"/>
      <c r="BB395" s="61" t="n"/>
      <c r="BC395" s="61" t="n"/>
      <c r="BD395" s="57" t="n"/>
      <c r="BE395" s="56" t="n"/>
      <c r="BF395" s="56" t="n"/>
      <c r="BG395" s="57" t="n"/>
      <c r="BH395" s="61" t="n"/>
      <c r="BI395" s="61" t="n"/>
      <c r="BJ395" s="61" t="n"/>
      <c r="BK395" s="61" t="n"/>
      <c r="BL395" s="61" t="n"/>
      <c r="BM395" s="61" t="n"/>
      <c r="BN395" s="61" t="n"/>
      <c r="BO395" s="61" t="n"/>
      <c r="BP395" s="61" t="n"/>
      <c r="BQ395" s="61" t="n"/>
      <c r="BR395" s="61" t="n"/>
      <c r="BS395" s="61" t="n"/>
      <c r="BT395" s="61" t="n"/>
    </row>
    <row r="396" ht="15.75" customHeight="1" s="79">
      <c r="A396" s="61" t="n"/>
      <c r="B396" s="61" t="n"/>
      <c r="C396" s="61" t="n"/>
      <c r="D396" s="61" t="n"/>
      <c r="E396" s="61" t="n"/>
      <c r="F396" s="61" t="n"/>
      <c r="G396" s="61" t="n"/>
      <c r="H396" s="61" t="n"/>
      <c r="I396" s="61" t="n"/>
      <c r="J396" s="61" t="n"/>
      <c r="K396" s="61" t="n"/>
      <c r="L396" s="61" t="n"/>
      <c r="M396" s="61" t="n"/>
      <c r="N396" s="61" t="n"/>
      <c r="O396" s="61" t="n"/>
      <c r="P396" s="61" t="n"/>
      <c r="Q396" s="61" t="n"/>
      <c r="R396" s="61" t="n"/>
      <c r="S396" s="61" t="n"/>
      <c r="T396" s="61" t="n"/>
      <c r="U396" s="61" t="n"/>
      <c r="V396" s="61" t="n"/>
      <c r="W396" s="61" t="n"/>
      <c r="X396" s="61" t="n"/>
      <c r="Y396" s="61" t="n"/>
      <c r="Z396" s="61" t="n"/>
      <c r="AA396" s="61" t="n"/>
      <c r="AB396" s="61" t="n"/>
      <c r="AC396" s="61" t="n"/>
      <c r="AD396" s="61" t="n"/>
      <c r="AE396" s="61" t="n"/>
      <c r="AF396" s="61" t="n"/>
      <c r="AG396" s="61" t="n"/>
      <c r="AH396" s="61" t="n"/>
      <c r="AI396" s="61" t="n"/>
      <c r="AJ396" s="61" t="n"/>
      <c r="AK396" s="61" t="n"/>
      <c r="AL396" s="61" t="n"/>
      <c r="AM396" s="61" t="n"/>
      <c r="AN396" s="61" t="n"/>
      <c r="AO396" s="61" t="n"/>
      <c r="AP396" s="57" t="n"/>
      <c r="AQ396" s="56" t="n"/>
      <c r="AR396" s="57" t="n"/>
      <c r="AS396" s="61" t="n"/>
      <c r="AT396" s="61" t="n"/>
      <c r="AU396" s="57" t="n"/>
      <c r="AV396" s="61" t="n"/>
      <c r="AW396" s="61" t="n"/>
      <c r="AX396" s="61" t="n"/>
      <c r="AY396" s="61" t="n"/>
      <c r="AZ396" s="61" t="n"/>
      <c r="BA396" s="61" t="n"/>
      <c r="BB396" s="61" t="n"/>
      <c r="BC396" s="61" t="n"/>
      <c r="BD396" s="57" t="n"/>
      <c r="BE396" s="56" t="n"/>
      <c r="BF396" s="56" t="n"/>
      <c r="BG396" s="57" t="n"/>
      <c r="BH396" s="61" t="n"/>
      <c r="BI396" s="61" t="n"/>
      <c r="BJ396" s="61" t="n"/>
      <c r="BK396" s="61" t="n"/>
      <c r="BL396" s="61" t="n"/>
      <c r="BM396" s="61" t="n"/>
      <c r="BN396" s="61" t="n"/>
      <c r="BO396" s="61" t="n"/>
      <c r="BP396" s="61" t="n"/>
      <c r="BQ396" s="61" t="n"/>
      <c r="BR396" s="61" t="n"/>
      <c r="BS396" s="61" t="n"/>
      <c r="BT396" s="61" t="n"/>
    </row>
    <row r="397" ht="15.75" customHeight="1" s="79">
      <c r="A397" s="61" t="n"/>
      <c r="B397" s="61" t="n"/>
      <c r="C397" s="61" t="n"/>
      <c r="D397" s="61" t="n"/>
      <c r="E397" s="61" t="n"/>
      <c r="F397" s="61" t="n"/>
      <c r="G397" s="61" t="n"/>
      <c r="H397" s="61" t="n"/>
      <c r="I397" s="61" t="n"/>
      <c r="J397" s="61" t="n"/>
      <c r="K397" s="61" t="n"/>
      <c r="L397" s="61" t="n"/>
      <c r="M397" s="61" t="n"/>
      <c r="N397" s="61" t="n"/>
      <c r="O397" s="61" t="n"/>
      <c r="P397" s="61" t="n"/>
      <c r="Q397" s="61" t="n"/>
      <c r="R397" s="61" t="n"/>
      <c r="S397" s="61" t="n"/>
      <c r="T397" s="61" t="n"/>
      <c r="U397" s="61" t="n"/>
      <c r="V397" s="61" t="n"/>
      <c r="W397" s="61" t="n"/>
      <c r="X397" s="61" t="n"/>
      <c r="Y397" s="61" t="n"/>
      <c r="Z397" s="61" t="n"/>
      <c r="AA397" s="61" t="n"/>
      <c r="AB397" s="61" t="n"/>
      <c r="AC397" s="61" t="n"/>
      <c r="AD397" s="61" t="n"/>
      <c r="AE397" s="61" t="n"/>
      <c r="AF397" s="61" t="n"/>
      <c r="AG397" s="61" t="n"/>
      <c r="AH397" s="61" t="n"/>
      <c r="AI397" s="61" t="n"/>
      <c r="AJ397" s="61" t="n"/>
      <c r="AK397" s="61" t="n"/>
      <c r="AL397" s="61" t="n"/>
      <c r="AM397" s="61" t="n"/>
      <c r="AN397" s="61" t="n"/>
      <c r="AO397" s="61" t="n"/>
      <c r="AP397" s="57" t="n"/>
      <c r="AQ397" s="56" t="n"/>
      <c r="AR397" s="57" t="n"/>
      <c r="AS397" s="61" t="n"/>
      <c r="AT397" s="61" t="n"/>
      <c r="AU397" s="57" t="n"/>
      <c r="AV397" s="61" t="n"/>
      <c r="AW397" s="61" t="n"/>
      <c r="AX397" s="61" t="n"/>
      <c r="AY397" s="61" t="n"/>
      <c r="AZ397" s="61" t="n"/>
      <c r="BA397" s="61" t="n"/>
      <c r="BB397" s="61" t="n"/>
      <c r="BC397" s="61" t="n"/>
      <c r="BD397" s="57" t="n"/>
      <c r="BE397" s="56" t="n"/>
      <c r="BF397" s="56" t="n"/>
      <c r="BG397" s="57" t="n"/>
      <c r="BH397" s="61" t="n"/>
      <c r="BI397" s="61" t="n"/>
      <c r="BJ397" s="61" t="n"/>
      <c r="BK397" s="61" t="n"/>
      <c r="BL397" s="61" t="n"/>
      <c r="BM397" s="61" t="n"/>
      <c r="BN397" s="61" t="n"/>
      <c r="BO397" s="61" t="n"/>
      <c r="BP397" s="61" t="n"/>
      <c r="BQ397" s="61" t="n"/>
      <c r="BR397" s="61" t="n"/>
      <c r="BS397" s="61" t="n"/>
      <c r="BT397" s="61" t="n"/>
    </row>
    <row r="398" ht="15.75" customHeight="1" s="79">
      <c r="A398" s="61" t="n"/>
      <c r="B398" s="61" t="n"/>
      <c r="C398" s="61" t="n"/>
      <c r="D398" s="61" t="n"/>
      <c r="E398" s="61" t="n"/>
      <c r="F398" s="61" t="n"/>
      <c r="G398" s="61" t="n"/>
      <c r="H398" s="61" t="n"/>
      <c r="I398" s="61" t="n"/>
      <c r="J398" s="61" t="n"/>
      <c r="K398" s="61" t="n"/>
      <c r="L398" s="61" t="n"/>
      <c r="M398" s="61" t="n"/>
      <c r="N398" s="61" t="n"/>
      <c r="O398" s="61" t="n"/>
      <c r="P398" s="61" t="n"/>
      <c r="Q398" s="61" t="n"/>
      <c r="R398" s="61" t="n"/>
      <c r="S398" s="61" t="n"/>
      <c r="T398" s="61" t="n"/>
      <c r="U398" s="61" t="n"/>
      <c r="V398" s="61" t="n"/>
      <c r="W398" s="61" t="n"/>
      <c r="X398" s="61" t="n"/>
      <c r="Y398" s="61" t="n"/>
      <c r="Z398" s="61" t="n"/>
      <c r="AA398" s="61" t="n"/>
      <c r="AB398" s="61" t="n"/>
      <c r="AC398" s="61" t="n"/>
      <c r="AD398" s="61" t="n"/>
      <c r="AE398" s="61" t="n"/>
      <c r="AF398" s="61" t="n"/>
      <c r="AG398" s="61" t="n"/>
      <c r="AH398" s="61" t="n"/>
      <c r="AI398" s="61" t="n"/>
      <c r="AJ398" s="61" t="n"/>
      <c r="AK398" s="61" t="n"/>
      <c r="AL398" s="61" t="n"/>
      <c r="AM398" s="61" t="n"/>
      <c r="AN398" s="61" t="n"/>
      <c r="AO398" s="61" t="n"/>
      <c r="AP398" s="57" t="n"/>
      <c r="AQ398" s="56" t="n"/>
      <c r="AR398" s="57" t="n"/>
      <c r="AS398" s="61" t="n"/>
      <c r="AT398" s="61" t="n"/>
      <c r="AU398" s="57" t="n"/>
      <c r="AV398" s="61" t="n"/>
      <c r="AW398" s="61" t="n"/>
      <c r="AX398" s="61" t="n"/>
      <c r="AY398" s="61" t="n"/>
      <c r="AZ398" s="61" t="n"/>
      <c r="BA398" s="61" t="n"/>
      <c r="BB398" s="61" t="n"/>
      <c r="BC398" s="61" t="n"/>
      <c r="BD398" s="57" t="n"/>
      <c r="BE398" s="56" t="n"/>
      <c r="BF398" s="56" t="n"/>
      <c r="BG398" s="57" t="n"/>
      <c r="BH398" s="61" t="n"/>
      <c r="BI398" s="61" t="n"/>
      <c r="BJ398" s="61" t="n"/>
      <c r="BK398" s="61" t="n"/>
      <c r="BL398" s="61" t="n"/>
      <c r="BM398" s="61" t="n"/>
      <c r="BN398" s="61" t="n"/>
      <c r="BO398" s="61" t="n"/>
      <c r="BP398" s="61" t="n"/>
      <c r="BQ398" s="61" t="n"/>
      <c r="BR398" s="61" t="n"/>
      <c r="BS398" s="61" t="n"/>
      <c r="BT398" s="61" t="n"/>
    </row>
    <row r="399" ht="15.75" customHeight="1" s="79">
      <c r="A399" s="61" t="n"/>
      <c r="B399" s="61" t="n"/>
      <c r="C399" s="61" t="n"/>
      <c r="D399" s="61" t="n"/>
      <c r="E399" s="61" t="n"/>
      <c r="F399" s="61" t="n"/>
      <c r="G399" s="61" t="n"/>
      <c r="H399" s="61" t="n"/>
      <c r="I399" s="61" t="n"/>
      <c r="J399" s="61" t="n"/>
      <c r="K399" s="61" t="n"/>
      <c r="L399" s="61" t="n"/>
      <c r="M399" s="61" t="n"/>
      <c r="N399" s="61" t="n"/>
      <c r="O399" s="61" t="n"/>
      <c r="P399" s="61" t="n"/>
      <c r="Q399" s="61" t="n"/>
      <c r="R399" s="61" t="n"/>
      <c r="S399" s="61" t="n"/>
      <c r="T399" s="61" t="n"/>
      <c r="U399" s="61" t="n"/>
      <c r="V399" s="61" t="n"/>
      <c r="W399" s="61" t="n"/>
      <c r="X399" s="61" t="n"/>
      <c r="Y399" s="61" t="n"/>
      <c r="Z399" s="61" t="n"/>
      <c r="AA399" s="61" t="n"/>
      <c r="AB399" s="61" t="n"/>
      <c r="AC399" s="61" t="n"/>
      <c r="AD399" s="61" t="n"/>
      <c r="AE399" s="61" t="n"/>
      <c r="AF399" s="61" t="n"/>
      <c r="AG399" s="61" t="n"/>
      <c r="AH399" s="61" t="n"/>
      <c r="AI399" s="61" t="n"/>
      <c r="AJ399" s="61" t="n"/>
      <c r="AK399" s="61" t="n"/>
      <c r="AL399" s="61" t="n"/>
      <c r="AM399" s="61" t="n"/>
      <c r="AN399" s="61" t="n"/>
      <c r="AO399" s="61" t="n"/>
      <c r="AP399" s="57" t="n"/>
      <c r="AQ399" s="56" t="n"/>
      <c r="AR399" s="57" t="n"/>
      <c r="AS399" s="61" t="n"/>
      <c r="AT399" s="61" t="n"/>
      <c r="AU399" s="57" t="n"/>
      <c r="AV399" s="61" t="n"/>
      <c r="AW399" s="61" t="n"/>
      <c r="AX399" s="61" t="n"/>
      <c r="AY399" s="61" t="n"/>
      <c r="AZ399" s="61" t="n"/>
      <c r="BA399" s="61" t="n"/>
      <c r="BB399" s="61" t="n"/>
      <c r="BC399" s="61" t="n"/>
      <c r="BD399" s="57" t="n"/>
      <c r="BE399" s="56" t="n"/>
      <c r="BF399" s="56" t="n"/>
      <c r="BG399" s="57" t="n"/>
      <c r="BH399" s="61" t="n"/>
      <c r="BI399" s="61" t="n"/>
      <c r="BJ399" s="61" t="n"/>
      <c r="BK399" s="61" t="n"/>
      <c r="BL399" s="61" t="n"/>
      <c r="BM399" s="61" t="n"/>
      <c r="BN399" s="61" t="n"/>
      <c r="BO399" s="61" t="n"/>
      <c r="BP399" s="61" t="n"/>
      <c r="BQ399" s="61" t="n"/>
      <c r="BR399" s="61" t="n"/>
      <c r="BS399" s="61" t="n"/>
      <c r="BT399" s="61" t="n"/>
    </row>
    <row r="400" ht="15.75" customHeight="1" s="79">
      <c r="A400" s="61" t="n"/>
      <c r="B400" s="61" t="n"/>
      <c r="C400" s="61" t="n"/>
      <c r="D400" s="61" t="n"/>
      <c r="E400" s="61" t="n"/>
      <c r="F400" s="61" t="n"/>
      <c r="G400" s="61" t="n"/>
      <c r="H400" s="61" t="n"/>
      <c r="I400" s="61" t="n"/>
      <c r="J400" s="61" t="n"/>
      <c r="K400" s="61" t="n"/>
      <c r="L400" s="61" t="n"/>
      <c r="M400" s="61" t="n"/>
      <c r="N400" s="61" t="n"/>
      <c r="O400" s="61" t="n"/>
      <c r="P400" s="61" t="n"/>
      <c r="Q400" s="61" t="n"/>
      <c r="R400" s="61" t="n"/>
      <c r="S400" s="61" t="n"/>
      <c r="T400" s="61" t="n"/>
      <c r="U400" s="61" t="n"/>
      <c r="V400" s="61" t="n"/>
      <c r="W400" s="61" t="n"/>
      <c r="X400" s="61" t="n"/>
      <c r="Y400" s="61" t="n"/>
      <c r="Z400" s="61" t="n"/>
      <c r="AA400" s="61" t="n"/>
      <c r="AB400" s="61" t="n"/>
      <c r="AC400" s="61" t="n"/>
      <c r="AD400" s="61" t="n"/>
      <c r="AE400" s="61" t="n"/>
      <c r="AF400" s="61" t="n"/>
      <c r="AG400" s="61" t="n"/>
      <c r="AH400" s="61" t="n"/>
      <c r="AI400" s="61" t="n"/>
      <c r="AJ400" s="61" t="n"/>
      <c r="AK400" s="61" t="n"/>
      <c r="AL400" s="61" t="n"/>
      <c r="AM400" s="61" t="n"/>
      <c r="AN400" s="61" t="n"/>
      <c r="AO400" s="61" t="n"/>
      <c r="AP400" s="57" t="n"/>
      <c r="AQ400" s="56" t="n"/>
      <c r="AR400" s="57" t="n"/>
      <c r="AS400" s="61" t="n"/>
      <c r="AT400" s="61" t="n"/>
      <c r="AU400" s="57" t="n"/>
      <c r="AV400" s="61" t="n"/>
      <c r="AW400" s="61" t="n"/>
      <c r="AX400" s="61" t="n"/>
      <c r="AY400" s="61" t="n"/>
      <c r="AZ400" s="61" t="n"/>
      <c r="BA400" s="61" t="n"/>
      <c r="BB400" s="61" t="n"/>
      <c r="BC400" s="61" t="n"/>
      <c r="BD400" s="57" t="n"/>
      <c r="BE400" s="56" t="n"/>
      <c r="BF400" s="56" t="n"/>
      <c r="BG400" s="57" t="n"/>
      <c r="BH400" s="61" t="n"/>
      <c r="BI400" s="61" t="n"/>
      <c r="BJ400" s="61" t="n"/>
      <c r="BK400" s="61" t="n"/>
      <c r="BL400" s="61" t="n"/>
      <c r="BM400" s="61" t="n"/>
      <c r="BN400" s="61" t="n"/>
      <c r="BO400" s="61" t="n"/>
      <c r="BP400" s="61" t="n"/>
      <c r="BQ400" s="61" t="n"/>
      <c r="BR400" s="61" t="n"/>
      <c r="BS400" s="61" t="n"/>
      <c r="BT400" s="61" t="n"/>
    </row>
    <row r="401" ht="15.75" customHeight="1" s="79">
      <c r="A401" s="61" t="n"/>
      <c r="B401" s="61" t="n"/>
      <c r="C401" s="61" t="n"/>
      <c r="D401" s="61" t="n"/>
      <c r="E401" s="61" t="n"/>
      <c r="F401" s="61" t="n"/>
      <c r="G401" s="61" t="n"/>
      <c r="H401" s="61" t="n"/>
      <c r="I401" s="61" t="n"/>
      <c r="J401" s="61" t="n"/>
      <c r="K401" s="61" t="n"/>
      <c r="L401" s="61" t="n"/>
      <c r="M401" s="61" t="n"/>
      <c r="N401" s="61" t="n"/>
      <c r="O401" s="61" t="n"/>
      <c r="P401" s="61" t="n"/>
      <c r="Q401" s="61" t="n"/>
      <c r="R401" s="61" t="n"/>
      <c r="S401" s="61" t="n"/>
      <c r="T401" s="61" t="n"/>
      <c r="U401" s="61" t="n"/>
      <c r="V401" s="61" t="n"/>
      <c r="W401" s="61" t="n"/>
      <c r="X401" s="61" t="n"/>
      <c r="Y401" s="61" t="n"/>
      <c r="Z401" s="61" t="n"/>
      <c r="AA401" s="61" t="n"/>
      <c r="AB401" s="61" t="n"/>
      <c r="AC401" s="61" t="n"/>
      <c r="AD401" s="61" t="n"/>
      <c r="AE401" s="61" t="n"/>
      <c r="AF401" s="61" t="n"/>
      <c r="AG401" s="61" t="n"/>
      <c r="AH401" s="61" t="n"/>
      <c r="AI401" s="61" t="n"/>
      <c r="AJ401" s="61" t="n"/>
      <c r="AK401" s="61" t="n"/>
      <c r="AL401" s="61" t="n"/>
      <c r="AM401" s="61" t="n"/>
      <c r="AN401" s="61" t="n"/>
      <c r="AO401" s="61" t="n"/>
      <c r="AP401" s="57" t="n"/>
      <c r="AQ401" s="56" t="n"/>
      <c r="AR401" s="57" t="n"/>
      <c r="AS401" s="61" t="n"/>
      <c r="AT401" s="61" t="n"/>
      <c r="AU401" s="57" t="n"/>
      <c r="AV401" s="61" t="n"/>
      <c r="AW401" s="61" t="n"/>
      <c r="AX401" s="61" t="n"/>
      <c r="AY401" s="61" t="n"/>
      <c r="AZ401" s="61" t="n"/>
      <c r="BA401" s="61" t="n"/>
      <c r="BB401" s="61" t="n"/>
      <c r="BC401" s="61" t="n"/>
      <c r="BD401" s="57" t="n"/>
      <c r="BE401" s="56" t="n"/>
      <c r="BF401" s="56" t="n"/>
      <c r="BG401" s="57" t="n"/>
      <c r="BH401" s="61" t="n"/>
      <c r="BI401" s="61" t="n"/>
      <c r="BJ401" s="61" t="n"/>
      <c r="BK401" s="61" t="n"/>
      <c r="BL401" s="61" t="n"/>
      <c r="BM401" s="61" t="n"/>
      <c r="BN401" s="61" t="n"/>
      <c r="BO401" s="61" t="n"/>
      <c r="BP401" s="61" t="n"/>
      <c r="BQ401" s="61" t="n"/>
      <c r="BR401" s="61" t="n"/>
      <c r="BS401" s="61" t="n"/>
      <c r="BT401" s="61" t="n"/>
    </row>
    <row r="402" ht="15.75" customHeight="1" s="79">
      <c r="A402" s="61" t="n"/>
      <c r="B402" s="61" t="n"/>
      <c r="C402" s="61" t="n"/>
      <c r="D402" s="61" t="n"/>
      <c r="E402" s="61" t="n"/>
      <c r="F402" s="61" t="n"/>
      <c r="G402" s="61" t="n"/>
      <c r="H402" s="61" t="n"/>
      <c r="I402" s="61" t="n"/>
      <c r="J402" s="61" t="n"/>
      <c r="K402" s="61" t="n"/>
      <c r="L402" s="61" t="n"/>
      <c r="M402" s="61" t="n"/>
      <c r="N402" s="61" t="n"/>
      <c r="O402" s="61" t="n"/>
      <c r="P402" s="61" t="n"/>
      <c r="Q402" s="61" t="n"/>
      <c r="R402" s="61" t="n"/>
      <c r="S402" s="61" t="n"/>
      <c r="T402" s="61" t="n"/>
      <c r="U402" s="61" t="n"/>
      <c r="V402" s="61" t="n"/>
      <c r="W402" s="61" t="n"/>
      <c r="X402" s="61" t="n"/>
      <c r="Y402" s="61" t="n"/>
      <c r="Z402" s="61" t="n"/>
      <c r="AA402" s="61" t="n"/>
      <c r="AB402" s="61" t="n"/>
      <c r="AC402" s="61" t="n"/>
      <c r="AD402" s="61" t="n"/>
      <c r="AE402" s="61" t="n"/>
      <c r="AF402" s="61" t="n"/>
      <c r="AG402" s="61" t="n"/>
      <c r="AH402" s="61" t="n"/>
      <c r="AI402" s="61" t="n"/>
      <c r="AJ402" s="61" t="n"/>
      <c r="AK402" s="61" t="n"/>
      <c r="AL402" s="61" t="n"/>
      <c r="AM402" s="61" t="n"/>
      <c r="AN402" s="61" t="n"/>
      <c r="AO402" s="61" t="n"/>
      <c r="AP402" s="57" t="n"/>
      <c r="AQ402" s="56" t="n"/>
      <c r="AR402" s="57" t="n"/>
      <c r="AS402" s="61" t="n"/>
      <c r="AT402" s="61" t="n"/>
      <c r="AU402" s="57" t="n"/>
      <c r="AV402" s="61" t="n"/>
      <c r="AW402" s="61" t="n"/>
      <c r="AX402" s="61" t="n"/>
      <c r="AY402" s="61" t="n"/>
      <c r="AZ402" s="61" t="n"/>
      <c r="BA402" s="61" t="n"/>
      <c r="BB402" s="61" t="n"/>
      <c r="BC402" s="61" t="n"/>
      <c r="BD402" s="57" t="n"/>
      <c r="BE402" s="56" t="n"/>
      <c r="BF402" s="56" t="n"/>
      <c r="BG402" s="57" t="n"/>
      <c r="BH402" s="61" t="n"/>
      <c r="BI402" s="61" t="n"/>
      <c r="BJ402" s="61" t="n"/>
      <c r="BK402" s="61" t="n"/>
      <c r="BL402" s="61" t="n"/>
      <c r="BM402" s="61" t="n"/>
      <c r="BN402" s="61" t="n"/>
      <c r="BO402" s="61" t="n"/>
      <c r="BP402" s="61" t="n"/>
      <c r="BQ402" s="61" t="n"/>
      <c r="BR402" s="61" t="n"/>
      <c r="BS402" s="61" t="n"/>
      <c r="BT402" s="61" t="n"/>
    </row>
    <row r="403" ht="15.75" customHeight="1" s="79">
      <c r="A403" s="61" t="n"/>
      <c r="B403" s="61" t="n"/>
      <c r="C403" s="61" t="n"/>
      <c r="D403" s="61" t="n"/>
      <c r="E403" s="61" t="n"/>
      <c r="F403" s="61" t="n"/>
      <c r="G403" s="61" t="n"/>
      <c r="H403" s="61" t="n"/>
      <c r="I403" s="61" t="n"/>
      <c r="J403" s="61" t="n"/>
      <c r="K403" s="61" t="n"/>
      <c r="L403" s="61" t="n"/>
      <c r="M403" s="61" t="n"/>
      <c r="N403" s="61" t="n"/>
      <c r="O403" s="61" t="n"/>
      <c r="P403" s="61" t="n"/>
      <c r="Q403" s="61" t="n"/>
      <c r="R403" s="61" t="n"/>
      <c r="S403" s="61" t="n"/>
      <c r="T403" s="61" t="n"/>
      <c r="U403" s="61" t="n"/>
      <c r="V403" s="61" t="n"/>
      <c r="W403" s="61" t="n"/>
      <c r="X403" s="61" t="n"/>
      <c r="Y403" s="61" t="n"/>
      <c r="Z403" s="61" t="n"/>
      <c r="AA403" s="61" t="n"/>
      <c r="AB403" s="61" t="n"/>
      <c r="AC403" s="61" t="n"/>
      <c r="AD403" s="61" t="n"/>
      <c r="AE403" s="61" t="n"/>
      <c r="AF403" s="61" t="n"/>
      <c r="AG403" s="61" t="n"/>
      <c r="AH403" s="61" t="n"/>
      <c r="AI403" s="61" t="n"/>
      <c r="AJ403" s="61" t="n"/>
      <c r="AK403" s="61" t="n"/>
      <c r="AL403" s="61" t="n"/>
      <c r="AM403" s="61" t="n"/>
      <c r="AN403" s="61" t="n"/>
      <c r="AO403" s="61" t="n"/>
      <c r="AP403" s="57" t="n"/>
      <c r="AQ403" s="56" t="n"/>
      <c r="AR403" s="57" t="n"/>
      <c r="AS403" s="61" t="n"/>
      <c r="AT403" s="61" t="n"/>
      <c r="AU403" s="57" t="n"/>
      <c r="AV403" s="61" t="n"/>
      <c r="AW403" s="61" t="n"/>
      <c r="AX403" s="61" t="n"/>
      <c r="AY403" s="61" t="n"/>
      <c r="AZ403" s="61" t="n"/>
      <c r="BA403" s="61" t="n"/>
      <c r="BB403" s="61" t="n"/>
      <c r="BC403" s="61" t="n"/>
      <c r="BD403" s="57" t="n"/>
      <c r="BE403" s="56" t="n"/>
      <c r="BF403" s="56" t="n"/>
      <c r="BG403" s="57" t="n"/>
      <c r="BH403" s="61" t="n"/>
      <c r="BI403" s="61" t="n"/>
      <c r="BJ403" s="61" t="n"/>
      <c r="BK403" s="61" t="n"/>
      <c r="BL403" s="61" t="n"/>
      <c r="BM403" s="61" t="n"/>
      <c r="BN403" s="61" t="n"/>
      <c r="BO403" s="61" t="n"/>
      <c r="BP403" s="61" t="n"/>
      <c r="BQ403" s="61" t="n"/>
      <c r="BR403" s="61" t="n"/>
      <c r="BS403" s="61" t="n"/>
      <c r="BT403" s="61" t="n"/>
    </row>
    <row r="404" ht="15.75" customHeight="1" s="79">
      <c r="A404" s="61" t="n"/>
      <c r="B404" s="61" t="n"/>
      <c r="C404" s="61" t="n"/>
      <c r="D404" s="61" t="n"/>
      <c r="E404" s="61" t="n"/>
      <c r="F404" s="61" t="n"/>
      <c r="G404" s="61" t="n"/>
      <c r="H404" s="61" t="n"/>
      <c r="I404" s="61" t="n"/>
      <c r="J404" s="61" t="n"/>
      <c r="K404" s="61" t="n"/>
      <c r="L404" s="61" t="n"/>
      <c r="M404" s="61" t="n"/>
      <c r="N404" s="61" t="n"/>
      <c r="O404" s="61" t="n"/>
      <c r="P404" s="61" t="n"/>
      <c r="Q404" s="61" t="n"/>
      <c r="R404" s="61" t="n"/>
      <c r="S404" s="61" t="n"/>
      <c r="T404" s="61" t="n"/>
      <c r="U404" s="61" t="n"/>
      <c r="V404" s="61" t="n"/>
      <c r="W404" s="61" t="n"/>
      <c r="X404" s="61" t="n"/>
      <c r="Y404" s="61" t="n"/>
      <c r="Z404" s="61" t="n"/>
      <c r="AA404" s="61" t="n"/>
      <c r="AB404" s="61" t="n"/>
      <c r="AC404" s="61" t="n"/>
      <c r="AD404" s="61" t="n"/>
      <c r="AE404" s="61" t="n"/>
      <c r="AF404" s="61" t="n"/>
      <c r="AG404" s="61" t="n"/>
      <c r="AH404" s="61" t="n"/>
      <c r="AI404" s="61" t="n"/>
      <c r="AJ404" s="61" t="n"/>
      <c r="AK404" s="61" t="n"/>
      <c r="AL404" s="61" t="n"/>
      <c r="AM404" s="61" t="n"/>
      <c r="AN404" s="61" t="n"/>
      <c r="AO404" s="61" t="n"/>
      <c r="AP404" s="57" t="n"/>
      <c r="AQ404" s="56" t="n"/>
      <c r="AR404" s="57" t="n"/>
      <c r="AS404" s="61" t="n"/>
      <c r="AT404" s="61" t="n"/>
      <c r="AU404" s="57" t="n"/>
      <c r="AV404" s="61" t="n"/>
      <c r="AW404" s="61" t="n"/>
      <c r="AX404" s="61" t="n"/>
      <c r="AY404" s="61" t="n"/>
      <c r="AZ404" s="61" t="n"/>
      <c r="BA404" s="61" t="n"/>
      <c r="BB404" s="61" t="n"/>
      <c r="BC404" s="61" t="n"/>
      <c r="BD404" s="57" t="n"/>
      <c r="BE404" s="56" t="n"/>
      <c r="BF404" s="56" t="n"/>
      <c r="BG404" s="57" t="n"/>
      <c r="BH404" s="61" t="n"/>
      <c r="BI404" s="61" t="n"/>
      <c r="BJ404" s="61" t="n"/>
      <c r="BK404" s="61" t="n"/>
      <c r="BL404" s="61" t="n"/>
      <c r="BM404" s="61" t="n"/>
      <c r="BN404" s="61" t="n"/>
      <c r="BO404" s="61" t="n"/>
      <c r="BP404" s="61" t="n"/>
      <c r="BQ404" s="61" t="n"/>
      <c r="BR404" s="61" t="n"/>
      <c r="BS404" s="61" t="n"/>
      <c r="BT404" s="61" t="n"/>
    </row>
    <row r="405" ht="15.75" customHeight="1" s="79">
      <c r="A405" s="61" t="n"/>
      <c r="B405" s="61" t="n"/>
      <c r="C405" s="61" t="n"/>
      <c r="D405" s="61" t="n"/>
      <c r="E405" s="61" t="n"/>
      <c r="F405" s="61" t="n"/>
      <c r="G405" s="61" t="n"/>
      <c r="H405" s="61" t="n"/>
      <c r="I405" s="61" t="n"/>
      <c r="J405" s="61" t="n"/>
      <c r="K405" s="61" t="n"/>
      <c r="L405" s="61" t="n"/>
      <c r="M405" s="61" t="n"/>
      <c r="N405" s="61" t="n"/>
      <c r="O405" s="61" t="n"/>
      <c r="P405" s="61" t="n"/>
      <c r="Q405" s="61" t="n"/>
      <c r="R405" s="61" t="n"/>
      <c r="S405" s="61" t="n"/>
      <c r="T405" s="61" t="n"/>
      <c r="U405" s="61" t="n"/>
      <c r="V405" s="61" t="n"/>
      <c r="W405" s="61" t="n"/>
      <c r="X405" s="61" t="n"/>
      <c r="Y405" s="61" t="n"/>
      <c r="Z405" s="61" t="n"/>
      <c r="AA405" s="61" t="n"/>
      <c r="AB405" s="61" t="n"/>
      <c r="AC405" s="61" t="n"/>
      <c r="AD405" s="61" t="n"/>
      <c r="AE405" s="61" t="n"/>
      <c r="AF405" s="61" t="n"/>
      <c r="AG405" s="61" t="n"/>
      <c r="AH405" s="61" t="n"/>
      <c r="AI405" s="61" t="n"/>
      <c r="AJ405" s="61" t="n"/>
      <c r="AK405" s="61" t="n"/>
      <c r="AL405" s="61" t="n"/>
      <c r="AM405" s="61" t="n"/>
      <c r="AN405" s="61" t="n"/>
      <c r="AO405" s="61" t="n"/>
      <c r="AP405" s="57" t="n"/>
      <c r="AQ405" s="56" t="n"/>
      <c r="AR405" s="57" t="n"/>
      <c r="AS405" s="61" t="n"/>
      <c r="AT405" s="61" t="n"/>
      <c r="AU405" s="57" t="n"/>
      <c r="AV405" s="61" t="n"/>
      <c r="AW405" s="61" t="n"/>
      <c r="AX405" s="61" t="n"/>
      <c r="AY405" s="61" t="n"/>
      <c r="AZ405" s="61" t="n"/>
      <c r="BA405" s="61" t="n"/>
      <c r="BB405" s="61" t="n"/>
      <c r="BC405" s="61" t="n"/>
      <c r="BD405" s="57" t="n"/>
      <c r="BE405" s="56" t="n"/>
      <c r="BF405" s="56" t="n"/>
      <c r="BG405" s="57" t="n"/>
      <c r="BH405" s="61" t="n"/>
      <c r="BI405" s="61" t="n"/>
      <c r="BJ405" s="61" t="n"/>
      <c r="BK405" s="61" t="n"/>
      <c r="BL405" s="61" t="n"/>
      <c r="BM405" s="61" t="n"/>
      <c r="BN405" s="61" t="n"/>
      <c r="BO405" s="61" t="n"/>
      <c r="BP405" s="61" t="n"/>
      <c r="BQ405" s="61" t="n"/>
      <c r="BR405" s="61" t="n"/>
      <c r="BS405" s="61" t="n"/>
      <c r="BT405" s="61" t="n"/>
    </row>
    <row r="406" ht="15.75" customHeight="1" s="79">
      <c r="A406" s="61" t="n"/>
      <c r="B406" s="61" t="n"/>
      <c r="C406" s="61" t="n"/>
      <c r="D406" s="61" t="n"/>
      <c r="E406" s="61" t="n"/>
      <c r="F406" s="61" t="n"/>
      <c r="G406" s="61" t="n"/>
      <c r="H406" s="61" t="n"/>
      <c r="I406" s="61" t="n"/>
      <c r="J406" s="61" t="n"/>
      <c r="K406" s="61" t="n"/>
      <c r="L406" s="61" t="n"/>
      <c r="M406" s="61" t="n"/>
      <c r="N406" s="61" t="n"/>
      <c r="O406" s="61" t="n"/>
      <c r="P406" s="61" t="n"/>
      <c r="Q406" s="61" t="n"/>
      <c r="R406" s="61" t="n"/>
      <c r="S406" s="61" t="n"/>
      <c r="T406" s="61" t="n"/>
      <c r="U406" s="61" t="n"/>
      <c r="V406" s="61" t="n"/>
      <c r="W406" s="61" t="n"/>
      <c r="X406" s="61" t="n"/>
      <c r="Y406" s="61" t="n"/>
      <c r="Z406" s="61" t="n"/>
      <c r="AA406" s="61" t="n"/>
      <c r="AB406" s="61" t="n"/>
      <c r="AC406" s="61" t="n"/>
      <c r="AD406" s="61" t="n"/>
      <c r="AE406" s="61" t="n"/>
      <c r="AF406" s="61" t="n"/>
      <c r="AG406" s="61" t="n"/>
      <c r="AH406" s="61" t="n"/>
      <c r="AI406" s="61" t="n"/>
      <c r="AJ406" s="61" t="n"/>
      <c r="AK406" s="61" t="n"/>
      <c r="AL406" s="61" t="n"/>
      <c r="AM406" s="61" t="n"/>
      <c r="AN406" s="61" t="n"/>
      <c r="AO406" s="61" t="n"/>
      <c r="AP406" s="57" t="n"/>
      <c r="AQ406" s="56" t="n"/>
      <c r="AR406" s="57" t="n"/>
      <c r="AS406" s="61" t="n"/>
      <c r="AT406" s="61" t="n"/>
      <c r="AU406" s="57" t="n"/>
      <c r="AV406" s="61" t="n"/>
      <c r="AW406" s="61" t="n"/>
      <c r="AX406" s="61" t="n"/>
      <c r="AY406" s="61" t="n"/>
      <c r="AZ406" s="61" t="n"/>
      <c r="BA406" s="61" t="n"/>
      <c r="BB406" s="61" t="n"/>
      <c r="BC406" s="61" t="n"/>
      <c r="BD406" s="57" t="n"/>
      <c r="BE406" s="56" t="n"/>
      <c r="BF406" s="56" t="n"/>
      <c r="BG406" s="57" t="n"/>
      <c r="BH406" s="61" t="n"/>
      <c r="BI406" s="61" t="n"/>
      <c r="BJ406" s="61" t="n"/>
      <c r="BK406" s="61" t="n"/>
      <c r="BL406" s="61" t="n"/>
      <c r="BM406" s="61" t="n"/>
      <c r="BN406" s="61" t="n"/>
      <c r="BO406" s="61" t="n"/>
      <c r="BP406" s="61" t="n"/>
      <c r="BQ406" s="61" t="n"/>
      <c r="BR406" s="61" t="n"/>
      <c r="BS406" s="61" t="n"/>
      <c r="BT406" s="61" t="n"/>
    </row>
    <row r="407" ht="15.75" customHeight="1" s="79">
      <c r="A407" s="61" t="n"/>
      <c r="B407" s="61" t="n"/>
      <c r="C407" s="61" t="n"/>
      <c r="D407" s="61" t="n"/>
      <c r="E407" s="61" t="n"/>
      <c r="F407" s="61" t="n"/>
      <c r="G407" s="61" t="n"/>
      <c r="H407" s="61" t="n"/>
      <c r="I407" s="61" t="n"/>
      <c r="J407" s="61" t="n"/>
      <c r="K407" s="61" t="n"/>
      <c r="L407" s="61" t="n"/>
      <c r="M407" s="61" t="n"/>
      <c r="N407" s="61" t="n"/>
      <c r="O407" s="61" t="n"/>
      <c r="P407" s="61" t="n"/>
      <c r="Q407" s="61" t="n"/>
      <c r="R407" s="61" t="n"/>
      <c r="S407" s="61" t="n"/>
      <c r="T407" s="61" t="n"/>
      <c r="U407" s="61" t="n"/>
      <c r="V407" s="61" t="n"/>
      <c r="W407" s="61" t="n"/>
      <c r="X407" s="61" t="n"/>
      <c r="Y407" s="61" t="n"/>
      <c r="Z407" s="61" t="n"/>
      <c r="AA407" s="61" t="n"/>
      <c r="AB407" s="61" t="n"/>
      <c r="AC407" s="61" t="n"/>
      <c r="AD407" s="61" t="n"/>
      <c r="AE407" s="61" t="n"/>
      <c r="AF407" s="61" t="n"/>
      <c r="AG407" s="61" t="n"/>
      <c r="AH407" s="61" t="n"/>
      <c r="AI407" s="61" t="n"/>
      <c r="AJ407" s="61" t="n"/>
      <c r="AK407" s="61" t="n"/>
      <c r="AL407" s="61" t="n"/>
      <c r="AM407" s="61" t="n"/>
      <c r="AN407" s="61" t="n"/>
      <c r="AO407" s="61" t="n"/>
      <c r="AP407" s="57" t="n"/>
      <c r="AQ407" s="56" t="n"/>
      <c r="AR407" s="57" t="n"/>
      <c r="AS407" s="61" t="n"/>
      <c r="AT407" s="61" t="n"/>
      <c r="AU407" s="57" t="n"/>
      <c r="AV407" s="61" t="n"/>
      <c r="AW407" s="61" t="n"/>
      <c r="AX407" s="61" t="n"/>
      <c r="AY407" s="61" t="n"/>
      <c r="AZ407" s="61" t="n"/>
      <c r="BA407" s="61" t="n"/>
      <c r="BB407" s="61" t="n"/>
      <c r="BC407" s="61" t="n"/>
      <c r="BD407" s="57" t="n"/>
      <c r="BE407" s="56" t="n"/>
      <c r="BF407" s="56" t="n"/>
      <c r="BG407" s="57" t="n"/>
      <c r="BH407" s="61" t="n"/>
      <c r="BI407" s="61" t="n"/>
      <c r="BJ407" s="61" t="n"/>
      <c r="BK407" s="61" t="n"/>
      <c r="BL407" s="61" t="n"/>
      <c r="BM407" s="61" t="n"/>
      <c r="BN407" s="61" t="n"/>
      <c r="BO407" s="61" t="n"/>
      <c r="BP407" s="61" t="n"/>
      <c r="BQ407" s="61" t="n"/>
      <c r="BR407" s="61" t="n"/>
      <c r="BS407" s="61" t="n"/>
      <c r="BT407" s="61" t="n"/>
    </row>
    <row r="408" ht="15.75" customHeight="1" s="79">
      <c r="A408" s="61" t="n"/>
      <c r="B408" s="61" t="n"/>
      <c r="C408" s="61" t="n"/>
      <c r="D408" s="61" t="n"/>
      <c r="E408" s="61" t="n"/>
      <c r="F408" s="61" t="n"/>
      <c r="G408" s="61" t="n"/>
      <c r="H408" s="61" t="n"/>
      <c r="I408" s="61" t="n"/>
      <c r="J408" s="61" t="n"/>
      <c r="K408" s="61" t="n"/>
      <c r="L408" s="61" t="n"/>
      <c r="M408" s="61" t="n"/>
      <c r="N408" s="61" t="n"/>
      <c r="O408" s="61" t="n"/>
      <c r="P408" s="61" t="n"/>
      <c r="Q408" s="61" t="n"/>
      <c r="R408" s="61" t="n"/>
      <c r="S408" s="61" t="n"/>
      <c r="T408" s="61" t="n"/>
      <c r="U408" s="61" t="n"/>
      <c r="V408" s="61" t="n"/>
      <c r="W408" s="61" t="n"/>
      <c r="X408" s="61" t="n"/>
      <c r="Y408" s="61" t="n"/>
      <c r="Z408" s="61" t="n"/>
      <c r="AA408" s="61" t="n"/>
      <c r="AB408" s="61" t="n"/>
      <c r="AC408" s="61" t="n"/>
      <c r="AD408" s="61" t="n"/>
      <c r="AE408" s="61" t="n"/>
      <c r="AF408" s="61" t="n"/>
      <c r="AG408" s="61" t="n"/>
      <c r="AH408" s="61" t="n"/>
      <c r="AI408" s="61" t="n"/>
      <c r="AJ408" s="61" t="n"/>
      <c r="AK408" s="61" t="n"/>
      <c r="AL408" s="61" t="n"/>
      <c r="AM408" s="61" t="n"/>
      <c r="AN408" s="61" t="n"/>
      <c r="AO408" s="61" t="n"/>
      <c r="AP408" s="57" t="n"/>
      <c r="AQ408" s="56" t="n"/>
      <c r="AR408" s="57" t="n"/>
      <c r="AS408" s="61" t="n"/>
      <c r="AT408" s="61" t="n"/>
      <c r="AU408" s="57" t="n"/>
      <c r="AV408" s="61" t="n"/>
      <c r="AW408" s="61" t="n"/>
      <c r="AX408" s="61" t="n"/>
      <c r="AY408" s="61" t="n"/>
      <c r="AZ408" s="61" t="n"/>
      <c r="BA408" s="61" t="n"/>
      <c r="BB408" s="61" t="n"/>
      <c r="BC408" s="61" t="n"/>
      <c r="BD408" s="57" t="n"/>
      <c r="BE408" s="56" t="n"/>
      <c r="BF408" s="56" t="n"/>
      <c r="BG408" s="57" t="n"/>
      <c r="BH408" s="61" t="n"/>
      <c r="BI408" s="61" t="n"/>
      <c r="BJ408" s="61" t="n"/>
      <c r="BK408" s="61" t="n"/>
      <c r="BL408" s="61" t="n"/>
      <c r="BM408" s="61" t="n"/>
      <c r="BN408" s="61" t="n"/>
      <c r="BO408" s="61" t="n"/>
      <c r="BP408" s="61" t="n"/>
      <c r="BQ408" s="61" t="n"/>
      <c r="BR408" s="61" t="n"/>
      <c r="BS408" s="61" t="n"/>
      <c r="BT408" s="61" t="n"/>
    </row>
    <row r="409" ht="15.75" customHeight="1" s="79">
      <c r="A409" s="61" t="n"/>
      <c r="B409" s="61" t="n"/>
      <c r="C409" s="61" t="n"/>
      <c r="D409" s="61" t="n"/>
      <c r="E409" s="61" t="n"/>
      <c r="F409" s="61" t="n"/>
      <c r="G409" s="61" t="n"/>
      <c r="H409" s="61" t="n"/>
      <c r="I409" s="61" t="n"/>
      <c r="J409" s="61" t="n"/>
      <c r="K409" s="61" t="n"/>
      <c r="L409" s="61" t="n"/>
      <c r="M409" s="61" t="n"/>
      <c r="N409" s="61" t="n"/>
      <c r="O409" s="61" t="n"/>
      <c r="P409" s="61" t="n"/>
      <c r="Q409" s="61" t="n"/>
      <c r="R409" s="61" t="n"/>
      <c r="S409" s="61" t="n"/>
      <c r="T409" s="61" t="n"/>
      <c r="U409" s="61" t="n"/>
      <c r="V409" s="61" t="n"/>
      <c r="W409" s="61" t="n"/>
      <c r="X409" s="61" t="n"/>
      <c r="Y409" s="61" t="n"/>
      <c r="Z409" s="61" t="n"/>
      <c r="AA409" s="61" t="n"/>
      <c r="AB409" s="61" t="n"/>
      <c r="AC409" s="61" t="n"/>
      <c r="AD409" s="61" t="n"/>
      <c r="AE409" s="61" t="n"/>
      <c r="AF409" s="61" t="n"/>
      <c r="AG409" s="61" t="n"/>
      <c r="AH409" s="61" t="n"/>
      <c r="AI409" s="61" t="n"/>
      <c r="AJ409" s="61" t="n"/>
      <c r="AK409" s="61" t="n"/>
      <c r="AL409" s="61" t="n"/>
      <c r="AM409" s="61" t="n"/>
      <c r="AN409" s="61" t="n"/>
      <c r="AO409" s="61" t="n"/>
      <c r="AP409" s="57" t="n"/>
      <c r="AQ409" s="56" t="n"/>
      <c r="AR409" s="57" t="n"/>
      <c r="AS409" s="61" t="n"/>
      <c r="AT409" s="61" t="n"/>
      <c r="AU409" s="57" t="n"/>
      <c r="AV409" s="61" t="n"/>
      <c r="AW409" s="61" t="n"/>
      <c r="AX409" s="61" t="n"/>
      <c r="AY409" s="61" t="n"/>
      <c r="AZ409" s="61" t="n"/>
      <c r="BA409" s="61" t="n"/>
      <c r="BB409" s="61" t="n"/>
      <c r="BC409" s="61" t="n"/>
      <c r="BD409" s="57" t="n"/>
      <c r="BE409" s="56" t="n"/>
      <c r="BF409" s="56" t="n"/>
      <c r="BG409" s="57" t="n"/>
      <c r="BH409" s="61" t="n"/>
      <c r="BI409" s="61" t="n"/>
      <c r="BJ409" s="61" t="n"/>
      <c r="BK409" s="61" t="n"/>
      <c r="BL409" s="61" t="n"/>
      <c r="BM409" s="61" t="n"/>
      <c r="BN409" s="61" t="n"/>
      <c r="BO409" s="61" t="n"/>
      <c r="BP409" s="61" t="n"/>
      <c r="BQ409" s="61" t="n"/>
      <c r="BR409" s="61" t="n"/>
      <c r="BS409" s="61" t="n"/>
      <c r="BT409" s="61" t="n"/>
    </row>
    <row r="410" ht="15.75" customHeight="1" s="79">
      <c r="A410" s="61" t="n"/>
      <c r="B410" s="61" t="n"/>
      <c r="C410" s="61" t="n"/>
      <c r="D410" s="61" t="n"/>
      <c r="E410" s="61" t="n"/>
      <c r="F410" s="61" t="n"/>
      <c r="G410" s="61" t="n"/>
      <c r="H410" s="61" t="n"/>
      <c r="I410" s="61" t="n"/>
      <c r="J410" s="61" t="n"/>
      <c r="K410" s="61" t="n"/>
      <c r="L410" s="61" t="n"/>
      <c r="M410" s="61" t="n"/>
      <c r="N410" s="61" t="n"/>
      <c r="O410" s="61" t="n"/>
      <c r="P410" s="61" t="n"/>
      <c r="Q410" s="61" t="n"/>
      <c r="R410" s="61" t="n"/>
      <c r="S410" s="61" t="n"/>
      <c r="T410" s="61" t="n"/>
      <c r="U410" s="61" t="n"/>
      <c r="V410" s="61" t="n"/>
      <c r="W410" s="61" t="n"/>
      <c r="X410" s="61" t="n"/>
      <c r="Y410" s="61" t="n"/>
      <c r="Z410" s="61" t="n"/>
      <c r="AA410" s="61" t="n"/>
      <c r="AB410" s="61" t="n"/>
      <c r="AC410" s="61" t="n"/>
      <c r="AD410" s="61" t="n"/>
      <c r="AE410" s="61" t="n"/>
      <c r="AF410" s="61" t="n"/>
      <c r="AG410" s="61" t="n"/>
      <c r="AH410" s="61" t="n"/>
      <c r="AI410" s="61" t="n"/>
      <c r="AJ410" s="61" t="n"/>
      <c r="AK410" s="61" t="n"/>
      <c r="AL410" s="61" t="n"/>
      <c r="AM410" s="61" t="n"/>
      <c r="AN410" s="61" t="n"/>
      <c r="AO410" s="61" t="n"/>
      <c r="AP410" s="57" t="n"/>
      <c r="AQ410" s="56" t="n"/>
      <c r="AR410" s="57" t="n"/>
      <c r="AS410" s="61" t="n"/>
      <c r="AT410" s="61" t="n"/>
      <c r="AU410" s="57" t="n"/>
      <c r="AV410" s="61" t="n"/>
      <c r="AW410" s="61" t="n"/>
      <c r="AX410" s="61" t="n"/>
      <c r="AY410" s="61" t="n"/>
      <c r="AZ410" s="61" t="n"/>
      <c r="BA410" s="61" t="n"/>
      <c r="BB410" s="61" t="n"/>
      <c r="BC410" s="61" t="n"/>
      <c r="BD410" s="57" t="n"/>
      <c r="BE410" s="56" t="n"/>
      <c r="BF410" s="56" t="n"/>
      <c r="BG410" s="57" t="n"/>
      <c r="BH410" s="61" t="n"/>
      <c r="BI410" s="61" t="n"/>
      <c r="BJ410" s="61" t="n"/>
      <c r="BK410" s="61" t="n"/>
      <c r="BL410" s="61" t="n"/>
      <c r="BM410" s="61" t="n"/>
      <c r="BN410" s="61" t="n"/>
      <c r="BO410" s="61" t="n"/>
      <c r="BP410" s="61" t="n"/>
      <c r="BQ410" s="61" t="n"/>
      <c r="BR410" s="61" t="n"/>
      <c r="BS410" s="61" t="n"/>
      <c r="BT410" s="61" t="n"/>
    </row>
    <row r="411" ht="15.75" customHeight="1" s="79">
      <c r="A411" s="61" t="n"/>
      <c r="B411" s="61" t="n"/>
      <c r="C411" s="61" t="n"/>
      <c r="D411" s="61" t="n"/>
      <c r="E411" s="61" t="n"/>
      <c r="F411" s="61" t="n"/>
      <c r="G411" s="61" t="n"/>
      <c r="H411" s="61" t="n"/>
      <c r="I411" s="61" t="n"/>
      <c r="J411" s="61" t="n"/>
      <c r="K411" s="61" t="n"/>
      <c r="L411" s="61" t="n"/>
      <c r="M411" s="61" t="n"/>
      <c r="N411" s="61" t="n"/>
      <c r="O411" s="61" t="n"/>
      <c r="P411" s="61" t="n"/>
      <c r="Q411" s="61" t="n"/>
      <c r="R411" s="61" t="n"/>
      <c r="S411" s="61" t="n"/>
      <c r="T411" s="61" t="n"/>
      <c r="U411" s="61" t="n"/>
      <c r="V411" s="61" t="n"/>
      <c r="W411" s="61" t="n"/>
      <c r="X411" s="61" t="n"/>
      <c r="Y411" s="61" t="n"/>
      <c r="Z411" s="61" t="n"/>
      <c r="AA411" s="61" t="n"/>
      <c r="AB411" s="61" t="n"/>
      <c r="AC411" s="61" t="n"/>
      <c r="AD411" s="61" t="n"/>
      <c r="AE411" s="61" t="n"/>
      <c r="AF411" s="61" t="n"/>
      <c r="AG411" s="61" t="n"/>
      <c r="AH411" s="61" t="n"/>
      <c r="AI411" s="61" t="n"/>
      <c r="AJ411" s="61" t="n"/>
      <c r="AK411" s="61" t="n"/>
      <c r="AL411" s="61" t="n"/>
      <c r="AM411" s="61" t="n"/>
      <c r="AN411" s="61" t="n"/>
      <c r="AO411" s="61" t="n"/>
      <c r="AP411" s="57" t="n"/>
      <c r="AQ411" s="56" t="n"/>
      <c r="AR411" s="57" t="n"/>
      <c r="AS411" s="61" t="n"/>
      <c r="AT411" s="61" t="n"/>
      <c r="AU411" s="57" t="n"/>
      <c r="AV411" s="61" t="n"/>
      <c r="AW411" s="61" t="n"/>
      <c r="AX411" s="61" t="n"/>
      <c r="AY411" s="61" t="n"/>
      <c r="AZ411" s="61" t="n"/>
      <c r="BA411" s="61" t="n"/>
      <c r="BB411" s="61" t="n"/>
      <c r="BC411" s="61" t="n"/>
      <c r="BD411" s="57" t="n"/>
      <c r="BE411" s="56" t="n"/>
      <c r="BF411" s="56" t="n"/>
      <c r="BG411" s="57" t="n"/>
      <c r="BH411" s="61" t="n"/>
      <c r="BI411" s="61" t="n"/>
      <c r="BJ411" s="61" t="n"/>
      <c r="BK411" s="61" t="n"/>
      <c r="BL411" s="61" t="n"/>
      <c r="BM411" s="61" t="n"/>
      <c r="BN411" s="61" t="n"/>
      <c r="BO411" s="61" t="n"/>
      <c r="BP411" s="61" t="n"/>
      <c r="BQ411" s="61" t="n"/>
      <c r="BR411" s="61" t="n"/>
      <c r="BS411" s="61" t="n"/>
      <c r="BT411" s="61" t="n"/>
    </row>
    <row r="412" ht="15.75" customHeight="1" s="79">
      <c r="A412" s="61" t="n"/>
      <c r="B412" s="61" t="n"/>
      <c r="C412" s="61" t="n"/>
      <c r="D412" s="61" t="n"/>
      <c r="E412" s="61" t="n"/>
      <c r="F412" s="61" t="n"/>
      <c r="G412" s="61" t="n"/>
      <c r="H412" s="61" t="n"/>
      <c r="I412" s="61" t="n"/>
      <c r="J412" s="61" t="n"/>
      <c r="K412" s="61" t="n"/>
      <c r="L412" s="61" t="n"/>
      <c r="M412" s="61" t="n"/>
      <c r="N412" s="61" t="n"/>
      <c r="O412" s="61" t="n"/>
      <c r="P412" s="61" t="n"/>
      <c r="Q412" s="61" t="n"/>
      <c r="R412" s="61" t="n"/>
      <c r="S412" s="61" t="n"/>
      <c r="T412" s="61" t="n"/>
      <c r="U412" s="61" t="n"/>
      <c r="V412" s="61" t="n"/>
      <c r="W412" s="61" t="n"/>
      <c r="X412" s="61" t="n"/>
      <c r="Y412" s="61" t="n"/>
      <c r="Z412" s="61" t="n"/>
      <c r="AA412" s="61" t="n"/>
      <c r="AB412" s="61" t="n"/>
      <c r="AC412" s="61" t="n"/>
      <c r="AD412" s="61" t="n"/>
      <c r="AE412" s="61" t="n"/>
      <c r="AF412" s="61" t="n"/>
      <c r="AG412" s="61" t="n"/>
      <c r="AH412" s="61" t="n"/>
      <c r="AI412" s="61" t="n"/>
      <c r="AJ412" s="61" t="n"/>
      <c r="AK412" s="61" t="n"/>
      <c r="AL412" s="61" t="n"/>
      <c r="AM412" s="61" t="n"/>
      <c r="AN412" s="61" t="n"/>
      <c r="AO412" s="61" t="n"/>
      <c r="AP412" s="57" t="n"/>
      <c r="AQ412" s="56" t="n"/>
      <c r="AR412" s="57" t="n"/>
      <c r="AS412" s="61" t="n"/>
      <c r="AT412" s="61" t="n"/>
      <c r="AU412" s="57" t="n"/>
      <c r="AV412" s="61" t="n"/>
      <c r="AW412" s="61" t="n"/>
      <c r="AX412" s="61" t="n"/>
      <c r="AY412" s="61" t="n"/>
      <c r="AZ412" s="61" t="n"/>
      <c r="BA412" s="61" t="n"/>
      <c r="BB412" s="61" t="n"/>
      <c r="BC412" s="61" t="n"/>
      <c r="BD412" s="57" t="n"/>
      <c r="BE412" s="56" t="n"/>
      <c r="BF412" s="56" t="n"/>
      <c r="BG412" s="57" t="n"/>
      <c r="BH412" s="61" t="n"/>
      <c r="BI412" s="61" t="n"/>
      <c r="BJ412" s="61" t="n"/>
      <c r="BK412" s="61" t="n"/>
      <c r="BL412" s="61" t="n"/>
      <c r="BM412" s="61" t="n"/>
      <c r="BN412" s="61" t="n"/>
      <c r="BO412" s="61" t="n"/>
      <c r="BP412" s="61" t="n"/>
      <c r="BQ412" s="61" t="n"/>
      <c r="BR412" s="61" t="n"/>
      <c r="BS412" s="61" t="n"/>
      <c r="BT412" s="61" t="n"/>
    </row>
    <row r="413" ht="15.75" customHeight="1" s="79">
      <c r="A413" s="61" t="n"/>
      <c r="B413" s="61" t="n"/>
      <c r="C413" s="61" t="n"/>
      <c r="D413" s="61" t="n"/>
      <c r="E413" s="61" t="n"/>
      <c r="F413" s="61" t="n"/>
      <c r="G413" s="61" t="n"/>
      <c r="H413" s="61" t="n"/>
      <c r="I413" s="61" t="n"/>
      <c r="J413" s="61" t="n"/>
      <c r="K413" s="61" t="n"/>
      <c r="L413" s="61" t="n"/>
      <c r="M413" s="61" t="n"/>
      <c r="N413" s="61" t="n"/>
      <c r="O413" s="61" t="n"/>
      <c r="P413" s="61" t="n"/>
      <c r="Q413" s="61" t="n"/>
      <c r="R413" s="61" t="n"/>
      <c r="S413" s="61" t="n"/>
      <c r="T413" s="61" t="n"/>
      <c r="U413" s="61" t="n"/>
      <c r="V413" s="61" t="n"/>
      <c r="W413" s="61" t="n"/>
      <c r="X413" s="61" t="n"/>
      <c r="Y413" s="61" t="n"/>
      <c r="Z413" s="61" t="n"/>
      <c r="AA413" s="61" t="n"/>
      <c r="AB413" s="61" t="n"/>
      <c r="AC413" s="61" t="n"/>
      <c r="AD413" s="61" t="n"/>
      <c r="AE413" s="61" t="n"/>
      <c r="AF413" s="61" t="n"/>
      <c r="AG413" s="61" t="n"/>
      <c r="AH413" s="61" t="n"/>
      <c r="AI413" s="61" t="n"/>
      <c r="AJ413" s="61" t="n"/>
      <c r="AK413" s="61" t="n"/>
      <c r="AL413" s="61" t="n"/>
      <c r="AM413" s="61" t="n"/>
      <c r="AN413" s="61" t="n"/>
      <c r="AO413" s="61" t="n"/>
      <c r="AP413" s="57" t="n"/>
      <c r="AQ413" s="56" t="n"/>
      <c r="AR413" s="57" t="n"/>
      <c r="AS413" s="61" t="n"/>
      <c r="AT413" s="61" t="n"/>
      <c r="AU413" s="57" t="n"/>
      <c r="AV413" s="61" t="n"/>
      <c r="AW413" s="61" t="n"/>
      <c r="AX413" s="61" t="n"/>
      <c r="AY413" s="61" t="n"/>
      <c r="AZ413" s="61" t="n"/>
      <c r="BA413" s="61" t="n"/>
      <c r="BB413" s="61" t="n"/>
      <c r="BC413" s="61" t="n"/>
      <c r="BD413" s="57" t="n"/>
      <c r="BE413" s="56" t="n"/>
      <c r="BF413" s="56" t="n"/>
      <c r="BG413" s="57" t="n"/>
      <c r="BH413" s="61" t="n"/>
      <c r="BI413" s="61" t="n"/>
      <c r="BJ413" s="61" t="n"/>
      <c r="BK413" s="61" t="n"/>
      <c r="BL413" s="61" t="n"/>
      <c r="BM413" s="61" t="n"/>
      <c r="BN413" s="61" t="n"/>
      <c r="BO413" s="61" t="n"/>
      <c r="BP413" s="61" t="n"/>
      <c r="BQ413" s="61" t="n"/>
      <c r="BR413" s="61" t="n"/>
      <c r="BS413" s="61" t="n"/>
      <c r="BT413" s="61" t="n"/>
    </row>
    <row r="414" ht="15.75" customHeight="1" s="79">
      <c r="A414" s="61" t="n"/>
      <c r="B414" s="61" t="n"/>
      <c r="C414" s="61" t="n"/>
      <c r="D414" s="61" t="n"/>
      <c r="E414" s="61" t="n"/>
      <c r="F414" s="61" t="n"/>
      <c r="G414" s="61" t="n"/>
      <c r="H414" s="61" t="n"/>
      <c r="I414" s="61" t="n"/>
      <c r="J414" s="61" t="n"/>
      <c r="K414" s="61" t="n"/>
      <c r="L414" s="61" t="n"/>
      <c r="M414" s="61" t="n"/>
      <c r="N414" s="61" t="n"/>
      <c r="O414" s="61" t="n"/>
      <c r="P414" s="61" t="n"/>
      <c r="Q414" s="61" t="n"/>
      <c r="R414" s="61" t="n"/>
      <c r="S414" s="61" t="n"/>
      <c r="T414" s="61" t="n"/>
      <c r="U414" s="61" t="n"/>
      <c r="V414" s="61" t="n"/>
      <c r="W414" s="61" t="n"/>
      <c r="X414" s="61" t="n"/>
      <c r="Y414" s="61" t="n"/>
      <c r="Z414" s="61" t="n"/>
      <c r="AA414" s="61" t="n"/>
      <c r="AB414" s="61" t="n"/>
      <c r="AC414" s="61" t="n"/>
      <c r="AD414" s="61" t="n"/>
      <c r="AE414" s="61" t="n"/>
      <c r="AF414" s="61" t="n"/>
      <c r="AG414" s="61" t="n"/>
      <c r="AH414" s="61" t="n"/>
      <c r="AI414" s="61" t="n"/>
      <c r="AJ414" s="61" t="n"/>
      <c r="AK414" s="61" t="n"/>
      <c r="AL414" s="61" t="n"/>
      <c r="AM414" s="61" t="n"/>
      <c r="AN414" s="61" t="n"/>
      <c r="AO414" s="61" t="n"/>
      <c r="AP414" s="57" t="n"/>
      <c r="AQ414" s="56" t="n"/>
      <c r="AR414" s="57" t="n"/>
      <c r="AS414" s="61" t="n"/>
      <c r="AT414" s="61" t="n"/>
      <c r="AU414" s="57" t="n"/>
      <c r="AV414" s="61" t="n"/>
      <c r="AW414" s="61" t="n"/>
      <c r="AX414" s="61" t="n"/>
      <c r="AY414" s="61" t="n"/>
      <c r="AZ414" s="61" t="n"/>
      <c r="BA414" s="61" t="n"/>
      <c r="BB414" s="61" t="n"/>
      <c r="BC414" s="61" t="n"/>
      <c r="BD414" s="57" t="n"/>
      <c r="BE414" s="56" t="n"/>
      <c r="BF414" s="56" t="n"/>
      <c r="BG414" s="57" t="n"/>
      <c r="BH414" s="61" t="n"/>
      <c r="BI414" s="61" t="n"/>
      <c r="BJ414" s="61" t="n"/>
      <c r="BK414" s="61" t="n"/>
      <c r="BL414" s="61" t="n"/>
      <c r="BM414" s="61" t="n"/>
      <c r="BN414" s="61" t="n"/>
      <c r="BO414" s="61" t="n"/>
      <c r="BP414" s="61" t="n"/>
      <c r="BQ414" s="61" t="n"/>
      <c r="BR414" s="61" t="n"/>
      <c r="BS414" s="61" t="n"/>
      <c r="BT414" s="61" t="n"/>
    </row>
    <row r="415" ht="15.75" customHeight="1" s="79">
      <c r="A415" s="61" t="n"/>
      <c r="B415" s="61" t="n"/>
      <c r="C415" s="61" t="n"/>
      <c r="D415" s="61" t="n"/>
      <c r="E415" s="61" t="n"/>
      <c r="F415" s="61" t="n"/>
      <c r="G415" s="61" t="n"/>
      <c r="H415" s="61" t="n"/>
      <c r="I415" s="61" t="n"/>
      <c r="J415" s="61" t="n"/>
      <c r="K415" s="61" t="n"/>
      <c r="L415" s="61" t="n"/>
      <c r="M415" s="61" t="n"/>
      <c r="N415" s="61" t="n"/>
      <c r="O415" s="61" t="n"/>
      <c r="P415" s="61" t="n"/>
      <c r="Q415" s="61" t="n"/>
      <c r="R415" s="61" t="n"/>
      <c r="S415" s="61" t="n"/>
      <c r="T415" s="61" t="n"/>
      <c r="U415" s="61" t="n"/>
      <c r="V415" s="61" t="n"/>
      <c r="W415" s="61" t="n"/>
      <c r="X415" s="61" t="n"/>
      <c r="Y415" s="61" t="n"/>
      <c r="Z415" s="61" t="n"/>
      <c r="AA415" s="61" t="n"/>
      <c r="AB415" s="61" t="n"/>
      <c r="AC415" s="61" t="n"/>
      <c r="AD415" s="61" t="n"/>
      <c r="AE415" s="61" t="n"/>
      <c r="AF415" s="61" t="n"/>
      <c r="AG415" s="61" t="n"/>
      <c r="AH415" s="61" t="n"/>
      <c r="AI415" s="61" t="n"/>
      <c r="AJ415" s="61" t="n"/>
      <c r="AK415" s="61" t="n"/>
      <c r="AL415" s="61" t="n"/>
      <c r="AM415" s="61" t="n"/>
      <c r="AN415" s="61" t="n"/>
      <c r="AO415" s="61" t="n"/>
      <c r="AP415" s="57" t="n"/>
      <c r="AQ415" s="56" t="n"/>
      <c r="AR415" s="57" t="n"/>
      <c r="AS415" s="61" t="n"/>
      <c r="AT415" s="61" t="n"/>
      <c r="AU415" s="57" t="n"/>
      <c r="AV415" s="61" t="n"/>
      <c r="AW415" s="61" t="n"/>
      <c r="AX415" s="61" t="n"/>
      <c r="AY415" s="61" t="n"/>
      <c r="AZ415" s="61" t="n"/>
      <c r="BA415" s="61" t="n"/>
      <c r="BB415" s="61" t="n"/>
      <c r="BC415" s="61" t="n"/>
      <c r="BD415" s="57" t="n"/>
      <c r="BE415" s="56" t="n"/>
      <c r="BF415" s="56" t="n"/>
      <c r="BG415" s="57" t="n"/>
      <c r="BH415" s="61" t="n"/>
      <c r="BI415" s="61" t="n"/>
      <c r="BJ415" s="61" t="n"/>
      <c r="BK415" s="61" t="n"/>
      <c r="BL415" s="61" t="n"/>
      <c r="BM415" s="61" t="n"/>
      <c r="BN415" s="61" t="n"/>
      <c r="BO415" s="61" t="n"/>
      <c r="BP415" s="61" t="n"/>
      <c r="BQ415" s="61" t="n"/>
      <c r="BR415" s="61" t="n"/>
      <c r="BS415" s="61" t="n"/>
      <c r="BT415" s="61" t="n"/>
    </row>
    <row r="416" ht="15.75" customHeight="1" s="79">
      <c r="A416" s="61" t="n"/>
      <c r="B416" s="61" t="n"/>
      <c r="C416" s="61" t="n"/>
      <c r="D416" s="61" t="n"/>
      <c r="E416" s="61" t="n"/>
      <c r="F416" s="61" t="n"/>
      <c r="G416" s="61" t="n"/>
      <c r="H416" s="61" t="n"/>
      <c r="I416" s="61" t="n"/>
      <c r="J416" s="61" t="n"/>
      <c r="K416" s="61" t="n"/>
      <c r="L416" s="61" t="n"/>
      <c r="M416" s="61" t="n"/>
      <c r="N416" s="61" t="n"/>
      <c r="O416" s="61" t="n"/>
      <c r="P416" s="61" t="n"/>
      <c r="Q416" s="61" t="n"/>
      <c r="R416" s="61" t="n"/>
      <c r="S416" s="61" t="n"/>
      <c r="T416" s="61" t="n"/>
      <c r="U416" s="61" t="n"/>
      <c r="V416" s="61" t="n"/>
      <c r="W416" s="61" t="n"/>
      <c r="X416" s="61" t="n"/>
      <c r="Y416" s="61" t="n"/>
      <c r="Z416" s="61" t="n"/>
      <c r="AA416" s="61" t="n"/>
      <c r="AB416" s="61" t="n"/>
      <c r="AC416" s="61" t="n"/>
      <c r="AD416" s="61" t="n"/>
      <c r="AE416" s="61" t="n"/>
      <c r="AF416" s="61" t="n"/>
      <c r="AG416" s="61" t="n"/>
      <c r="AH416" s="61" t="n"/>
      <c r="AI416" s="61" t="n"/>
      <c r="AJ416" s="61" t="n"/>
      <c r="AK416" s="61" t="n"/>
      <c r="AL416" s="61" t="n"/>
      <c r="AM416" s="61" t="n"/>
      <c r="AN416" s="61" t="n"/>
      <c r="AO416" s="61" t="n"/>
      <c r="AP416" s="57" t="n"/>
      <c r="AQ416" s="56" t="n"/>
      <c r="AR416" s="57" t="n"/>
      <c r="AS416" s="61" t="n"/>
      <c r="AT416" s="61" t="n"/>
      <c r="AU416" s="57" t="n"/>
      <c r="AV416" s="61" t="n"/>
      <c r="AW416" s="61" t="n"/>
      <c r="AX416" s="61" t="n"/>
      <c r="AY416" s="61" t="n"/>
      <c r="AZ416" s="61" t="n"/>
      <c r="BA416" s="61" t="n"/>
      <c r="BB416" s="61" t="n"/>
      <c r="BC416" s="61" t="n"/>
      <c r="BD416" s="57" t="n"/>
      <c r="BE416" s="56" t="n"/>
      <c r="BF416" s="56" t="n"/>
      <c r="BG416" s="57" t="n"/>
      <c r="BH416" s="61" t="n"/>
      <c r="BI416" s="61" t="n"/>
      <c r="BJ416" s="61" t="n"/>
      <c r="BK416" s="61" t="n"/>
      <c r="BL416" s="61" t="n"/>
      <c r="BM416" s="61" t="n"/>
      <c r="BN416" s="61" t="n"/>
      <c r="BO416" s="61" t="n"/>
      <c r="BP416" s="61" t="n"/>
      <c r="BQ416" s="61" t="n"/>
      <c r="BR416" s="61" t="n"/>
      <c r="BS416" s="61" t="n"/>
      <c r="BT416" s="61" t="n"/>
    </row>
    <row r="417" ht="15.75" customHeight="1" s="79">
      <c r="A417" s="61" t="n"/>
      <c r="B417" s="61" t="n"/>
      <c r="C417" s="61" t="n"/>
      <c r="D417" s="61" t="n"/>
      <c r="E417" s="61" t="n"/>
      <c r="F417" s="61" t="n"/>
      <c r="G417" s="61" t="n"/>
      <c r="H417" s="61" t="n"/>
      <c r="I417" s="61" t="n"/>
      <c r="J417" s="61" t="n"/>
      <c r="K417" s="61" t="n"/>
      <c r="L417" s="61" t="n"/>
      <c r="M417" s="61" t="n"/>
      <c r="N417" s="61" t="n"/>
      <c r="O417" s="61" t="n"/>
      <c r="P417" s="61" t="n"/>
      <c r="Q417" s="61" t="n"/>
      <c r="R417" s="61" t="n"/>
      <c r="S417" s="61" t="n"/>
      <c r="T417" s="61" t="n"/>
      <c r="U417" s="61" t="n"/>
      <c r="V417" s="61" t="n"/>
      <c r="W417" s="61" t="n"/>
      <c r="X417" s="61" t="n"/>
      <c r="Y417" s="61" t="n"/>
      <c r="Z417" s="61" t="n"/>
      <c r="AA417" s="61" t="n"/>
      <c r="AB417" s="61" t="n"/>
      <c r="AC417" s="61" t="n"/>
      <c r="AD417" s="61" t="n"/>
      <c r="AE417" s="61" t="n"/>
      <c r="AF417" s="61" t="n"/>
      <c r="AG417" s="61" t="n"/>
      <c r="AH417" s="61" t="n"/>
      <c r="AI417" s="61" t="n"/>
      <c r="AJ417" s="61" t="n"/>
      <c r="AK417" s="61" t="n"/>
      <c r="AL417" s="61" t="n"/>
      <c r="AM417" s="61" t="n"/>
      <c r="AN417" s="61" t="n"/>
      <c r="AO417" s="61" t="n"/>
      <c r="AP417" s="57" t="n"/>
      <c r="AQ417" s="56" t="n"/>
      <c r="AR417" s="57" t="n"/>
      <c r="AS417" s="61" t="n"/>
      <c r="AT417" s="61" t="n"/>
      <c r="AU417" s="57" t="n"/>
      <c r="AV417" s="61" t="n"/>
      <c r="AW417" s="61" t="n"/>
      <c r="AX417" s="61" t="n"/>
      <c r="AY417" s="61" t="n"/>
      <c r="AZ417" s="61" t="n"/>
      <c r="BA417" s="61" t="n"/>
      <c r="BB417" s="61" t="n"/>
      <c r="BC417" s="61" t="n"/>
      <c r="BD417" s="57" t="n"/>
      <c r="BE417" s="56" t="n"/>
      <c r="BF417" s="56" t="n"/>
      <c r="BG417" s="57" t="n"/>
      <c r="BH417" s="61" t="n"/>
      <c r="BI417" s="61" t="n"/>
      <c r="BJ417" s="61" t="n"/>
      <c r="BK417" s="61" t="n"/>
      <c r="BL417" s="61" t="n"/>
      <c r="BM417" s="61" t="n"/>
      <c r="BN417" s="61" t="n"/>
      <c r="BO417" s="61" t="n"/>
      <c r="BP417" s="61" t="n"/>
      <c r="BQ417" s="61" t="n"/>
      <c r="BR417" s="61" t="n"/>
      <c r="BS417" s="61" t="n"/>
      <c r="BT417" s="61" t="n"/>
    </row>
    <row r="418" ht="15.75" customHeight="1" s="79">
      <c r="A418" s="61" t="n"/>
      <c r="B418" s="61" t="n"/>
      <c r="C418" s="61" t="n"/>
      <c r="D418" s="61" t="n"/>
      <c r="E418" s="61" t="n"/>
      <c r="F418" s="61" t="n"/>
      <c r="G418" s="61" t="n"/>
      <c r="H418" s="61" t="n"/>
      <c r="I418" s="61" t="n"/>
      <c r="J418" s="61" t="n"/>
      <c r="K418" s="61" t="n"/>
      <c r="L418" s="61" t="n"/>
      <c r="M418" s="61" t="n"/>
      <c r="N418" s="61" t="n"/>
      <c r="O418" s="61" t="n"/>
      <c r="P418" s="61" t="n"/>
      <c r="Q418" s="61" t="n"/>
      <c r="R418" s="61" t="n"/>
      <c r="S418" s="61" t="n"/>
      <c r="T418" s="61" t="n"/>
      <c r="U418" s="61" t="n"/>
      <c r="V418" s="61" t="n"/>
      <c r="W418" s="61" t="n"/>
      <c r="X418" s="61" t="n"/>
      <c r="Y418" s="61" t="n"/>
      <c r="Z418" s="61" t="n"/>
      <c r="AA418" s="61" t="n"/>
      <c r="AB418" s="61" t="n"/>
      <c r="AC418" s="61" t="n"/>
      <c r="AD418" s="61" t="n"/>
      <c r="AE418" s="61" t="n"/>
      <c r="AF418" s="61" t="n"/>
      <c r="AG418" s="61" t="n"/>
      <c r="AH418" s="61" t="n"/>
      <c r="AI418" s="61" t="n"/>
      <c r="AJ418" s="61" t="n"/>
      <c r="AK418" s="61" t="n"/>
      <c r="AL418" s="61" t="n"/>
      <c r="AM418" s="61" t="n"/>
      <c r="AN418" s="61" t="n"/>
      <c r="AO418" s="61" t="n"/>
      <c r="AP418" s="57" t="n"/>
      <c r="AQ418" s="56" t="n"/>
      <c r="AR418" s="57" t="n"/>
      <c r="AS418" s="61" t="n"/>
      <c r="AT418" s="61" t="n"/>
      <c r="AU418" s="57" t="n"/>
      <c r="AV418" s="61" t="n"/>
      <c r="AW418" s="61" t="n"/>
      <c r="AX418" s="61" t="n"/>
      <c r="AY418" s="61" t="n"/>
      <c r="AZ418" s="61" t="n"/>
      <c r="BA418" s="61" t="n"/>
      <c r="BB418" s="61" t="n"/>
      <c r="BC418" s="61" t="n"/>
      <c r="BD418" s="57" t="n"/>
      <c r="BE418" s="56" t="n"/>
      <c r="BF418" s="56" t="n"/>
      <c r="BG418" s="57" t="n"/>
      <c r="BH418" s="61" t="n"/>
      <c r="BI418" s="61" t="n"/>
      <c r="BJ418" s="61" t="n"/>
      <c r="BK418" s="61" t="n"/>
      <c r="BL418" s="61" t="n"/>
      <c r="BM418" s="61" t="n"/>
      <c r="BN418" s="61" t="n"/>
      <c r="BO418" s="61" t="n"/>
      <c r="BP418" s="61" t="n"/>
      <c r="BQ418" s="61" t="n"/>
      <c r="BR418" s="61" t="n"/>
      <c r="BS418" s="61" t="n"/>
      <c r="BT418" s="61" t="n"/>
    </row>
    <row r="419" ht="15.75" customHeight="1" s="79">
      <c r="A419" s="61" t="n"/>
      <c r="B419" s="61" t="n"/>
      <c r="C419" s="61" t="n"/>
      <c r="D419" s="61" t="n"/>
      <c r="E419" s="61" t="n"/>
      <c r="F419" s="61" t="n"/>
      <c r="G419" s="61" t="n"/>
      <c r="H419" s="61" t="n"/>
      <c r="I419" s="61" t="n"/>
      <c r="J419" s="61" t="n"/>
      <c r="K419" s="61" t="n"/>
      <c r="L419" s="61" t="n"/>
      <c r="M419" s="61" t="n"/>
      <c r="N419" s="61" t="n"/>
      <c r="O419" s="61" t="n"/>
      <c r="P419" s="61" t="n"/>
      <c r="Q419" s="61" t="n"/>
      <c r="R419" s="61" t="n"/>
      <c r="S419" s="61" t="n"/>
      <c r="T419" s="61" t="n"/>
      <c r="U419" s="61" t="n"/>
      <c r="V419" s="61" t="n"/>
      <c r="W419" s="61" t="n"/>
      <c r="X419" s="61" t="n"/>
      <c r="Y419" s="61" t="n"/>
      <c r="Z419" s="61" t="n"/>
      <c r="AA419" s="61" t="n"/>
      <c r="AB419" s="61" t="n"/>
      <c r="AC419" s="61" t="n"/>
      <c r="AD419" s="61" t="n"/>
      <c r="AE419" s="61" t="n"/>
      <c r="AF419" s="61" t="n"/>
      <c r="AG419" s="61" t="n"/>
      <c r="AH419" s="61" t="n"/>
      <c r="AI419" s="61" t="n"/>
      <c r="AJ419" s="61" t="n"/>
      <c r="AK419" s="61" t="n"/>
      <c r="AL419" s="61" t="n"/>
      <c r="AM419" s="61" t="n"/>
      <c r="AN419" s="61" t="n"/>
      <c r="AO419" s="61" t="n"/>
      <c r="AP419" s="57" t="n"/>
      <c r="AQ419" s="56" t="n"/>
      <c r="AR419" s="57" t="n"/>
      <c r="AS419" s="61" t="n"/>
      <c r="AT419" s="61" t="n"/>
      <c r="AU419" s="57" t="n"/>
      <c r="AV419" s="61" t="n"/>
      <c r="AW419" s="61" t="n"/>
      <c r="AX419" s="61" t="n"/>
      <c r="AY419" s="61" t="n"/>
      <c r="AZ419" s="61" t="n"/>
      <c r="BA419" s="61" t="n"/>
      <c r="BB419" s="61" t="n"/>
      <c r="BC419" s="61" t="n"/>
      <c r="BD419" s="57" t="n"/>
      <c r="BE419" s="56" t="n"/>
      <c r="BF419" s="56" t="n"/>
      <c r="BG419" s="57" t="n"/>
      <c r="BH419" s="61" t="n"/>
      <c r="BI419" s="61" t="n"/>
      <c r="BJ419" s="61" t="n"/>
      <c r="BK419" s="61" t="n"/>
      <c r="BL419" s="61" t="n"/>
      <c r="BM419" s="61" t="n"/>
      <c r="BN419" s="61" t="n"/>
      <c r="BO419" s="61" t="n"/>
      <c r="BP419" s="61" t="n"/>
      <c r="BQ419" s="61" t="n"/>
      <c r="BR419" s="61" t="n"/>
      <c r="BS419" s="61" t="n"/>
      <c r="BT419" s="61" t="n"/>
    </row>
    <row r="420" ht="15.75" customHeight="1" s="79">
      <c r="A420" s="61" t="n"/>
      <c r="B420" s="61" t="n"/>
      <c r="C420" s="61" t="n"/>
      <c r="D420" s="61" t="n"/>
      <c r="E420" s="61" t="n"/>
      <c r="F420" s="61" t="n"/>
      <c r="G420" s="61" t="n"/>
      <c r="H420" s="61" t="n"/>
      <c r="I420" s="61" t="n"/>
      <c r="J420" s="61" t="n"/>
      <c r="K420" s="61" t="n"/>
      <c r="L420" s="61" t="n"/>
      <c r="M420" s="61" t="n"/>
      <c r="N420" s="61" t="n"/>
      <c r="O420" s="61" t="n"/>
      <c r="P420" s="61" t="n"/>
      <c r="Q420" s="61" t="n"/>
      <c r="R420" s="61" t="n"/>
      <c r="S420" s="61" t="n"/>
      <c r="T420" s="61" t="n"/>
      <c r="U420" s="61" t="n"/>
      <c r="V420" s="61" t="n"/>
      <c r="W420" s="61" t="n"/>
      <c r="X420" s="61" t="n"/>
      <c r="Y420" s="61" t="n"/>
      <c r="Z420" s="61" t="n"/>
      <c r="AA420" s="61" t="n"/>
      <c r="AB420" s="61" t="n"/>
      <c r="AC420" s="61" t="n"/>
      <c r="AD420" s="61" t="n"/>
      <c r="AE420" s="61" t="n"/>
      <c r="AF420" s="61" t="n"/>
      <c r="AG420" s="61" t="n"/>
      <c r="AH420" s="61" t="n"/>
      <c r="AI420" s="61" t="n"/>
      <c r="AJ420" s="61" t="n"/>
      <c r="AK420" s="61" t="n"/>
      <c r="AL420" s="61" t="n"/>
      <c r="AM420" s="61" t="n"/>
      <c r="AN420" s="61" t="n"/>
      <c r="AO420" s="61" t="n"/>
      <c r="AP420" s="57" t="n"/>
      <c r="AQ420" s="56" t="n"/>
      <c r="AR420" s="57" t="n"/>
      <c r="AS420" s="61" t="n"/>
      <c r="AT420" s="61" t="n"/>
      <c r="AU420" s="57" t="n"/>
      <c r="AV420" s="61" t="n"/>
      <c r="AW420" s="61" t="n"/>
      <c r="AX420" s="61" t="n"/>
      <c r="AY420" s="61" t="n"/>
      <c r="AZ420" s="61" t="n"/>
      <c r="BA420" s="61" t="n"/>
      <c r="BB420" s="61" t="n"/>
      <c r="BC420" s="61" t="n"/>
      <c r="BD420" s="57" t="n"/>
      <c r="BE420" s="56" t="n"/>
      <c r="BF420" s="56" t="n"/>
      <c r="BG420" s="57" t="n"/>
      <c r="BH420" s="61" t="n"/>
      <c r="BI420" s="61" t="n"/>
      <c r="BJ420" s="61" t="n"/>
      <c r="BK420" s="61" t="n"/>
      <c r="BL420" s="61" t="n"/>
      <c r="BM420" s="61" t="n"/>
      <c r="BN420" s="61" t="n"/>
      <c r="BO420" s="61" t="n"/>
      <c r="BP420" s="61" t="n"/>
      <c r="BQ420" s="61" t="n"/>
      <c r="BR420" s="61" t="n"/>
      <c r="BS420" s="61" t="n"/>
      <c r="BT420" s="61" t="n"/>
    </row>
    <row r="421" ht="15.75" customHeight="1" s="79">
      <c r="A421" s="61" t="n"/>
      <c r="B421" s="61" t="n"/>
      <c r="C421" s="61" t="n"/>
      <c r="D421" s="61" t="n"/>
      <c r="E421" s="61" t="n"/>
      <c r="F421" s="61" t="n"/>
      <c r="G421" s="61" t="n"/>
      <c r="H421" s="61" t="n"/>
      <c r="I421" s="61" t="n"/>
      <c r="J421" s="61" t="n"/>
      <c r="K421" s="61" t="n"/>
      <c r="L421" s="61" t="n"/>
      <c r="M421" s="61" t="n"/>
      <c r="N421" s="61" t="n"/>
      <c r="O421" s="61" t="n"/>
      <c r="P421" s="61" t="n"/>
      <c r="Q421" s="61" t="n"/>
      <c r="R421" s="61" t="n"/>
      <c r="S421" s="61" t="n"/>
      <c r="T421" s="61" t="n"/>
      <c r="U421" s="61" t="n"/>
      <c r="V421" s="61" t="n"/>
      <c r="W421" s="61" t="n"/>
      <c r="X421" s="61" t="n"/>
      <c r="Y421" s="61" t="n"/>
      <c r="Z421" s="61" t="n"/>
      <c r="AA421" s="61" t="n"/>
      <c r="AB421" s="61" t="n"/>
      <c r="AC421" s="61" t="n"/>
      <c r="AD421" s="61" t="n"/>
      <c r="AE421" s="61" t="n"/>
      <c r="AF421" s="61" t="n"/>
      <c r="AG421" s="61" t="n"/>
      <c r="AH421" s="61" t="n"/>
      <c r="AI421" s="61" t="n"/>
      <c r="AJ421" s="61" t="n"/>
      <c r="AK421" s="61" t="n"/>
      <c r="AL421" s="61" t="n"/>
      <c r="AM421" s="61" t="n"/>
      <c r="AN421" s="61" t="n"/>
      <c r="AO421" s="61" t="n"/>
      <c r="AP421" s="57" t="n"/>
      <c r="AQ421" s="56" t="n"/>
      <c r="AR421" s="57" t="n"/>
      <c r="AS421" s="61" t="n"/>
      <c r="AT421" s="61" t="n"/>
      <c r="AU421" s="57" t="n"/>
      <c r="AV421" s="61" t="n"/>
      <c r="AW421" s="61" t="n"/>
      <c r="AX421" s="61" t="n"/>
      <c r="AY421" s="61" t="n"/>
      <c r="AZ421" s="61" t="n"/>
      <c r="BA421" s="61" t="n"/>
      <c r="BB421" s="61" t="n"/>
      <c r="BC421" s="61" t="n"/>
      <c r="BD421" s="57" t="n"/>
      <c r="BE421" s="56" t="n"/>
      <c r="BF421" s="56" t="n"/>
      <c r="BG421" s="57" t="n"/>
      <c r="BH421" s="61" t="n"/>
      <c r="BI421" s="61" t="n"/>
      <c r="BJ421" s="61" t="n"/>
      <c r="BK421" s="61" t="n"/>
      <c r="BL421" s="61" t="n"/>
      <c r="BM421" s="61" t="n"/>
      <c r="BN421" s="61" t="n"/>
      <c r="BO421" s="61" t="n"/>
      <c r="BP421" s="61" t="n"/>
      <c r="BQ421" s="61" t="n"/>
      <c r="BR421" s="61" t="n"/>
      <c r="BS421" s="61" t="n"/>
      <c r="BT421" s="61" t="n"/>
    </row>
    <row r="422" ht="15.75" customHeight="1" s="79">
      <c r="A422" s="61" t="n"/>
      <c r="B422" s="61" t="n"/>
      <c r="C422" s="61" t="n"/>
      <c r="D422" s="61" t="n"/>
      <c r="E422" s="61" t="n"/>
      <c r="F422" s="61" t="n"/>
      <c r="G422" s="61" t="n"/>
      <c r="H422" s="61" t="n"/>
      <c r="I422" s="61" t="n"/>
      <c r="J422" s="61" t="n"/>
      <c r="K422" s="61" t="n"/>
      <c r="L422" s="61" t="n"/>
      <c r="M422" s="61" t="n"/>
      <c r="N422" s="61" t="n"/>
      <c r="O422" s="61" t="n"/>
      <c r="P422" s="61" t="n"/>
      <c r="Q422" s="61" t="n"/>
      <c r="R422" s="61" t="n"/>
      <c r="S422" s="61" t="n"/>
      <c r="T422" s="61" t="n"/>
      <c r="U422" s="61" t="n"/>
      <c r="V422" s="61" t="n"/>
      <c r="W422" s="61" t="n"/>
      <c r="X422" s="61" t="n"/>
      <c r="Y422" s="61" t="n"/>
      <c r="Z422" s="61" t="n"/>
      <c r="AA422" s="61" t="n"/>
      <c r="AB422" s="61" t="n"/>
      <c r="AC422" s="61" t="n"/>
      <c r="AD422" s="61" t="n"/>
      <c r="AE422" s="61" t="n"/>
      <c r="AF422" s="61" t="n"/>
      <c r="AG422" s="61" t="n"/>
      <c r="AH422" s="61" t="n"/>
      <c r="AI422" s="61" t="n"/>
      <c r="AJ422" s="61" t="n"/>
      <c r="AK422" s="61" t="n"/>
      <c r="AL422" s="61" t="n"/>
      <c r="AM422" s="61" t="n"/>
      <c r="AN422" s="61" t="n"/>
      <c r="AO422" s="61" t="n"/>
      <c r="AP422" s="57" t="n"/>
      <c r="AQ422" s="56" t="n"/>
      <c r="AR422" s="57" t="n"/>
      <c r="AS422" s="61" t="n"/>
      <c r="AT422" s="61" t="n"/>
      <c r="AU422" s="57" t="n"/>
      <c r="AV422" s="61" t="n"/>
      <c r="AW422" s="61" t="n"/>
      <c r="AX422" s="61" t="n"/>
      <c r="AY422" s="61" t="n"/>
      <c r="AZ422" s="61" t="n"/>
      <c r="BA422" s="61" t="n"/>
      <c r="BB422" s="61" t="n"/>
      <c r="BC422" s="61" t="n"/>
      <c r="BD422" s="57" t="n"/>
      <c r="BE422" s="56" t="n"/>
      <c r="BF422" s="56" t="n"/>
      <c r="BG422" s="57" t="n"/>
      <c r="BH422" s="61" t="n"/>
      <c r="BI422" s="61" t="n"/>
      <c r="BJ422" s="61" t="n"/>
      <c r="BK422" s="61" t="n"/>
      <c r="BL422" s="61" t="n"/>
      <c r="BM422" s="61" t="n"/>
      <c r="BN422" s="61" t="n"/>
      <c r="BO422" s="61" t="n"/>
      <c r="BP422" s="61" t="n"/>
      <c r="BQ422" s="61" t="n"/>
      <c r="BR422" s="61" t="n"/>
      <c r="BS422" s="61" t="n"/>
      <c r="BT422" s="61" t="n"/>
    </row>
    <row r="423" ht="15.75" customHeight="1" s="79">
      <c r="A423" s="61" t="n"/>
      <c r="B423" s="61" t="n"/>
      <c r="C423" s="61" t="n"/>
      <c r="D423" s="61" t="n"/>
      <c r="E423" s="61" t="n"/>
      <c r="F423" s="61" t="n"/>
      <c r="G423" s="61" t="n"/>
      <c r="H423" s="61" t="n"/>
      <c r="I423" s="61" t="n"/>
      <c r="J423" s="61" t="n"/>
      <c r="K423" s="61" t="n"/>
      <c r="L423" s="61" t="n"/>
      <c r="M423" s="61" t="n"/>
      <c r="N423" s="61" t="n"/>
      <c r="O423" s="61" t="n"/>
      <c r="P423" s="61" t="n"/>
      <c r="Q423" s="61" t="n"/>
      <c r="R423" s="61" t="n"/>
      <c r="S423" s="61" t="n"/>
      <c r="T423" s="61" t="n"/>
      <c r="U423" s="61" t="n"/>
      <c r="V423" s="61" t="n"/>
      <c r="W423" s="61" t="n"/>
      <c r="X423" s="61" t="n"/>
      <c r="Y423" s="61" t="n"/>
      <c r="Z423" s="61" t="n"/>
      <c r="AA423" s="61" t="n"/>
      <c r="AB423" s="61" t="n"/>
      <c r="AC423" s="61" t="n"/>
      <c r="AD423" s="61" t="n"/>
      <c r="AE423" s="61" t="n"/>
      <c r="AF423" s="61" t="n"/>
      <c r="AG423" s="61" t="n"/>
      <c r="AH423" s="61" t="n"/>
      <c r="AI423" s="61" t="n"/>
      <c r="AJ423" s="61" t="n"/>
      <c r="AK423" s="61" t="n"/>
      <c r="AL423" s="61" t="n"/>
      <c r="AM423" s="61" t="n"/>
      <c r="AN423" s="61" t="n"/>
      <c r="AO423" s="61" t="n"/>
      <c r="AP423" s="57" t="n"/>
      <c r="AQ423" s="56" t="n"/>
      <c r="AR423" s="57" t="n"/>
      <c r="AS423" s="61" t="n"/>
      <c r="AT423" s="61" t="n"/>
      <c r="AU423" s="57" t="n"/>
      <c r="AV423" s="61" t="n"/>
      <c r="AW423" s="61" t="n"/>
      <c r="AX423" s="61" t="n"/>
      <c r="AY423" s="61" t="n"/>
      <c r="AZ423" s="61" t="n"/>
      <c r="BA423" s="61" t="n"/>
      <c r="BB423" s="61" t="n"/>
      <c r="BC423" s="61" t="n"/>
      <c r="BD423" s="57" t="n"/>
      <c r="BE423" s="56" t="n"/>
      <c r="BF423" s="56" t="n"/>
      <c r="BG423" s="57" t="n"/>
      <c r="BH423" s="61" t="n"/>
      <c r="BI423" s="61" t="n"/>
      <c r="BJ423" s="61" t="n"/>
      <c r="BK423" s="61" t="n"/>
      <c r="BL423" s="61" t="n"/>
      <c r="BM423" s="61" t="n"/>
      <c r="BN423" s="61" t="n"/>
      <c r="BO423" s="61" t="n"/>
      <c r="BP423" s="61" t="n"/>
      <c r="BQ423" s="61" t="n"/>
      <c r="BR423" s="61" t="n"/>
      <c r="BS423" s="61" t="n"/>
      <c r="BT423" s="61" t="n"/>
    </row>
    <row r="424" ht="15.75" customHeight="1" s="79">
      <c r="A424" s="61" t="n"/>
      <c r="B424" s="61" t="n"/>
      <c r="C424" s="61" t="n"/>
      <c r="D424" s="61" t="n"/>
      <c r="E424" s="61" t="n"/>
      <c r="F424" s="61" t="n"/>
      <c r="G424" s="61" t="n"/>
      <c r="H424" s="61" t="n"/>
      <c r="I424" s="61" t="n"/>
      <c r="J424" s="61" t="n"/>
      <c r="K424" s="61" t="n"/>
      <c r="L424" s="61" t="n"/>
      <c r="M424" s="61" t="n"/>
      <c r="N424" s="61" t="n"/>
      <c r="O424" s="61" t="n"/>
      <c r="P424" s="61" t="n"/>
      <c r="Q424" s="61" t="n"/>
      <c r="R424" s="61" t="n"/>
      <c r="S424" s="61" t="n"/>
      <c r="T424" s="61" t="n"/>
      <c r="U424" s="61" t="n"/>
      <c r="V424" s="61" t="n"/>
      <c r="W424" s="61" t="n"/>
      <c r="X424" s="61" t="n"/>
      <c r="Y424" s="61" t="n"/>
      <c r="Z424" s="61" t="n"/>
      <c r="AA424" s="61" t="n"/>
      <c r="AB424" s="61" t="n"/>
      <c r="AC424" s="61" t="n"/>
      <c r="AD424" s="61" t="n"/>
      <c r="AE424" s="61" t="n"/>
      <c r="AF424" s="61" t="n"/>
      <c r="AG424" s="61" t="n"/>
      <c r="AH424" s="61" t="n"/>
      <c r="AI424" s="61" t="n"/>
      <c r="AJ424" s="61" t="n"/>
      <c r="AK424" s="61" t="n"/>
      <c r="AL424" s="61" t="n"/>
      <c r="AM424" s="61" t="n"/>
      <c r="AN424" s="61" t="n"/>
      <c r="AO424" s="61" t="n"/>
      <c r="AP424" s="57" t="n"/>
      <c r="AQ424" s="56" t="n"/>
      <c r="AR424" s="57" t="n"/>
      <c r="AS424" s="61" t="n"/>
      <c r="AT424" s="61" t="n"/>
      <c r="AU424" s="57" t="n"/>
      <c r="AV424" s="61" t="n"/>
      <c r="AW424" s="61" t="n"/>
      <c r="AX424" s="61" t="n"/>
      <c r="AY424" s="61" t="n"/>
      <c r="AZ424" s="61" t="n"/>
      <c r="BA424" s="61" t="n"/>
      <c r="BB424" s="61" t="n"/>
      <c r="BC424" s="61" t="n"/>
      <c r="BD424" s="57" t="n"/>
      <c r="BE424" s="56" t="n"/>
      <c r="BF424" s="56" t="n"/>
      <c r="BG424" s="57" t="n"/>
      <c r="BH424" s="61" t="n"/>
      <c r="BI424" s="61" t="n"/>
      <c r="BJ424" s="61" t="n"/>
      <c r="BK424" s="61" t="n"/>
      <c r="BL424" s="61" t="n"/>
      <c r="BM424" s="61" t="n"/>
      <c r="BN424" s="61" t="n"/>
      <c r="BO424" s="61" t="n"/>
      <c r="BP424" s="61" t="n"/>
      <c r="BQ424" s="61" t="n"/>
      <c r="BR424" s="61" t="n"/>
      <c r="BS424" s="61" t="n"/>
      <c r="BT424" s="61" t="n"/>
    </row>
    <row r="425" ht="15.75" customHeight="1" s="79">
      <c r="A425" s="61" t="n"/>
      <c r="B425" s="61" t="n"/>
      <c r="C425" s="61" t="n"/>
      <c r="D425" s="61" t="n"/>
      <c r="E425" s="61" t="n"/>
      <c r="F425" s="61" t="n"/>
      <c r="G425" s="61" t="n"/>
      <c r="H425" s="61" t="n"/>
      <c r="I425" s="61" t="n"/>
      <c r="J425" s="61" t="n"/>
      <c r="K425" s="61" t="n"/>
      <c r="L425" s="61" t="n"/>
      <c r="M425" s="61" t="n"/>
      <c r="N425" s="61" t="n"/>
      <c r="O425" s="61" t="n"/>
      <c r="P425" s="61" t="n"/>
      <c r="Q425" s="61" t="n"/>
      <c r="R425" s="61" t="n"/>
      <c r="S425" s="61" t="n"/>
      <c r="T425" s="61" t="n"/>
      <c r="U425" s="61" t="n"/>
      <c r="V425" s="61" t="n"/>
      <c r="W425" s="61" t="n"/>
      <c r="X425" s="61" t="n"/>
      <c r="Y425" s="61" t="n"/>
      <c r="Z425" s="61" t="n"/>
      <c r="AA425" s="61" t="n"/>
      <c r="AB425" s="61" t="n"/>
      <c r="AC425" s="61" t="n"/>
      <c r="AD425" s="61" t="n"/>
      <c r="AE425" s="61" t="n"/>
      <c r="AF425" s="61" t="n"/>
      <c r="AG425" s="61" t="n"/>
      <c r="AH425" s="61" t="n"/>
      <c r="AI425" s="61" t="n"/>
      <c r="AJ425" s="61" t="n"/>
      <c r="AK425" s="61" t="n"/>
      <c r="AL425" s="61" t="n"/>
      <c r="AM425" s="61" t="n"/>
      <c r="AN425" s="61" t="n"/>
      <c r="AO425" s="61" t="n"/>
      <c r="AP425" s="57" t="n"/>
      <c r="AQ425" s="56" t="n"/>
      <c r="AR425" s="57" t="n"/>
      <c r="AS425" s="61" t="n"/>
      <c r="AT425" s="61" t="n"/>
      <c r="AU425" s="57" t="n"/>
      <c r="AV425" s="61" t="n"/>
      <c r="AW425" s="61" t="n"/>
      <c r="AX425" s="61" t="n"/>
      <c r="AY425" s="61" t="n"/>
      <c r="AZ425" s="61" t="n"/>
      <c r="BA425" s="61" t="n"/>
      <c r="BB425" s="61" t="n"/>
      <c r="BC425" s="61" t="n"/>
      <c r="BD425" s="57" t="n"/>
      <c r="BE425" s="56" t="n"/>
      <c r="BF425" s="56" t="n"/>
      <c r="BG425" s="57" t="n"/>
      <c r="BH425" s="61" t="n"/>
      <c r="BI425" s="61" t="n"/>
      <c r="BJ425" s="61" t="n"/>
      <c r="BK425" s="61" t="n"/>
      <c r="BL425" s="61" t="n"/>
      <c r="BM425" s="61" t="n"/>
      <c r="BN425" s="61" t="n"/>
      <c r="BO425" s="61" t="n"/>
      <c r="BP425" s="61" t="n"/>
      <c r="BQ425" s="61" t="n"/>
      <c r="BR425" s="61" t="n"/>
      <c r="BS425" s="61" t="n"/>
      <c r="BT425" s="61" t="n"/>
    </row>
    <row r="426" ht="15.75" customHeight="1" s="79">
      <c r="A426" s="61" t="n"/>
      <c r="B426" s="61" t="n"/>
      <c r="C426" s="61" t="n"/>
      <c r="D426" s="61" t="n"/>
      <c r="E426" s="61" t="n"/>
      <c r="F426" s="61" t="n"/>
      <c r="G426" s="61" t="n"/>
      <c r="H426" s="61" t="n"/>
      <c r="I426" s="61" t="n"/>
      <c r="J426" s="61" t="n"/>
      <c r="K426" s="61" t="n"/>
      <c r="L426" s="61" t="n"/>
      <c r="M426" s="61" t="n"/>
      <c r="N426" s="61" t="n"/>
      <c r="O426" s="61" t="n"/>
      <c r="P426" s="61" t="n"/>
      <c r="Q426" s="61" t="n"/>
      <c r="R426" s="61" t="n"/>
      <c r="S426" s="61" t="n"/>
      <c r="T426" s="61" t="n"/>
      <c r="U426" s="61" t="n"/>
      <c r="V426" s="61" t="n"/>
      <c r="W426" s="61" t="n"/>
      <c r="X426" s="61" t="n"/>
      <c r="Y426" s="61" t="n"/>
      <c r="Z426" s="61" t="n"/>
      <c r="AA426" s="61" t="n"/>
      <c r="AB426" s="61" t="n"/>
      <c r="AC426" s="61" t="n"/>
      <c r="AD426" s="61" t="n"/>
      <c r="AE426" s="61" t="n"/>
      <c r="AF426" s="61" t="n"/>
      <c r="AG426" s="61" t="n"/>
      <c r="AH426" s="61" t="n"/>
      <c r="AI426" s="61" t="n"/>
      <c r="AJ426" s="61" t="n"/>
      <c r="AK426" s="61" t="n"/>
      <c r="AL426" s="61" t="n"/>
      <c r="AM426" s="61" t="n"/>
      <c r="AN426" s="61" t="n"/>
      <c r="AO426" s="61" t="n"/>
      <c r="AP426" s="57" t="n"/>
      <c r="AQ426" s="56" t="n"/>
      <c r="AR426" s="57" t="n"/>
      <c r="AS426" s="61" t="n"/>
      <c r="AT426" s="61" t="n"/>
      <c r="AU426" s="57" t="n"/>
      <c r="AV426" s="61" t="n"/>
      <c r="AW426" s="61" t="n"/>
      <c r="AX426" s="61" t="n"/>
      <c r="AY426" s="61" t="n"/>
      <c r="AZ426" s="61" t="n"/>
      <c r="BA426" s="61" t="n"/>
      <c r="BB426" s="61" t="n"/>
      <c r="BC426" s="61" t="n"/>
      <c r="BD426" s="57" t="n"/>
      <c r="BE426" s="56" t="n"/>
      <c r="BF426" s="56" t="n"/>
      <c r="BG426" s="57" t="n"/>
      <c r="BH426" s="61" t="n"/>
      <c r="BI426" s="61" t="n"/>
      <c r="BJ426" s="61" t="n"/>
      <c r="BK426" s="61" t="n"/>
      <c r="BL426" s="61" t="n"/>
      <c r="BM426" s="61" t="n"/>
      <c r="BN426" s="61" t="n"/>
      <c r="BO426" s="61" t="n"/>
      <c r="BP426" s="61" t="n"/>
      <c r="BQ426" s="61" t="n"/>
      <c r="BR426" s="61" t="n"/>
      <c r="BS426" s="61" t="n"/>
      <c r="BT426" s="61" t="n"/>
    </row>
    <row r="427" ht="15.75" customHeight="1" s="79">
      <c r="A427" s="61" t="n"/>
      <c r="B427" s="61" t="n"/>
      <c r="C427" s="61" t="n"/>
      <c r="D427" s="61" t="n"/>
      <c r="E427" s="61" t="n"/>
      <c r="F427" s="61" t="n"/>
      <c r="G427" s="61" t="n"/>
      <c r="H427" s="61" t="n"/>
      <c r="I427" s="61" t="n"/>
      <c r="J427" s="61" t="n"/>
      <c r="K427" s="61" t="n"/>
      <c r="L427" s="61" t="n"/>
      <c r="M427" s="61" t="n"/>
      <c r="N427" s="61" t="n"/>
      <c r="O427" s="61" t="n"/>
      <c r="P427" s="61" t="n"/>
      <c r="Q427" s="61" t="n"/>
      <c r="R427" s="61" t="n"/>
      <c r="S427" s="61" t="n"/>
      <c r="T427" s="61" t="n"/>
      <c r="U427" s="61" t="n"/>
      <c r="V427" s="61" t="n"/>
      <c r="W427" s="61" t="n"/>
      <c r="X427" s="61" t="n"/>
      <c r="Y427" s="61" t="n"/>
      <c r="Z427" s="61" t="n"/>
      <c r="AA427" s="61" t="n"/>
      <c r="AB427" s="61" t="n"/>
      <c r="AC427" s="61" t="n"/>
      <c r="AD427" s="61" t="n"/>
      <c r="AE427" s="61" t="n"/>
      <c r="AF427" s="61" t="n"/>
      <c r="AG427" s="61" t="n"/>
      <c r="AH427" s="61" t="n"/>
      <c r="AI427" s="61" t="n"/>
      <c r="AJ427" s="61" t="n"/>
      <c r="AK427" s="61" t="n"/>
      <c r="AL427" s="61" t="n"/>
      <c r="AM427" s="61" t="n"/>
      <c r="AN427" s="61" t="n"/>
      <c r="AO427" s="61" t="n"/>
      <c r="AP427" s="57" t="n"/>
      <c r="AQ427" s="56" t="n"/>
      <c r="AR427" s="57" t="n"/>
      <c r="AS427" s="61" t="n"/>
      <c r="AT427" s="61" t="n"/>
      <c r="AU427" s="57" t="n"/>
      <c r="AV427" s="61" t="n"/>
      <c r="AW427" s="61" t="n"/>
      <c r="AX427" s="61" t="n"/>
      <c r="AY427" s="61" t="n"/>
      <c r="AZ427" s="61" t="n"/>
      <c r="BA427" s="61" t="n"/>
      <c r="BB427" s="61" t="n"/>
      <c r="BC427" s="61" t="n"/>
      <c r="BD427" s="57" t="n"/>
      <c r="BE427" s="56" t="n"/>
      <c r="BF427" s="56" t="n"/>
      <c r="BG427" s="57" t="n"/>
      <c r="BH427" s="61" t="n"/>
      <c r="BI427" s="61" t="n"/>
      <c r="BJ427" s="61" t="n"/>
      <c r="BK427" s="61" t="n"/>
      <c r="BL427" s="61" t="n"/>
      <c r="BM427" s="61" t="n"/>
      <c r="BN427" s="61" t="n"/>
      <c r="BO427" s="61" t="n"/>
      <c r="BP427" s="61" t="n"/>
      <c r="BQ427" s="61" t="n"/>
      <c r="BR427" s="61" t="n"/>
      <c r="BS427" s="61" t="n"/>
      <c r="BT427" s="61" t="n"/>
    </row>
    <row r="428" ht="15.75" customHeight="1" s="79">
      <c r="A428" s="61" t="n"/>
      <c r="B428" s="61" t="n"/>
      <c r="C428" s="61" t="n"/>
      <c r="D428" s="61" t="n"/>
      <c r="E428" s="61" t="n"/>
      <c r="F428" s="61" t="n"/>
      <c r="G428" s="61" t="n"/>
      <c r="H428" s="61" t="n"/>
      <c r="I428" s="61" t="n"/>
      <c r="J428" s="61" t="n"/>
      <c r="K428" s="61" t="n"/>
      <c r="L428" s="61" t="n"/>
      <c r="M428" s="61" t="n"/>
      <c r="N428" s="61" t="n"/>
      <c r="O428" s="61" t="n"/>
      <c r="P428" s="61" t="n"/>
      <c r="Q428" s="61" t="n"/>
      <c r="R428" s="61" t="n"/>
      <c r="S428" s="61" t="n"/>
      <c r="T428" s="61" t="n"/>
      <c r="U428" s="61" t="n"/>
      <c r="V428" s="61" t="n"/>
      <c r="W428" s="61" t="n"/>
      <c r="X428" s="61" t="n"/>
      <c r="Y428" s="61" t="n"/>
      <c r="Z428" s="61" t="n"/>
      <c r="AA428" s="61" t="n"/>
      <c r="AB428" s="61" t="n"/>
      <c r="AC428" s="61" t="n"/>
      <c r="AD428" s="61" t="n"/>
      <c r="AE428" s="61" t="n"/>
      <c r="AF428" s="61" t="n"/>
      <c r="AG428" s="61" t="n"/>
      <c r="AH428" s="61" t="n"/>
      <c r="AI428" s="61" t="n"/>
      <c r="AJ428" s="61" t="n"/>
      <c r="AK428" s="61" t="n"/>
      <c r="AL428" s="61" t="n"/>
      <c r="AM428" s="61" t="n"/>
      <c r="AN428" s="61" t="n"/>
      <c r="AO428" s="61" t="n"/>
      <c r="AP428" s="57" t="n"/>
      <c r="AQ428" s="56" t="n"/>
      <c r="AR428" s="57" t="n"/>
      <c r="AS428" s="61" t="n"/>
      <c r="AT428" s="61" t="n"/>
      <c r="AU428" s="57" t="n"/>
      <c r="AV428" s="61" t="n"/>
      <c r="AW428" s="61" t="n"/>
      <c r="AX428" s="61" t="n"/>
      <c r="AY428" s="61" t="n"/>
      <c r="AZ428" s="61" t="n"/>
      <c r="BA428" s="61" t="n"/>
      <c r="BB428" s="61" t="n"/>
      <c r="BC428" s="61" t="n"/>
      <c r="BD428" s="57" t="n"/>
      <c r="BE428" s="56" t="n"/>
      <c r="BF428" s="56" t="n"/>
      <c r="BG428" s="57" t="n"/>
      <c r="BH428" s="61" t="n"/>
      <c r="BI428" s="61" t="n"/>
      <c r="BJ428" s="61" t="n"/>
      <c r="BK428" s="61" t="n"/>
      <c r="BL428" s="61" t="n"/>
      <c r="BM428" s="61" t="n"/>
      <c r="BN428" s="61" t="n"/>
      <c r="BO428" s="61" t="n"/>
      <c r="BP428" s="61" t="n"/>
      <c r="BQ428" s="61" t="n"/>
      <c r="BR428" s="61" t="n"/>
      <c r="BS428" s="61" t="n"/>
      <c r="BT428" s="61" t="n"/>
    </row>
    <row r="429" ht="15.75" customHeight="1" s="79">
      <c r="A429" s="61" t="n"/>
      <c r="B429" s="61" t="n"/>
      <c r="C429" s="61" t="n"/>
      <c r="D429" s="61" t="n"/>
      <c r="E429" s="61" t="n"/>
      <c r="F429" s="61" t="n"/>
      <c r="G429" s="61" t="n"/>
      <c r="H429" s="61" t="n"/>
      <c r="I429" s="61" t="n"/>
      <c r="J429" s="61" t="n"/>
      <c r="K429" s="61" t="n"/>
      <c r="L429" s="61" t="n"/>
      <c r="M429" s="61" t="n"/>
      <c r="N429" s="61" t="n"/>
      <c r="O429" s="61" t="n"/>
      <c r="P429" s="61" t="n"/>
      <c r="Q429" s="61" t="n"/>
      <c r="R429" s="61" t="n"/>
      <c r="S429" s="61" t="n"/>
      <c r="T429" s="61" t="n"/>
      <c r="U429" s="61" t="n"/>
      <c r="V429" s="61" t="n"/>
      <c r="W429" s="61" t="n"/>
      <c r="X429" s="61" t="n"/>
      <c r="Y429" s="61" t="n"/>
      <c r="Z429" s="61" t="n"/>
      <c r="AA429" s="61" t="n"/>
      <c r="AB429" s="61" t="n"/>
      <c r="AC429" s="61" t="n"/>
      <c r="AD429" s="61" t="n"/>
      <c r="AE429" s="61" t="n"/>
      <c r="AF429" s="61" t="n"/>
      <c r="AG429" s="61" t="n"/>
      <c r="AH429" s="61" t="n"/>
      <c r="AI429" s="61" t="n"/>
      <c r="AJ429" s="61" t="n"/>
      <c r="AK429" s="61" t="n"/>
      <c r="AL429" s="61" t="n"/>
      <c r="AM429" s="61" t="n"/>
      <c r="AN429" s="61" t="n"/>
      <c r="AO429" s="61" t="n"/>
      <c r="AP429" s="57" t="n"/>
      <c r="AQ429" s="56" t="n"/>
      <c r="AR429" s="57" t="n"/>
      <c r="AS429" s="61" t="n"/>
      <c r="AT429" s="61" t="n"/>
      <c r="AU429" s="57" t="n"/>
      <c r="AV429" s="61" t="n"/>
      <c r="AW429" s="61" t="n"/>
      <c r="AX429" s="61" t="n"/>
      <c r="AY429" s="61" t="n"/>
      <c r="AZ429" s="61" t="n"/>
      <c r="BA429" s="61" t="n"/>
      <c r="BB429" s="61" t="n"/>
      <c r="BC429" s="61" t="n"/>
      <c r="BD429" s="57" t="n"/>
      <c r="BE429" s="56" t="n"/>
      <c r="BF429" s="56" t="n"/>
      <c r="BG429" s="57" t="n"/>
      <c r="BH429" s="61" t="n"/>
      <c r="BI429" s="61" t="n"/>
      <c r="BJ429" s="61" t="n"/>
      <c r="BK429" s="61" t="n"/>
      <c r="BL429" s="61" t="n"/>
      <c r="BM429" s="61" t="n"/>
      <c r="BN429" s="61" t="n"/>
      <c r="BO429" s="61" t="n"/>
      <c r="BP429" s="61" t="n"/>
      <c r="BQ429" s="61" t="n"/>
      <c r="BR429" s="61" t="n"/>
      <c r="BS429" s="61" t="n"/>
      <c r="BT429" s="61" t="n"/>
    </row>
    <row r="430" ht="15.75" customHeight="1" s="79">
      <c r="A430" s="61" t="n"/>
      <c r="B430" s="61" t="n"/>
      <c r="C430" s="61" t="n"/>
      <c r="D430" s="61" t="n"/>
      <c r="E430" s="61" t="n"/>
      <c r="F430" s="61" t="n"/>
      <c r="G430" s="61" t="n"/>
      <c r="H430" s="61" t="n"/>
      <c r="I430" s="61" t="n"/>
      <c r="J430" s="61" t="n"/>
      <c r="K430" s="61" t="n"/>
      <c r="L430" s="61" t="n"/>
      <c r="M430" s="61" t="n"/>
      <c r="N430" s="61" t="n"/>
      <c r="O430" s="61" t="n"/>
      <c r="P430" s="61" t="n"/>
      <c r="Q430" s="61" t="n"/>
      <c r="R430" s="61" t="n"/>
      <c r="S430" s="61" t="n"/>
      <c r="T430" s="61" t="n"/>
      <c r="U430" s="61" t="n"/>
      <c r="V430" s="61" t="n"/>
      <c r="W430" s="61" t="n"/>
      <c r="X430" s="61" t="n"/>
      <c r="Y430" s="61" t="n"/>
      <c r="Z430" s="61" t="n"/>
      <c r="AA430" s="61" t="n"/>
      <c r="AB430" s="61" t="n"/>
      <c r="AC430" s="61" t="n"/>
      <c r="AD430" s="61" t="n"/>
      <c r="AE430" s="61" t="n"/>
      <c r="AF430" s="61" t="n"/>
      <c r="AG430" s="61" t="n"/>
      <c r="AH430" s="61" t="n"/>
      <c r="AI430" s="61" t="n"/>
      <c r="AJ430" s="61" t="n"/>
      <c r="AK430" s="61" t="n"/>
      <c r="AL430" s="61" t="n"/>
      <c r="AM430" s="61" t="n"/>
      <c r="AN430" s="61" t="n"/>
      <c r="AO430" s="61" t="n"/>
      <c r="AP430" s="57" t="n"/>
      <c r="AQ430" s="56" t="n"/>
      <c r="AR430" s="57" t="n"/>
      <c r="AS430" s="61" t="n"/>
      <c r="AT430" s="61" t="n"/>
      <c r="AU430" s="57" t="n"/>
      <c r="AV430" s="61" t="n"/>
      <c r="AW430" s="61" t="n"/>
      <c r="AX430" s="61" t="n"/>
      <c r="AY430" s="61" t="n"/>
      <c r="AZ430" s="61" t="n"/>
      <c r="BA430" s="61" t="n"/>
      <c r="BB430" s="61" t="n"/>
      <c r="BC430" s="61" t="n"/>
      <c r="BD430" s="57" t="n"/>
      <c r="BE430" s="56" t="n"/>
      <c r="BF430" s="56" t="n"/>
      <c r="BG430" s="57" t="n"/>
      <c r="BH430" s="61" t="n"/>
      <c r="BI430" s="61" t="n"/>
      <c r="BJ430" s="61" t="n"/>
      <c r="BK430" s="61" t="n"/>
      <c r="BL430" s="61" t="n"/>
      <c r="BM430" s="61" t="n"/>
      <c r="BN430" s="61" t="n"/>
      <c r="BO430" s="61" t="n"/>
      <c r="BP430" s="61" t="n"/>
      <c r="BQ430" s="61" t="n"/>
      <c r="BR430" s="61" t="n"/>
      <c r="BS430" s="61" t="n"/>
      <c r="BT430" s="61" t="n"/>
    </row>
    <row r="431" ht="15.75" customHeight="1" s="79">
      <c r="A431" s="61" t="n"/>
      <c r="B431" s="61" t="n"/>
      <c r="C431" s="61" t="n"/>
      <c r="D431" s="61" t="n"/>
      <c r="E431" s="61" t="n"/>
      <c r="F431" s="61" t="n"/>
      <c r="G431" s="61" t="n"/>
      <c r="H431" s="61" t="n"/>
      <c r="I431" s="61" t="n"/>
      <c r="J431" s="61" t="n"/>
      <c r="K431" s="61" t="n"/>
      <c r="L431" s="61" t="n"/>
      <c r="M431" s="61" t="n"/>
      <c r="N431" s="61" t="n"/>
      <c r="O431" s="61" t="n"/>
      <c r="P431" s="61" t="n"/>
      <c r="Q431" s="61" t="n"/>
      <c r="R431" s="61" t="n"/>
      <c r="S431" s="61" t="n"/>
      <c r="T431" s="61" t="n"/>
      <c r="U431" s="61" t="n"/>
      <c r="V431" s="61" t="n"/>
      <c r="W431" s="61" t="n"/>
      <c r="X431" s="61" t="n"/>
      <c r="Y431" s="61" t="n"/>
      <c r="Z431" s="61" t="n"/>
      <c r="AA431" s="61" t="n"/>
      <c r="AB431" s="61" t="n"/>
      <c r="AC431" s="61" t="n"/>
      <c r="AD431" s="61" t="n"/>
      <c r="AE431" s="61" t="n"/>
      <c r="AF431" s="61" t="n"/>
      <c r="AG431" s="61" t="n"/>
      <c r="AH431" s="61" t="n"/>
      <c r="AI431" s="61" t="n"/>
      <c r="AJ431" s="61" t="n"/>
      <c r="AK431" s="61" t="n"/>
      <c r="AL431" s="61" t="n"/>
      <c r="AM431" s="61" t="n"/>
      <c r="AN431" s="61" t="n"/>
      <c r="AO431" s="61" t="n"/>
      <c r="AP431" s="57" t="n"/>
      <c r="AQ431" s="56" t="n"/>
      <c r="AR431" s="57" t="n"/>
      <c r="AS431" s="61" t="n"/>
      <c r="AT431" s="61" t="n"/>
      <c r="AU431" s="57" t="n"/>
      <c r="AV431" s="61" t="n"/>
      <c r="AW431" s="61" t="n"/>
      <c r="AX431" s="61" t="n"/>
      <c r="AY431" s="61" t="n"/>
      <c r="AZ431" s="61" t="n"/>
      <c r="BA431" s="61" t="n"/>
      <c r="BB431" s="61" t="n"/>
      <c r="BC431" s="61" t="n"/>
      <c r="BD431" s="57" t="n"/>
      <c r="BE431" s="56" t="n"/>
      <c r="BF431" s="56" t="n"/>
      <c r="BG431" s="57" t="n"/>
      <c r="BH431" s="61" t="n"/>
      <c r="BI431" s="61" t="n"/>
      <c r="BJ431" s="61" t="n"/>
      <c r="BK431" s="61" t="n"/>
      <c r="BL431" s="61" t="n"/>
      <c r="BM431" s="61" t="n"/>
      <c r="BN431" s="61" t="n"/>
      <c r="BO431" s="61" t="n"/>
      <c r="BP431" s="61" t="n"/>
      <c r="BQ431" s="61" t="n"/>
      <c r="BR431" s="61" t="n"/>
      <c r="BS431" s="61" t="n"/>
      <c r="BT431" s="61" t="n"/>
    </row>
    <row r="432" ht="15.75" customHeight="1" s="79">
      <c r="A432" s="61" t="n"/>
      <c r="B432" s="61" t="n"/>
      <c r="C432" s="61" t="n"/>
      <c r="D432" s="61" t="n"/>
      <c r="E432" s="61" t="n"/>
      <c r="F432" s="61" t="n"/>
      <c r="G432" s="61" t="n"/>
      <c r="H432" s="61" t="n"/>
      <c r="I432" s="61" t="n"/>
      <c r="J432" s="61" t="n"/>
      <c r="K432" s="61" t="n"/>
      <c r="L432" s="61" t="n"/>
      <c r="M432" s="61" t="n"/>
      <c r="N432" s="61" t="n"/>
      <c r="O432" s="61" t="n"/>
      <c r="P432" s="61" t="n"/>
      <c r="Q432" s="61" t="n"/>
      <c r="R432" s="61" t="n"/>
      <c r="S432" s="61" t="n"/>
      <c r="T432" s="61" t="n"/>
      <c r="U432" s="61" t="n"/>
      <c r="V432" s="61" t="n"/>
      <c r="W432" s="61" t="n"/>
      <c r="X432" s="61" t="n"/>
      <c r="Y432" s="61" t="n"/>
      <c r="Z432" s="61" t="n"/>
      <c r="AA432" s="61" t="n"/>
      <c r="AB432" s="61" t="n"/>
      <c r="AC432" s="61" t="n"/>
      <c r="AD432" s="61" t="n"/>
      <c r="AE432" s="61" t="n"/>
      <c r="AF432" s="61" t="n"/>
      <c r="AG432" s="61" t="n"/>
      <c r="AH432" s="61" t="n"/>
      <c r="AI432" s="61" t="n"/>
      <c r="AJ432" s="61" t="n"/>
      <c r="AK432" s="61" t="n"/>
      <c r="AL432" s="61" t="n"/>
      <c r="AM432" s="61" t="n"/>
      <c r="AN432" s="61" t="n"/>
      <c r="AO432" s="61" t="n"/>
      <c r="AP432" s="57" t="n"/>
      <c r="AQ432" s="56" t="n"/>
      <c r="AR432" s="57" t="n"/>
      <c r="AS432" s="61" t="n"/>
      <c r="AT432" s="61" t="n"/>
      <c r="AU432" s="57" t="n"/>
      <c r="AV432" s="61" t="n"/>
      <c r="AW432" s="61" t="n"/>
      <c r="AX432" s="61" t="n"/>
      <c r="AY432" s="61" t="n"/>
      <c r="AZ432" s="61" t="n"/>
      <c r="BA432" s="61" t="n"/>
      <c r="BB432" s="61" t="n"/>
      <c r="BC432" s="61" t="n"/>
      <c r="BD432" s="57" t="n"/>
      <c r="BE432" s="56" t="n"/>
      <c r="BF432" s="56" t="n"/>
      <c r="BG432" s="57" t="n"/>
      <c r="BH432" s="61" t="n"/>
      <c r="BI432" s="61" t="n"/>
      <c r="BJ432" s="61" t="n"/>
      <c r="BK432" s="61" t="n"/>
      <c r="BL432" s="61" t="n"/>
      <c r="BM432" s="61" t="n"/>
      <c r="BN432" s="61" t="n"/>
      <c r="BO432" s="61" t="n"/>
      <c r="BP432" s="61" t="n"/>
      <c r="BQ432" s="61" t="n"/>
      <c r="BR432" s="61" t="n"/>
      <c r="BS432" s="61" t="n"/>
      <c r="BT432" s="61" t="n"/>
    </row>
    <row r="433" ht="15.75" customHeight="1" s="79">
      <c r="A433" s="61" t="n"/>
      <c r="B433" s="61" t="n"/>
      <c r="C433" s="61" t="n"/>
      <c r="D433" s="61" t="n"/>
      <c r="E433" s="61" t="n"/>
      <c r="F433" s="61" t="n"/>
      <c r="G433" s="61" t="n"/>
      <c r="H433" s="61" t="n"/>
      <c r="I433" s="61" t="n"/>
      <c r="J433" s="61" t="n"/>
      <c r="K433" s="61" t="n"/>
      <c r="L433" s="61" t="n"/>
      <c r="M433" s="61" t="n"/>
      <c r="N433" s="61" t="n"/>
      <c r="O433" s="61" t="n"/>
      <c r="P433" s="61" t="n"/>
      <c r="Q433" s="61" t="n"/>
      <c r="R433" s="61" t="n"/>
      <c r="S433" s="61" t="n"/>
      <c r="T433" s="61" t="n"/>
      <c r="U433" s="61" t="n"/>
      <c r="V433" s="61" t="n"/>
      <c r="W433" s="61" t="n"/>
      <c r="X433" s="61" t="n"/>
      <c r="Y433" s="61" t="n"/>
      <c r="Z433" s="61" t="n"/>
      <c r="AA433" s="61" t="n"/>
      <c r="AB433" s="61" t="n"/>
      <c r="AC433" s="61" t="n"/>
      <c r="AD433" s="61" t="n"/>
      <c r="AE433" s="61" t="n"/>
      <c r="AF433" s="61" t="n"/>
      <c r="AG433" s="61" t="n"/>
      <c r="AH433" s="61" t="n"/>
      <c r="AI433" s="61" t="n"/>
      <c r="AJ433" s="61" t="n"/>
      <c r="AK433" s="61" t="n"/>
      <c r="AL433" s="61" t="n"/>
      <c r="AM433" s="61" t="n"/>
      <c r="AN433" s="61" t="n"/>
      <c r="AO433" s="61" t="n"/>
      <c r="AP433" s="57" t="n"/>
      <c r="AQ433" s="56" t="n"/>
      <c r="AR433" s="57" t="n"/>
      <c r="AS433" s="61" t="n"/>
      <c r="AT433" s="61" t="n"/>
      <c r="AU433" s="57" t="n"/>
      <c r="AV433" s="61" t="n"/>
      <c r="AW433" s="61" t="n"/>
      <c r="AX433" s="61" t="n"/>
      <c r="AY433" s="61" t="n"/>
      <c r="AZ433" s="61" t="n"/>
      <c r="BA433" s="61" t="n"/>
      <c r="BB433" s="61" t="n"/>
      <c r="BC433" s="61" t="n"/>
      <c r="BD433" s="57" t="n"/>
      <c r="BE433" s="56" t="n"/>
      <c r="BF433" s="56" t="n"/>
      <c r="BG433" s="57" t="n"/>
      <c r="BH433" s="61" t="n"/>
      <c r="BI433" s="61" t="n"/>
      <c r="BJ433" s="61" t="n"/>
      <c r="BK433" s="61" t="n"/>
      <c r="BL433" s="61" t="n"/>
      <c r="BM433" s="61" t="n"/>
      <c r="BN433" s="61" t="n"/>
      <c r="BO433" s="61" t="n"/>
      <c r="BP433" s="61" t="n"/>
      <c r="BQ433" s="61" t="n"/>
      <c r="BR433" s="61" t="n"/>
      <c r="BS433" s="61" t="n"/>
      <c r="BT433" s="61" t="n"/>
    </row>
    <row r="434" ht="15.75" customHeight="1" s="79">
      <c r="A434" s="61" t="n"/>
      <c r="B434" s="61" t="n"/>
      <c r="C434" s="61" t="n"/>
      <c r="D434" s="61" t="n"/>
      <c r="E434" s="61" t="n"/>
      <c r="F434" s="61" t="n"/>
      <c r="G434" s="61" t="n"/>
      <c r="H434" s="61" t="n"/>
      <c r="I434" s="61" t="n"/>
      <c r="J434" s="61" t="n"/>
      <c r="K434" s="61" t="n"/>
      <c r="L434" s="61" t="n"/>
      <c r="M434" s="61" t="n"/>
      <c r="N434" s="61" t="n"/>
      <c r="O434" s="61" t="n"/>
      <c r="P434" s="61" t="n"/>
      <c r="Q434" s="61" t="n"/>
      <c r="R434" s="61" t="n"/>
      <c r="S434" s="61" t="n"/>
      <c r="T434" s="61" t="n"/>
      <c r="U434" s="61" t="n"/>
      <c r="V434" s="61" t="n"/>
      <c r="W434" s="61" t="n"/>
      <c r="X434" s="61" t="n"/>
      <c r="Y434" s="61" t="n"/>
      <c r="Z434" s="61" t="n"/>
      <c r="AA434" s="61" t="n"/>
      <c r="AB434" s="61" t="n"/>
      <c r="AC434" s="61" t="n"/>
      <c r="AD434" s="61" t="n"/>
      <c r="AE434" s="61" t="n"/>
      <c r="AF434" s="61" t="n"/>
      <c r="AG434" s="61" t="n"/>
      <c r="AH434" s="61" t="n"/>
      <c r="AI434" s="61" t="n"/>
      <c r="AJ434" s="61" t="n"/>
      <c r="AK434" s="61" t="n"/>
      <c r="AL434" s="61" t="n"/>
      <c r="AM434" s="61" t="n"/>
      <c r="AN434" s="61" t="n"/>
      <c r="AO434" s="61" t="n"/>
      <c r="AP434" s="57" t="n"/>
      <c r="AQ434" s="56" t="n"/>
      <c r="AR434" s="57" t="n"/>
      <c r="AS434" s="61" t="n"/>
      <c r="AT434" s="61" t="n"/>
      <c r="AU434" s="57" t="n"/>
      <c r="AV434" s="61" t="n"/>
      <c r="AW434" s="61" t="n"/>
      <c r="AX434" s="61" t="n"/>
      <c r="AY434" s="61" t="n"/>
      <c r="AZ434" s="61" t="n"/>
      <c r="BA434" s="61" t="n"/>
      <c r="BB434" s="61" t="n"/>
      <c r="BC434" s="61" t="n"/>
      <c r="BD434" s="57" t="n"/>
      <c r="BE434" s="56" t="n"/>
      <c r="BF434" s="56" t="n"/>
      <c r="BG434" s="57" t="n"/>
      <c r="BH434" s="61" t="n"/>
      <c r="BI434" s="61" t="n"/>
      <c r="BJ434" s="61" t="n"/>
      <c r="BK434" s="61" t="n"/>
      <c r="BL434" s="61" t="n"/>
      <c r="BM434" s="61" t="n"/>
      <c r="BN434" s="61" t="n"/>
      <c r="BO434" s="61" t="n"/>
      <c r="BP434" s="61" t="n"/>
      <c r="BQ434" s="61" t="n"/>
      <c r="BR434" s="61" t="n"/>
      <c r="BS434" s="61" t="n"/>
      <c r="BT434" s="61" t="n"/>
    </row>
    <row r="435" ht="15.75" customHeight="1" s="79">
      <c r="A435" s="61" t="n"/>
      <c r="B435" s="61" t="n"/>
      <c r="C435" s="61" t="n"/>
      <c r="D435" s="61" t="n"/>
      <c r="E435" s="61" t="n"/>
      <c r="F435" s="61" t="n"/>
      <c r="G435" s="61" t="n"/>
      <c r="H435" s="61" t="n"/>
      <c r="I435" s="61" t="n"/>
      <c r="J435" s="61" t="n"/>
      <c r="K435" s="61" t="n"/>
      <c r="L435" s="61" t="n"/>
      <c r="M435" s="61" t="n"/>
      <c r="N435" s="61" t="n"/>
      <c r="O435" s="61" t="n"/>
      <c r="P435" s="61" t="n"/>
      <c r="Q435" s="61" t="n"/>
      <c r="R435" s="61" t="n"/>
      <c r="S435" s="61" t="n"/>
      <c r="T435" s="61" t="n"/>
      <c r="U435" s="61" t="n"/>
      <c r="V435" s="61" t="n"/>
      <c r="W435" s="61" t="n"/>
      <c r="X435" s="61" t="n"/>
      <c r="Y435" s="61" t="n"/>
      <c r="Z435" s="61" t="n"/>
      <c r="AA435" s="61" t="n"/>
      <c r="AB435" s="61" t="n"/>
      <c r="AC435" s="61" t="n"/>
      <c r="AD435" s="61" t="n"/>
      <c r="AE435" s="61" t="n"/>
      <c r="AF435" s="61" t="n"/>
      <c r="AG435" s="61" t="n"/>
      <c r="AH435" s="61" t="n"/>
      <c r="AI435" s="61" t="n"/>
      <c r="AJ435" s="61" t="n"/>
      <c r="AK435" s="61" t="n"/>
      <c r="AL435" s="61" t="n"/>
      <c r="AM435" s="61" t="n"/>
      <c r="AN435" s="61" t="n"/>
      <c r="AO435" s="61" t="n"/>
      <c r="AP435" s="57" t="n"/>
      <c r="AQ435" s="56" t="n"/>
      <c r="AR435" s="57" t="n"/>
      <c r="AS435" s="61" t="n"/>
      <c r="AT435" s="61" t="n"/>
      <c r="AU435" s="57" t="n"/>
      <c r="AV435" s="61" t="n"/>
      <c r="AW435" s="61" t="n"/>
      <c r="AX435" s="61" t="n"/>
      <c r="AY435" s="61" t="n"/>
      <c r="AZ435" s="61" t="n"/>
      <c r="BA435" s="61" t="n"/>
      <c r="BB435" s="61" t="n"/>
      <c r="BC435" s="61" t="n"/>
      <c r="BD435" s="57" t="n"/>
      <c r="BE435" s="56" t="n"/>
      <c r="BF435" s="56" t="n"/>
      <c r="BG435" s="57" t="n"/>
      <c r="BH435" s="61" t="n"/>
      <c r="BI435" s="61" t="n"/>
      <c r="BJ435" s="61" t="n"/>
      <c r="BK435" s="61" t="n"/>
      <c r="BL435" s="61" t="n"/>
      <c r="BM435" s="61" t="n"/>
      <c r="BN435" s="61" t="n"/>
      <c r="BO435" s="61" t="n"/>
      <c r="BP435" s="61" t="n"/>
      <c r="BQ435" s="61" t="n"/>
      <c r="BR435" s="61" t="n"/>
      <c r="BS435" s="61" t="n"/>
      <c r="BT435" s="61" t="n"/>
    </row>
    <row r="436" ht="15.75" customHeight="1" s="79">
      <c r="A436" s="61" t="n"/>
      <c r="B436" s="61" t="n"/>
      <c r="C436" s="61" t="n"/>
      <c r="D436" s="61" t="n"/>
      <c r="E436" s="61" t="n"/>
      <c r="F436" s="61" t="n"/>
      <c r="G436" s="61" t="n"/>
      <c r="H436" s="61" t="n"/>
      <c r="I436" s="61" t="n"/>
      <c r="J436" s="61" t="n"/>
      <c r="K436" s="61" t="n"/>
      <c r="L436" s="61" t="n"/>
      <c r="M436" s="61" t="n"/>
      <c r="N436" s="61" t="n"/>
      <c r="O436" s="61" t="n"/>
      <c r="P436" s="61" t="n"/>
      <c r="Q436" s="61" t="n"/>
      <c r="R436" s="61" t="n"/>
      <c r="S436" s="61" t="n"/>
      <c r="T436" s="61" t="n"/>
      <c r="U436" s="61" t="n"/>
      <c r="V436" s="61" t="n"/>
      <c r="W436" s="61" t="n"/>
      <c r="X436" s="61" t="n"/>
      <c r="Y436" s="61" t="n"/>
      <c r="Z436" s="61" t="n"/>
      <c r="AA436" s="61" t="n"/>
      <c r="AB436" s="61" t="n"/>
      <c r="AC436" s="61" t="n"/>
      <c r="AD436" s="61" t="n"/>
      <c r="AE436" s="61" t="n"/>
      <c r="AF436" s="61" t="n"/>
      <c r="AG436" s="61" t="n"/>
      <c r="AH436" s="61" t="n"/>
      <c r="AI436" s="61" t="n"/>
      <c r="AJ436" s="61" t="n"/>
      <c r="AK436" s="61" t="n"/>
      <c r="AL436" s="61" t="n"/>
      <c r="AM436" s="61" t="n"/>
      <c r="AN436" s="61" t="n"/>
      <c r="AO436" s="61" t="n"/>
      <c r="AP436" s="57" t="n"/>
      <c r="AQ436" s="56" t="n"/>
      <c r="AR436" s="57" t="n"/>
      <c r="AS436" s="61" t="n"/>
      <c r="AT436" s="61" t="n"/>
      <c r="AU436" s="57" t="n"/>
      <c r="AV436" s="61" t="n"/>
      <c r="AW436" s="61" t="n"/>
      <c r="AX436" s="61" t="n"/>
      <c r="AY436" s="61" t="n"/>
      <c r="AZ436" s="61" t="n"/>
      <c r="BA436" s="61" t="n"/>
      <c r="BB436" s="61" t="n"/>
      <c r="BC436" s="61" t="n"/>
      <c r="BD436" s="57" t="n"/>
      <c r="BE436" s="56" t="n"/>
      <c r="BF436" s="56" t="n"/>
      <c r="BG436" s="57" t="n"/>
      <c r="BH436" s="61" t="n"/>
      <c r="BI436" s="61" t="n"/>
      <c r="BJ436" s="61" t="n"/>
      <c r="BK436" s="61" t="n"/>
      <c r="BL436" s="61" t="n"/>
      <c r="BM436" s="61" t="n"/>
      <c r="BN436" s="61" t="n"/>
      <c r="BO436" s="61" t="n"/>
      <c r="BP436" s="61" t="n"/>
      <c r="BQ436" s="61" t="n"/>
      <c r="BR436" s="61" t="n"/>
      <c r="BS436" s="61" t="n"/>
      <c r="BT436" s="61" t="n"/>
    </row>
    <row r="437" ht="15.75" customHeight="1" s="79">
      <c r="A437" s="61" t="n"/>
      <c r="B437" s="61" t="n"/>
      <c r="C437" s="61" t="n"/>
      <c r="D437" s="61" t="n"/>
      <c r="E437" s="61" t="n"/>
      <c r="F437" s="61" t="n"/>
      <c r="G437" s="61" t="n"/>
      <c r="H437" s="61" t="n"/>
      <c r="I437" s="61" t="n"/>
      <c r="J437" s="61" t="n"/>
      <c r="K437" s="61" t="n"/>
      <c r="L437" s="61" t="n"/>
      <c r="M437" s="61" t="n"/>
      <c r="N437" s="61" t="n"/>
      <c r="O437" s="61" t="n"/>
      <c r="P437" s="61" t="n"/>
      <c r="Q437" s="61" t="n"/>
      <c r="R437" s="61" t="n"/>
      <c r="S437" s="61" t="n"/>
      <c r="T437" s="61" t="n"/>
      <c r="U437" s="61" t="n"/>
      <c r="V437" s="61" t="n"/>
      <c r="W437" s="61" t="n"/>
      <c r="X437" s="61" t="n"/>
      <c r="Y437" s="61" t="n"/>
      <c r="Z437" s="61" t="n"/>
      <c r="AA437" s="61" t="n"/>
      <c r="AB437" s="61" t="n"/>
      <c r="AC437" s="61" t="n"/>
      <c r="AD437" s="61" t="n"/>
      <c r="AE437" s="61" t="n"/>
      <c r="AF437" s="61" t="n"/>
      <c r="AG437" s="61" t="n"/>
      <c r="AH437" s="61" t="n"/>
      <c r="AI437" s="61" t="n"/>
      <c r="AJ437" s="61" t="n"/>
      <c r="AK437" s="61" t="n"/>
      <c r="AL437" s="61" t="n"/>
      <c r="AM437" s="61" t="n"/>
      <c r="AN437" s="61" t="n"/>
      <c r="AO437" s="61" t="n"/>
      <c r="AP437" s="57" t="n"/>
      <c r="AQ437" s="56" t="n"/>
      <c r="AR437" s="57" t="n"/>
      <c r="AS437" s="61" t="n"/>
      <c r="AT437" s="61" t="n"/>
      <c r="AU437" s="57" t="n"/>
      <c r="AV437" s="61" t="n"/>
      <c r="AW437" s="61" t="n"/>
      <c r="AX437" s="61" t="n"/>
      <c r="AY437" s="61" t="n"/>
      <c r="AZ437" s="61" t="n"/>
      <c r="BA437" s="61" t="n"/>
      <c r="BB437" s="61" t="n"/>
      <c r="BC437" s="61" t="n"/>
      <c r="BD437" s="57" t="n"/>
      <c r="BE437" s="56" t="n"/>
      <c r="BF437" s="56" t="n"/>
      <c r="BG437" s="57" t="n"/>
      <c r="BH437" s="61" t="n"/>
      <c r="BI437" s="61" t="n"/>
      <c r="BJ437" s="61" t="n"/>
      <c r="BK437" s="61" t="n"/>
      <c r="BL437" s="61" t="n"/>
      <c r="BM437" s="61" t="n"/>
      <c r="BN437" s="61" t="n"/>
      <c r="BO437" s="61" t="n"/>
      <c r="BP437" s="61" t="n"/>
      <c r="BQ437" s="61" t="n"/>
      <c r="BR437" s="61" t="n"/>
      <c r="BS437" s="61" t="n"/>
      <c r="BT437" s="61" t="n"/>
    </row>
    <row r="438" ht="15.75" customHeight="1" s="79">
      <c r="A438" s="61" t="n"/>
      <c r="B438" s="61" t="n"/>
      <c r="C438" s="61" t="n"/>
      <c r="D438" s="61" t="n"/>
      <c r="E438" s="61" t="n"/>
      <c r="F438" s="61" t="n"/>
      <c r="G438" s="61" t="n"/>
      <c r="H438" s="61" t="n"/>
      <c r="I438" s="61" t="n"/>
      <c r="J438" s="61" t="n"/>
      <c r="K438" s="61" t="n"/>
      <c r="L438" s="61" t="n"/>
      <c r="M438" s="61" t="n"/>
      <c r="N438" s="61" t="n"/>
      <c r="O438" s="61" t="n"/>
      <c r="P438" s="61" t="n"/>
      <c r="Q438" s="61" t="n"/>
      <c r="R438" s="61" t="n"/>
      <c r="S438" s="61" t="n"/>
      <c r="T438" s="61" t="n"/>
      <c r="U438" s="61" t="n"/>
      <c r="V438" s="61" t="n"/>
      <c r="W438" s="61" t="n"/>
      <c r="X438" s="61" t="n"/>
      <c r="Y438" s="61" t="n"/>
      <c r="Z438" s="61" t="n"/>
      <c r="AA438" s="61" t="n"/>
      <c r="AB438" s="61" t="n"/>
      <c r="AC438" s="61" t="n"/>
      <c r="AD438" s="61" t="n"/>
      <c r="AE438" s="61" t="n"/>
      <c r="AF438" s="61" t="n"/>
      <c r="AG438" s="61" t="n"/>
      <c r="AH438" s="61" t="n"/>
      <c r="AI438" s="61" t="n"/>
      <c r="AJ438" s="61" t="n"/>
      <c r="AK438" s="61" t="n"/>
      <c r="AL438" s="61" t="n"/>
      <c r="AM438" s="61" t="n"/>
      <c r="AN438" s="61" t="n"/>
      <c r="AO438" s="61" t="n"/>
      <c r="AP438" s="57" t="n"/>
      <c r="AQ438" s="56" t="n"/>
      <c r="AR438" s="57" t="n"/>
      <c r="AS438" s="61" t="n"/>
      <c r="AT438" s="61" t="n"/>
      <c r="AU438" s="57" t="n"/>
      <c r="AV438" s="61" t="n"/>
      <c r="AW438" s="61" t="n"/>
      <c r="AX438" s="61" t="n"/>
      <c r="AY438" s="61" t="n"/>
      <c r="AZ438" s="61" t="n"/>
      <c r="BA438" s="61" t="n"/>
      <c r="BB438" s="61" t="n"/>
      <c r="BC438" s="61" t="n"/>
      <c r="BD438" s="57" t="n"/>
      <c r="BE438" s="56" t="n"/>
      <c r="BF438" s="56" t="n"/>
      <c r="BG438" s="57" t="n"/>
      <c r="BH438" s="61" t="n"/>
      <c r="BI438" s="61" t="n"/>
      <c r="BJ438" s="61" t="n"/>
      <c r="BK438" s="61" t="n"/>
      <c r="BL438" s="61" t="n"/>
      <c r="BM438" s="61" t="n"/>
      <c r="BN438" s="61" t="n"/>
      <c r="BO438" s="61" t="n"/>
      <c r="BP438" s="61" t="n"/>
      <c r="BQ438" s="61" t="n"/>
      <c r="BR438" s="61" t="n"/>
      <c r="BS438" s="61" t="n"/>
      <c r="BT438" s="61" t="n"/>
    </row>
    <row r="439" ht="15.75" customHeight="1" s="79">
      <c r="A439" s="61" t="n"/>
      <c r="B439" s="61" t="n"/>
      <c r="C439" s="61" t="n"/>
      <c r="D439" s="61" t="n"/>
      <c r="E439" s="61" t="n"/>
      <c r="F439" s="61" t="n"/>
      <c r="G439" s="61" t="n"/>
      <c r="H439" s="61" t="n"/>
      <c r="I439" s="61" t="n"/>
      <c r="J439" s="61" t="n"/>
      <c r="K439" s="61" t="n"/>
      <c r="L439" s="61" t="n"/>
      <c r="M439" s="61" t="n"/>
      <c r="N439" s="61" t="n"/>
      <c r="O439" s="61" t="n"/>
      <c r="P439" s="61" t="n"/>
      <c r="Q439" s="61" t="n"/>
      <c r="R439" s="61" t="n"/>
      <c r="S439" s="61" t="n"/>
      <c r="T439" s="61" t="n"/>
      <c r="U439" s="61" t="n"/>
      <c r="V439" s="61" t="n"/>
      <c r="W439" s="61" t="n"/>
      <c r="X439" s="61" t="n"/>
      <c r="Y439" s="61" t="n"/>
      <c r="Z439" s="61" t="n"/>
      <c r="AA439" s="61" t="n"/>
      <c r="AB439" s="61" t="n"/>
      <c r="AC439" s="61" t="n"/>
      <c r="AD439" s="61" t="n"/>
      <c r="AE439" s="61" t="n"/>
      <c r="AF439" s="61" t="n"/>
      <c r="AG439" s="61" t="n"/>
      <c r="AH439" s="61" t="n"/>
      <c r="AI439" s="61" t="n"/>
      <c r="AJ439" s="61" t="n"/>
      <c r="AK439" s="61" t="n"/>
      <c r="AL439" s="61" t="n"/>
      <c r="AM439" s="61" t="n"/>
      <c r="AN439" s="61" t="n"/>
      <c r="AO439" s="61" t="n"/>
      <c r="AP439" s="57" t="n"/>
      <c r="AQ439" s="56" t="n"/>
      <c r="AR439" s="57" t="n"/>
      <c r="AS439" s="61" t="n"/>
      <c r="AT439" s="61" t="n"/>
      <c r="AU439" s="57" t="n"/>
      <c r="AV439" s="61" t="n"/>
      <c r="AW439" s="61" t="n"/>
      <c r="AX439" s="61" t="n"/>
      <c r="AY439" s="61" t="n"/>
      <c r="AZ439" s="61" t="n"/>
      <c r="BA439" s="61" t="n"/>
      <c r="BB439" s="61" t="n"/>
      <c r="BC439" s="61" t="n"/>
      <c r="BD439" s="57" t="n"/>
      <c r="BE439" s="56" t="n"/>
      <c r="BF439" s="56" t="n"/>
      <c r="BG439" s="57" t="n"/>
      <c r="BH439" s="61" t="n"/>
      <c r="BI439" s="61" t="n"/>
      <c r="BJ439" s="61" t="n"/>
      <c r="BK439" s="61" t="n"/>
      <c r="BL439" s="61" t="n"/>
      <c r="BM439" s="61" t="n"/>
      <c r="BN439" s="61" t="n"/>
      <c r="BO439" s="61" t="n"/>
      <c r="BP439" s="61" t="n"/>
      <c r="BQ439" s="61" t="n"/>
      <c r="BR439" s="61" t="n"/>
      <c r="BS439" s="61" t="n"/>
      <c r="BT439" s="61" t="n"/>
    </row>
    <row r="440" ht="15.75" customHeight="1" s="79">
      <c r="A440" s="61" t="n"/>
      <c r="B440" s="61" t="n"/>
      <c r="C440" s="61" t="n"/>
      <c r="D440" s="61" t="n"/>
      <c r="E440" s="61" t="n"/>
      <c r="F440" s="61" t="n"/>
      <c r="G440" s="61" t="n"/>
      <c r="H440" s="61" t="n"/>
      <c r="I440" s="61" t="n"/>
      <c r="J440" s="61" t="n"/>
      <c r="K440" s="61" t="n"/>
      <c r="L440" s="61" t="n"/>
      <c r="M440" s="61" t="n"/>
      <c r="N440" s="61" t="n"/>
      <c r="O440" s="61" t="n"/>
      <c r="P440" s="61" t="n"/>
      <c r="Q440" s="61" t="n"/>
      <c r="R440" s="61" t="n"/>
      <c r="S440" s="61" t="n"/>
      <c r="T440" s="61" t="n"/>
      <c r="U440" s="61" t="n"/>
      <c r="V440" s="61" t="n"/>
      <c r="W440" s="61" t="n"/>
      <c r="X440" s="61" t="n"/>
      <c r="Y440" s="61" t="n"/>
      <c r="Z440" s="61" t="n"/>
      <c r="AA440" s="61" t="n"/>
      <c r="AB440" s="61" t="n"/>
      <c r="AC440" s="61" t="n"/>
      <c r="AD440" s="61" t="n"/>
      <c r="AE440" s="61" t="n"/>
      <c r="AF440" s="61" t="n"/>
      <c r="AG440" s="61" t="n"/>
      <c r="AH440" s="61" t="n"/>
      <c r="AI440" s="61" t="n"/>
      <c r="AJ440" s="61" t="n"/>
      <c r="AK440" s="61" t="n"/>
      <c r="AL440" s="61" t="n"/>
      <c r="AM440" s="61" t="n"/>
      <c r="AN440" s="61" t="n"/>
      <c r="AO440" s="61" t="n"/>
      <c r="AP440" s="57" t="n"/>
      <c r="AQ440" s="56" t="n"/>
      <c r="AR440" s="57" t="n"/>
      <c r="AS440" s="61" t="n"/>
      <c r="AT440" s="61" t="n"/>
      <c r="AU440" s="57" t="n"/>
      <c r="AV440" s="61" t="n"/>
      <c r="AW440" s="61" t="n"/>
      <c r="AX440" s="61" t="n"/>
      <c r="AY440" s="61" t="n"/>
      <c r="AZ440" s="61" t="n"/>
      <c r="BA440" s="61" t="n"/>
      <c r="BB440" s="61" t="n"/>
      <c r="BC440" s="61" t="n"/>
      <c r="BD440" s="57" t="n"/>
      <c r="BE440" s="56" t="n"/>
      <c r="BF440" s="56" t="n"/>
      <c r="BG440" s="57" t="n"/>
      <c r="BH440" s="61" t="n"/>
      <c r="BI440" s="61" t="n"/>
      <c r="BJ440" s="61" t="n"/>
      <c r="BK440" s="61" t="n"/>
      <c r="BL440" s="61" t="n"/>
      <c r="BM440" s="61" t="n"/>
      <c r="BN440" s="61" t="n"/>
      <c r="BO440" s="61" t="n"/>
      <c r="BP440" s="61" t="n"/>
      <c r="BQ440" s="61" t="n"/>
      <c r="BR440" s="61" t="n"/>
      <c r="BS440" s="61" t="n"/>
      <c r="BT440" s="61" t="n"/>
    </row>
    <row r="441" ht="15.75" customHeight="1" s="79">
      <c r="A441" s="61" t="n"/>
      <c r="B441" s="61" t="n"/>
      <c r="C441" s="61" t="n"/>
      <c r="D441" s="61" t="n"/>
      <c r="E441" s="61" t="n"/>
      <c r="F441" s="61" t="n"/>
      <c r="G441" s="61" t="n"/>
      <c r="H441" s="61" t="n"/>
      <c r="I441" s="61" t="n"/>
      <c r="J441" s="61" t="n"/>
      <c r="K441" s="61" t="n"/>
      <c r="L441" s="61" t="n"/>
      <c r="M441" s="61" t="n"/>
      <c r="N441" s="61" t="n"/>
      <c r="O441" s="61" t="n"/>
      <c r="P441" s="61" t="n"/>
      <c r="Q441" s="61" t="n"/>
      <c r="R441" s="61" t="n"/>
      <c r="S441" s="61" t="n"/>
      <c r="T441" s="61" t="n"/>
      <c r="U441" s="61" t="n"/>
      <c r="V441" s="61" t="n"/>
      <c r="W441" s="61" t="n"/>
      <c r="X441" s="61" t="n"/>
      <c r="Y441" s="61" t="n"/>
      <c r="Z441" s="61" t="n"/>
      <c r="AA441" s="61" t="n"/>
      <c r="AB441" s="61" t="n"/>
      <c r="AC441" s="61" t="n"/>
      <c r="AD441" s="61" t="n"/>
      <c r="AE441" s="61" t="n"/>
      <c r="AF441" s="61" t="n"/>
      <c r="AG441" s="61" t="n"/>
      <c r="AH441" s="61" t="n"/>
      <c r="AI441" s="61" t="n"/>
      <c r="AJ441" s="61" t="n"/>
      <c r="AK441" s="61" t="n"/>
      <c r="AL441" s="61" t="n"/>
      <c r="AM441" s="61" t="n"/>
      <c r="AN441" s="61" t="n"/>
      <c r="AO441" s="61" t="n"/>
      <c r="AP441" s="57" t="n"/>
      <c r="AQ441" s="56" t="n"/>
      <c r="AR441" s="57" t="n"/>
      <c r="AS441" s="61" t="n"/>
      <c r="AT441" s="61" t="n"/>
      <c r="AU441" s="57" t="n"/>
      <c r="AV441" s="61" t="n"/>
      <c r="AW441" s="61" t="n"/>
      <c r="AX441" s="61" t="n"/>
      <c r="AY441" s="61" t="n"/>
      <c r="AZ441" s="61" t="n"/>
      <c r="BA441" s="61" t="n"/>
      <c r="BB441" s="61" t="n"/>
      <c r="BC441" s="61" t="n"/>
      <c r="BD441" s="57" t="n"/>
      <c r="BE441" s="56" t="n"/>
      <c r="BF441" s="56" t="n"/>
      <c r="BG441" s="57" t="n"/>
      <c r="BH441" s="61" t="n"/>
      <c r="BI441" s="61" t="n"/>
      <c r="BJ441" s="61" t="n"/>
      <c r="BK441" s="61" t="n"/>
      <c r="BL441" s="61" t="n"/>
      <c r="BM441" s="61" t="n"/>
      <c r="BN441" s="61" t="n"/>
      <c r="BO441" s="61" t="n"/>
      <c r="BP441" s="61" t="n"/>
      <c r="BQ441" s="61" t="n"/>
      <c r="BR441" s="61" t="n"/>
      <c r="BS441" s="61" t="n"/>
      <c r="BT441" s="61" t="n"/>
    </row>
    <row r="442" ht="15.75" customHeight="1" s="79">
      <c r="A442" s="61" t="n"/>
      <c r="B442" s="61" t="n"/>
      <c r="C442" s="61" t="n"/>
      <c r="D442" s="61" t="n"/>
      <c r="E442" s="61" t="n"/>
      <c r="F442" s="61" t="n"/>
      <c r="G442" s="61" t="n"/>
      <c r="H442" s="61" t="n"/>
      <c r="I442" s="61" t="n"/>
      <c r="J442" s="61" t="n"/>
      <c r="K442" s="61" t="n"/>
      <c r="L442" s="61" t="n"/>
      <c r="M442" s="61" t="n"/>
      <c r="N442" s="61" t="n"/>
      <c r="O442" s="61" t="n"/>
      <c r="P442" s="61" t="n"/>
      <c r="Q442" s="61" t="n"/>
      <c r="R442" s="61" t="n"/>
      <c r="S442" s="61" t="n"/>
      <c r="T442" s="61" t="n"/>
      <c r="U442" s="61" t="n"/>
      <c r="V442" s="61" t="n"/>
      <c r="W442" s="61" t="n"/>
      <c r="X442" s="61" t="n"/>
      <c r="Y442" s="61" t="n"/>
      <c r="Z442" s="61" t="n"/>
      <c r="AA442" s="61" t="n"/>
      <c r="AB442" s="61" t="n"/>
      <c r="AC442" s="61" t="n"/>
      <c r="AD442" s="61" t="n"/>
      <c r="AE442" s="61" t="n"/>
      <c r="AF442" s="61" t="n"/>
      <c r="AG442" s="61" t="n"/>
      <c r="AH442" s="61" t="n"/>
      <c r="AI442" s="61" t="n"/>
      <c r="AJ442" s="61" t="n"/>
      <c r="AK442" s="61" t="n"/>
      <c r="AL442" s="61" t="n"/>
      <c r="AM442" s="61" t="n"/>
      <c r="AN442" s="61" t="n"/>
      <c r="AO442" s="61" t="n"/>
      <c r="AP442" s="57" t="n"/>
      <c r="AQ442" s="56" t="n"/>
      <c r="AR442" s="57" t="n"/>
      <c r="AS442" s="61" t="n"/>
      <c r="AT442" s="61" t="n"/>
      <c r="AU442" s="57" t="n"/>
      <c r="AV442" s="61" t="n"/>
      <c r="AW442" s="61" t="n"/>
      <c r="AX442" s="61" t="n"/>
      <c r="AY442" s="61" t="n"/>
      <c r="AZ442" s="61" t="n"/>
      <c r="BA442" s="61" t="n"/>
      <c r="BB442" s="61" t="n"/>
      <c r="BC442" s="61" t="n"/>
      <c r="BD442" s="57" t="n"/>
      <c r="BE442" s="56" t="n"/>
      <c r="BF442" s="56" t="n"/>
      <c r="BG442" s="57" t="n"/>
      <c r="BH442" s="61" t="n"/>
      <c r="BI442" s="61" t="n"/>
      <c r="BJ442" s="61" t="n"/>
      <c r="BK442" s="61" t="n"/>
      <c r="BL442" s="61" t="n"/>
      <c r="BM442" s="61" t="n"/>
      <c r="BN442" s="61" t="n"/>
      <c r="BO442" s="61" t="n"/>
      <c r="BP442" s="61" t="n"/>
      <c r="BQ442" s="61" t="n"/>
      <c r="BR442" s="61" t="n"/>
      <c r="BS442" s="61" t="n"/>
      <c r="BT442" s="61" t="n"/>
    </row>
    <row r="443" ht="15.75" customHeight="1" s="79">
      <c r="A443" s="61" t="n"/>
      <c r="B443" s="61" t="n"/>
      <c r="C443" s="61" t="n"/>
      <c r="D443" s="61" t="n"/>
      <c r="E443" s="61" t="n"/>
      <c r="F443" s="61" t="n"/>
      <c r="G443" s="61" t="n"/>
      <c r="H443" s="61" t="n"/>
      <c r="I443" s="61" t="n"/>
      <c r="J443" s="61" t="n"/>
      <c r="K443" s="61" t="n"/>
      <c r="L443" s="61" t="n"/>
      <c r="M443" s="61" t="n"/>
      <c r="N443" s="61" t="n"/>
      <c r="O443" s="61" t="n"/>
      <c r="P443" s="61" t="n"/>
      <c r="Q443" s="61" t="n"/>
      <c r="R443" s="61" t="n"/>
      <c r="S443" s="61" t="n"/>
      <c r="T443" s="61" t="n"/>
      <c r="U443" s="61" t="n"/>
      <c r="V443" s="61" t="n"/>
      <c r="W443" s="61" t="n"/>
      <c r="X443" s="61" t="n"/>
      <c r="Y443" s="61" t="n"/>
      <c r="Z443" s="61" t="n"/>
      <c r="AA443" s="61" t="n"/>
      <c r="AB443" s="61" t="n"/>
      <c r="AC443" s="61" t="n"/>
      <c r="AD443" s="61" t="n"/>
      <c r="AE443" s="61" t="n"/>
      <c r="AF443" s="61" t="n"/>
      <c r="AG443" s="61" t="n"/>
      <c r="AH443" s="61" t="n"/>
      <c r="AI443" s="61" t="n"/>
      <c r="AJ443" s="61" t="n"/>
      <c r="AK443" s="61" t="n"/>
      <c r="AL443" s="61" t="n"/>
      <c r="AM443" s="61" t="n"/>
      <c r="AN443" s="61" t="n"/>
      <c r="AO443" s="61" t="n"/>
      <c r="AP443" s="57" t="n"/>
      <c r="AQ443" s="56" t="n"/>
      <c r="AR443" s="57" t="n"/>
      <c r="AS443" s="61" t="n"/>
      <c r="AT443" s="61" t="n"/>
      <c r="AU443" s="57" t="n"/>
      <c r="AV443" s="61" t="n"/>
      <c r="AW443" s="61" t="n"/>
      <c r="AX443" s="61" t="n"/>
      <c r="AY443" s="61" t="n"/>
      <c r="AZ443" s="61" t="n"/>
      <c r="BA443" s="61" t="n"/>
      <c r="BB443" s="61" t="n"/>
      <c r="BC443" s="61" t="n"/>
      <c r="BD443" s="57" t="n"/>
      <c r="BE443" s="56" t="n"/>
      <c r="BF443" s="56" t="n"/>
      <c r="BG443" s="57" t="n"/>
      <c r="BH443" s="61" t="n"/>
      <c r="BI443" s="61" t="n"/>
      <c r="BJ443" s="61" t="n"/>
      <c r="BK443" s="61" t="n"/>
      <c r="BL443" s="61" t="n"/>
      <c r="BM443" s="61" t="n"/>
      <c r="BN443" s="61" t="n"/>
      <c r="BO443" s="61" t="n"/>
      <c r="BP443" s="61" t="n"/>
      <c r="BQ443" s="61" t="n"/>
      <c r="BR443" s="61" t="n"/>
      <c r="BS443" s="61" t="n"/>
      <c r="BT443" s="61" t="n"/>
    </row>
    <row r="444" ht="15.75" customHeight="1" s="79">
      <c r="A444" s="61" t="n"/>
      <c r="B444" s="61" t="n"/>
      <c r="C444" s="61" t="n"/>
      <c r="D444" s="61" t="n"/>
      <c r="E444" s="61" t="n"/>
      <c r="F444" s="61" t="n"/>
      <c r="G444" s="61" t="n"/>
      <c r="H444" s="61" t="n"/>
      <c r="I444" s="61" t="n"/>
      <c r="J444" s="61" t="n"/>
      <c r="K444" s="61" t="n"/>
      <c r="L444" s="61" t="n"/>
      <c r="M444" s="61" t="n"/>
      <c r="N444" s="61" t="n"/>
      <c r="O444" s="61" t="n"/>
      <c r="P444" s="61" t="n"/>
      <c r="Q444" s="61" t="n"/>
      <c r="R444" s="61" t="n"/>
      <c r="S444" s="61" t="n"/>
      <c r="T444" s="61" t="n"/>
      <c r="U444" s="61" t="n"/>
      <c r="V444" s="61" t="n"/>
      <c r="W444" s="61" t="n"/>
      <c r="X444" s="61" t="n"/>
      <c r="Y444" s="61" t="n"/>
      <c r="Z444" s="61" t="n"/>
      <c r="AA444" s="61" t="n"/>
      <c r="AB444" s="61" t="n"/>
      <c r="AC444" s="61" t="n"/>
      <c r="AD444" s="61" t="n"/>
      <c r="AE444" s="61" t="n"/>
      <c r="AF444" s="61" t="n"/>
      <c r="AG444" s="61" t="n"/>
      <c r="AH444" s="61" t="n"/>
      <c r="AI444" s="61" t="n"/>
      <c r="AJ444" s="61" t="n"/>
      <c r="AK444" s="61" t="n"/>
      <c r="AL444" s="61" t="n"/>
      <c r="AM444" s="61" t="n"/>
      <c r="AN444" s="61" t="n"/>
      <c r="AO444" s="61" t="n"/>
      <c r="AP444" s="57" t="n"/>
      <c r="AQ444" s="56" t="n"/>
      <c r="AR444" s="57" t="n"/>
      <c r="AS444" s="61" t="n"/>
      <c r="AT444" s="61" t="n"/>
      <c r="AU444" s="57" t="n"/>
      <c r="AV444" s="61" t="n"/>
      <c r="AW444" s="61" t="n"/>
      <c r="AX444" s="61" t="n"/>
      <c r="AY444" s="61" t="n"/>
      <c r="AZ444" s="61" t="n"/>
      <c r="BA444" s="61" t="n"/>
      <c r="BB444" s="61" t="n"/>
      <c r="BC444" s="61" t="n"/>
      <c r="BD444" s="57" t="n"/>
      <c r="BE444" s="56" t="n"/>
      <c r="BF444" s="56" t="n"/>
      <c r="BG444" s="57" t="n"/>
      <c r="BH444" s="61" t="n"/>
      <c r="BI444" s="61" t="n"/>
      <c r="BJ444" s="61" t="n"/>
      <c r="BK444" s="61" t="n"/>
      <c r="BL444" s="61" t="n"/>
      <c r="BM444" s="61" t="n"/>
      <c r="BN444" s="61" t="n"/>
      <c r="BO444" s="61" t="n"/>
      <c r="BP444" s="61" t="n"/>
      <c r="BQ444" s="61" t="n"/>
      <c r="BR444" s="61" t="n"/>
      <c r="BS444" s="61" t="n"/>
      <c r="BT444" s="61" t="n"/>
    </row>
    <row r="445" ht="15.75" customHeight="1" s="79">
      <c r="A445" s="61" t="n"/>
      <c r="B445" s="61" t="n"/>
      <c r="C445" s="61" t="n"/>
      <c r="D445" s="61" t="n"/>
      <c r="E445" s="61" t="n"/>
      <c r="F445" s="61" t="n"/>
      <c r="G445" s="61" t="n"/>
      <c r="H445" s="61" t="n"/>
      <c r="I445" s="61" t="n"/>
      <c r="J445" s="61" t="n"/>
      <c r="K445" s="61" t="n"/>
      <c r="L445" s="61" t="n"/>
      <c r="M445" s="61" t="n"/>
      <c r="N445" s="61" t="n"/>
      <c r="O445" s="61" t="n"/>
      <c r="P445" s="61" t="n"/>
      <c r="Q445" s="61" t="n"/>
      <c r="R445" s="61" t="n"/>
      <c r="S445" s="61" t="n"/>
      <c r="T445" s="61" t="n"/>
      <c r="U445" s="61" t="n"/>
      <c r="V445" s="61" t="n"/>
      <c r="W445" s="61" t="n"/>
      <c r="X445" s="61" t="n"/>
      <c r="Y445" s="61" t="n"/>
      <c r="Z445" s="61" t="n"/>
      <c r="AA445" s="61" t="n"/>
      <c r="AB445" s="61" t="n"/>
      <c r="AC445" s="61" t="n"/>
      <c r="AD445" s="61" t="n"/>
      <c r="AE445" s="61" t="n"/>
      <c r="AF445" s="61" t="n"/>
      <c r="AG445" s="61" t="n"/>
      <c r="AH445" s="61" t="n"/>
      <c r="AI445" s="61" t="n"/>
      <c r="AJ445" s="61" t="n"/>
      <c r="AK445" s="61" t="n"/>
      <c r="AL445" s="61" t="n"/>
      <c r="AM445" s="61" t="n"/>
      <c r="AN445" s="61" t="n"/>
      <c r="AO445" s="61" t="n"/>
      <c r="AP445" s="57" t="n"/>
      <c r="AQ445" s="56" t="n"/>
      <c r="AR445" s="57" t="n"/>
      <c r="AS445" s="61" t="n"/>
      <c r="AT445" s="61" t="n"/>
      <c r="AU445" s="57" t="n"/>
      <c r="AV445" s="61" t="n"/>
      <c r="AW445" s="61" t="n"/>
      <c r="AX445" s="61" t="n"/>
      <c r="AY445" s="61" t="n"/>
      <c r="AZ445" s="61" t="n"/>
      <c r="BA445" s="61" t="n"/>
      <c r="BB445" s="61" t="n"/>
      <c r="BC445" s="61" t="n"/>
      <c r="BD445" s="57" t="n"/>
      <c r="BE445" s="56" t="n"/>
      <c r="BF445" s="56" t="n"/>
      <c r="BG445" s="57" t="n"/>
      <c r="BH445" s="61" t="n"/>
      <c r="BI445" s="61" t="n"/>
      <c r="BJ445" s="61" t="n"/>
      <c r="BK445" s="61" t="n"/>
      <c r="BL445" s="61" t="n"/>
      <c r="BM445" s="61" t="n"/>
      <c r="BN445" s="61" t="n"/>
      <c r="BO445" s="61" t="n"/>
      <c r="BP445" s="61" t="n"/>
      <c r="BQ445" s="61" t="n"/>
      <c r="BR445" s="61" t="n"/>
      <c r="BS445" s="61" t="n"/>
      <c r="BT445" s="61" t="n"/>
    </row>
    <row r="446" ht="15.75" customHeight="1" s="79">
      <c r="A446" s="61" t="n"/>
      <c r="B446" s="61" t="n"/>
      <c r="C446" s="61" t="n"/>
      <c r="D446" s="61" t="n"/>
      <c r="E446" s="61" t="n"/>
      <c r="F446" s="61" t="n"/>
      <c r="G446" s="61" t="n"/>
      <c r="H446" s="61" t="n"/>
      <c r="I446" s="61" t="n"/>
      <c r="J446" s="61" t="n"/>
      <c r="K446" s="61" t="n"/>
      <c r="L446" s="61" t="n"/>
      <c r="M446" s="61" t="n"/>
      <c r="N446" s="61" t="n"/>
      <c r="O446" s="61" t="n"/>
      <c r="P446" s="61" t="n"/>
      <c r="Q446" s="61" t="n"/>
      <c r="R446" s="61" t="n"/>
      <c r="S446" s="61" t="n"/>
      <c r="T446" s="61" t="n"/>
      <c r="U446" s="61" t="n"/>
      <c r="V446" s="61" t="n"/>
      <c r="W446" s="61" t="n"/>
      <c r="X446" s="61" t="n"/>
      <c r="Y446" s="61" t="n"/>
      <c r="Z446" s="61" t="n"/>
      <c r="AA446" s="61" t="n"/>
      <c r="AB446" s="61" t="n"/>
      <c r="AC446" s="61" t="n"/>
      <c r="AD446" s="61" t="n"/>
      <c r="AE446" s="61" t="n"/>
      <c r="AF446" s="61" t="n"/>
      <c r="AG446" s="61" t="n"/>
      <c r="AH446" s="61" t="n"/>
      <c r="AI446" s="61" t="n"/>
      <c r="AJ446" s="61" t="n"/>
      <c r="AK446" s="61" t="n"/>
      <c r="AL446" s="61" t="n"/>
      <c r="AM446" s="61" t="n"/>
      <c r="AN446" s="61" t="n"/>
      <c r="AO446" s="61" t="n"/>
      <c r="AP446" s="57" t="n"/>
      <c r="AQ446" s="56" t="n"/>
      <c r="AR446" s="57" t="n"/>
      <c r="AS446" s="61" t="n"/>
      <c r="AT446" s="61" t="n"/>
      <c r="AU446" s="57" t="n"/>
      <c r="AV446" s="61" t="n"/>
      <c r="AW446" s="61" t="n"/>
      <c r="AX446" s="61" t="n"/>
      <c r="AY446" s="61" t="n"/>
      <c r="AZ446" s="61" t="n"/>
      <c r="BA446" s="61" t="n"/>
      <c r="BB446" s="61" t="n"/>
      <c r="BC446" s="61" t="n"/>
      <c r="BD446" s="57" t="n"/>
      <c r="BE446" s="56" t="n"/>
      <c r="BF446" s="56" t="n"/>
      <c r="BG446" s="57" t="n"/>
      <c r="BH446" s="61" t="n"/>
      <c r="BI446" s="61" t="n"/>
      <c r="BJ446" s="61" t="n"/>
      <c r="BK446" s="61" t="n"/>
      <c r="BL446" s="61" t="n"/>
      <c r="BM446" s="61" t="n"/>
      <c r="BN446" s="61" t="n"/>
      <c r="BO446" s="61" t="n"/>
      <c r="BP446" s="61" t="n"/>
      <c r="BQ446" s="61" t="n"/>
      <c r="BR446" s="61" t="n"/>
      <c r="BS446" s="61" t="n"/>
      <c r="BT446" s="61" t="n"/>
    </row>
    <row r="447" ht="15.75" customHeight="1" s="79">
      <c r="A447" s="61" t="n"/>
      <c r="B447" s="61" t="n"/>
      <c r="C447" s="61" t="n"/>
      <c r="D447" s="61" t="n"/>
      <c r="E447" s="61" t="n"/>
      <c r="F447" s="61" t="n"/>
      <c r="G447" s="61" t="n"/>
      <c r="H447" s="61" t="n"/>
      <c r="I447" s="61" t="n"/>
      <c r="J447" s="61" t="n"/>
      <c r="K447" s="61" t="n"/>
      <c r="L447" s="61" t="n"/>
      <c r="M447" s="61" t="n"/>
      <c r="N447" s="61" t="n"/>
      <c r="O447" s="61" t="n"/>
      <c r="P447" s="61" t="n"/>
      <c r="Q447" s="61" t="n"/>
      <c r="R447" s="61" t="n"/>
      <c r="S447" s="61" t="n"/>
      <c r="T447" s="61" t="n"/>
      <c r="U447" s="61" t="n"/>
      <c r="V447" s="61" t="n"/>
      <c r="W447" s="61" t="n"/>
      <c r="X447" s="61" t="n"/>
      <c r="Y447" s="61" t="n"/>
      <c r="Z447" s="61" t="n"/>
      <c r="AA447" s="61" t="n"/>
      <c r="AB447" s="61" t="n"/>
      <c r="AC447" s="61" t="n"/>
      <c r="AD447" s="61" t="n"/>
      <c r="AE447" s="61" t="n"/>
      <c r="AF447" s="61" t="n"/>
      <c r="AG447" s="61" t="n"/>
      <c r="AH447" s="61" t="n"/>
      <c r="AI447" s="61" t="n"/>
      <c r="AJ447" s="61" t="n"/>
      <c r="AK447" s="61" t="n"/>
      <c r="AL447" s="61" t="n"/>
      <c r="AM447" s="61" t="n"/>
      <c r="AN447" s="61" t="n"/>
      <c r="AO447" s="61" t="n"/>
      <c r="AP447" s="57" t="n"/>
      <c r="AQ447" s="56" t="n"/>
      <c r="AR447" s="57" t="n"/>
      <c r="AS447" s="61" t="n"/>
      <c r="AT447" s="61" t="n"/>
      <c r="AU447" s="57" t="n"/>
      <c r="AV447" s="61" t="n"/>
      <c r="AW447" s="61" t="n"/>
      <c r="AX447" s="61" t="n"/>
      <c r="AY447" s="61" t="n"/>
      <c r="AZ447" s="61" t="n"/>
      <c r="BA447" s="61" t="n"/>
      <c r="BB447" s="61" t="n"/>
      <c r="BC447" s="61" t="n"/>
      <c r="BD447" s="57" t="n"/>
      <c r="BE447" s="56" t="n"/>
      <c r="BF447" s="56" t="n"/>
      <c r="BG447" s="57" t="n"/>
      <c r="BH447" s="61" t="n"/>
      <c r="BI447" s="61" t="n"/>
      <c r="BJ447" s="61" t="n"/>
      <c r="BK447" s="61" t="n"/>
      <c r="BL447" s="61" t="n"/>
      <c r="BM447" s="61" t="n"/>
      <c r="BN447" s="61" t="n"/>
      <c r="BO447" s="61" t="n"/>
      <c r="BP447" s="61" t="n"/>
      <c r="BQ447" s="61" t="n"/>
      <c r="BR447" s="61" t="n"/>
      <c r="BS447" s="61" t="n"/>
      <c r="BT447" s="61" t="n"/>
    </row>
    <row r="448" ht="15.75" customHeight="1" s="79">
      <c r="A448" s="61" t="n"/>
      <c r="B448" s="61" t="n"/>
      <c r="C448" s="61" t="n"/>
      <c r="D448" s="61" t="n"/>
      <c r="E448" s="61" t="n"/>
      <c r="F448" s="61" t="n"/>
      <c r="G448" s="61" t="n"/>
      <c r="H448" s="61" t="n"/>
      <c r="I448" s="61" t="n"/>
      <c r="J448" s="61" t="n"/>
      <c r="K448" s="61" t="n"/>
      <c r="L448" s="61" t="n"/>
      <c r="M448" s="61" t="n"/>
      <c r="N448" s="61" t="n"/>
      <c r="O448" s="61" t="n"/>
      <c r="P448" s="61" t="n"/>
      <c r="Q448" s="61" t="n"/>
      <c r="R448" s="61" t="n"/>
      <c r="S448" s="61" t="n"/>
      <c r="T448" s="61" t="n"/>
      <c r="U448" s="61" t="n"/>
      <c r="V448" s="61" t="n"/>
      <c r="W448" s="61" t="n"/>
      <c r="X448" s="61" t="n"/>
      <c r="Y448" s="61" t="n"/>
      <c r="Z448" s="61" t="n"/>
      <c r="AA448" s="61" t="n"/>
      <c r="AB448" s="61" t="n"/>
      <c r="AC448" s="61" t="n"/>
      <c r="AD448" s="61" t="n"/>
      <c r="AE448" s="61" t="n"/>
      <c r="AF448" s="61" t="n"/>
      <c r="AG448" s="61" t="n"/>
      <c r="AH448" s="61" t="n"/>
      <c r="AI448" s="61" t="n"/>
      <c r="AJ448" s="61" t="n"/>
      <c r="AK448" s="61" t="n"/>
      <c r="AL448" s="61" t="n"/>
      <c r="AM448" s="61" t="n"/>
      <c r="AN448" s="61" t="n"/>
      <c r="AO448" s="61" t="n"/>
      <c r="AP448" s="57" t="n"/>
      <c r="AQ448" s="56" t="n"/>
      <c r="AR448" s="57" t="n"/>
      <c r="AS448" s="61" t="n"/>
      <c r="AT448" s="61" t="n"/>
      <c r="AU448" s="57" t="n"/>
      <c r="AV448" s="61" t="n"/>
      <c r="AW448" s="61" t="n"/>
      <c r="AX448" s="61" t="n"/>
      <c r="AY448" s="61" t="n"/>
      <c r="AZ448" s="61" t="n"/>
      <c r="BA448" s="61" t="n"/>
      <c r="BB448" s="61" t="n"/>
      <c r="BC448" s="61" t="n"/>
      <c r="BD448" s="57" t="n"/>
      <c r="BE448" s="56" t="n"/>
      <c r="BF448" s="56" t="n"/>
      <c r="BG448" s="57" t="n"/>
      <c r="BH448" s="61" t="n"/>
      <c r="BI448" s="61" t="n"/>
      <c r="BJ448" s="61" t="n"/>
      <c r="BK448" s="61" t="n"/>
      <c r="BL448" s="61" t="n"/>
      <c r="BM448" s="61" t="n"/>
      <c r="BN448" s="61" t="n"/>
      <c r="BO448" s="61" t="n"/>
      <c r="BP448" s="61" t="n"/>
      <c r="BQ448" s="61" t="n"/>
      <c r="BR448" s="61" t="n"/>
      <c r="BS448" s="61" t="n"/>
      <c r="BT448" s="61" t="n"/>
    </row>
    <row r="449" ht="15.75" customHeight="1" s="79">
      <c r="A449" s="61" t="n"/>
      <c r="B449" s="61" t="n"/>
      <c r="C449" s="61" t="n"/>
      <c r="D449" s="61" t="n"/>
      <c r="E449" s="61" t="n"/>
      <c r="F449" s="61" t="n"/>
      <c r="G449" s="61" t="n"/>
      <c r="H449" s="61" t="n"/>
      <c r="I449" s="61" t="n"/>
      <c r="J449" s="61" t="n"/>
      <c r="K449" s="61" t="n"/>
      <c r="L449" s="61" t="n"/>
      <c r="M449" s="61" t="n"/>
      <c r="N449" s="61" t="n"/>
      <c r="O449" s="61" t="n"/>
      <c r="P449" s="61" t="n"/>
      <c r="Q449" s="61" t="n"/>
      <c r="R449" s="61" t="n"/>
      <c r="S449" s="61" t="n"/>
      <c r="T449" s="61" t="n"/>
      <c r="U449" s="61" t="n"/>
      <c r="V449" s="61" t="n"/>
      <c r="W449" s="61" t="n"/>
      <c r="X449" s="61" t="n"/>
      <c r="Y449" s="61" t="n"/>
      <c r="Z449" s="61" t="n"/>
      <c r="AA449" s="61" t="n"/>
      <c r="AB449" s="61" t="n"/>
      <c r="AC449" s="61" t="n"/>
      <c r="AD449" s="61" t="n"/>
      <c r="AE449" s="61" t="n"/>
      <c r="AF449" s="61" t="n"/>
      <c r="AG449" s="61" t="n"/>
      <c r="AH449" s="61" t="n"/>
      <c r="AI449" s="61" t="n"/>
      <c r="AJ449" s="61" t="n"/>
      <c r="AK449" s="61" t="n"/>
      <c r="AL449" s="61" t="n"/>
      <c r="AM449" s="61" t="n"/>
      <c r="AN449" s="61" t="n"/>
      <c r="AO449" s="61" t="n"/>
      <c r="AP449" s="57" t="n"/>
      <c r="AQ449" s="56" t="n"/>
      <c r="AR449" s="57" t="n"/>
      <c r="AS449" s="61" t="n"/>
      <c r="AT449" s="61" t="n"/>
      <c r="AU449" s="57" t="n"/>
      <c r="AV449" s="61" t="n"/>
      <c r="AW449" s="61" t="n"/>
      <c r="AX449" s="61" t="n"/>
      <c r="AY449" s="61" t="n"/>
      <c r="AZ449" s="61" t="n"/>
      <c r="BA449" s="61" t="n"/>
      <c r="BB449" s="61" t="n"/>
      <c r="BC449" s="61" t="n"/>
      <c r="BD449" s="57" t="n"/>
      <c r="BE449" s="56" t="n"/>
      <c r="BF449" s="56" t="n"/>
      <c r="BG449" s="57" t="n"/>
      <c r="BH449" s="61" t="n"/>
      <c r="BI449" s="61" t="n"/>
      <c r="BJ449" s="61" t="n"/>
      <c r="BK449" s="61" t="n"/>
      <c r="BL449" s="61" t="n"/>
      <c r="BM449" s="61" t="n"/>
      <c r="BN449" s="61" t="n"/>
      <c r="BO449" s="61" t="n"/>
      <c r="BP449" s="61" t="n"/>
      <c r="BQ449" s="61" t="n"/>
      <c r="BR449" s="61" t="n"/>
      <c r="BS449" s="61" t="n"/>
      <c r="BT449" s="61" t="n"/>
    </row>
    <row r="450" ht="15.75" customHeight="1" s="79">
      <c r="A450" s="61" t="n"/>
      <c r="B450" s="61" t="n"/>
      <c r="C450" s="61" t="n"/>
      <c r="D450" s="61" t="n"/>
      <c r="E450" s="61" t="n"/>
      <c r="F450" s="61" t="n"/>
      <c r="G450" s="61" t="n"/>
      <c r="H450" s="61" t="n"/>
      <c r="I450" s="61" t="n"/>
      <c r="J450" s="61" t="n"/>
      <c r="K450" s="61" t="n"/>
      <c r="L450" s="61" t="n"/>
      <c r="M450" s="61" t="n"/>
      <c r="N450" s="61" t="n"/>
      <c r="O450" s="61" t="n"/>
      <c r="P450" s="61" t="n"/>
      <c r="Q450" s="61" t="n"/>
      <c r="R450" s="61" t="n"/>
      <c r="S450" s="61" t="n"/>
      <c r="T450" s="61" t="n"/>
      <c r="U450" s="61" t="n"/>
      <c r="V450" s="61" t="n"/>
      <c r="W450" s="61" t="n"/>
      <c r="X450" s="61" t="n"/>
      <c r="Y450" s="61" t="n"/>
      <c r="Z450" s="61" t="n"/>
      <c r="AA450" s="61" t="n"/>
      <c r="AB450" s="61" t="n"/>
      <c r="AC450" s="61" t="n"/>
      <c r="AD450" s="61" t="n"/>
      <c r="AE450" s="61" t="n"/>
      <c r="AF450" s="61" t="n"/>
      <c r="AG450" s="61" t="n"/>
      <c r="AH450" s="61" t="n"/>
      <c r="AI450" s="61" t="n"/>
      <c r="AJ450" s="61" t="n"/>
      <c r="AK450" s="61" t="n"/>
      <c r="AL450" s="61" t="n"/>
      <c r="AM450" s="61" t="n"/>
      <c r="AN450" s="61" t="n"/>
      <c r="AO450" s="61" t="n"/>
      <c r="AP450" s="57" t="n"/>
      <c r="AQ450" s="56" t="n"/>
      <c r="AR450" s="57" t="n"/>
      <c r="AS450" s="61" t="n"/>
      <c r="AT450" s="61" t="n"/>
      <c r="AU450" s="57" t="n"/>
      <c r="AV450" s="61" t="n"/>
      <c r="AW450" s="61" t="n"/>
      <c r="AX450" s="61" t="n"/>
      <c r="AY450" s="61" t="n"/>
      <c r="AZ450" s="61" t="n"/>
      <c r="BA450" s="61" t="n"/>
      <c r="BB450" s="61" t="n"/>
      <c r="BC450" s="61" t="n"/>
      <c r="BD450" s="57" t="n"/>
      <c r="BE450" s="56" t="n"/>
      <c r="BF450" s="56" t="n"/>
      <c r="BG450" s="57" t="n"/>
      <c r="BH450" s="61" t="n"/>
      <c r="BI450" s="61" t="n"/>
      <c r="BJ450" s="61" t="n"/>
      <c r="BK450" s="61" t="n"/>
      <c r="BL450" s="61" t="n"/>
      <c r="BM450" s="61" t="n"/>
      <c r="BN450" s="61" t="n"/>
      <c r="BO450" s="61" t="n"/>
      <c r="BP450" s="61" t="n"/>
      <c r="BQ450" s="61" t="n"/>
      <c r="BR450" s="61" t="n"/>
      <c r="BS450" s="61" t="n"/>
      <c r="BT450" s="61" t="n"/>
    </row>
    <row r="451" ht="15.75" customHeight="1" s="79">
      <c r="A451" s="61" t="n"/>
      <c r="B451" s="61" t="n"/>
      <c r="C451" s="61" t="n"/>
      <c r="D451" s="61" t="n"/>
      <c r="E451" s="61" t="n"/>
      <c r="F451" s="61" t="n"/>
      <c r="G451" s="61" t="n"/>
      <c r="H451" s="61" t="n"/>
      <c r="I451" s="61" t="n"/>
      <c r="J451" s="61" t="n"/>
      <c r="K451" s="61" t="n"/>
      <c r="L451" s="61" t="n"/>
      <c r="M451" s="61" t="n"/>
      <c r="N451" s="61" t="n"/>
      <c r="O451" s="61" t="n"/>
      <c r="P451" s="61" t="n"/>
      <c r="Q451" s="61" t="n"/>
      <c r="R451" s="61" t="n"/>
      <c r="S451" s="61" t="n"/>
      <c r="T451" s="61" t="n"/>
      <c r="U451" s="61" t="n"/>
      <c r="V451" s="61" t="n"/>
      <c r="W451" s="61" t="n"/>
      <c r="X451" s="61" t="n"/>
      <c r="Y451" s="61" t="n"/>
      <c r="Z451" s="61" t="n"/>
      <c r="AA451" s="61" t="n"/>
      <c r="AB451" s="61" t="n"/>
      <c r="AC451" s="61" t="n"/>
      <c r="AD451" s="61" t="n"/>
      <c r="AE451" s="61" t="n"/>
      <c r="AF451" s="61" t="n"/>
      <c r="AG451" s="61" t="n"/>
      <c r="AH451" s="61" t="n"/>
      <c r="AI451" s="61" t="n"/>
      <c r="AJ451" s="61" t="n"/>
      <c r="AK451" s="61" t="n"/>
      <c r="AL451" s="61" t="n"/>
      <c r="AM451" s="61" t="n"/>
      <c r="AN451" s="61" t="n"/>
      <c r="AO451" s="61" t="n"/>
      <c r="AP451" s="57" t="n"/>
      <c r="AQ451" s="56" t="n"/>
      <c r="AR451" s="57" t="n"/>
      <c r="AS451" s="61" t="n"/>
      <c r="AT451" s="61" t="n"/>
      <c r="AU451" s="57" t="n"/>
      <c r="AV451" s="61" t="n"/>
      <c r="AW451" s="61" t="n"/>
      <c r="AX451" s="61" t="n"/>
      <c r="AY451" s="61" t="n"/>
      <c r="AZ451" s="61" t="n"/>
      <c r="BA451" s="61" t="n"/>
      <c r="BB451" s="61" t="n"/>
      <c r="BC451" s="61" t="n"/>
      <c r="BD451" s="57" t="n"/>
      <c r="BE451" s="56" t="n"/>
      <c r="BF451" s="56" t="n"/>
      <c r="BG451" s="57" t="n"/>
      <c r="BH451" s="61" t="n"/>
      <c r="BI451" s="61" t="n"/>
      <c r="BJ451" s="61" t="n"/>
      <c r="BK451" s="61" t="n"/>
      <c r="BL451" s="61" t="n"/>
      <c r="BM451" s="61" t="n"/>
      <c r="BN451" s="61" t="n"/>
      <c r="BO451" s="61" t="n"/>
      <c r="BP451" s="61" t="n"/>
      <c r="BQ451" s="61" t="n"/>
      <c r="BR451" s="61" t="n"/>
      <c r="BS451" s="61" t="n"/>
      <c r="BT451" s="61" t="n"/>
    </row>
    <row r="452" ht="15.75" customHeight="1" s="79">
      <c r="A452" s="61" t="n"/>
      <c r="B452" s="61" t="n"/>
      <c r="C452" s="61" t="n"/>
      <c r="D452" s="61" t="n"/>
      <c r="E452" s="61" t="n"/>
      <c r="F452" s="61" t="n"/>
      <c r="G452" s="61" t="n"/>
      <c r="H452" s="61" t="n"/>
      <c r="I452" s="61" t="n"/>
      <c r="J452" s="61" t="n"/>
      <c r="K452" s="61" t="n"/>
      <c r="L452" s="61" t="n"/>
      <c r="M452" s="61" t="n"/>
      <c r="N452" s="61" t="n"/>
      <c r="O452" s="61" t="n"/>
      <c r="P452" s="61" t="n"/>
      <c r="Q452" s="61" t="n"/>
      <c r="R452" s="61" t="n"/>
      <c r="S452" s="61" t="n"/>
      <c r="T452" s="61" t="n"/>
      <c r="U452" s="61" t="n"/>
      <c r="V452" s="61" t="n"/>
      <c r="W452" s="61" t="n"/>
      <c r="X452" s="61" t="n"/>
      <c r="Y452" s="61" t="n"/>
      <c r="Z452" s="61" t="n"/>
      <c r="AA452" s="61" t="n"/>
      <c r="AB452" s="61" t="n"/>
      <c r="AC452" s="61" t="n"/>
      <c r="AD452" s="61" t="n"/>
      <c r="AE452" s="61" t="n"/>
      <c r="AF452" s="61" t="n"/>
      <c r="AG452" s="61" t="n"/>
      <c r="AH452" s="61" t="n"/>
      <c r="AI452" s="61" t="n"/>
      <c r="AJ452" s="61" t="n"/>
      <c r="AK452" s="61" t="n"/>
      <c r="AL452" s="61" t="n"/>
      <c r="AM452" s="61" t="n"/>
      <c r="AN452" s="61" t="n"/>
      <c r="AO452" s="61" t="n"/>
      <c r="AP452" s="57" t="n"/>
      <c r="AQ452" s="56" t="n"/>
      <c r="AR452" s="57" t="n"/>
      <c r="AS452" s="61" t="n"/>
      <c r="AT452" s="61" t="n"/>
      <c r="AU452" s="57" t="n"/>
      <c r="AV452" s="61" t="n"/>
      <c r="AW452" s="61" t="n"/>
      <c r="AX452" s="61" t="n"/>
      <c r="AY452" s="61" t="n"/>
      <c r="AZ452" s="61" t="n"/>
      <c r="BA452" s="61" t="n"/>
      <c r="BB452" s="61" t="n"/>
      <c r="BC452" s="61" t="n"/>
      <c r="BD452" s="57" t="n"/>
      <c r="BE452" s="56" t="n"/>
      <c r="BF452" s="56" t="n"/>
      <c r="BG452" s="57" t="n"/>
      <c r="BH452" s="61" t="n"/>
      <c r="BI452" s="61" t="n"/>
      <c r="BJ452" s="61" t="n"/>
      <c r="BK452" s="61" t="n"/>
      <c r="BL452" s="61" t="n"/>
      <c r="BM452" s="61" t="n"/>
      <c r="BN452" s="61" t="n"/>
      <c r="BO452" s="61" t="n"/>
      <c r="BP452" s="61" t="n"/>
      <c r="BQ452" s="61" t="n"/>
      <c r="BR452" s="61" t="n"/>
      <c r="BS452" s="61" t="n"/>
      <c r="BT452" s="61" t="n"/>
    </row>
    <row r="453" ht="15.75" customHeight="1" s="79">
      <c r="A453" s="61" t="n"/>
      <c r="B453" s="61" t="n"/>
      <c r="C453" s="61" t="n"/>
      <c r="D453" s="61" t="n"/>
      <c r="E453" s="61" t="n"/>
      <c r="F453" s="61" t="n"/>
      <c r="G453" s="61" t="n"/>
      <c r="H453" s="61" t="n"/>
      <c r="I453" s="61" t="n"/>
      <c r="J453" s="61" t="n"/>
      <c r="K453" s="61" t="n"/>
      <c r="L453" s="61" t="n"/>
      <c r="M453" s="61" t="n"/>
      <c r="N453" s="61" t="n"/>
      <c r="O453" s="61" t="n"/>
      <c r="P453" s="61" t="n"/>
      <c r="Q453" s="61" t="n"/>
      <c r="R453" s="61" t="n"/>
      <c r="S453" s="61" t="n"/>
      <c r="T453" s="61" t="n"/>
      <c r="U453" s="61" t="n"/>
      <c r="V453" s="61" t="n"/>
      <c r="W453" s="61" t="n"/>
      <c r="X453" s="61" t="n"/>
      <c r="Y453" s="61" t="n"/>
      <c r="Z453" s="61" t="n"/>
      <c r="AA453" s="61" t="n"/>
      <c r="AB453" s="61" t="n"/>
      <c r="AC453" s="61" t="n"/>
      <c r="AD453" s="61" t="n"/>
      <c r="AE453" s="61" t="n"/>
      <c r="AF453" s="61" t="n"/>
      <c r="AG453" s="61" t="n"/>
      <c r="AH453" s="61" t="n"/>
      <c r="AI453" s="61" t="n"/>
      <c r="AJ453" s="61" t="n"/>
      <c r="AK453" s="61" t="n"/>
      <c r="AL453" s="61" t="n"/>
      <c r="AM453" s="61" t="n"/>
      <c r="AN453" s="61" t="n"/>
      <c r="AO453" s="61" t="n"/>
      <c r="AP453" s="57" t="n"/>
      <c r="AQ453" s="56" t="n"/>
      <c r="AR453" s="57" t="n"/>
      <c r="AS453" s="61" t="n"/>
      <c r="AT453" s="61" t="n"/>
      <c r="AU453" s="57" t="n"/>
      <c r="AV453" s="61" t="n"/>
      <c r="AW453" s="61" t="n"/>
      <c r="AX453" s="61" t="n"/>
      <c r="AY453" s="61" t="n"/>
      <c r="AZ453" s="61" t="n"/>
      <c r="BA453" s="61" t="n"/>
      <c r="BB453" s="61" t="n"/>
      <c r="BC453" s="61" t="n"/>
      <c r="BD453" s="57" t="n"/>
      <c r="BE453" s="56" t="n"/>
      <c r="BF453" s="56" t="n"/>
      <c r="BG453" s="57" t="n"/>
      <c r="BH453" s="61" t="n"/>
      <c r="BI453" s="61" t="n"/>
      <c r="BJ453" s="61" t="n"/>
      <c r="BK453" s="61" t="n"/>
      <c r="BL453" s="61" t="n"/>
      <c r="BM453" s="61" t="n"/>
      <c r="BN453" s="61" t="n"/>
      <c r="BO453" s="61" t="n"/>
      <c r="BP453" s="61" t="n"/>
      <c r="BQ453" s="61" t="n"/>
      <c r="BR453" s="61" t="n"/>
      <c r="BS453" s="61" t="n"/>
      <c r="BT453" s="61" t="n"/>
    </row>
    <row r="454" ht="15.75" customHeight="1" s="79">
      <c r="A454" s="61" t="n"/>
      <c r="B454" s="61" t="n"/>
      <c r="C454" s="61" t="n"/>
      <c r="D454" s="61" t="n"/>
      <c r="E454" s="61" t="n"/>
      <c r="F454" s="61" t="n"/>
      <c r="G454" s="61" t="n"/>
      <c r="H454" s="61" t="n"/>
      <c r="I454" s="61" t="n"/>
      <c r="J454" s="61" t="n"/>
      <c r="K454" s="61" t="n"/>
      <c r="L454" s="61" t="n"/>
      <c r="M454" s="61" t="n"/>
      <c r="N454" s="61" t="n"/>
      <c r="O454" s="61" t="n"/>
      <c r="P454" s="61" t="n"/>
      <c r="Q454" s="61" t="n"/>
      <c r="R454" s="61" t="n"/>
      <c r="S454" s="61" t="n"/>
      <c r="T454" s="61" t="n"/>
      <c r="U454" s="61" t="n"/>
      <c r="V454" s="61" t="n"/>
      <c r="W454" s="61" t="n"/>
      <c r="X454" s="61" t="n"/>
      <c r="Y454" s="61" t="n"/>
      <c r="Z454" s="61" t="n"/>
      <c r="AA454" s="61" t="n"/>
      <c r="AB454" s="61" t="n"/>
      <c r="AC454" s="61" t="n"/>
      <c r="AD454" s="61" t="n"/>
      <c r="AE454" s="61" t="n"/>
      <c r="AF454" s="61" t="n"/>
      <c r="AG454" s="61" t="n"/>
      <c r="AH454" s="61" t="n"/>
      <c r="AI454" s="61" t="n"/>
      <c r="AJ454" s="61" t="n"/>
      <c r="AK454" s="61" t="n"/>
      <c r="AL454" s="61" t="n"/>
      <c r="AM454" s="61" t="n"/>
      <c r="AN454" s="61" t="n"/>
      <c r="AO454" s="61" t="n"/>
      <c r="AP454" s="57" t="n"/>
      <c r="AQ454" s="56" t="n"/>
      <c r="AR454" s="57" t="n"/>
      <c r="AS454" s="61" t="n"/>
      <c r="AT454" s="61" t="n"/>
      <c r="AU454" s="57" t="n"/>
      <c r="AV454" s="61" t="n"/>
      <c r="AW454" s="61" t="n"/>
      <c r="AX454" s="61" t="n"/>
      <c r="AY454" s="61" t="n"/>
      <c r="AZ454" s="61" t="n"/>
      <c r="BA454" s="61" t="n"/>
      <c r="BB454" s="61" t="n"/>
      <c r="BC454" s="61" t="n"/>
      <c r="BD454" s="57" t="n"/>
      <c r="BE454" s="56" t="n"/>
      <c r="BF454" s="56" t="n"/>
      <c r="BG454" s="57" t="n"/>
      <c r="BH454" s="61" t="n"/>
      <c r="BI454" s="61" t="n"/>
      <c r="BJ454" s="61" t="n"/>
      <c r="BK454" s="61" t="n"/>
      <c r="BL454" s="61" t="n"/>
      <c r="BM454" s="61" t="n"/>
      <c r="BN454" s="61" t="n"/>
      <c r="BO454" s="61" t="n"/>
      <c r="BP454" s="61" t="n"/>
      <c r="BQ454" s="61" t="n"/>
      <c r="BR454" s="61" t="n"/>
      <c r="BS454" s="61" t="n"/>
      <c r="BT454" s="61" t="n"/>
    </row>
    <row r="455" ht="15.75" customHeight="1" s="79">
      <c r="A455" s="61" t="n"/>
      <c r="B455" s="61" t="n"/>
      <c r="C455" s="61" t="n"/>
      <c r="D455" s="61" t="n"/>
      <c r="E455" s="61" t="n"/>
      <c r="F455" s="61" t="n"/>
      <c r="G455" s="61" t="n"/>
      <c r="H455" s="61" t="n"/>
      <c r="I455" s="61" t="n"/>
      <c r="J455" s="61" t="n"/>
      <c r="K455" s="61" t="n"/>
      <c r="L455" s="61" t="n"/>
      <c r="M455" s="61" t="n"/>
      <c r="N455" s="61" t="n"/>
      <c r="O455" s="61" t="n"/>
      <c r="P455" s="61" t="n"/>
      <c r="Q455" s="61" t="n"/>
      <c r="R455" s="61" t="n"/>
      <c r="S455" s="61" t="n"/>
      <c r="T455" s="61" t="n"/>
      <c r="U455" s="61" t="n"/>
      <c r="V455" s="61" t="n"/>
      <c r="W455" s="61" t="n"/>
      <c r="X455" s="61" t="n"/>
      <c r="Y455" s="61" t="n"/>
      <c r="Z455" s="61" t="n"/>
      <c r="AA455" s="61" t="n"/>
      <c r="AB455" s="61" t="n"/>
      <c r="AC455" s="61" t="n"/>
      <c r="AD455" s="61" t="n"/>
      <c r="AE455" s="61" t="n"/>
      <c r="AF455" s="61" t="n"/>
      <c r="AG455" s="61" t="n"/>
      <c r="AH455" s="61" t="n"/>
      <c r="AI455" s="61" t="n"/>
      <c r="AJ455" s="61" t="n"/>
      <c r="AK455" s="61" t="n"/>
      <c r="AL455" s="61" t="n"/>
      <c r="AM455" s="61" t="n"/>
      <c r="AN455" s="61" t="n"/>
      <c r="AO455" s="61" t="n"/>
      <c r="AP455" s="57" t="n"/>
      <c r="AQ455" s="56" t="n"/>
      <c r="AR455" s="57" t="n"/>
      <c r="AS455" s="61" t="n"/>
      <c r="AT455" s="61" t="n"/>
      <c r="AU455" s="57" t="n"/>
      <c r="AV455" s="61" t="n"/>
      <c r="AW455" s="61" t="n"/>
      <c r="AX455" s="61" t="n"/>
      <c r="AY455" s="61" t="n"/>
      <c r="AZ455" s="61" t="n"/>
      <c r="BA455" s="61" t="n"/>
      <c r="BB455" s="61" t="n"/>
      <c r="BC455" s="61" t="n"/>
      <c r="BD455" s="57" t="n"/>
      <c r="BE455" s="56" t="n"/>
      <c r="BF455" s="56" t="n"/>
      <c r="BG455" s="57" t="n"/>
      <c r="BH455" s="61" t="n"/>
      <c r="BI455" s="61" t="n"/>
      <c r="BJ455" s="61" t="n"/>
      <c r="BK455" s="61" t="n"/>
      <c r="BL455" s="61" t="n"/>
      <c r="BM455" s="61" t="n"/>
      <c r="BN455" s="61" t="n"/>
      <c r="BO455" s="61" t="n"/>
      <c r="BP455" s="61" t="n"/>
      <c r="BQ455" s="61" t="n"/>
      <c r="BR455" s="61" t="n"/>
      <c r="BS455" s="61" t="n"/>
      <c r="BT455" s="61" t="n"/>
    </row>
    <row r="456" ht="15.75" customHeight="1" s="79">
      <c r="A456" s="61" t="n"/>
      <c r="B456" s="61" t="n"/>
      <c r="C456" s="61" t="n"/>
      <c r="D456" s="61" t="n"/>
      <c r="E456" s="61" t="n"/>
      <c r="F456" s="61" t="n"/>
      <c r="G456" s="61" t="n"/>
      <c r="H456" s="61" t="n"/>
      <c r="I456" s="61" t="n"/>
      <c r="J456" s="61" t="n"/>
      <c r="K456" s="61" t="n"/>
      <c r="L456" s="61" t="n"/>
      <c r="M456" s="61" t="n"/>
      <c r="N456" s="61" t="n"/>
      <c r="O456" s="61" t="n"/>
      <c r="P456" s="61" t="n"/>
      <c r="Q456" s="61" t="n"/>
      <c r="R456" s="61" t="n"/>
      <c r="S456" s="61" t="n"/>
      <c r="T456" s="61" t="n"/>
      <c r="U456" s="61" t="n"/>
      <c r="V456" s="61" t="n"/>
      <c r="W456" s="61" t="n"/>
      <c r="X456" s="61" t="n"/>
      <c r="Y456" s="61" t="n"/>
      <c r="Z456" s="61" t="n"/>
      <c r="AA456" s="61" t="n"/>
      <c r="AB456" s="61" t="n"/>
      <c r="AC456" s="61" t="n"/>
      <c r="AD456" s="61" t="n"/>
      <c r="AE456" s="61" t="n"/>
      <c r="AF456" s="61" t="n"/>
      <c r="AG456" s="61" t="n"/>
      <c r="AH456" s="61" t="n"/>
      <c r="AI456" s="61" t="n"/>
      <c r="AJ456" s="61" t="n"/>
      <c r="AK456" s="61" t="n"/>
      <c r="AL456" s="61" t="n"/>
      <c r="AM456" s="61" t="n"/>
      <c r="AN456" s="61" t="n"/>
      <c r="AO456" s="61" t="n"/>
      <c r="AP456" s="57" t="n"/>
      <c r="AQ456" s="56" t="n"/>
      <c r="AR456" s="57" t="n"/>
      <c r="AS456" s="61" t="n"/>
      <c r="AT456" s="61" t="n"/>
      <c r="AU456" s="57" t="n"/>
      <c r="AV456" s="61" t="n"/>
      <c r="AW456" s="61" t="n"/>
      <c r="AX456" s="61" t="n"/>
      <c r="AY456" s="61" t="n"/>
      <c r="AZ456" s="61" t="n"/>
      <c r="BA456" s="61" t="n"/>
      <c r="BB456" s="61" t="n"/>
      <c r="BC456" s="61" t="n"/>
      <c r="BD456" s="57" t="n"/>
      <c r="BE456" s="56" t="n"/>
      <c r="BF456" s="56" t="n"/>
      <c r="BG456" s="57" t="n"/>
      <c r="BH456" s="61" t="n"/>
      <c r="BI456" s="61" t="n"/>
      <c r="BJ456" s="61" t="n"/>
      <c r="BK456" s="61" t="n"/>
      <c r="BL456" s="61" t="n"/>
      <c r="BM456" s="61" t="n"/>
      <c r="BN456" s="61" t="n"/>
      <c r="BO456" s="61" t="n"/>
      <c r="BP456" s="61" t="n"/>
      <c r="BQ456" s="61" t="n"/>
      <c r="BR456" s="61" t="n"/>
      <c r="BS456" s="61" t="n"/>
      <c r="BT456" s="61" t="n"/>
    </row>
    <row r="457" ht="15.75" customHeight="1" s="79">
      <c r="A457" s="61" t="n"/>
      <c r="B457" s="61" t="n"/>
      <c r="C457" s="61" t="n"/>
      <c r="D457" s="61" t="n"/>
      <c r="E457" s="61" t="n"/>
      <c r="F457" s="61" t="n"/>
      <c r="G457" s="61" t="n"/>
      <c r="H457" s="61" t="n"/>
      <c r="I457" s="61" t="n"/>
      <c r="J457" s="61" t="n"/>
      <c r="K457" s="61" t="n"/>
      <c r="L457" s="61" t="n"/>
      <c r="M457" s="61" t="n"/>
      <c r="N457" s="61" t="n"/>
      <c r="O457" s="61" t="n"/>
      <c r="P457" s="61" t="n"/>
      <c r="Q457" s="61" t="n"/>
      <c r="R457" s="61" t="n"/>
      <c r="S457" s="61" t="n"/>
      <c r="T457" s="61" t="n"/>
      <c r="U457" s="61" t="n"/>
      <c r="V457" s="61" t="n"/>
      <c r="W457" s="61" t="n"/>
      <c r="X457" s="61" t="n"/>
      <c r="Y457" s="61" t="n"/>
      <c r="Z457" s="61" t="n"/>
      <c r="AA457" s="61" t="n"/>
      <c r="AB457" s="61" t="n"/>
      <c r="AC457" s="61" t="n"/>
      <c r="AD457" s="61" t="n"/>
      <c r="AE457" s="61" t="n"/>
      <c r="AF457" s="61" t="n"/>
      <c r="AG457" s="61" t="n"/>
      <c r="AH457" s="61" t="n"/>
      <c r="AI457" s="61" t="n"/>
      <c r="AJ457" s="61" t="n"/>
      <c r="AK457" s="61" t="n"/>
      <c r="AL457" s="61" t="n"/>
      <c r="AM457" s="61" t="n"/>
      <c r="AN457" s="61" t="n"/>
      <c r="AO457" s="61" t="n"/>
      <c r="AP457" s="57" t="n"/>
      <c r="AQ457" s="56" t="n"/>
      <c r="AR457" s="57" t="n"/>
      <c r="AS457" s="61" t="n"/>
      <c r="AT457" s="61" t="n"/>
      <c r="AU457" s="57" t="n"/>
      <c r="AV457" s="61" t="n"/>
      <c r="AW457" s="61" t="n"/>
      <c r="AX457" s="61" t="n"/>
      <c r="AY457" s="61" t="n"/>
      <c r="AZ457" s="61" t="n"/>
      <c r="BA457" s="61" t="n"/>
      <c r="BB457" s="61" t="n"/>
      <c r="BC457" s="61" t="n"/>
      <c r="BD457" s="57" t="n"/>
      <c r="BE457" s="56" t="n"/>
      <c r="BF457" s="56" t="n"/>
      <c r="BG457" s="57" t="n"/>
      <c r="BH457" s="61" t="n"/>
      <c r="BI457" s="61" t="n"/>
      <c r="BJ457" s="61" t="n"/>
      <c r="BK457" s="61" t="n"/>
      <c r="BL457" s="61" t="n"/>
      <c r="BM457" s="61" t="n"/>
      <c r="BN457" s="61" t="n"/>
      <c r="BO457" s="61" t="n"/>
      <c r="BP457" s="61" t="n"/>
      <c r="BQ457" s="61" t="n"/>
      <c r="BR457" s="61" t="n"/>
      <c r="BS457" s="61" t="n"/>
      <c r="BT457" s="61" t="n"/>
    </row>
    <row r="458" ht="15.75" customHeight="1" s="79">
      <c r="A458" s="61" t="n"/>
      <c r="B458" s="61" t="n"/>
      <c r="C458" s="61" t="n"/>
      <c r="D458" s="61" t="n"/>
      <c r="E458" s="61" t="n"/>
      <c r="F458" s="61" t="n"/>
      <c r="G458" s="61" t="n"/>
      <c r="H458" s="61" t="n"/>
      <c r="I458" s="61" t="n"/>
      <c r="J458" s="61" t="n"/>
      <c r="K458" s="61" t="n"/>
      <c r="L458" s="61" t="n"/>
      <c r="M458" s="61" t="n"/>
      <c r="N458" s="61" t="n"/>
      <c r="O458" s="61" t="n"/>
      <c r="P458" s="61" t="n"/>
      <c r="Q458" s="61" t="n"/>
      <c r="R458" s="61" t="n"/>
      <c r="S458" s="61" t="n"/>
      <c r="T458" s="61" t="n"/>
      <c r="U458" s="61" t="n"/>
      <c r="V458" s="61" t="n"/>
      <c r="W458" s="61" t="n"/>
      <c r="X458" s="61" t="n"/>
      <c r="Y458" s="61" t="n"/>
      <c r="Z458" s="61" t="n"/>
      <c r="AA458" s="61" t="n"/>
      <c r="AB458" s="61" t="n"/>
      <c r="AC458" s="61" t="n"/>
      <c r="AD458" s="61" t="n"/>
      <c r="AE458" s="61" t="n"/>
      <c r="AF458" s="61" t="n"/>
      <c r="AG458" s="61" t="n"/>
      <c r="AH458" s="61" t="n"/>
      <c r="AI458" s="61" t="n"/>
      <c r="AJ458" s="61" t="n"/>
      <c r="AK458" s="61" t="n"/>
      <c r="AL458" s="61" t="n"/>
      <c r="AM458" s="61" t="n"/>
      <c r="AN458" s="61" t="n"/>
      <c r="AO458" s="61" t="n"/>
      <c r="AP458" s="57" t="n"/>
      <c r="AQ458" s="56" t="n"/>
      <c r="AR458" s="57" t="n"/>
      <c r="AS458" s="61" t="n"/>
      <c r="AT458" s="61" t="n"/>
      <c r="AU458" s="57" t="n"/>
      <c r="AV458" s="61" t="n"/>
      <c r="AW458" s="61" t="n"/>
      <c r="AX458" s="61" t="n"/>
      <c r="AY458" s="61" t="n"/>
      <c r="AZ458" s="61" t="n"/>
      <c r="BA458" s="61" t="n"/>
      <c r="BB458" s="61" t="n"/>
      <c r="BC458" s="61" t="n"/>
      <c r="BD458" s="57" t="n"/>
      <c r="BE458" s="56" t="n"/>
      <c r="BF458" s="56" t="n"/>
      <c r="BG458" s="57" t="n"/>
      <c r="BH458" s="61" t="n"/>
      <c r="BI458" s="61" t="n"/>
      <c r="BJ458" s="61" t="n"/>
      <c r="BK458" s="61" t="n"/>
      <c r="BL458" s="61" t="n"/>
      <c r="BM458" s="61" t="n"/>
      <c r="BN458" s="61" t="n"/>
      <c r="BO458" s="61" t="n"/>
      <c r="BP458" s="61" t="n"/>
      <c r="BQ458" s="61" t="n"/>
      <c r="BR458" s="61" t="n"/>
      <c r="BS458" s="61" t="n"/>
      <c r="BT458" s="61" t="n"/>
    </row>
    <row r="459" ht="15.75" customHeight="1" s="79">
      <c r="A459" s="61" t="n"/>
      <c r="B459" s="61" t="n"/>
      <c r="C459" s="61" t="n"/>
      <c r="D459" s="61" t="n"/>
      <c r="E459" s="61" t="n"/>
      <c r="F459" s="61" t="n"/>
      <c r="G459" s="61" t="n"/>
      <c r="H459" s="61" t="n"/>
      <c r="I459" s="61" t="n"/>
      <c r="J459" s="61" t="n"/>
      <c r="K459" s="61" t="n"/>
      <c r="L459" s="61" t="n"/>
      <c r="M459" s="61" t="n"/>
      <c r="N459" s="61" t="n"/>
      <c r="O459" s="61" t="n"/>
      <c r="P459" s="61" t="n"/>
      <c r="Q459" s="61" t="n"/>
      <c r="R459" s="61" t="n"/>
      <c r="S459" s="61" t="n"/>
      <c r="T459" s="61" t="n"/>
      <c r="U459" s="61" t="n"/>
      <c r="V459" s="61" t="n"/>
      <c r="W459" s="61" t="n"/>
      <c r="X459" s="61" t="n"/>
      <c r="Y459" s="61" t="n"/>
      <c r="Z459" s="61" t="n"/>
      <c r="AA459" s="61" t="n"/>
      <c r="AB459" s="61" t="n"/>
      <c r="AC459" s="61" t="n"/>
      <c r="AD459" s="61" t="n"/>
      <c r="AE459" s="61" t="n"/>
      <c r="AF459" s="61" t="n"/>
      <c r="AG459" s="61" t="n"/>
      <c r="AH459" s="61" t="n"/>
      <c r="AI459" s="61" t="n"/>
      <c r="AJ459" s="61" t="n"/>
      <c r="AK459" s="61" t="n"/>
      <c r="AL459" s="61" t="n"/>
      <c r="AM459" s="61" t="n"/>
      <c r="AN459" s="61" t="n"/>
      <c r="AO459" s="61" t="n"/>
      <c r="AP459" s="57" t="n"/>
      <c r="AQ459" s="56" t="n"/>
      <c r="AR459" s="57" t="n"/>
      <c r="AS459" s="61" t="n"/>
      <c r="AT459" s="61" t="n"/>
      <c r="AU459" s="57" t="n"/>
      <c r="AV459" s="61" t="n"/>
      <c r="AW459" s="61" t="n"/>
      <c r="AX459" s="61" t="n"/>
      <c r="AY459" s="61" t="n"/>
      <c r="AZ459" s="61" t="n"/>
      <c r="BA459" s="61" t="n"/>
      <c r="BB459" s="61" t="n"/>
      <c r="BC459" s="61" t="n"/>
      <c r="BD459" s="57" t="n"/>
      <c r="BE459" s="56" t="n"/>
      <c r="BF459" s="56" t="n"/>
      <c r="BG459" s="57" t="n"/>
      <c r="BH459" s="61" t="n"/>
      <c r="BI459" s="61" t="n"/>
      <c r="BJ459" s="61" t="n"/>
      <c r="BK459" s="61" t="n"/>
      <c r="BL459" s="61" t="n"/>
      <c r="BM459" s="61" t="n"/>
      <c r="BN459" s="61" t="n"/>
      <c r="BO459" s="61" t="n"/>
      <c r="BP459" s="61" t="n"/>
      <c r="BQ459" s="61" t="n"/>
      <c r="BR459" s="61" t="n"/>
      <c r="BS459" s="61" t="n"/>
      <c r="BT459" s="61" t="n"/>
    </row>
    <row r="460" ht="15.75" customHeight="1" s="79">
      <c r="A460" s="61" t="n"/>
      <c r="B460" s="61" t="n"/>
      <c r="C460" s="61" t="n"/>
      <c r="D460" s="61" t="n"/>
      <c r="E460" s="61" t="n"/>
      <c r="F460" s="61" t="n"/>
      <c r="G460" s="61" t="n"/>
      <c r="H460" s="61" t="n"/>
      <c r="I460" s="61" t="n"/>
      <c r="J460" s="61" t="n"/>
      <c r="K460" s="61" t="n"/>
      <c r="L460" s="61" t="n"/>
      <c r="M460" s="61" t="n"/>
      <c r="N460" s="61" t="n"/>
      <c r="O460" s="61" t="n"/>
      <c r="P460" s="61" t="n"/>
      <c r="Q460" s="61" t="n"/>
      <c r="R460" s="61" t="n"/>
      <c r="S460" s="61" t="n"/>
      <c r="T460" s="61" t="n"/>
      <c r="U460" s="61" t="n"/>
      <c r="V460" s="61" t="n"/>
      <c r="W460" s="61" t="n"/>
      <c r="X460" s="61" t="n"/>
      <c r="Y460" s="61" t="n"/>
      <c r="Z460" s="61" t="n"/>
      <c r="AA460" s="61" t="n"/>
      <c r="AB460" s="61" t="n"/>
      <c r="AC460" s="61" t="n"/>
      <c r="AD460" s="61" t="n"/>
      <c r="AE460" s="61" t="n"/>
      <c r="AF460" s="61" t="n"/>
      <c r="AG460" s="61" t="n"/>
      <c r="AH460" s="61" t="n"/>
      <c r="AI460" s="61" t="n"/>
      <c r="AJ460" s="61" t="n"/>
      <c r="AK460" s="61" t="n"/>
      <c r="AL460" s="61" t="n"/>
      <c r="AM460" s="61" t="n"/>
      <c r="AN460" s="61" t="n"/>
      <c r="AO460" s="61" t="n"/>
      <c r="AP460" s="57" t="n"/>
      <c r="AQ460" s="56" t="n"/>
      <c r="AR460" s="57" t="n"/>
      <c r="AS460" s="61" t="n"/>
      <c r="AT460" s="61" t="n"/>
      <c r="AU460" s="57" t="n"/>
      <c r="AV460" s="61" t="n"/>
      <c r="AW460" s="61" t="n"/>
      <c r="AX460" s="61" t="n"/>
      <c r="AY460" s="61" t="n"/>
      <c r="AZ460" s="61" t="n"/>
      <c r="BA460" s="61" t="n"/>
      <c r="BB460" s="61" t="n"/>
      <c r="BC460" s="61" t="n"/>
      <c r="BD460" s="57" t="n"/>
      <c r="BE460" s="56" t="n"/>
      <c r="BF460" s="56" t="n"/>
      <c r="BG460" s="57" t="n"/>
      <c r="BH460" s="61" t="n"/>
      <c r="BI460" s="61" t="n"/>
      <c r="BJ460" s="61" t="n"/>
      <c r="BK460" s="61" t="n"/>
      <c r="BL460" s="61" t="n"/>
      <c r="BM460" s="61" t="n"/>
      <c r="BN460" s="61" t="n"/>
      <c r="BO460" s="61" t="n"/>
      <c r="BP460" s="61" t="n"/>
      <c r="BQ460" s="61" t="n"/>
      <c r="BR460" s="61" t="n"/>
      <c r="BS460" s="61" t="n"/>
      <c r="BT460" s="61" t="n"/>
    </row>
    <row r="461" ht="15.75" customHeight="1" s="79">
      <c r="A461" s="61" t="n"/>
      <c r="B461" s="61" t="n"/>
      <c r="C461" s="61" t="n"/>
      <c r="D461" s="61" t="n"/>
      <c r="E461" s="61" t="n"/>
      <c r="F461" s="61" t="n"/>
      <c r="G461" s="61" t="n"/>
      <c r="H461" s="61" t="n"/>
      <c r="I461" s="61" t="n"/>
      <c r="J461" s="61" t="n"/>
      <c r="K461" s="61" t="n"/>
      <c r="L461" s="61" t="n"/>
      <c r="M461" s="61" t="n"/>
      <c r="N461" s="61" t="n"/>
      <c r="O461" s="61" t="n"/>
      <c r="P461" s="61" t="n"/>
      <c r="Q461" s="61" t="n"/>
      <c r="R461" s="61" t="n"/>
      <c r="S461" s="61" t="n"/>
      <c r="T461" s="61" t="n"/>
      <c r="U461" s="61" t="n"/>
      <c r="V461" s="61" t="n"/>
      <c r="W461" s="61" t="n"/>
      <c r="X461" s="61" t="n"/>
      <c r="Y461" s="61" t="n"/>
      <c r="Z461" s="61" t="n"/>
      <c r="AA461" s="61" t="n"/>
      <c r="AB461" s="61" t="n"/>
      <c r="AC461" s="61" t="n"/>
      <c r="AD461" s="61" t="n"/>
      <c r="AE461" s="61" t="n"/>
      <c r="AF461" s="61" t="n"/>
      <c r="AG461" s="61" t="n"/>
      <c r="AH461" s="61" t="n"/>
      <c r="AI461" s="61" t="n"/>
      <c r="AJ461" s="61" t="n"/>
      <c r="AK461" s="61" t="n"/>
      <c r="AL461" s="61" t="n"/>
      <c r="AM461" s="61" t="n"/>
      <c r="AN461" s="61" t="n"/>
      <c r="AO461" s="61" t="n"/>
      <c r="AP461" s="57" t="n"/>
      <c r="AQ461" s="56" t="n"/>
      <c r="AR461" s="57" t="n"/>
      <c r="AS461" s="61" t="n"/>
      <c r="AT461" s="61" t="n"/>
      <c r="AU461" s="57" t="n"/>
      <c r="AV461" s="61" t="n"/>
      <c r="AW461" s="61" t="n"/>
      <c r="AX461" s="61" t="n"/>
      <c r="AY461" s="61" t="n"/>
      <c r="AZ461" s="61" t="n"/>
      <c r="BA461" s="61" t="n"/>
      <c r="BB461" s="61" t="n"/>
      <c r="BC461" s="61" t="n"/>
      <c r="BD461" s="57" t="n"/>
      <c r="BE461" s="56" t="n"/>
      <c r="BF461" s="56" t="n"/>
      <c r="BG461" s="57" t="n"/>
      <c r="BH461" s="61" t="n"/>
      <c r="BI461" s="61" t="n"/>
      <c r="BJ461" s="61" t="n"/>
      <c r="BK461" s="61" t="n"/>
      <c r="BL461" s="61" t="n"/>
      <c r="BM461" s="61" t="n"/>
      <c r="BN461" s="61" t="n"/>
      <c r="BO461" s="61" t="n"/>
      <c r="BP461" s="61" t="n"/>
      <c r="BQ461" s="61" t="n"/>
      <c r="BR461" s="61" t="n"/>
      <c r="BS461" s="61" t="n"/>
      <c r="BT461" s="61" t="n"/>
    </row>
    <row r="462" ht="15.75" customHeight="1" s="79">
      <c r="A462" s="61" t="n"/>
      <c r="B462" s="61" t="n"/>
      <c r="C462" s="61" t="n"/>
      <c r="D462" s="61" t="n"/>
      <c r="E462" s="61" t="n"/>
      <c r="F462" s="61" t="n"/>
      <c r="G462" s="61" t="n"/>
      <c r="H462" s="61" t="n"/>
      <c r="I462" s="61" t="n"/>
      <c r="J462" s="61" t="n"/>
      <c r="K462" s="61" t="n"/>
      <c r="L462" s="61" t="n"/>
      <c r="M462" s="61" t="n"/>
      <c r="N462" s="61" t="n"/>
      <c r="O462" s="61" t="n"/>
      <c r="P462" s="61" t="n"/>
      <c r="Q462" s="61" t="n"/>
      <c r="R462" s="61" t="n"/>
      <c r="S462" s="61" t="n"/>
      <c r="T462" s="61" t="n"/>
      <c r="U462" s="61" t="n"/>
      <c r="V462" s="61" t="n"/>
      <c r="W462" s="61" t="n"/>
      <c r="X462" s="61" t="n"/>
      <c r="Y462" s="61" t="n"/>
      <c r="Z462" s="61" t="n"/>
      <c r="AA462" s="61" t="n"/>
      <c r="AB462" s="61" t="n"/>
      <c r="AC462" s="61" t="n"/>
      <c r="AD462" s="61" t="n"/>
      <c r="AE462" s="61" t="n"/>
      <c r="AF462" s="61" t="n"/>
      <c r="AG462" s="61" t="n"/>
      <c r="AH462" s="61" t="n"/>
      <c r="AI462" s="61" t="n"/>
      <c r="AJ462" s="61" t="n"/>
      <c r="AK462" s="61" t="n"/>
      <c r="AL462" s="61" t="n"/>
      <c r="AM462" s="61" t="n"/>
      <c r="AN462" s="61" t="n"/>
      <c r="AO462" s="61" t="n"/>
      <c r="AP462" s="57" t="n"/>
      <c r="AQ462" s="56" t="n"/>
      <c r="AR462" s="57" t="n"/>
      <c r="AS462" s="61" t="n"/>
      <c r="AT462" s="61" t="n"/>
      <c r="AU462" s="57" t="n"/>
      <c r="AV462" s="61" t="n"/>
      <c r="AW462" s="61" t="n"/>
      <c r="AX462" s="61" t="n"/>
      <c r="AY462" s="61" t="n"/>
      <c r="AZ462" s="61" t="n"/>
      <c r="BA462" s="61" t="n"/>
      <c r="BB462" s="61" t="n"/>
      <c r="BC462" s="61" t="n"/>
      <c r="BD462" s="57" t="n"/>
      <c r="BE462" s="56" t="n"/>
      <c r="BF462" s="56" t="n"/>
      <c r="BG462" s="57" t="n"/>
      <c r="BH462" s="61" t="n"/>
      <c r="BI462" s="61" t="n"/>
      <c r="BJ462" s="61" t="n"/>
      <c r="BK462" s="61" t="n"/>
      <c r="BL462" s="61" t="n"/>
      <c r="BM462" s="61" t="n"/>
      <c r="BN462" s="61" t="n"/>
      <c r="BO462" s="61" t="n"/>
      <c r="BP462" s="61" t="n"/>
      <c r="BQ462" s="61" t="n"/>
      <c r="BR462" s="61" t="n"/>
      <c r="BS462" s="61" t="n"/>
      <c r="BT462" s="61" t="n"/>
    </row>
    <row r="463" ht="15.75" customHeight="1" s="79">
      <c r="A463" s="61" t="n"/>
      <c r="B463" s="61" t="n"/>
      <c r="C463" s="61" t="n"/>
      <c r="D463" s="61" t="n"/>
      <c r="E463" s="61" t="n"/>
      <c r="F463" s="61" t="n"/>
      <c r="G463" s="61" t="n"/>
      <c r="H463" s="61" t="n"/>
      <c r="I463" s="61" t="n"/>
      <c r="J463" s="61" t="n"/>
      <c r="K463" s="61" t="n"/>
      <c r="L463" s="61" t="n"/>
      <c r="M463" s="61" t="n"/>
      <c r="N463" s="61" t="n"/>
      <c r="O463" s="61" t="n"/>
      <c r="P463" s="61" t="n"/>
      <c r="Q463" s="61" t="n"/>
      <c r="R463" s="61" t="n"/>
      <c r="S463" s="61" t="n"/>
      <c r="T463" s="61" t="n"/>
      <c r="U463" s="61" t="n"/>
      <c r="V463" s="61" t="n"/>
      <c r="W463" s="61" t="n"/>
      <c r="X463" s="61" t="n"/>
      <c r="Y463" s="61" t="n"/>
      <c r="Z463" s="61" t="n"/>
      <c r="AA463" s="61" t="n"/>
      <c r="AB463" s="61" t="n"/>
      <c r="AC463" s="61" t="n"/>
      <c r="AD463" s="61" t="n"/>
      <c r="AE463" s="61" t="n"/>
      <c r="AF463" s="61" t="n"/>
      <c r="AG463" s="61" t="n"/>
      <c r="AH463" s="61" t="n"/>
      <c r="AI463" s="61" t="n"/>
      <c r="AJ463" s="61" t="n"/>
      <c r="AK463" s="61" t="n"/>
      <c r="AL463" s="61" t="n"/>
      <c r="AM463" s="61" t="n"/>
      <c r="AN463" s="61" t="n"/>
      <c r="AO463" s="61" t="n"/>
      <c r="AP463" s="57" t="n"/>
      <c r="AQ463" s="56" t="n"/>
      <c r="AR463" s="57" t="n"/>
      <c r="AS463" s="61" t="n"/>
      <c r="AT463" s="61" t="n"/>
      <c r="AU463" s="57" t="n"/>
      <c r="AV463" s="61" t="n"/>
      <c r="AW463" s="61" t="n"/>
      <c r="AX463" s="61" t="n"/>
      <c r="AY463" s="61" t="n"/>
      <c r="AZ463" s="61" t="n"/>
      <c r="BA463" s="61" t="n"/>
      <c r="BB463" s="61" t="n"/>
      <c r="BC463" s="61" t="n"/>
      <c r="BD463" s="57" t="n"/>
      <c r="BE463" s="56" t="n"/>
      <c r="BF463" s="56" t="n"/>
      <c r="BG463" s="57" t="n"/>
      <c r="BH463" s="61" t="n"/>
      <c r="BI463" s="61" t="n"/>
      <c r="BJ463" s="61" t="n"/>
      <c r="BK463" s="61" t="n"/>
      <c r="BL463" s="61" t="n"/>
      <c r="BM463" s="61" t="n"/>
      <c r="BN463" s="61" t="n"/>
      <c r="BO463" s="61" t="n"/>
      <c r="BP463" s="61" t="n"/>
      <c r="BQ463" s="61" t="n"/>
      <c r="BR463" s="61" t="n"/>
      <c r="BS463" s="61" t="n"/>
      <c r="BT463" s="61" t="n"/>
    </row>
    <row r="464" ht="15.75" customHeight="1" s="79">
      <c r="A464" s="61" t="n"/>
      <c r="B464" s="61" t="n"/>
      <c r="C464" s="61" t="n"/>
      <c r="D464" s="61" t="n"/>
      <c r="E464" s="61" t="n"/>
      <c r="F464" s="61" t="n"/>
      <c r="G464" s="61" t="n"/>
      <c r="H464" s="61" t="n"/>
      <c r="I464" s="61" t="n"/>
      <c r="J464" s="61" t="n"/>
      <c r="K464" s="61" t="n"/>
      <c r="L464" s="61" t="n"/>
      <c r="M464" s="61" t="n"/>
      <c r="N464" s="61" t="n"/>
      <c r="O464" s="61" t="n"/>
      <c r="P464" s="61" t="n"/>
      <c r="Q464" s="61" t="n"/>
      <c r="R464" s="61" t="n"/>
      <c r="S464" s="61" t="n"/>
      <c r="T464" s="61" t="n"/>
      <c r="U464" s="61" t="n"/>
      <c r="V464" s="61" t="n"/>
      <c r="W464" s="61" t="n"/>
      <c r="X464" s="61" t="n"/>
      <c r="Y464" s="61" t="n"/>
      <c r="Z464" s="61" t="n"/>
      <c r="AA464" s="61" t="n"/>
      <c r="AB464" s="61" t="n"/>
      <c r="AC464" s="61" t="n"/>
      <c r="AD464" s="61" t="n"/>
      <c r="AE464" s="61" t="n"/>
      <c r="AF464" s="61" t="n"/>
      <c r="AG464" s="61" t="n"/>
      <c r="AH464" s="61" t="n"/>
      <c r="AI464" s="61" t="n"/>
      <c r="AJ464" s="61" t="n"/>
      <c r="AK464" s="61" t="n"/>
      <c r="AL464" s="61" t="n"/>
      <c r="AM464" s="61" t="n"/>
      <c r="AN464" s="61" t="n"/>
      <c r="AO464" s="61" t="n"/>
      <c r="AP464" s="57" t="n"/>
      <c r="AQ464" s="56" t="n"/>
      <c r="AR464" s="57" t="n"/>
      <c r="AS464" s="61" t="n"/>
      <c r="AT464" s="61" t="n"/>
      <c r="AU464" s="57" t="n"/>
      <c r="AV464" s="61" t="n"/>
      <c r="AW464" s="61" t="n"/>
      <c r="AX464" s="61" t="n"/>
      <c r="AY464" s="61" t="n"/>
      <c r="AZ464" s="61" t="n"/>
      <c r="BA464" s="61" t="n"/>
      <c r="BB464" s="61" t="n"/>
      <c r="BC464" s="61" t="n"/>
      <c r="BD464" s="57" t="n"/>
      <c r="BE464" s="56" t="n"/>
      <c r="BF464" s="56" t="n"/>
      <c r="BG464" s="57" t="n"/>
      <c r="BH464" s="61" t="n"/>
      <c r="BI464" s="61" t="n"/>
      <c r="BJ464" s="61" t="n"/>
      <c r="BK464" s="61" t="n"/>
      <c r="BL464" s="61" t="n"/>
      <c r="BM464" s="61" t="n"/>
      <c r="BN464" s="61" t="n"/>
      <c r="BO464" s="61" t="n"/>
      <c r="BP464" s="61" t="n"/>
      <c r="BQ464" s="61" t="n"/>
      <c r="BR464" s="61" t="n"/>
      <c r="BS464" s="61" t="n"/>
      <c r="BT464" s="61" t="n"/>
    </row>
    <row r="465" ht="15.75" customHeight="1" s="79">
      <c r="A465" s="61" t="n"/>
      <c r="B465" s="61" t="n"/>
      <c r="C465" s="61" t="n"/>
      <c r="D465" s="61" t="n"/>
      <c r="E465" s="61" t="n"/>
      <c r="F465" s="61" t="n"/>
      <c r="G465" s="61" t="n"/>
      <c r="H465" s="61" t="n"/>
      <c r="I465" s="61" t="n"/>
      <c r="J465" s="61" t="n"/>
      <c r="K465" s="61" t="n"/>
      <c r="L465" s="61" t="n"/>
      <c r="M465" s="61" t="n"/>
      <c r="N465" s="61" t="n"/>
      <c r="O465" s="61" t="n"/>
      <c r="P465" s="61" t="n"/>
      <c r="Q465" s="61" t="n"/>
      <c r="R465" s="61" t="n"/>
      <c r="S465" s="61" t="n"/>
      <c r="T465" s="61" t="n"/>
      <c r="U465" s="61" t="n"/>
      <c r="V465" s="61" t="n"/>
      <c r="W465" s="61" t="n"/>
      <c r="X465" s="61" t="n"/>
      <c r="Y465" s="61" t="n"/>
      <c r="Z465" s="61" t="n"/>
      <c r="AA465" s="61" t="n"/>
      <c r="AB465" s="61" t="n"/>
      <c r="AC465" s="61" t="n"/>
      <c r="AD465" s="61" t="n"/>
      <c r="AE465" s="61" t="n"/>
      <c r="AF465" s="61" t="n"/>
      <c r="AG465" s="61" t="n"/>
      <c r="AH465" s="61" t="n"/>
      <c r="AI465" s="61" t="n"/>
      <c r="AJ465" s="61" t="n"/>
      <c r="AK465" s="61" t="n"/>
      <c r="AL465" s="61" t="n"/>
      <c r="AM465" s="61" t="n"/>
      <c r="AN465" s="61" t="n"/>
      <c r="AO465" s="61" t="n"/>
      <c r="AP465" s="57" t="n"/>
      <c r="AQ465" s="56" t="n"/>
      <c r="AR465" s="57" t="n"/>
      <c r="AS465" s="61" t="n"/>
      <c r="AT465" s="61" t="n"/>
      <c r="AU465" s="57" t="n"/>
      <c r="AV465" s="61" t="n"/>
      <c r="AW465" s="61" t="n"/>
      <c r="AX465" s="61" t="n"/>
      <c r="AY465" s="61" t="n"/>
      <c r="AZ465" s="61" t="n"/>
      <c r="BA465" s="61" t="n"/>
      <c r="BB465" s="61" t="n"/>
      <c r="BC465" s="61" t="n"/>
      <c r="BD465" s="57" t="n"/>
      <c r="BE465" s="56" t="n"/>
      <c r="BF465" s="56" t="n"/>
      <c r="BG465" s="57" t="n"/>
      <c r="BH465" s="61" t="n"/>
      <c r="BI465" s="61" t="n"/>
      <c r="BJ465" s="61" t="n"/>
      <c r="BK465" s="61" t="n"/>
      <c r="BL465" s="61" t="n"/>
      <c r="BM465" s="61" t="n"/>
      <c r="BN465" s="61" t="n"/>
      <c r="BO465" s="61" t="n"/>
      <c r="BP465" s="61" t="n"/>
      <c r="BQ465" s="61" t="n"/>
      <c r="BR465" s="61" t="n"/>
      <c r="BS465" s="61" t="n"/>
      <c r="BT465" s="61" t="n"/>
    </row>
    <row r="466" ht="15.75" customHeight="1" s="79">
      <c r="A466" s="61" t="n"/>
      <c r="B466" s="61" t="n"/>
      <c r="C466" s="61" t="n"/>
      <c r="D466" s="61" t="n"/>
      <c r="E466" s="61" t="n"/>
      <c r="F466" s="61" t="n"/>
      <c r="G466" s="61" t="n"/>
      <c r="H466" s="61" t="n"/>
      <c r="I466" s="61" t="n"/>
      <c r="J466" s="61" t="n"/>
      <c r="K466" s="61" t="n"/>
      <c r="L466" s="61" t="n"/>
      <c r="M466" s="61" t="n"/>
      <c r="N466" s="61" t="n"/>
      <c r="O466" s="61" t="n"/>
      <c r="P466" s="61" t="n"/>
      <c r="Q466" s="61" t="n"/>
      <c r="R466" s="61" t="n"/>
      <c r="S466" s="61" t="n"/>
      <c r="T466" s="61" t="n"/>
      <c r="U466" s="61" t="n"/>
      <c r="V466" s="61" t="n"/>
      <c r="W466" s="61" t="n"/>
      <c r="X466" s="61" t="n"/>
      <c r="Y466" s="61" t="n"/>
      <c r="Z466" s="61" t="n"/>
      <c r="AA466" s="61" t="n"/>
      <c r="AB466" s="61" t="n"/>
      <c r="AC466" s="61" t="n"/>
      <c r="AD466" s="61" t="n"/>
      <c r="AE466" s="61" t="n"/>
      <c r="AF466" s="61" t="n"/>
      <c r="AG466" s="61" t="n"/>
      <c r="AH466" s="61" t="n"/>
      <c r="AI466" s="61" t="n"/>
      <c r="AJ466" s="61" t="n"/>
      <c r="AK466" s="61" t="n"/>
      <c r="AL466" s="61" t="n"/>
      <c r="AM466" s="61" t="n"/>
      <c r="AN466" s="61" t="n"/>
      <c r="AO466" s="61" t="n"/>
      <c r="AP466" s="57" t="n"/>
      <c r="AQ466" s="56" t="n"/>
      <c r="AR466" s="57" t="n"/>
      <c r="AS466" s="61" t="n"/>
      <c r="AT466" s="61" t="n"/>
      <c r="AU466" s="57" t="n"/>
      <c r="AV466" s="61" t="n"/>
      <c r="AW466" s="61" t="n"/>
      <c r="AX466" s="61" t="n"/>
      <c r="AY466" s="61" t="n"/>
      <c r="AZ466" s="61" t="n"/>
      <c r="BA466" s="61" t="n"/>
      <c r="BB466" s="61" t="n"/>
      <c r="BC466" s="61" t="n"/>
      <c r="BD466" s="57" t="n"/>
      <c r="BE466" s="56" t="n"/>
      <c r="BF466" s="56" t="n"/>
      <c r="BG466" s="57" t="n"/>
      <c r="BH466" s="61" t="n"/>
      <c r="BI466" s="61" t="n"/>
      <c r="BJ466" s="61" t="n"/>
      <c r="BK466" s="61" t="n"/>
      <c r="BL466" s="61" t="n"/>
      <c r="BM466" s="61" t="n"/>
      <c r="BN466" s="61" t="n"/>
      <c r="BO466" s="61" t="n"/>
      <c r="BP466" s="61" t="n"/>
      <c r="BQ466" s="61" t="n"/>
      <c r="BR466" s="61" t="n"/>
      <c r="BS466" s="61" t="n"/>
      <c r="BT466" s="61" t="n"/>
    </row>
    <row r="467" ht="15.75" customHeight="1" s="79">
      <c r="A467" s="61" t="n"/>
      <c r="B467" s="61" t="n"/>
      <c r="C467" s="61" t="n"/>
      <c r="D467" s="61" t="n"/>
      <c r="E467" s="61" t="n"/>
      <c r="F467" s="61" t="n"/>
      <c r="G467" s="61" t="n"/>
      <c r="H467" s="61" t="n"/>
      <c r="I467" s="61" t="n"/>
      <c r="J467" s="61" t="n"/>
      <c r="K467" s="61" t="n"/>
      <c r="L467" s="61" t="n"/>
      <c r="M467" s="61" t="n"/>
      <c r="N467" s="61" t="n"/>
      <c r="O467" s="61" t="n"/>
      <c r="P467" s="61" t="n"/>
      <c r="Q467" s="61" t="n"/>
      <c r="R467" s="61" t="n"/>
      <c r="S467" s="61" t="n"/>
      <c r="T467" s="61" t="n"/>
      <c r="U467" s="61" t="n"/>
      <c r="V467" s="61" t="n"/>
      <c r="W467" s="61" t="n"/>
      <c r="X467" s="61" t="n"/>
      <c r="Y467" s="61" t="n"/>
      <c r="Z467" s="61" t="n"/>
      <c r="AA467" s="61" t="n"/>
      <c r="AB467" s="61" t="n"/>
      <c r="AC467" s="61" t="n"/>
      <c r="AD467" s="61" t="n"/>
      <c r="AE467" s="61" t="n"/>
      <c r="AF467" s="61" t="n"/>
      <c r="AG467" s="61" t="n"/>
      <c r="AH467" s="61" t="n"/>
      <c r="AI467" s="61" t="n"/>
      <c r="AJ467" s="61" t="n"/>
      <c r="AK467" s="61" t="n"/>
      <c r="AL467" s="61" t="n"/>
      <c r="AM467" s="61" t="n"/>
      <c r="AN467" s="61" t="n"/>
      <c r="AO467" s="61" t="n"/>
      <c r="AP467" s="57" t="n"/>
      <c r="AQ467" s="56" t="n"/>
      <c r="AR467" s="57" t="n"/>
      <c r="AS467" s="61" t="n"/>
      <c r="AT467" s="61" t="n"/>
      <c r="AU467" s="57" t="n"/>
      <c r="AV467" s="61" t="n"/>
      <c r="AW467" s="61" t="n"/>
      <c r="AX467" s="61" t="n"/>
      <c r="AY467" s="61" t="n"/>
      <c r="AZ467" s="61" t="n"/>
      <c r="BA467" s="61" t="n"/>
      <c r="BB467" s="61" t="n"/>
      <c r="BC467" s="61" t="n"/>
      <c r="BD467" s="57" t="n"/>
      <c r="BE467" s="56" t="n"/>
      <c r="BF467" s="56" t="n"/>
      <c r="BG467" s="57" t="n"/>
      <c r="BH467" s="61" t="n"/>
      <c r="BI467" s="61" t="n"/>
      <c r="BJ467" s="61" t="n"/>
      <c r="BK467" s="61" t="n"/>
      <c r="BL467" s="61" t="n"/>
      <c r="BM467" s="61" t="n"/>
      <c r="BN467" s="61" t="n"/>
      <c r="BO467" s="61" t="n"/>
      <c r="BP467" s="61" t="n"/>
      <c r="BQ467" s="61" t="n"/>
      <c r="BR467" s="61" t="n"/>
      <c r="BS467" s="61" t="n"/>
      <c r="BT467" s="61" t="n"/>
    </row>
    <row r="468" ht="15.75" customHeight="1" s="79">
      <c r="A468" s="61" t="n"/>
      <c r="B468" s="61" t="n"/>
      <c r="C468" s="61" t="n"/>
      <c r="D468" s="61" t="n"/>
      <c r="E468" s="61" t="n"/>
      <c r="F468" s="61" t="n"/>
      <c r="G468" s="61" t="n"/>
      <c r="H468" s="61" t="n"/>
      <c r="I468" s="61" t="n"/>
      <c r="J468" s="61" t="n"/>
      <c r="K468" s="61" t="n"/>
      <c r="L468" s="61" t="n"/>
      <c r="M468" s="61" t="n"/>
      <c r="N468" s="61" t="n"/>
      <c r="O468" s="61" t="n"/>
      <c r="P468" s="61" t="n"/>
      <c r="Q468" s="61" t="n"/>
      <c r="R468" s="61" t="n"/>
      <c r="S468" s="61" t="n"/>
      <c r="T468" s="61" t="n"/>
      <c r="U468" s="61" t="n"/>
      <c r="V468" s="61" t="n"/>
      <c r="W468" s="61" t="n"/>
      <c r="X468" s="61" t="n"/>
      <c r="Y468" s="61" t="n"/>
      <c r="Z468" s="61" t="n"/>
      <c r="AA468" s="61" t="n"/>
      <c r="AB468" s="61" t="n"/>
      <c r="AC468" s="61" t="n"/>
      <c r="AD468" s="61" t="n"/>
      <c r="AE468" s="61" t="n"/>
      <c r="AF468" s="61" t="n"/>
      <c r="AG468" s="61" t="n"/>
      <c r="AH468" s="61" t="n"/>
      <c r="AI468" s="61" t="n"/>
      <c r="AJ468" s="61" t="n"/>
      <c r="AK468" s="61" t="n"/>
      <c r="AL468" s="61" t="n"/>
      <c r="AM468" s="61" t="n"/>
      <c r="AN468" s="61" t="n"/>
      <c r="AO468" s="61" t="n"/>
      <c r="AP468" s="57" t="n"/>
      <c r="AQ468" s="56" t="n"/>
      <c r="AR468" s="57" t="n"/>
      <c r="AS468" s="61" t="n"/>
      <c r="AT468" s="61" t="n"/>
      <c r="AU468" s="57" t="n"/>
      <c r="AV468" s="61" t="n"/>
      <c r="AW468" s="61" t="n"/>
      <c r="AX468" s="61" t="n"/>
      <c r="AY468" s="61" t="n"/>
      <c r="AZ468" s="61" t="n"/>
      <c r="BA468" s="61" t="n"/>
      <c r="BB468" s="61" t="n"/>
      <c r="BC468" s="61" t="n"/>
      <c r="BD468" s="57" t="n"/>
      <c r="BE468" s="56" t="n"/>
      <c r="BF468" s="56" t="n"/>
      <c r="BG468" s="57" t="n"/>
      <c r="BH468" s="61" t="n"/>
      <c r="BI468" s="61" t="n"/>
      <c r="BJ468" s="61" t="n"/>
      <c r="BK468" s="61" t="n"/>
      <c r="BL468" s="61" t="n"/>
      <c r="BM468" s="61" t="n"/>
      <c r="BN468" s="61" t="n"/>
      <c r="BO468" s="61" t="n"/>
      <c r="BP468" s="61" t="n"/>
      <c r="BQ468" s="61" t="n"/>
      <c r="BR468" s="61" t="n"/>
      <c r="BS468" s="61" t="n"/>
      <c r="BT468" s="61" t="n"/>
    </row>
    <row r="469" ht="15.75" customHeight="1" s="79">
      <c r="A469" s="61" t="n"/>
      <c r="B469" s="61" t="n"/>
      <c r="C469" s="61" t="n"/>
      <c r="D469" s="61" t="n"/>
      <c r="E469" s="61" t="n"/>
      <c r="F469" s="61" t="n"/>
      <c r="G469" s="61" t="n"/>
      <c r="H469" s="61" t="n"/>
      <c r="I469" s="61" t="n"/>
      <c r="J469" s="61" t="n"/>
      <c r="K469" s="61" t="n"/>
      <c r="L469" s="61" t="n"/>
      <c r="M469" s="61" t="n"/>
      <c r="N469" s="61" t="n"/>
      <c r="O469" s="61" t="n"/>
      <c r="P469" s="61" t="n"/>
      <c r="Q469" s="61" t="n"/>
      <c r="R469" s="61" t="n"/>
      <c r="S469" s="61" t="n"/>
      <c r="T469" s="61" t="n"/>
      <c r="U469" s="61" t="n"/>
      <c r="V469" s="61" t="n"/>
      <c r="W469" s="61" t="n"/>
      <c r="X469" s="61" t="n"/>
      <c r="Y469" s="61" t="n"/>
      <c r="Z469" s="61" t="n"/>
      <c r="AA469" s="61" t="n"/>
      <c r="AB469" s="61" t="n"/>
      <c r="AC469" s="61" t="n"/>
      <c r="AD469" s="61" t="n"/>
      <c r="AE469" s="61" t="n"/>
      <c r="AF469" s="61" t="n"/>
      <c r="AG469" s="61" t="n"/>
      <c r="AH469" s="61" t="n"/>
      <c r="AI469" s="61" t="n"/>
      <c r="AJ469" s="61" t="n"/>
      <c r="AK469" s="61" t="n"/>
      <c r="AL469" s="61" t="n"/>
      <c r="AM469" s="61" t="n"/>
      <c r="AN469" s="61" t="n"/>
      <c r="AO469" s="61" t="n"/>
      <c r="AP469" s="57" t="n"/>
      <c r="AQ469" s="56" t="n"/>
      <c r="AR469" s="57" t="n"/>
      <c r="AS469" s="61" t="n"/>
      <c r="AT469" s="61" t="n"/>
      <c r="AU469" s="57" t="n"/>
      <c r="AV469" s="61" t="n"/>
      <c r="AW469" s="61" t="n"/>
      <c r="AX469" s="61" t="n"/>
      <c r="AY469" s="61" t="n"/>
      <c r="AZ469" s="61" t="n"/>
      <c r="BA469" s="61" t="n"/>
      <c r="BB469" s="61" t="n"/>
      <c r="BC469" s="61" t="n"/>
      <c r="BD469" s="57" t="n"/>
      <c r="BE469" s="56" t="n"/>
      <c r="BF469" s="56" t="n"/>
      <c r="BG469" s="57" t="n"/>
      <c r="BH469" s="61" t="n"/>
      <c r="BI469" s="61" t="n"/>
      <c r="BJ469" s="61" t="n"/>
      <c r="BK469" s="61" t="n"/>
      <c r="BL469" s="61" t="n"/>
      <c r="BM469" s="61" t="n"/>
      <c r="BN469" s="61" t="n"/>
      <c r="BO469" s="61" t="n"/>
      <c r="BP469" s="61" t="n"/>
      <c r="BQ469" s="61" t="n"/>
      <c r="BR469" s="61" t="n"/>
      <c r="BS469" s="61" t="n"/>
      <c r="BT469" s="61" t="n"/>
    </row>
    <row r="470" ht="15.75" customHeight="1" s="79">
      <c r="A470" s="61" t="n"/>
      <c r="B470" s="61" t="n"/>
      <c r="C470" s="61" t="n"/>
      <c r="D470" s="61" t="n"/>
      <c r="E470" s="61" t="n"/>
      <c r="F470" s="61" t="n"/>
      <c r="G470" s="61" t="n"/>
      <c r="H470" s="61" t="n"/>
      <c r="I470" s="61" t="n"/>
      <c r="J470" s="61" t="n"/>
      <c r="K470" s="61" t="n"/>
      <c r="L470" s="61" t="n"/>
      <c r="M470" s="61" t="n"/>
      <c r="N470" s="61" t="n"/>
      <c r="O470" s="61" t="n"/>
      <c r="P470" s="61" t="n"/>
      <c r="Q470" s="61" t="n"/>
      <c r="R470" s="61" t="n"/>
      <c r="S470" s="61" t="n"/>
      <c r="T470" s="61" t="n"/>
      <c r="U470" s="61" t="n"/>
      <c r="V470" s="61" t="n"/>
      <c r="W470" s="61" t="n"/>
      <c r="X470" s="61" t="n"/>
      <c r="Y470" s="61" t="n"/>
      <c r="Z470" s="61" t="n"/>
      <c r="AA470" s="61" t="n"/>
      <c r="AB470" s="61" t="n"/>
      <c r="AC470" s="61" t="n"/>
      <c r="AD470" s="61" t="n"/>
      <c r="AE470" s="61" t="n"/>
      <c r="AF470" s="61" t="n"/>
      <c r="AG470" s="61" t="n"/>
      <c r="AH470" s="61" t="n"/>
      <c r="AI470" s="61" t="n"/>
      <c r="AJ470" s="61" t="n"/>
      <c r="AK470" s="61" t="n"/>
      <c r="AL470" s="61" t="n"/>
      <c r="AM470" s="61" t="n"/>
      <c r="AN470" s="61" t="n"/>
      <c r="AO470" s="61" t="n"/>
      <c r="AP470" s="57" t="n"/>
      <c r="AQ470" s="56" t="n"/>
      <c r="AR470" s="57" t="n"/>
      <c r="AS470" s="61" t="n"/>
      <c r="AT470" s="61" t="n"/>
      <c r="AU470" s="57" t="n"/>
      <c r="AV470" s="61" t="n"/>
      <c r="AW470" s="61" t="n"/>
      <c r="AX470" s="61" t="n"/>
      <c r="AY470" s="61" t="n"/>
      <c r="AZ470" s="61" t="n"/>
      <c r="BA470" s="61" t="n"/>
      <c r="BB470" s="61" t="n"/>
      <c r="BC470" s="61" t="n"/>
      <c r="BD470" s="57" t="n"/>
      <c r="BE470" s="56" t="n"/>
      <c r="BF470" s="56" t="n"/>
      <c r="BG470" s="57" t="n"/>
      <c r="BH470" s="61" t="n"/>
      <c r="BI470" s="61" t="n"/>
      <c r="BJ470" s="61" t="n"/>
      <c r="BK470" s="61" t="n"/>
      <c r="BL470" s="61" t="n"/>
      <c r="BM470" s="61" t="n"/>
      <c r="BN470" s="61" t="n"/>
      <c r="BO470" s="61" t="n"/>
      <c r="BP470" s="61" t="n"/>
      <c r="BQ470" s="61" t="n"/>
      <c r="BR470" s="61" t="n"/>
      <c r="BS470" s="61" t="n"/>
      <c r="BT470" s="61" t="n"/>
    </row>
    <row r="471" ht="15.75" customHeight="1" s="79">
      <c r="A471" s="61" t="n"/>
      <c r="B471" s="61" t="n"/>
      <c r="C471" s="61" t="n"/>
      <c r="D471" s="61" t="n"/>
      <c r="E471" s="61" t="n"/>
      <c r="F471" s="61" t="n"/>
      <c r="G471" s="61" t="n"/>
      <c r="H471" s="61" t="n"/>
      <c r="I471" s="61" t="n"/>
      <c r="J471" s="61" t="n"/>
      <c r="K471" s="61" t="n"/>
      <c r="L471" s="61" t="n"/>
      <c r="M471" s="61" t="n"/>
      <c r="N471" s="61" t="n"/>
      <c r="O471" s="61" t="n"/>
      <c r="P471" s="61" t="n"/>
      <c r="Q471" s="61" t="n"/>
      <c r="R471" s="61" t="n"/>
      <c r="S471" s="61" t="n"/>
      <c r="T471" s="61" t="n"/>
      <c r="U471" s="61" t="n"/>
      <c r="V471" s="61" t="n"/>
      <c r="W471" s="61" t="n"/>
      <c r="X471" s="61" t="n"/>
      <c r="Y471" s="61" t="n"/>
      <c r="Z471" s="61" t="n"/>
      <c r="AA471" s="61" t="n"/>
      <c r="AB471" s="61" t="n"/>
      <c r="AC471" s="61" t="n"/>
      <c r="AD471" s="61" t="n"/>
      <c r="AE471" s="61" t="n"/>
      <c r="AF471" s="61" t="n"/>
      <c r="AG471" s="61" t="n"/>
      <c r="AH471" s="61" t="n"/>
      <c r="AI471" s="61" t="n"/>
      <c r="AJ471" s="61" t="n"/>
      <c r="AK471" s="61" t="n"/>
      <c r="AL471" s="61" t="n"/>
      <c r="AM471" s="61" t="n"/>
      <c r="AN471" s="61" t="n"/>
      <c r="AO471" s="61" t="n"/>
      <c r="AP471" s="57" t="n"/>
      <c r="AQ471" s="56" t="n"/>
      <c r="AR471" s="57" t="n"/>
      <c r="AS471" s="61" t="n"/>
      <c r="AT471" s="61" t="n"/>
      <c r="AU471" s="57" t="n"/>
      <c r="AV471" s="61" t="n"/>
      <c r="AW471" s="61" t="n"/>
      <c r="AX471" s="61" t="n"/>
      <c r="AY471" s="61" t="n"/>
      <c r="AZ471" s="61" t="n"/>
      <c r="BA471" s="61" t="n"/>
      <c r="BB471" s="61" t="n"/>
      <c r="BC471" s="61" t="n"/>
      <c r="BD471" s="57" t="n"/>
      <c r="BE471" s="56" t="n"/>
      <c r="BF471" s="56" t="n"/>
      <c r="BG471" s="57" t="n"/>
      <c r="BH471" s="61" t="n"/>
      <c r="BI471" s="61" t="n"/>
      <c r="BJ471" s="61" t="n"/>
      <c r="BK471" s="61" t="n"/>
      <c r="BL471" s="61" t="n"/>
      <c r="BM471" s="61" t="n"/>
      <c r="BN471" s="61" t="n"/>
      <c r="BO471" s="61" t="n"/>
      <c r="BP471" s="61" t="n"/>
      <c r="BQ471" s="61" t="n"/>
      <c r="BR471" s="61" t="n"/>
      <c r="BS471" s="61" t="n"/>
      <c r="BT471" s="61" t="n"/>
    </row>
    <row r="472" ht="15.75" customHeight="1" s="79">
      <c r="A472" s="61" t="n"/>
      <c r="B472" s="61" t="n"/>
      <c r="C472" s="61" t="n"/>
      <c r="D472" s="61" t="n"/>
      <c r="E472" s="61" t="n"/>
      <c r="F472" s="61" t="n"/>
      <c r="G472" s="61" t="n"/>
      <c r="H472" s="61" t="n"/>
      <c r="I472" s="61" t="n"/>
      <c r="J472" s="61" t="n"/>
      <c r="K472" s="61" t="n"/>
      <c r="L472" s="61" t="n"/>
      <c r="M472" s="61" t="n"/>
      <c r="N472" s="61" t="n"/>
      <c r="O472" s="61" t="n"/>
      <c r="P472" s="61" t="n"/>
      <c r="Q472" s="61" t="n"/>
      <c r="R472" s="61" t="n"/>
      <c r="S472" s="61" t="n"/>
      <c r="T472" s="61" t="n"/>
      <c r="U472" s="61" t="n"/>
      <c r="V472" s="61" t="n"/>
      <c r="W472" s="61" t="n"/>
      <c r="X472" s="61" t="n"/>
      <c r="Y472" s="61" t="n"/>
      <c r="Z472" s="61" t="n"/>
      <c r="AA472" s="61" t="n"/>
      <c r="AB472" s="61" t="n"/>
      <c r="AC472" s="61" t="n"/>
      <c r="AD472" s="61" t="n"/>
      <c r="AE472" s="61" t="n"/>
      <c r="AF472" s="61" t="n"/>
      <c r="AG472" s="61" t="n"/>
      <c r="AH472" s="61" t="n"/>
      <c r="AI472" s="61" t="n"/>
      <c r="AJ472" s="61" t="n"/>
      <c r="AK472" s="61" t="n"/>
      <c r="AL472" s="61" t="n"/>
      <c r="AM472" s="61" t="n"/>
      <c r="AN472" s="61" t="n"/>
      <c r="AO472" s="61" t="n"/>
      <c r="AP472" s="57" t="n"/>
      <c r="AQ472" s="56" t="n"/>
      <c r="AR472" s="57" t="n"/>
      <c r="AS472" s="61" t="n"/>
      <c r="AT472" s="61" t="n"/>
      <c r="AU472" s="57" t="n"/>
      <c r="AV472" s="61" t="n"/>
      <c r="AW472" s="61" t="n"/>
      <c r="AX472" s="61" t="n"/>
      <c r="AY472" s="61" t="n"/>
      <c r="AZ472" s="61" t="n"/>
      <c r="BA472" s="61" t="n"/>
      <c r="BB472" s="61" t="n"/>
      <c r="BC472" s="61" t="n"/>
      <c r="BD472" s="57" t="n"/>
      <c r="BE472" s="56" t="n"/>
      <c r="BF472" s="56" t="n"/>
      <c r="BG472" s="57" t="n"/>
      <c r="BH472" s="61" t="n"/>
      <c r="BI472" s="61" t="n"/>
      <c r="BJ472" s="61" t="n"/>
      <c r="BK472" s="61" t="n"/>
      <c r="BL472" s="61" t="n"/>
      <c r="BM472" s="61" t="n"/>
      <c r="BN472" s="61" t="n"/>
      <c r="BO472" s="61" t="n"/>
      <c r="BP472" s="61" t="n"/>
      <c r="BQ472" s="61" t="n"/>
      <c r="BR472" s="61" t="n"/>
      <c r="BS472" s="61" t="n"/>
      <c r="BT472" s="61" t="n"/>
    </row>
    <row r="473" ht="15.75" customHeight="1" s="79">
      <c r="A473" s="61" t="n"/>
      <c r="B473" s="61" t="n"/>
      <c r="C473" s="61" t="n"/>
      <c r="D473" s="61" t="n"/>
      <c r="E473" s="61" t="n"/>
      <c r="F473" s="61" t="n"/>
      <c r="G473" s="61" t="n"/>
      <c r="H473" s="61" t="n"/>
      <c r="I473" s="61" t="n"/>
      <c r="J473" s="61" t="n"/>
      <c r="K473" s="61" t="n"/>
      <c r="L473" s="61" t="n"/>
      <c r="M473" s="61" t="n"/>
      <c r="N473" s="61" t="n"/>
      <c r="O473" s="61" t="n"/>
      <c r="P473" s="61" t="n"/>
      <c r="Q473" s="61" t="n"/>
      <c r="R473" s="61" t="n"/>
      <c r="S473" s="61" t="n"/>
      <c r="T473" s="61" t="n"/>
      <c r="U473" s="61" t="n"/>
      <c r="V473" s="61" t="n"/>
      <c r="W473" s="61" t="n"/>
      <c r="X473" s="61" t="n"/>
      <c r="Y473" s="61" t="n"/>
      <c r="Z473" s="61" t="n"/>
      <c r="AA473" s="61" t="n"/>
      <c r="AB473" s="61" t="n"/>
      <c r="AC473" s="61" t="n"/>
      <c r="AD473" s="61" t="n"/>
      <c r="AE473" s="61" t="n"/>
      <c r="AF473" s="61" t="n"/>
      <c r="AG473" s="61" t="n"/>
      <c r="AH473" s="61" t="n"/>
      <c r="AI473" s="61" t="n"/>
      <c r="AJ473" s="61" t="n"/>
      <c r="AK473" s="61" t="n"/>
      <c r="AL473" s="61" t="n"/>
      <c r="AM473" s="61" t="n"/>
      <c r="AN473" s="61" t="n"/>
      <c r="AO473" s="61" t="n"/>
      <c r="AP473" s="57" t="n"/>
      <c r="AQ473" s="56" t="n"/>
      <c r="AR473" s="57" t="n"/>
      <c r="AS473" s="61" t="n"/>
      <c r="AT473" s="61" t="n"/>
      <c r="AU473" s="57" t="n"/>
      <c r="AV473" s="61" t="n"/>
      <c r="AW473" s="61" t="n"/>
      <c r="AX473" s="61" t="n"/>
      <c r="AY473" s="61" t="n"/>
      <c r="AZ473" s="61" t="n"/>
      <c r="BA473" s="61" t="n"/>
      <c r="BB473" s="61" t="n"/>
      <c r="BC473" s="61" t="n"/>
      <c r="BD473" s="57" t="n"/>
      <c r="BE473" s="56" t="n"/>
      <c r="BF473" s="56" t="n"/>
      <c r="BG473" s="57" t="n"/>
      <c r="BH473" s="61" t="n"/>
      <c r="BI473" s="61" t="n"/>
      <c r="BJ473" s="61" t="n"/>
      <c r="BK473" s="61" t="n"/>
      <c r="BL473" s="61" t="n"/>
      <c r="BM473" s="61" t="n"/>
      <c r="BN473" s="61" t="n"/>
      <c r="BO473" s="61" t="n"/>
      <c r="BP473" s="61" t="n"/>
      <c r="BQ473" s="61" t="n"/>
      <c r="BR473" s="61" t="n"/>
      <c r="BS473" s="61" t="n"/>
      <c r="BT473" s="61" t="n"/>
    </row>
    <row r="474" ht="15.75" customHeight="1" s="79">
      <c r="A474" s="61" t="n"/>
      <c r="B474" s="61" t="n"/>
      <c r="C474" s="61" t="n"/>
      <c r="D474" s="61" t="n"/>
      <c r="E474" s="61" t="n"/>
      <c r="F474" s="61" t="n"/>
      <c r="G474" s="61" t="n"/>
      <c r="H474" s="61" t="n"/>
      <c r="I474" s="61" t="n"/>
      <c r="J474" s="61" t="n"/>
      <c r="K474" s="61" t="n"/>
      <c r="L474" s="61" t="n"/>
      <c r="M474" s="61" t="n"/>
      <c r="N474" s="61" t="n"/>
      <c r="O474" s="61" t="n"/>
      <c r="P474" s="61" t="n"/>
      <c r="Q474" s="61" t="n"/>
      <c r="R474" s="61" t="n"/>
      <c r="S474" s="61" t="n"/>
      <c r="T474" s="61" t="n"/>
      <c r="U474" s="61" t="n"/>
      <c r="V474" s="61" t="n"/>
      <c r="W474" s="61" t="n"/>
      <c r="X474" s="61" t="n"/>
      <c r="Y474" s="61" t="n"/>
      <c r="Z474" s="61" t="n"/>
      <c r="AA474" s="61" t="n"/>
      <c r="AB474" s="61" t="n"/>
      <c r="AC474" s="61" t="n"/>
      <c r="AD474" s="61" t="n"/>
      <c r="AE474" s="61" t="n"/>
      <c r="AF474" s="61" t="n"/>
      <c r="AG474" s="61" t="n"/>
      <c r="AH474" s="61" t="n"/>
      <c r="AI474" s="61" t="n"/>
      <c r="AJ474" s="61" t="n"/>
      <c r="AK474" s="61" t="n"/>
      <c r="AL474" s="61" t="n"/>
      <c r="AM474" s="61" t="n"/>
      <c r="AN474" s="61" t="n"/>
      <c r="AO474" s="61" t="n"/>
      <c r="AP474" s="57" t="n"/>
      <c r="AQ474" s="56" t="n"/>
      <c r="AR474" s="57" t="n"/>
      <c r="AS474" s="61" t="n"/>
      <c r="AT474" s="61" t="n"/>
      <c r="AU474" s="57" t="n"/>
      <c r="AV474" s="61" t="n"/>
      <c r="AW474" s="61" t="n"/>
      <c r="AX474" s="61" t="n"/>
      <c r="AY474" s="61" t="n"/>
      <c r="AZ474" s="61" t="n"/>
      <c r="BA474" s="61" t="n"/>
      <c r="BB474" s="61" t="n"/>
      <c r="BC474" s="61" t="n"/>
      <c r="BD474" s="57" t="n"/>
      <c r="BE474" s="56" t="n"/>
      <c r="BF474" s="56" t="n"/>
      <c r="BG474" s="57" t="n"/>
      <c r="BH474" s="61" t="n"/>
      <c r="BI474" s="61" t="n"/>
      <c r="BJ474" s="61" t="n"/>
      <c r="BK474" s="61" t="n"/>
      <c r="BL474" s="61" t="n"/>
      <c r="BM474" s="61" t="n"/>
      <c r="BN474" s="61" t="n"/>
      <c r="BO474" s="61" t="n"/>
      <c r="BP474" s="61" t="n"/>
      <c r="BQ474" s="61" t="n"/>
      <c r="BR474" s="61" t="n"/>
      <c r="BS474" s="61" t="n"/>
      <c r="BT474" s="61" t="n"/>
    </row>
    <row r="475" ht="15.75" customHeight="1" s="79">
      <c r="A475" s="61" t="n"/>
      <c r="B475" s="61" t="n"/>
      <c r="C475" s="61" t="n"/>
      <c r="D475" s="61" t="n"/>
      <c r="E475" s="61" t="n"/>
      <c r="F475" s="61" t="n"/>
      <c r="G475" s="61" t="n"/>
      <c r="H475" s="61" t="n"/>
      <c r="I475" s="61" t="n"/>
      <c r="J475" s="61" t="n"/>
      <c r="K475" s="61" t="n"/>
      <c r="L475" s="61" t="n"/>
      <c r="M475" s="61" t="n"/>
      <c r="N475" s="61" t="n"/>
      <c r="O475" s="61" t="n"/>
      <c r="P475" s="61" t="n"/>
      <c r="Q475" s="61" t="n"/>
      <c r="R475" s="61" t="n"/>
      <c r="S475" s="61" t="n"/>
      <c r="T475" s="61" t="n"/>
      <c r="U475" s="61" t="n"/>
      <c r="V475" s="61" t="n"/>
      <c r="W475" s="61" t="n"/>
      <c r="X475" s="61" t="n"/>
      <c r="Y475" s="61" t="n"/>
      <c r="Z475" s="61" t="n"/>
      <c r="AA475" s="61" t="n"/>
      <c r="AB475" s="61" t="n"/>
      <c r="AC475" s="61" t="n"/>
      <c r="AD475" s="61" t="n"/>
      <c r="AE475" s="61" t="n"/>
      <c r="AF475" s="61" t="n"/>
      <c r="AG475" s="61" t="n"/>
      <c r="AH475" s="61" t="n"/>
      <c r="AI475" s="61" t="n"/>
      <c r="AJ475" s="61" t="n"/>
      <c r="AK475" s="61" t="n"/>
      <c r="AL475" s="61" t="n"/>
      <c r="AM475" s="61" t="n"/>
      <c r="AN475" s="61" t="n"/>
      <c r="AO475" s="61" t="n"/>
      <c r="AP475" s="57" t="n"/>
      <c r="AQ475" s="56" t="n"/>
      <c r="AR475" s="57" t="n"/>
      <c r="AS475" s="61" t="n"/>
      <c r="AT475" s="61" t="n"/>
      <c r="AU475" s="57" t="n"/>
      <c r="AV475" s="61" t="n"/>
      <c r="AW475" s="61" t="n"/>
      <c r="AX475" s="61" t="n"/>
      <c r="AY475" s="61" t="n"/>
      <c r="AZ475" s="61" t="n"/>
      <c r="BA475" s="61" t="n"/>
      <c r="BB475" s="61" t="n"/>
      <c r="BC475" s="61" t="n"/>
      <c r="BD475" s="57" t="n"/>
      <c r="BE475" s="56" t="n"/>
      <c r="BF475" s="56" t="n"/>
      <c r="BG475" s="57" t="n"/>
      <c r="BH475" s="61" t="n"/>
      <c r="BI475" s="61" t="n"/>
      <c r="BJ475" s="61" t="n"/>
      <c r="BK475" s="61" t="n"/>
      <c r="BL475" s="61" t="n"/>
      <c r="BM475" s="61" t="n"/>
      <c r="BN475" s="61" t="n"/>
      <c r="BO475" s="61" t="n"/>
      <c r="BP475" s="61" t="n"/>
      <c r="BQ475" s="61" t="n"/>
      <c r="BR475" s="61" t="n"/>
      <c r="BS475" s="61" t="n"/>
      <c r="BT475" s="61" t="n"/>
    </row>
    <row r="476" ht="15.75" customHeight="1" s="79">
      <c r="A476" s="61" t="n"/>
      <c r="B476" s="61" t="n"/>
      <c r="C476" s="61" t="n"/>
      <c r="D476" s="61" t="n"/>
      <c r="E476" s="61" t="n"/>
      <c r="F476" s="61" t="n"/>
      <c r="G476" s="61" t="n"/>
      <c r="H476" s="61" t="n"/>
      <c r="I476" s="61" t="n"/>
      <c r="J476" s="61" t="n"/>
      <c r="K476" s="61" t="n"/>
      <c r="L476" s="61" t="n"/>
      <c r="M476" s="61" t="n"/>
      <c r="N476" s="61" t="n"/>
      <c r="O476" s="61" t="n"/>
      <c r="P476" s="61" t="n"/>
      <c r="Q476" s="61" t="n"/>
      <c r="R476" s="61" t="n"/>
      <c r="S476" s="61" t="n"/>
      <c r="T476" s="61" t="n"/>
      <c r="U476" s="61" t="n"/>
      <c r="V476" s="61" t="n"/>
      <c r="W476" s="61" t="n"/>
      <c r="X476" s="61" t="n"/>
      <c r="Y476" s="61" t="n"/>
      <c r="Z476" s="61" t="n"/>
      <c r="AA476" s="61" t="n"/>
      <c r="AB476" s="61" t="n"/>
      <c r="AC476" s="61" t="n"/>
      <c r="AD476" s="61" t="n"/>
      <c r="AE476" s="61" t="n"/>
      <c r="AF476" s="61" t="n"/>
      <c r="AG476" s="61" t="n"/>
      <c r="AH476" s="61" t="n"/>
      <c r="AI476" s="61" t="n"/>
      <c r="AJ476" s="61" t="n"/>
      <c r="AK476" s="61" t="n"/>
      <c r="AL476" s="61" t="n"/>
      <c r="AM476" s="61" t="n"/>
      <c r="AN476" s="61" t="n"/>
      <c r="AO476" s="61" t="n"/>
      <c r="AP476" s="57" t="n"/>
      <c r="AQ476" s="56" t="n"/>
      <c r="AR476" s="57" t="n"/>
      <c r="AS476" s="61" t="n"/>
      <c r="AT476" s="61" t="n"/>
      <c r="AU476" s="57" t="n"/>
      <c r="AV476" s="61" t="n"/>
      <c r="AW476" s="61" t="n"/>
      <c r="AX476" s="61" t="n"/>
      <c r="AY476" s="61" t="n"/>
      <c r="AZ476" s="61" t="n"/>
      <c r="BA476" s="61" t="n"/>
      <c r="BB476" s="61" t="n"/>
      <c r="BC476" s="61" t="n"/>
      <c r="BD476" s="57" t="n"/>
      <c r="BE476" s="56" t="n"/>
      <c r="BF476" s="56" t="n"/>
      <c r="BG476" s="57" t="n"/>
      <c r="BH476" s="61" t="n"/>
      <c r="BI476" s="61" t="n"/>
      <c r="BJ476" s="61" t="n"/>
      <c r="BK476" s="61" t="n"/>
      <c r="BL476" s="61" t="n"/>
      <c r="BM476" s="61" t="n"/>
      <c r="BN476" s="61" t="n"/>
      <c r="BO476" s="61" t="n"/>
      <c r="BP476" s="61" t="n"/>
      <c r="BQ476" s="61" t="n"/>
      <c r="BR476" s="61" t="n"/>
      <c r="BS476" s="61" t="n"/>
      <c r="BT476" s="61" t="n"/>
    </row>
    <row r="477" ht="15.75" customHeight="1" s="79">
      <c r="A477" s="61" t="n"/>
      <c r="B477" s="61" t="n"/>
      <c r="C477" s="61" t="n"/>
      <c r="D477" s="61" t="n"/>
      <c r="E477" s="61" t="n"/>
      <c r="F477" s="61" t="n"/>
      <c r="G477" s="61" t="n"/>
      <c r="H477" s="61" t="n"/>
      <c r="I477" s="61" t="n"/>
      <c r="J477" s="61" t="n"/>
      <c r="K477" s="61" t="n"/>
      <c r="L477" s="61" t="n"/>
      <c r="M477" s="61" t="n"/>
      <c r="N477" s="61" t="n"/>
      <c r="O477" s="61" t="n"/>
      <c r="P477" s="61" t="n"/>
      <c r="Q477" s="61" t="n"/>
      <c r="R477" s="61" t="n"/>
      <c r="S477" s="61" t="n"/>
      <c r="T477" s="61" t="n"/>
      <c r="U477" s="61" t="n"/>
      <c r="V477" s="61" t="n"/>
      <c r="W477" s="61" t="n"/>
      <c r="X477" s="61" t="n"/>
      <c r="Y477" s="61" t="n"/>
      <c r="Z477" s="61" t="n"/>
      <c r="AA477" s="61" t="n"/>
      <c r="AB477" s="61" t="n"/>
      <c r="AC477" s="61" t="n"/>
      <c r="AD477" s="61" t="n"/>
      <c r="AE477" s="61" t="n"/>
      <c r="AF477" s="61" t="n"/>
      <c r="AG477" s="61" t="n"/>
      <c r="AH477" s="61" t="n"/>
      <c r="AI477" s="61" t="n"/>
      <c r="AJ477" s="61" t="n"/>
      <c r="AK477" s="61" t="n"/>
      <c r="AL477" s="61" t="n"/>
      <c r="AM477" s="61" t="n"/>
      <c r="AN477" s="61" t="n"/>
      <c r="AO477" s="61" t="n"/>
      <c r="AP477" s="57" t="n"/>
      <c r="AQ477" s="56" t="n"/>
      <c r="AR477" s="57" t="n"/>
      <c r="AS477" s="61" t="n"/>
      <c r="AT477" s="61" t="n"/>
      <c r="AU477" s="57" t="n"/>
      <c r="AV477" s="61" t="n"/>
      <c r="AW477" s="61" t="n"/>
      <c r="AX477" s="61" t="n"/>
      <c r="AY477" s="61" t="n"/>
      <c r="AZ477" s="61" t="n"/>
      <c r="BA477" s="61" t="n"/>
      <c r="BB477" s="61" t="n"/>
      <c r="BC477" s="61" t="n"/>
      <c r="BD477" s="57" t="n"/>
      <c r="BE477" s="56" t="n"/>
      <c r="BF477" s="56" t="n"/>
      <c r="BG477" s="57" t="n"/>
      <c r="BH477" s="61" t="n"/>
      <c r="BI477" s="61" t="n"/>
      <c r="BJ477" s="61" t="n"/>
      <c r="BK477" s="61" t="n"/>
      <c r="BL477" s="61" t="n"/>
      <c r="BM477" s="61" t="n"/>
      <c r="BN477" s="61" t="n"/>
      <c r="BO477" s="61" t="n"/>
      <c r="BP477" s="61" t="n"/>
      <c r="BQ477" s="61" t="n"/>
      <c r="BR477" s="61" t="n"/>
      <c r="BS477" s="61" t="n"/>
      <c r="BT477" s="61" t="n"/>
    </row>
    <row r="478" ht="15.75" customHeight="1" s="79">
      <c r="A478" s="61" t="n"/>
      <c r="B478" s="61" t="n"/>
      <c r="C478" s="61" t="n"/>
      <c r="D478" s="61" t="n"/>
      <c r="E478" s="61" t="n"/>
      <c r="F478" s="61" t="n"/>
      <c r="G478" s="61" t="n"/>
      <c r="H478" s="61" t="n"/>
      <c r="I478" s="61" t="n"/>
      <c r="J478" s="61" t="n"/>
      <c r="K478" s="61" t="n"/>
      <c r="L478" s="61" t="n"/>
      <c r="M478" s="61" t="n"/>
      <c r="N478" s="61" t="n"/>
      <c r="O478" s="61" t="n"/>
      <c r="P478" s="61" t="n"/>
      <c r="Q478" s="61" t="n"/>
      <c r="R478" s="61" t="n"/>
      <c r="S478" s="61" t="n"/>
      <c r="T478" s="61" t="n"/>
      <c r="U478" s="61" t="n"/>
      <c r="V478" s="61" t="n"/>
      <c r="W478" s="61" t="n"/>
      <c r="X478" s="61" t="n"/>
      <c r="Y478" s="61" t="n"/>
      <c r="Z478" s="61" t="n"/>
      <c r="AA478" s="61" t="n"/>
      <c r="AB478" s="61" t="n"/>
      <c r="AC478" s="61" t="n"/>
      <c r="AD478" s="61" t="n"/>
      <c r="AE478" s="61" t="n"/>
      <c r="AF478" s="61" t="n"/>
      <c r="AG478" s="61" t="n"/>
      <c r="AH478" s="61" t="n"/>
      <c r="AI478" s="61" t="n"/>
      <c r="AJ478" s="61" t="n"/>
      <c r="AK478" s="61" t="n"/>
      <c r="AL478" s="61" t="n"/>
      <c r="AM478" s="61" t="n"/>
      <c r="AN478" s="61" t="n"/>
      <c r="AO478" s="61" t="n"/>
      <c r="AP478" s="57" t="n"/>
      <c r="AQ478" s="56" t="n"/>
      <c r="AR478" s="57" t="n"/>
      <c r="AS478" s="61" t="n"/>
      <c r="AT478" s="61" t="n"/>
      <c r="AU478" s="57" t="n"/>
      <c r="AV478" s="61" t="n"/>
      <c r="AW478" s="61" t="n"/>
      <c r="AX478" s="61" t="n"/>
      <c r="AY478" s="61" t="n"/>
      <c r="AZ478" s="61" t="n"/>
      <c r="BA478" s="61" t="n"/>
      <c r="BB478" s="61" t="n"/>
      <c r="BC478" s="61" t="n"/>
      <c r="BD478" s="57" t="n"/>
      <c r="BE478" s="56" t="n"/>
      <c r="BF478" s="56" t="n"/>
      <c r="BG478" s="57" t="n"/>
      <c r="BH478" s="61" t="n"/>
      <c r="BI478" s="61" t="n"/>
      <c r="BJ478" s="61" t="n"/>
      <c r="BK478" s="61" t="n"/>
      <c r="BL478" s="61" t="n"/>
      <c r="BM478" s="61" t="n"/>
      <c r="BN478" s="61" t="n"/>
      <c r="BO478" s="61" t="n"/>
      <c r="BP478" s="61" t="n"/>
      <c r="BQ478" s="61" t="n"/>
      <c r="BR478" s="61" t="n"/>
      <c r="BS478" s="61" t="n"/>
      <c r="BT478" s="61" t="n"/>
    </row>
    <row r="479" ht="15.75" customHeight="1" s="79">
      <c r="A479" s="61" t="n"/>
      <c r="B479" s="61" t="n"/>
      <c r="C479" s="61" t="n"/>
      <c r="D479" s="61" t="n"/>
      <c r="E479" s="61" t="n"/>
      <c r="F479" s="61" t="n"/>
      <c r="G479" s="61" t="n"/>
      <c r="H479" s="61" t="n"/>
      <c r="I479" s="61" t="n"/>
      <c r="J479" s="61" t="n"/>
      <c r="K479" s="61" t="n"/>
      <c r="L479" s="61" t="n"/>
      <c r="M479" s="61" t="n"/>
      <c r="N479" s="61" t="n"/>
      <c r="O479" s="61" t="n"/>
      <c r="P479" s="61" t="n"/>
      <c r="Q479" s="61" t="n"/>
      <c r="R479" s="61" t="n"/>
      <c r="S479" s="61" t="n"/>
      <c r="T479" s="61" t="n"/>
      <c r="U479" s="61" t="n"/>
      <c r="V479" s="61" t="n"/>
      <c r="W479" s="61" t="n"/>
      <c r="X479" s="61" t="n"/>
      <c r="Y479" s="61" t="n"/>
      <c r="Z479" s="61" t="n"/>
      <c r="AA479" s="61" t="n"/>
      <c r="AB479" s="61" t="n"/>
      <c r="AC479" s="61" t="n"/>
      <c r="AD479" s="61" t="n"/>
      <c r="AE479" s="61" t="n"/>
      <c r="AF479" s="61" t="n"/>
      <c r="AG479" s="61" t="n"/>
      <c r="AH479" s="61" t="n"/>
      <c r="AI479" s="61" t="n"/>
      <c r="AJ479" s="61" t="n"/>
      <c r="AK479" s="61" t="n"/>
      <c r="AL479" s="61" t="n"/>
      <c r="AM479" s="61" t="n"/>
      <c r="AN479" s="61" t="n"/>
      <c r="AO479" s="61" t="n"/>
      <c r="AP479" s="57" t="n"/>
      <c r="AQ479" s="56" t="n"/>
      <c r="AR479" s="57" t="n"/>
      <c r="AS479" s="61" t="n"/>
      <c r="AT479" s="61" t="n"/>
      <c r="AU479" s="57" t="n"/>
      <c r="AV479" s="61" t="n"/>
      <c r="AW479" s="61" t="n"/>
      <c r="AX479" s="61" t="n"/>
      <c r="AY479" s="61" t="n"/>
      <c r="AZ479" s="61" t="n"/>
      <c r="BA479" s="61" t="n"/>
      <c r="BB479" s="61" t="n"/>
      <c r="BC479" s="61" t="n"/>
      <c r="BD479" s="57" t="n"/>
      <c r="BE479" s="56" t="n"/>
      <c r="BF479" s="56" t="n"/>
      <c r="BG479" s="57" t="n"/>
      <c r="BH479" s="61" t="n"/>
      <c r="BI479" s="61" t="n"/>
      <c r="BJ479" s="61" t="n"/>
      <c r="BK479" s="61" t="n"/>
      <c r="BL479" s="61" t="n"/>
      <c r="BM479" s="61" t="n"/>
      <c r="BN479" s="61" t="n"/>
      <c r="BO479" s="61" t="n"/>
      <c r="BP479" s="61" t="n"/>
      <c r="BQ479" s="61" t="n"/>
      <c r="BR479" s="61" t="n"/>
      <c r="BS479" s="61" t="n"/>
      <c r="BT479" s="61" t="n"/>
    </row>
    <row r="480" ht="15.75" customHeight="1" s="79">
      <c r="A480" s="61" t="n"/>
      <c r="B480" s="61" t="n"/>
      <c r="C480" s="61" t="n"/>
      <c r="D480" s="61" t="n"/>
      <c r="E480" s="61" t="n"/>
      <c r="F480" s="61" t="n"/>
      <c r="G480" s="61" t="n"/>
      <c r="H480" s="61" t="n"/>
      <c r="I480" s="61" t="n"/>
      <c r="J480" s="61" t="n"/>
      <c r="K480" s="61" t="n"/>
      <c r="L480" s="61" t="n"/>
      <c r="M480" s="61" t="n"/>
      <c r="N480" s="61" t="n"/>
      <c r="O480" s="61" t="n"/>
      <c r="P480" s="61" t="n"/>
      <c r="Q480" s="61" t="n"/>
      <c r="R480" s="61" t="n"/>
      <c r="S480" s="61" t="n"/>
      <c r="T480" s="61" t="n"/>
      <c r="U480" s="61" t="n"/>
      <c r="V480" s="61" t="n"/>
      <c r="W480" s="61" t="n"/>
      <c r="X480" s="61" t="n"/>
      <c r="Y480" s="61" t="n"/>
      <c r="Z480" s="61" t="n"/>
      <c r="AA480" s="61" t="n"/>
      <c r="AB480" s="61" t="n"/>
      <c r="AC480" s="61" t="n"/>
      <c r="AD480" s="61" t="n"/>
      <c r="AE480" s="61" t="n"/>
      <c r="AF480" s="61" t="n"/>
      <c r="AG480" s="61" t="n"/>
      <c r="AH480" s="61" t="n"/>
      <c r="AI480" s="61" t="n"/>
      <c r="AJ480" s="61" t="n"/>
      <c r="AK480" s="61" t="n"/>
      <c r="AL480" s="61" t="n"/>
      <c r="AM480" s="61" t="n"/>
      <c r="AN480" s="61" t="n"/>
      <c r="AO480" s="61" t="n"/>
      <c r="AP480" s="57" t="n"/>
      <c r="AQ480" s="56" t="n"/>
      <c r="AR480" s="57" t="n"/>
      <c r="AS480" s="61" t="n"/>
      <c r="AT480" s="61" t="n"/>
      <c r="AU480" s="57" t="n"/>
      <c r="AV480" s="61" t="n"/>
      <c r="AW480" s="61" t="n"/>
      <c r="AX480" s="61" t="n"/>
      <c r="AY480" s="61" t="n"/>
      <c r="AZ480" s="61" t="n"/>
      <c r="BA480" s="61" t="n"/>
      <c r="BB480" s="61" t="n"/>
      <c r="BC480" s="61" t="n"/>
      <c r="BD480" s="57" t="n"/>
      <c r="BE480" s="56" t="n"/>
      <c r="BF480" s="56" t="n"/>
      <c r="BG480" s="57" t="n"/>
      <c r="BH480" s="61" t="n"/>
      <c r="BI480" s="61" t="n"/>
      <c r="BJ480" s="61" t="n"/>
      <c r="BK480" s="61" t="n"/>
      <c r="BL480" s="61" t="n"/>
      <c r="BM480" s="61" t="n"/>
      <c r="BN480" s="61" t="n"/>
      <c r="BO480" s="61" t="n"/>
      <c r="BP480" s="61" t="n"/>
      <c r="BQ480" s="61" t="n"/>
      <c r="BR480" s="61" t="n"/>
      <c r="BS480" s="61" t="n"/>
      <c r="BT480" s="61" t="n"/>
    </row>
    <row r="481" ht="15.75" customHeight="1" s="79">
      <c r="A481" s="61" t="n"/>
      <c r="B481" s="61" t="n"/>
      <c r="C481" s="61" t="n"/>
      <c r="D481" s="61" t="n"/>
      <c r="E481" s="61" t="n"/>
      <c r="F481" s="61" t="n"/>
      <c r="G481" s="61" t="n"/>
      <c r="H481" s="61" t="n"/>
      <c r="I481" s="61" t="n"/>
      <c r="J481" s="61" t="n"/>
      <c r="K481" s="61" t="n"/>
      <c r="L481" s="61" t="n"/>
      <c r="M481" s="61" t="n"/>
      <c r="N481" s="61" t="n"/>
      <c r="O481" s="61" t="n"/>
      <c r="P481" s="61" t="n"/>
      <c r="Q481" s="61" t="n"/>
      <c r="R481" s="61" t="n"/>
      <c r="S481" s="61" t="n"/>
      <c r="T481" s="61" t="n"/>
      <c r="U481" s="61" t="n"/>
      <c r="V481" s="61" t="n"/>
      <c r="W481" s="61" t="n"/>
      <c r="X481" s="61" t="n"/>
      <c r="Y481" s="61" t="n"/>
      <c r="Z481" s="61" t="n"/>
      <c r="AA481" s="61" t="n"/>
      <c r="AB481" s="61" t="n"/>
      <c r="AC481" s="61" t="n"/>
      <c r="AD481" s="61" t="n"/>
      <c r="AE481" s="61" t="n"/>
      <c r="AF481" s="61" t="n"/>
      <c r="AG481" s="61" t="n"/>
      <c r="AH481" s="61" t="n"/>
      <c r="AI481" s="61" t="n"/>
      <c r="AJ481" s="61" t="n"/>
      <c r="AK481" s="61" t="n"/>
      <c r="AL481" s="61" t="n"/>
      <c r="AM481" s="61" t="n"/>
      <c r="AN481" s="61" t="n"/>
      <c r="AO481" s="61" t="n"/>
      <c r="AP481" s="57" t="n"/>
      <c r="AQ481" s="56" t="n"/>
      <c r="AR481" s="57" t="n"/>
      <c r="AS481" s="61" t="n"/>
      <c r="AT481" s="61" t="n"/>
      <c r="AU481" s="57" t="n"/>
      <c r="AV481" s="61" t="n"/>
      <c r="AW481" s="61" t="n"/>
      <c r="AX481" s="61" t="n"/>
      <c r="AY481" s="61" t="n"/>
      <c r="AZ481" s="61" t="n"/>
      <c r="BA481" s="61" t="n"/>
      <c r="BB481" s="61" t="n"/>
      <c r="BC481" s="61" t="n"/>
      <c r="BD481" s="57" t="n"/>
      <c r="BE481" s="56" t="n"/>
      <c r="BF481" s="56" t="n"/>
      <c r="BG481" s="57" t="n"/>
      <c r="BH481" s="61" t="n"/>
      <c r="BI481" s="61" t="n"/>
      <c r="BJ481" s="61" t="n"/>
      <c r="BK481" s="61" t="n"/>
      <c r="BL481" s="61" t="n"/>
      <c r="BM481" s="61" t="n"/>
      <c r="BN481" s="61" t="n"/>
      <c r="BO481" s="61" t="n"/>
      <c r="BP481" s="61" t="n"/>
      <c r="BQ481" s="61" t="n"/>
      <c r="BR481" s="61" t="n"/>
      <c r="BS481" s="61" t="n"/>
      <c r="BT481" s="61" t="n"/>
    </row>
    <row r="482" ht="15.75" customHeight="1" s="79">
      <c r="A482" s="61" t="n"/>
      <c r="B482" s="61" t="n"/>
      <c r="C482" s="61" t="n"/>
      <c r="D482" s="61" t="n"/>
      <c r="E482" s="61" t="n"/>
      <c r="F482" s="61" t="n"/>
      <c r="G482" s="61" t="n"/>
      <c r="H482" s="61" t="n"/>
      <c r="I482" s="61" t="n"/>
      <c r="J482" s="61" t="n"/>
      <c r="K482" s="61" t="n"/>
      <c r="L482" s="61" t="n"/>
      <c r="M482" s="61" t="n"/>
      <c r="N482" s="61" t="n"/>
      <c r="O482" s="61" t="n"/>
      <c r="P482" s="61" t="n"/>
      <c r="Q482" s="61" t="n"/>
      <c r="R482" s="61" t="n"/>
      <c r="S482" s="61" t="n"/>
      <c r="T482" s="61" t="n"/>
      <c r="U482" s="61" t="n"/>
      <c r="V482" s="61" t="n"/>
      <c r="W482" s="61" t="n"/>
      <c r="X482" s="61" t="n"/>
      <c r="Y482" s="61" t="n"/>
      <c r="Z482" s="61" t="n"/>
      <c r="AA482" s="61" t="n"/>
      <c r="AB482" s="61" t="n"/>
      <c r="AC482" s="61" t="n"/>
      <c r="AD482" s="61" t="n"/>
      <c r="AE482" s="61" t="n"/>
      <c r="AF482" s="61" t="n"/>
      <c r="AG482" s="61" t="n"/>
      <c r="AH482" s="61" t="n"/>
      <c r="AI482" s="61" t="n"/>
      <c r="AJ482" s="61" t="n"/>
      <c r="AK482" s="61" t="n"/>
      <c r="AL482" s="61" t="n"/>
      <c r="AM482" s="61" t="n"/>
      <c r="AN482" s="61" t="n"/>
      <c r="AO482" s="61" t="n"/>
      <c r="AP482" s="57" t="n"/>
      <c r="AQ482" s="56" t="n"/>
      <c r="AR482" s="57" t="n"/>
      <c r="AS482" s="61" t="n"/>
      <c r="AT482" s="61" t="n"/>
      <c r="AU482" s="57" t="n"/>
      <c r="AV482" s="61" t="n"/>
      <c r="AW482" s="61" t="n"/>
      <c r="AX482" s="61" t="n"/>
      <c r="AY482" s="61" t="n"/>
      <c r="AZ482" s="61" t="n"/>
      <c r="BA482" s="61" t="n"/>
      <c r="BB482" s="61" t="n"/>
      <c r="BC482" s="61" t="n"/>
      <c r="BD482" s="57" t="n"/>
      <c r="BE482" s="56" t="n"/>
      <c r="BF482" s="56" t="n"/>
      <c r="BG482" s="57" t="n"/>
      <c r="BH482" s="61" t="n"/>
      <c r="BI482" s="61" t="n"/>
      <c r="BJ482" s="61" t="n"/>
      <c r="BK482" s="61" t="n"/>
      <c r="BL482" s="61" t="n"/>
      <c r="BM482" s="61" t="n"/>
      <c r="BN482" s="61" t="n"/>
      <c r="BO482" s="61" t="n"/>
      <c r="BP482" s="61" t="n"/>
      <c r="BQ482" s="61" t="n"/>
      <c r="BR482" s="61" t="n"/>
      <c r="BS482" s="61" t="n"/>
      <c r="BT482" s="61" t="n"/>
    </row>
    <row r="483" ht="15.75" customHeight="1" s="79">
      <c r="A483" s="61" t="n"/>
      <c r="B483" s="61" t="n"/>
      <c r="C483" s="61" t="n"/>
      <c r="D483" s="61" t="n"/>
      <c r="E483" s="61" t="n"/>
      <c r="F483" s="61" t="n"/>
      <c r="G483" s="61" t="n"/>
      <c r="H483" s="61" t="n"/>
      <c r="I483" s="61" t="n"/>
      <c r="J483" s="61" t="n"/>
      <c r="K483" s="61" t="n"/>
      <c r="L483" s="61" t="n"/>
      <c r="M483" s="61" t="n"/>
      <c r="N483" s="61" t="n"/>
      <c r="O483" s="61" t="n"/>
      <c r="P483" s="61" t="n"/>
      <c r="Q483" s="61" t="n"/>
      <c r="R483" s="61" t="n"/>
      <c r="S483" s="61" t="n"/>
      <c r="T483" s="61" t="n"/>
      <c r="U483" s="61" t="n"/>
      <c r="V483" s="61" t="n"/>
      <c r="W483" s="61" t="n"/>
      <c r="X483" s="61" t="n"/>
      <c r="Y483" s="61" t="n"/>
      <c r="Z483" s="61" t="n"/>
      <c r="AA483" s="61" t="n"/>
      <c r="AB483" s="61" t="n"/>
      <c r="AC483" s="61" t="n"/>
      <c r="AD483" s="61" t="n"/>
      <c r="AE483" s="61" t="n"/>
      <c r="AF483" s="61" t="n"/>
      <c r="AG483" s="61" t="n"/>
      <c r="AH483" s="61" t="n"/>
      <c r="AI483" s="61" t="n"/>
      <c r="AJ483" s="61" t="n"/>
      <c r="AK483" s="61" t="n"/>
      <c r="AL483" s="61" t="n"/>
      <c r="AM483" s="61" t="n"/>
      <c r="AN483" s="61" t="n"/>
      <c r="AO483" s="61" t="n"/>
      <c r="AP483" s="57" t="n"/>
      <c r="AQ483" s="56" t="n"/>
      <c r="AR483" s="57" t="n"/>
      <c r="AS483" s="61" t="n"/>
      <c r="AT483" s="61" t="n"/>
      <c r="AU483" s="57" t="n"/>
      <c r="AV483" s="61" t="n"/>
      <c r="AW483" s="61" t="n"/>
      <c r="AX483" s="61" t="n"/>
      <c r="AY483" s="61" t="n"/>
      <c r="AZ483" s="61" t="n"/>
      <c r="BA483" s="61" t="n"/>
      <c r="BB483" s="61" t="n"/>
      <c r="BC483" s="61" t="n"/>
      <c r="BD483" s="57" t="n"/>
      <c r="BE483" s="56" t="n"/>
      <c r="BF483" s="56" t="n"/>
      <c r="BG483" s="57" t="n"/>
      <c r="BH483" s="61" t="n"/>
      <c r="BI483" s="61" t="n"/>
      <c r="BJ483" s="61" t="n"/>
      <c r="BK483" s="61" t="n"/>
      <c r="BL483" s="61" t="n"/>
      <c r="BM483" s="61" t="n"/>
      <c r="BN483" s="61" t="n"/>
      <c r="BO483" s="61" t="n"/>
      <c r="BP483" s="61" t="n"/>
      <c r="BQ483" s="61" t="n"/>
      <c r="BR483" s="61" t="n"/>
      <c r="BS483" s="61" t="n"/>
      <c r="BT483" s="61" t="n"/>
    </row>
    <row r="484" ht="15.75" customHeight="1" s="79">
      <c r="A484" s="61" t="n"/>
      <c r="B484" s="61" t="n"/>
      <c r="C484" s="61" t="n"/>
      <c r="D484" s="61" t="n"/>
      <c r="E484" s="61" t="n"/>
      <c r="F484" s="61" t="n"/>
      <c r="G484" s="61" t="n"/>
      <c r="H484" s="61" t="n"/>
      <c r="I484" s="61" t="n"/>
      <c r="J484" s="61" t="n"/>
      <c r="K484" s="61" t="n"/>
      <c r="L484" s="61" t="n"/>
      <c r="M484" s="61" t="n"/>
      <c r="N484" s="61" t="n"/>
      <c r="O484" s="61" t="n"/>
      <c r="P484" s="61" t="n"/>
      <c r="Q484" s="61" t="n"/>
      <c r="R484" s="61" t="n"/>
      <c r="S484" s="61" t="n"/>
      <c r="T484" s="61" t="n"/>
      <c r="U484" s="61" t="n"/>
      <c r="V484" s="61" t="n"/>
      <c r="W484" s="61" t="n"/>
      <c r="X484" s="61" t="n"/>
      <c r="Y484" s="61" t="n"/>
      <c r="Z484" s="61" t="n"/>
      <c r="AA484" s="61" t="n"/>
      <c r="AB484" s="61" t="n"/>
      <c r="AC484" s="61" t="n"/>
      <c r="AD484" s="61" t="n"/>
      <c r="AE484" s="61" t="n"/>
      <c r="AF484" s="61" t="n"/>
      <c r="AG484" s="61" t="n"/>
      <c r="AH484" s="61" t="n"/>
      <c r="AI484" s="61" t="n"/>
      <c r="AJ484" s="61" t="n"/>
      <c r="AK484" s="61" t="n"/>
      <c r="AL484" s="61" t="n"/>
      <c r="AM484" s="61" t="n"/>
      <c r="AN484" s="61" t="n"/>
      <c r="AO484" s="61" t="n"/>
      <c r="AP484" s="57" t="n"/>
      <c r="AQ484" s="56" t="n"/>
      <c r="AR484" s="57" t="n"/>
      <c r="AS484" s="61" t="n"/>
      <c r="AT484" s="61" t="n"/>
      <c r="AU484" s="57" t="n"/>
      <c r="AV484" s="61" t="n"/>
      <c r="AW484" s="61" t="n"/>
      <c r="AX484" s="61" t="n"/>
      <c r="AY484" s="61" t="n"/>
      <c r="AZ484" s="61" t="n"/>
      <c r="BA484" s="61" t="n"/>
      <c r="BB484" s="61" t="n"/>
      <c r="BC484" s="61" t="n"/>
      <c r="BD484" s="57" t="n"/>
      <c r="BE484" s="56" t="n"/>
      <c r="BF484" s="56" t="n"/>
      <c r="BG484" s="57" t="n"/>
      <c r="BH484" s="61" t="n"/>
      <c r="BI484" s="61" t="n"/>
      <c r="BJ484" s="61" t="n"/>
      <c r="BK484" s="61" t="n"/>
      <c r="BL484" s="61" t="n"/>
      <c r="BM484" s="61" t="n"/>
      <c r="BN484" s="61" t="n"/>
      <c r="BO484" s="61" t="n"/>
      <c r="BP484" s="61" t="n"/>
      <c r="BQ484" s="61" t="n"/>
      <c r="BR484" s="61" t="n"/>
      <c r="BS484" s="61" t="n"/>
      <c r="BT484" s="61" t="n"/>
    </row>
    <row r="485" ht="15.75" customHeight="1" s="79">
      <c r="A485" s="61" t="n"/>
      <c r="B485" s="61" t="n"/>
      <c r="C485" s="61" t="n"/>
      <c r="D485" s="61" t="n"/>
      <c r="E485" s="61" t="n"/>
      <c r="F485" s="61" t="n"/>
      <c r="G485" s="61" t="n"/>
      <c r="H485" s="61" t="n"/>
      <c r="I485" s="61" t="n"/>
      <c r="J485" s="61" t="n"/>
      <c r="K485" s="61" t="n"/>
      <c r="L485" s="61" t="n"/>
      <c r="M485" s="61" t="n"/>
      <c r="N485" s="61" t="n"/>
      <c r="O485" s="61" t="n"/>
      <c r="P485" s="61" t="n"/>
      <c r="Q485" s="61" t="n"/>
      <c r="R485" s="61" t="n"/>
      <c r="S485" s="61" t="n"/>
      <c r="T485" s="61" t="n"/>
      <c r="U485" s="61" t="n"/>
      <c r="V485" s="61" t="n"/>
      <c r="W485" s="61" t="n"/>
      <c r="X485" s="61" t="n"/>
      <c r="Y485" s="61" t="n"/>
      <c r="Z485" s="61" t="n"/>
      <c r="AA485" s="61" t="n"/>
      <c r="AB485" s="61" t="n"/>
      <c r="AC485" s="61" t="n"/>
      <c r="AD485" s="61" t="n"/>
      <c r="AE485" s="61" t="n"/>
      <c r="AF485" s="61" t="n"/>
      <c r="AG485" s="61" t="n"/>
      <c r="AH485" s="61" t="n"/>
      <c r="AI485" s="61" t="n"/>
      <c r="AJ485" s="61" t="n"/>
      <c r="AK485" s="61" t="n"/>
      <c r="AL485" s="61" t="n"/>
      <c r="AM485" s="61" t="n"/>
      <c r="AN485" s="61" t="n"/>
      <c r="AO485" s="61" t="n"/>
      <c r="AP485" s="57" t="n"/>
      <c r="AQ485" s="56" t="n"/>
      <c r="AR485" s="57" t="n"/>
      <c r="AS485" s="61" t="n"/>
      <c r="AT485" s="61" t="n"/>
      <c r="AU485" s="57" t="n"/>
      <c r="AV485" s="61" t="n"/>
      <c r="AW485" s="61" t="n"/>
      <c r="AX485" s="61" t="n"/>
      <c r="AY485" s="61" t="n"/>
      <c r="AZ485" s="61" t="n"/>
      <c r="BA485" s="61" t="n"/>
      <c r="BB485" s="61" t="n"/>
      <c r="BC485" s="61" t="n"/>
      <c r="BD485" s="57" t="n"/>
      <c r="BE485" s="56" t="n"/>
      <c r="BF485" s="56" t="n"/>
      <c r="BG485" s="57" t="n"/>
      <c r="BH485" s="61" t="n"/>
      <c r="BI485" s="61" t="n"/>
      <c r="BJ485" s="61" t="n"/>
      <c r="BK485" s="61" t="n"/>
      <c r="BL485" s="61" t="n"/>
      <c r="BM485" s="61" t="n"/>
      <c r="BN485" s="61" t="n"/>
      <c r="BO485" s="61" t="n"/>
      <c r="BP485" s="61" t="n"/>
      <c r="BQ485" s="61" t="n"/>
      <c r="BR485" s="61" t="n"/>
      <c r="BS485" s="61" t="n"/>
      <c r="BT485" s="61" t="n"/>
    </row>
    <row r="486" ht="15.75" customHeight="1" s="79">
      <c r="A486" s="61" t="n"/>
      <c r="B486" s="61" t="n"/>
      <c r="C486" s="61" t="n"/>
      <c r="D486" s="61" t="n"/>
      <c r="E486" s="61" t="n"/>
      <c r="F486" s="61" t="n"/>
      <c r="G486" s="61" t="n"/>
      <c r="H486" s="61" t="n"/>
      <c r="I486" s="61" t="n"/>
      <c r="J486" s="61" t="n"/>
      <c r="K486" s="61" t="n"/>
      <c r="L486" s="61" t="n"/>
      <c r="M486" s="61" t="n"/>
      <c r="N486" s="61" t="n"/>
      <c r="O486" s="61" t="n"/>
      <c r="P486" s="61" t="n"/>
      <c r="Q486" s="61" t="n"/>
      <c r="R486" s="61" t="n"/>
      <c r="S486" s="61" t="n"/>
      <c r="T486" s="61" t="n"/>
      <c r="U486" s="61" t="n"/>
      <c r="V486" s="61" t="n"/>
      <c r="W486" s="61" t="n"/>
      <c r="X486" s="61" t="n"/>
      <c r="Y486" s="61" t="n"/>
      <c r="Z486" s="61" t="n"/>
      <c r="AA486" s="61" t="n"/>
      <c r="AB486" s="61" t="n"/>
      <c r="AC486" s="61" t="n"/>
      <c r="AD486" s="61" t="n"/>
      <c r="AE486" s="61" t="n"/>
      <c r="AF486" s="61" t="n"/>
      <c r="AG486" s="61" t="n"/>
      <c r="AH486" s="61" t="n"/>
      <c r="AI486" s="61" t="n"/>
      <c r="AJ486" s="61" t="n"/>
      <c r="AK486" s="61" t="n"/>
      <c r="AL486" s="61" t="n"/>
      <c r="AM486" s="61" t="n"/>
      <c r="AN486" s="61" t="n"/>
      <c r="AO486" s="61" t="n"/>
      <c r="AP486" s="57" t="n"/>
      <c r="AQ486" s="56" t="n"/>
      <c r="AR486" s="57" t="n"/>
      <c r="AS486" s="61" t="n"/>
      <c r="AT486" s="61" t="n"/>
      <c r="AU486" s="57" t="n"/>
      <c r="AV486" s="61" t="n"/>
      <c r="AW486" s="61" t="n"/>
      <c r="AX486" s="61" t="n"/>
      <c r="AY486" s="61" t="n"/>
      <c r="AZ486" s="61" t="n"/>
      <c r="BA486" s="61" t="n"/>
      <c r="BB486" s="61" t="n"/>
      <c r="BC486" s="61" t="n"/>
      <c r="BD486" s="57" t="n"/>
      <c r="BE486" s="56" t="n"/>
      <c r="BF486" s="56" t="n"/>
      <c r="BG486" s="57" t="n"/>
      <c r="BH486" s="61" t="n"/>
      <c r="BI486" s="61" t="n"/>
      <c r="BJ486" s="61" t="n"/>
      <c r="BK486" s="61" t="n"/>
      <c r="BL486" s="61" t="n"/>
      <c r="BM486" s="61" t="n"/>
      <c r="BN486" s="61" t="n"/>
      <c r="BO486" s="61" t="n"/>
      <c r="BP486" s="61" t="n"/>
      <c r="BQ486" s="61" t="n"/>
      <c r="BR486" s="61" t="n"/>
      <c r="BS486" s="61" t="n"/>
      <c r="BT486" s="61" t="n"/>
    </row>
    <row r="487" ht="15.75" customHeight="1" s="79">
      <c r="A487" s="61" t="n"/>
      <c r="B487" s="61" t="n"/>
      <c r="C487" s="61" t="n"/>
      <c r="D487" s="61" t="n"/>
      <c r="E487" s="61" t="n"/>
      <c r="F487" s="61" t="n"/>
      <c r="G487" s="61" t="n"/>
      <c r="H487" s="61" t="n"/>
      <c r="I487" s="61" t="n"/>
      <c r="J487" s="61" t="n"/>
      <c r="K487" s="61" t="n"/>
      <c r="L487" s="61" t="n"/>
      <c r="M487" s="61" t="n"/>
      <c r="N487" s="61" t="n"/>
      <c r="O487" s="61" t="n"/>
      <c r="P487" s="61" t="n"/>
      <c r="Q487" s="61" t="n"/>
      <c r="R487" s="61" t="n"/>
      <c r="S487" s="61" t="n"/>
      <c r="T487" s="61" t="n"/>
      <c r="U487" s="61" t="n"/>
      <c r="V487" s="61" t="n"/>
      <c r="W487" s="61" t="n"/>
      <c r="X487" s="61" t="n"/>
      <c r="Y487" s="61" t="n"/>
      <c r="Z487" s="61" t="n"/>
      <c r="AA487" s="61" t="n"/>
      <c r="AB487" s="61" t="n"/>
      <c r="AC487" s="61" t="n"/>
      <c r="AD487" s="61" t="n"/>
      <c r="AE487" s="61" t="n"/>
      <c r="AF487" s="61" t="n"/>
      <c r="AG487" s="61" t="n"/>
      <c r="AH487" s="61" t="n"/>
      <c r="AI487" s="61" t="n"/>
      <c r="AJ487" s="61" t="n"/>
      <c r="AK487" s="61" t="n"/>
      <c r="AL487" s="61" t="n"/>
      <c r="AM487" s="61" t="n"/>
      <c r="AN487" s="61" t="n"/>
      <c r="AO487" s="61" t="n"/>
      <c r="AP487" s="57" t="n"/>
      <c r="AQ487" s="56" t="n"/>
      <c r="AR487" s="57" t="n"/>
      <c r="AS487" s="61" t="n"/>
      <c r="AT487" s="61" t="n"/>
      <c r="AU487" s="57" t="n"/>
      <c r="AV487" s="61" t="n"/>
      <c r="AW487" s="61" t="n"/>
      <c r="AX487" s="61" t="n"/>
      <c r="AY487" s="61" t="n"/>
      <c r="AZ487" s="61" t="n"/>
      <c r="BA487" s="61" t="n"/>
      <c r="BB487" s="61" t="n"/>
      <c r="BC487" s="61" t="n"/>
      <c r="BD487" s="57" t="n"/>
      <c r="BE487" s="56" t="n"/>
      <c r="BF487" s="56" t="n"/>
      <c r="BG487" s="57" t="n"/>
      <c r="BH487" s="61" t="n"/>
      <c r="BI487" s="61" t="n"/>
      <c r="BJ487" s="61" t="n"/>
      <c r="BK487" s="61" t="n"/>
      <c r="BL487" s="61" t="n"/>
      <c r="BM487" s="61" t="n"/>
      <c r="BN487" s="61" t="n"/>
      <c r="BO487" s="61" t="n"/>
      <c r="BP487" s="61" t="n"/>
      <c r="BQ487" s="61" t="n"/>
      <c r="BR487" s="61" t="n"/>
      <c r="BS487" s="61" t="n"/>
      <c r="BT487" s="61" t="n"/>
    </row>
    <row r="488" ht="15.75" customHeight="1" s="79">
      <c r="A488" s="61" t="n"/>
      <c r="B488" s="61" t="n"/>
      <c r="C488" s="61" t="n"/>
      <c r="D488" s="61" t="n"/>
      <c r="E488" s="61" t="n"/>
      <c r="F488" s="61" t="n"/>
      <c r="G488" s="61" t="n"/>
      <c r="H488" s="61" t="n"/>
      <c r="I488" s="61" t="n"/>
      <c r="J488" s="61" t="n"/>
      <c r="K488" s="61" t="n"/>
      <c r="L488" s="61" t="n"/>
      <c r="M488" s="61" t="n"/>
      <c r="N488" s="61" t="n"/>
      <c r="O488" s="61" t="n"/>
      <c r="P488" s="61" t="n"/>
      <c r="Q488" s="61" t="n"/>
      <c r="R488" s="61" t="n"/>
      <c r="S488" s="61" t="n"/>
      <c r="T488" s="61" t="n"/>
      <c r="U488" s="61" t="n"/>
      <c r="V488" s="61" t="n"/>
      <c r="W488" s="61" t="n"/>
      <c r="X488" s="61" t="n"/>
      <c r="Y488" s="61" t="n"/>
      <c r="Z488" s="61" t="n"/>
      <c r="AA488" s="61" t="n"/>
      <c r="AB488" s="61" t="n"/>
      <c r="AC488" s="61" t="n"/>
      <c r="AD488" s="61" t="n"/>
      <c r="AE488" s="61" t="n"/>
      <c r="AF488" s="61" t="n"/>
      <c r="AG488" s="61" t="n"/>
      <c r="AH488" s="61" t="n"/>
      <c r="AI488" s="61" t="n"/>
      <c r="AJ488" s="61" t="n"/>
      <c r="AK488" s="61" t="n"/>
      <c r="AL488" s="61" t="n"/>
      <c r="AM488" s="61" t="n"/>
      <c r="AN488" s="61" t="n"/>
      <c r="AO488" s="61" t="n"/>
      <c r="AP488" s="57" t="n"/>
      <c r="AQ488" s="56" t="n"/>
      <c r="AR488" s="57" t="n"/>
      <c r="AS488" s="61" t="n"/>
      <c r="AT488" s="61" t="n"/>
      <c r="AU488" s="57" t="n"/>
      <c r="AV488" s="61" t="n"/>
      <c r="AW488" s="61" t="n"/>
      <c r="AX488" s="61" t="n"/>
      <c r="AY488" s="61" t="n"/>
      <c r="AZ488" s="61" t="n"/>
      <c r="BA488" s="61" t="n"/>
      <c r="BB488" s="61" t="n"/>
      <c r="BC488" s="61" t="n"/>
      <c r="BD488" s="57" t="n"/>
      <c r="BE488" s="56" t="n"/>
      <c r="BF488" s="56" t="n"/>
      <c r="BG488" s="57" t="n"/>
      <c r="BH488" s="61" t="n"/>
      <c r="BI488" s="61" t="n"/>
      <c r="BJ488" s="61" t="n"/>
      <c r="BK488" s="61" t="n"/>
      <c r="BL488" s="61" t="n"/>
      <c r="BM488" s="61" t="n"/>
      <c r="BN488" s="61" t="n"/>
      <c r="BO488" s="61" t="n"/>
      <c r="BP488" s="61" t="n"/>
      <c r="BQ488" s="61" t="n"/>
      <c r="BR488" s="61" t="n"/>
      <c r="BS488" s="61" t="n"/>
      <c r="BT488" s="61" t="n"/>
    </row>
    <row r="489" ht="15.75" customHeight="1" s="79">
      <c r="A489" s="61" t="n"/>
      <c r="B489" s="61" t="n"/>
      <c r="C489" s="61" t="n"/>
      <c r="D489" s="61" t="n"/>
      <c r="E489" s="61" t="n"/>
      <c r="F489" s="61" t="n"/>
      <c r="G489" s="61" t="n"/>
      <c r="H489" s="61" t="n"/>
      <c r="I489" s="61" t="n"/>
      <c r="J489" s="61" t="n"/>
      <c r="K489" s="61" t="n"/>
      <c r="L489" s="61" t="n"/>
      <c r="M489" s="61" t="n"/>
      <c r="N489" s="61" t="n"/>
      <c r="O489" s="61" t="n"/>
      <c r="P489" s="61" t="n"/>
      <c r="Q489" s="61" t="n"/>
      <c r="R489" s="61" t="n"/>
      <c r="S489" s="61" t="n"/>
      <c r="T489" s="61" t="n"/>
      <c r="U489" s="61" t="n"/>
      <c r="V489" s="61" t="n"/>
      <c r="W489" s="61" t="n"/>
      <c r="X489" s="61" t="n"/>
      <c r="Y489" s="61" t="n"/>
      <c r="Z489" s="61" t="n"/>
      <c r="AA489" s="61" t="n"/>
      <c r="AB489" s="61" t="n"/>
      <c r="AC489" s="61" t="n"/>
      <c r="AD489" s="61" t="n"/>
      <c r="AE489" s="61" t="n"/>
      <c r="AF489" s="61" t="n"/>
      <c r="AG489" s="61" t="n"/>
      <c r="AH489" s="61" t="n"/>
      <c r="AI489" s="61" t="n"/>
      <c r="AJ489" s="61" t="n"/>
      <c r="AK489" s="61" t="n"/>
      <c r="AL489" s="61" t="n"/>
      <c r="AM489" s="61" t="n"/>
      <c r="AN489" s="61" t="n"/>
      <c r="AO489" s="61" t="n"/>
      <c r="AP489" s="57" t="n"/>
      <c r="AQ489" s="56" t="n"/>
      <c r="AR489" s="57" t="n"/>
      <c r="AS489" s="61" t="n"/>
      <c r="AT489" s="61" t="n"/>
      <c r="AU489" s="57" t="n"/>
      <c r="AV489" s="61" t="n"/>
      <c r="AW489" s="61" t="n"/>
      <c r="AX489" s="61" t="n"/>
      <c r="AY489" s="61" t="n"/>
      <c r="AZ489" s="61" t="n"/>
      <c r="BA489" s="61" t="n"/>
      <c r="BB489" s="61" t="n"/>
      <c r="BC489" s="61" t="n"/>
      <c r="BD489" s="57" t="n"/>
      <c r="BE489" s="56" t="n"/>
      <c r="BF489" s="56" t="n"/>
      <c r="BG489" s="57" t="n"/>
      <c r="BH489" s="61" t="n"/>
      <c r="BI489" s="61" t="n"/>
      <c r="BJ489" s="61" t="n"/>
      <c r="BK489" s="61" t="n"/>
      <c r="BL489" s="61" t="n"/>
      <c r="BM489" s="61" t="n"/>
      <c r="BN489" s="61" t="n"/>
      <c r="BO489" s="61" t="n"/>
      <c r="BP489" s="61" t="n"/>
      <c r="BQ489" s="61" t="n"/>
      <c r="BR489" s="61" t="n"/>
      <c r="BS489" s="61" t="n"/>
      <c r="BT489" s="61" t="n"/>
    </row>
    <row r="490" ht="15.75" customHeight="1" s="79">
      <c r="A490" s="61" t="n"/>
      <c r="B490" s="61" t="n"/>
      <c r="C490" s="61" t="n"/>
      <c r="D490" s="61" t="n"/>
      <c r="E490" s="61" t="n"/>
      <c r="F490" s="61" t="n"/>
      <c r="G490" s="61" t="n"/>
      <c r="H490" s="61" t="n"/>
      <c r="I490" s="61" t="n"/>
      <c r="J490" s="61" t="n"/>
      <c r="K490" s="61" t="n"/>
      <c r="L490" s="61" t="n"/>
      <c r="M490" s="61" t="n"/>
      <c r="N490" s="61" t="n"/>
      <c r="O490" s="61" t="n"/>
      <c r="P490" s="61" t="n"/>
      <c r="Q490" s="61" t="n"/>
      <c r="R490" s="61" t="n"/>
      <c r="S490" s="61" t="n"/>
      <c r="T490" s="61" t="n"/>
      <c r="U490" s="61" t="n"/>
      <c r="V490" s="61" t="n"/>
      <c r="W490" s="61" t="n"/>
      <c r="X490" s="61" t="n"/>
      <c r="Y490" s="61" t="n"/>
      <c r="Z490" s="61" t="n"/>
      <c r="AA490" s="61" t="n"/>
      <c r="AB490" s="61" t="n"/>
      <c r="AC490" s="61" t="n"/>
      <c r="AD490" s="61" t="n"/>
      <c r="AE490" s="61" t="n"/>
      <c r="AF490" s="61" t="n"/>
      <c r="AG490" s="61" t="n"/>
      <c r="AH490" s="61" t="n"/>
      <c r="AI490" s="61" t="n"/>
      <c r="AJ490" s="61" t="n"/>
      <c r="AK490" s="61" t="n"/>
      <c r="AL490" s="61" t="n"/>
      <c r="AM490" s="61" t="n"/>
      <c r="AN490" s="61" t="n"/>
      <c r="AO490" s="61" t="n"/>
      <c r="AP490" s="57" t="n"/>
      <c r="AQ490" s="56" t="n"/>
      <c r="AR490" s="57" t="n"/>
      <c r="AS490" s="61" t="n"/>
      <c r="AT490" s="61" t="n"/>
      <c r="AU490" s="57" t="n"/>
      <c r="AV490" s="61" t="n"/>
      <c r="AW490" s="61" t="n"/>
      <c r="AX490" s="61" t="n"/>
      <c r="AY490" s="61" t="n"/>
      <c r="AZ490" s="61" t="n"/>
      <c r="BA490" s="61" t="n"/>
      <c r="BB490" s="61" t="n"/>
      <c r="BC490" s="61" t="n"/>
      <c r="BD490" s="57" t="n"/>
      <c r="BE490" s="56" t="n"/>
      <c r="BF490" s="56" t="n"/>
      <c r="BG490" s="57" t="n"/>
      <c r="BH490" s="61" t="n"/>
      <c r="BI490" s="61" t="n"/>
      <c r="BJ490" s="61" t="n"/>
      <c r="BK490" s="61" t="n"/>
      <c r="BL490" s="61" t="n"/>
      <c r="BM490" s="61" t="n"/>
      <c r="BN490" s="61" t="n"/>
      <c r="BO490" s="61" t="n"/>
      <c r="BP490" s="61" t="n"/>
      <c r="BQ490" s="61" t="n"/>
      <c r="BR490" s="61" t="n"/>
      <c r="BS490" s="61" t="n"/>
      <c r="BT490" s="61" t="n"/>
    </row>
    <row r="491" ht="15.75" customHeight="1" s="79">
      <c r="A491" s="61" t="n"/>
      <c r="B491" s="61" t="n"/>
      <c r="C491" s="61" t="n"/>
      <c r="D491" s="61" t="n"/>
      <c r="E491" s="61" t="n"/>
      <c r="F491" s="61" t="n"/>
      <c r="G491" s="61" t="n"/>
      <c r="H491" s="61" t="n"/>
      <c r="I491" s="61" t="n"/>
      <c r="J491" s="61" t="n"/>
      <c r="K491" s="61" t="n"/>
      <c r="L491" s="61" t="n"/>
      <c r="M491" s="61" t="n"/>
      <c r="N491" s="61" t="n"/>
      <c r="O491" s="61" t="n"/>
      <c r="P491" s="61" t="n"/>
      <c r="Q491" s="61" t="n"/>
      <c r="R491" s="61" t="n"/>
      <c r="S491" s="61" t="n"/>
      <c r="T491" s="61" t="n"/>
      <c r="U491" s="61" t="n"/>
      <c r="V491" s="61" t="n"/>
      <c r="W491" s="61" t="n"/>
      <c r="X491" s="61" t="n"/>
      <c r="Y491" s="61" t="n"/>
      <c r="Z491" s="61" t="n"/>
      <c r="AA491" s="61" t="n"/>
      <c r="AB491" s="61" t="n"/>
      <c r="AC491" s="61" t="n"/>
      <c r="AD491" s="61" t="n"/>
      <c r="AE491" s="61" t="n"/>
      <c r="AF491" s="61" t="n"/>
      <c r="AG491" s="61" t="n"/>
      <c r="AH491" s="61" t="n"/>
      <c r="AI491" s="61" t="n"/>
      <c r="AJ491" s="61" t="n"/>
      <c r="AK491" s="61" t="n"/>
      <c r="AL491" s="61" t="n"/>
      <c r="AM491" s="61" t="n"/>
      <c r="AN491" s="61" t="n"/>
      <c r="AO491" s="61" t="n"/>
      <c r="AP491" s="57" t="n"/>
      <c r="AQ491" s="56" t="n"/>
      <c r="AR491" s="57" t="n"/>
      <c r="AS491" s="61" t="n"/>
      <c r="AT491" s="61" t="n"/>
      <c r="AU491" s="57" t="n"/>
      <c r="AV491" s="61" t="n"/>
      <c r="AW491" s="61" t="n"/>
      <c r="AX491" s="61" t="n"/>
      <c r="AY491" s="61" t="n"/>
      <c r="AZ491" s="61" t="n"/>
      <c r="BA491" s="61" t="n"/>
      <c r="BB491" s="61" t="n"/>
      <c r="BC491" s="61" t="n"/>
      <c r="BD491" s="57" t="n"/>
      <c r="BE491" s="56" t="n"/>
      <c r="BF491" s="56" t="n"/>
      <c r="BG491" s="57" t="n"/>
      <c r="BH491" s="61" t="n"/>
      <c r="BI491" s="61" t="n"/>
      <c r="BJ491" s="61" t="n"/>
      <c r="BK491" s="61" t="n"/>
      <c r="BL491" s="61" t="n"/>
      <c r="BM491" s="61" t="n"/>
      <c r="BN491" s="61" t="n"/>
      <c r="BO491" s="61" t="n"/>
      <c r="BP491" s="61" t="n"/>
      <c r="BQ491" s="61" t="n"/>
      <c r="BR491" s="61" t="n"/>
      <c r="BS491" s="61" t="n"/>
      <c r="BT491" s="61" t="n"/>
    </row>
    <row r="492" ht="15.75" customHeight="1" s="79">
      <c r="A492" s="61" t="n"/>
      <c r="B492" s="61" t="n"/>
      <c r="C492" s="61" t="n"/>
      <c r="D492" s="61" t="n"/>
      <c r="E492" s="61" t="n"/>
      <c r="F492" s="61" t="n"/>
      <c r="G492" s="61" t="n"/>
      <c r="H492" s="61" t="n"/>
      <c r="I492" s="61" t="n"/>
      <c r="J492" s="61" t="n"/>
      <c r="K492" s="61" t="n"/>
      <c r="L492" s="61" t="n"/>
      <c r="M492" s="61" t="n"/>
      <c r="N492" s="61" t="n"/>
      <c r="O492" s="61" t="n"/>
      <c r="P492" s="61" t="n"/>
      <c r="Q492" s="61" t="n"/>
      <c r="R492" s="61" t="n"/>
      <c r="S492" s="61" t="n"/>
      <c r="T492" s="61" t="n"/>
      <c r="U492" s="61" t="n"/>
      <c r="V492" s="61" t="n"/>
      <c r="W492" s="61" t="n"/>
      <c r="X492" s="61" t="n"/>
      <c r="Y492" s="61" t="n"/>
      <c r="Z492" s="61" t="n"/>
      <c r="AA492" s="61" t="n"/>
      <c r="AB492" s="61" t="n"/>
      <c r="AC492" s="61" t="n"/>
      <c r="AD492" s="61" t="n"/>
      <c r="AE492" s="61" t="n"/>
      <c r="AF492" s="61" t="n"/>
      <c r="AG492" s="61" t="n"/>
      <c r="AH492" s="61" t="n"/>
      <c r="AI492" s="61" t="n"/>
      <c r="AJ492" s="61" t="n"/>
      <c r="AK492" s="61" t="n"/>
      <c r="AL492" s="61" t="n"/>
      <c r="AM492" s="61" t="n"/>
      <c r="AN492" s="61" t="n"/>
      <c r="AO492" s="61" t="n"/>
      <c r="AP492" s="57" t="n"/>
      <c r="AQ492" s="56" t="n"/>
      <c r="AR492" s="57" t="n"/>
      <c r="AS492" s="61" t="n"/>
      <c r="AT492" s="61" t="n"/>
      <c r="AU492" s="57" t="n"/>
      <c r="AV492" s="61" t="n"/>
      <c r="AW492" s="61" t="n"/>
      <c r="AX492" s="61" t="n"/>
      <c r="AY492" s="61" t="n"/>
      <c r="AZ492" s="61" t="n"/>
      <c r="BA492" s="61" t="n"/>
      <c r="BB492" s="61" t="n"/>
      <c r="BC492" s="61" t="n"/>
      <c r="BD492" s="57" t="n"/>
      <c r="BE492" s="56" t="n"/>
      <c r="BF492" s="56" t="n"/>
      <c r="BG492" s="57" t="n"/>
      <c r="BH492" s="61" t="n"/>
      <c r="BI492" s="61" t="n"/>
      <c r="BJ492" s="61" t="n"/>
      <c r="BK492" s="61" t="n"/>
      <c r="BL492" s="61" t="n"/>
      <c r="BM492" s="61" t="n"/>
      <c r="BN492" s="61" t="n"/>
      <c r="BO492" s="61" t="n"/>
      <c r="BP492" s="61" t="n"/>
      <c r="BQ492" s="61" t="n"/>
      <c r="BR492" s="61" t="n"/>
      <c r="BS492" s="61" t="n"/>
      <c r="BT492" s="61" t="n"/>
    </row>
    <row r="493" ht="15.75" customHeight="1" s="79">
      <c r="A493" s="61" t="n"/>
      <c r="B493" s="61" t="n"/>
      <c r="C493" s="61" t="n"/>
      <c r="D493" s="61" t="n"/>
      <c r="E493" s="61" t="n"/>
      <c r="F493" s="61" t="n"/>
      <c r="G493" s="61" t="n"/>
      <c r="H493" s="61" t="n"/>
      <c r="I493" s="61" t="n"/>
      <c r="J493" s="61" t="n"/>
      <c r="K493" s="61" t="n"/>
      <c r="L493" s="61" t="n"/>
      <c r="M493" s="61" t="n"/>
      <c r="N493" s="61" t="n"/>
      <c r="O493" s="61" t="n"/>
      <c r="P493" s="61" t="n"/>
      <c r="Q493" s="61" t="n"/>
      <c r="R493" s="61" t="n"/>
      <c r="S493" s="61" t="n"/>
      <c r="T493" s="61" t="n"/>
      <c r="U493" s="61" t="n"/>
      <c r="V493" s="61" t="n"/>
      <c r="W493" s="61" t="n"/>
      <c r="X493" s="61" t="n"/>
      <c r="Y493" s="61" t="n"/>
      <c r="Z493" s="61" t="n"/>
      <c r="AA493" s="61" t="n"/>
      <c r="AB493" s="61" t="n"/>
      <c r="AC493" s="61" t="n"/>
      <c r="AD493" s="61" t="n"/>
      <c r="AE493" s="61" t="n"/>
      <c r="AF493" s="61" t="n"/>
      <c r="AG493" s="61" t="n"/>
      <c r="AH493" s="61" t="n"/>
      <c r="AI493" s="61" t="n"/>
      <c r="AJ493" s="61" t="n"/>
      <c r="AK493" s="61" t="n"/>
      <c r="AL493" s="61" t="n"/>
      <c r="AM493" s="61" t="n"/>
      <c r="AN493" s="61" t="n"/>
      <c r="AO493" s="61" t="n"/>
      <c r="AP493" s="57" t="n"/>
      <c r="AQ493" s="56" t="n"/>
      <c r="AR493" s="57" t="n"/>
      <c r="AS493" s="61" t="n"/>
      <c r="AT493" s="61" t="n"/>
      <c r="AU493" s="57" t="n"/>
      <c r="AV493" s="61" t="n"/>
      <c r="AW493" s="61" t="n"/>
      <c r="AX493" s="61" t="n"/>
      <c r="AY493" s="61" t="n"/>
      <c r="AZ493" s="61" t="n"/>
      <c r="BA493" s="61" t="n"/>
      <c r="BB493" s="61" t="n"/>
      <c r="BC493" s="61" t="n"/>
      <c r="BD493" s="57" t="n"/>
      <c r="BE493" s="56" t="n"/>
      <c r="BF493" s="56" t="n"/>
      <c r="BG493" s="57" t="n"/>
      <c r="BH493" s="61" t="n"/>
      <c r="BI493" s="61" t="n"/>
      <c r="BJ493" s="61" t="n"/>
      <c r="BK493" s="61" t="n"/>
      <c r="BL493" s="61" t="n"/>
      <c r="BM493" s="61" t="n"/>
      <c r="BN493" s="61" t="n"/>
      <c r="BO493" s="61" t="n"/>
      <c r="BP493" s="61" t="n"/>
      <c r="BQ493" s="61" t="n"/>
      <c r="BR493" s="61" t="n"/>
      <c r="BS493" s="61" t="n"/>
      <c r="BT493" s="61" t="n"/>
    </row>
    <row r="494" ht="15.75" customHeight="1" s="79">
      <c r="A494" s="61" t="n"/>
      <c r="B494" s="61" t="n"/>
      <c r="C494" s="61" t="n"/>
      <c r="D494" s="61" t="n"/>
      <c r="E494" s="61" t="n"/>
      <c r="F494" s="61" t="n"/>
      <c r="G494" s="61" t="n"/>
      <c r="H494" s="61" t="n"/>
      <c r="I494" s="61" t="n"/>
      <c r="J494" s="61" t="n"/>
      <c r="K494" s="61" t="n"/>
      <c r="L494" s="61" t="n"/>
      <c r="M494" s="61" t="n"/>
      <c r="N494" s="61" t="n"/>
      <c r="O494" s="61" t="n"/>
      <c r="P494" s="61" t="n"/>
      <c r="Q494" s="61" t="n"/>
      <c r="R494" s="61" t="n"/>
      <c r="S494" s="61" t="n"/>
      <c r="T494" s="61" t="n"/>
      <c r="U494" s="61" t="n"/>
      <c r="V494" s="61" t="n"/>
      <c r="W494" s="61" t="n"/>
      <c r="X494" s="61" t="n"/>
      <c r="Y494" s="61" t="n"/>
      <c r="Z494" s="61" t="n"/>
      <c r="AA494" s="61" t="n"/>
      <c r="AB494" s="61" t="n"/>
      <c r="AC494" s="61" t="n"/>
      <c r="AD494" s="61" t="n"/>
      <c r="AE494" s="61" t="n"/>
      <c r="AF494" s="61" t="n"/>
      <c r="AG494" s="61" t="n"/>
      <c r="AH494" s="61" t="n"/>
      <c r="AI494" s="61" t="n"/>
      <c r="AJ494" s="61" t="n"/>
      <c r="AK494" s="61" t="n"/>
      <c r="AL494" s="61" t="n"/>
      <c r="AM494" s="61" t="n"/>
      <c r="AN494" s="61" t="n"/>
      <c r="AO494" s="61" t="n"/>
      <c r="AP494" s="57" t="n"/>
      <c r="AQ494" s="56" t="n"/>
      <c r="AR494" s="57" t="n"/>
      <c r="AS494" s="61" t="n"/>
      <c r="AT494" s="61" t="n"/>
      <c r="AU494" s="57" t="n"/>
      <c r="AV494" s="61" t="n"/>
      <c r="AW494" s="61" t="n"/>
      <c r="AX494" s="61" t="n"/>
      <c r="AY494" s="61" t="n"/>
      <c r="AZ494" s="61" t="n"/>
      <c r="BA494" s="61" t="n"/>
      <c r="BB494" s="61" t="n"/>
      <c r="BC494" s="61" t="n"/>
      <c r="BD494" s="57" t="n"/>
      <c r="BE494" s="56" t="n"/>
      <c r="BF494" s="56" t="n"/>
      <c r="BG494" s="57" t="n"/>
      <c r="BH494" s="61" t="n"/>
      <c r="BI494" s="61" t="n"/>
      <c r="BJ494" s="61" t="n"/>
      <c r="BK494" s="61" t="n"/>
      <c r="BL494" s="61" t="n"/>
      <c r="BM494" s="61" t="n"/>
      <c r="BN494" s="61" t="n"/>
      <c r="BO494" s="61" t="n"/>
      <c r="BP494" s="61" t="n"/>
      <c r="BQ494" s="61" t="n"/>
      <c r="BR494" s="61" t="n"/>
      <c r="BS494" s="61" t="n"/>
      <c r="BT494" s="61" t="n"/>
    </row>
    <row r="495" ht="15.75" customHeight="1" s="79">
      <c r="A495" s="61" t="n"/>
      <c r="B495" s="61" t="n"/>
      <c r="C495" s="61" t="n"/>
      <c r="D495" s="61" t="n"/>
      <c r="E495" s="61" t="n"/>
      <c r="F495" s="61" t="n"/>
      <c r="G495" s="61" t="n"/>
      <c r="H495" s="61" t="n"/>
      <c r="I495" s="61" t="n"/>
      <c r="J495" s="61" t="n"/>
      <c r="K495" s="61" t="n"/>
      <c r="L495" s="61" t="n"/>
      <c r="M495" s="61" t="n"/>
      <c r="N495" s="61" t="n"/>
      <c r="O495" s="61" t="n"/>
      <c r="P495" s="61" t="n"/>
      <c r="Q495" s="61" t="n"/>
      <c r="R495" s="61" t="n"/>
      <c r="S495" s="61" t="n"/>
      <c r="T495" s="61" t="n"/>
      <c r="U495" s="61" t="n"/>
      <c r="V495" s="61" t="n"/>
      <c r="W495" s="61" t="n"/>
      <c r="X495" s="61" t="n"/>
      <c r="Y495" s="61" t="n"/>
      <c r="Z495" s="61" t="n"/>
      <c r="AA495" s="61" t="n"/>
      <c r="AB495" s="61" t="n"/>
      <c r="AC495" s="61" t="n"/>
      <c r="AD495" s="61" t="n"/>
      <c r="AE495" s="61" t="n"/>
      <c r="AF495" s="61" t="n"/>
      <c r="AG495" s="61" t="n"/>
      <c r="AH495" s="61" t="n"/>
      <c r="AI495" s="61" t="n"/>
      <c r="AJ495" s="61" t="n"/>
      <c r="AK495" s="61" t="n"/>
      <c r="AL495" s="61" t="n"/>
      <c r="AM495" s="61" t="n"/>
      <c r="AN495" s="61" t="n"/>
      <c r="AO495" s="61" t="n"/>
      <c r="AP495" s="57" t="n"/>
      <c r="AQ495" s="56" t="n"/>
      <c r="AR495" s="57" t="n"/>
      <c r="AS495" s="61" t="n"/>
      <c r="AT495" s="61" t="n"/>
      <c r="AU495" s="57" t="n"/>
      <c r="AV495" s="61" t="n"/>
      <c r="AW495" s="61" t="n"/>
      <c r="AX495" s="61" t="n"/>
      <c r="AY495" s="61" t="n"/>
      <c r="AZ495" s="61" t="n"/>
      <c r="BA495" s="61" t="n"/>
      <c r="BB495" s="61" t="n"/>
      <c r="BC495" s="61" t="n"/>
      <c r="BD495" s="57" t="n"/>
      <c r="BE495" s="56" t="n"/>
      <c r="BF495" s="56" t="n"/>
      <c r="BG495" s="57" t="n"/>
      <c r="BH495" s="61" t="n"/>
      <c r="BI495" s="61" t="n"/>
      <c r="BJ495" s="61" t="n"/>
      <c r="BK495" s="61" t="n"/>
      <c r="BL495" s="61" t="n"/>
      <c r="BM495" s="61" t="n"/>
      <c r="BN495" s="61" t="n"/>
      <c r="BO495" s="61" t="n"/>
      <c r="BP495" s="61" t="n"/>
      <c r="BQ495" s="61" t="n"/>
      <c r="BR495" s="61" t="n"/>
      <c r="BS495" s="61" t="n"/>
      <c r="BT495" s="61" t="n"/>
    </row>
    <row r="496" ht="15.75" customHeight="1" s="79">
      <c r="A496" s="61" t="n"/>
      <c r="B496" s="61" t="n"/>
      <c r="C496" s="61" t="n"/>
      <c r="D496" s="61" t="n"/>
      <c r="E496" s="61" t="n"/>
      <c r="F496" s="61" t="n"/>
      <c r="G496" s="61" t="n"/>
      <c r="H496" s="61" t="n"/>
      <c r="I496" s="61" t="n"/>
      <c r="J496" s="61" t="n"/>
      <c r="K496" s="61" t="n"/>
      <c r="L496" s="61" t="n"/>
      <c r="M496" s="61" t="n"/>
      <c r="N496" s="61" t="n"/>
      <c r="O496" s="61" t="n"/>
      <c r="P496" s="61" t="n"/>
      <c r="Q496" s="61" t="n"/>
      <c r="R496" s="61" t="n"/>
      <c r="S496" s="61" t="n"/>
      <c r="T496" s="61" t="n"/>
      <c r="U496" s="61" t="n"/>
      <c r="V496" s="61" t="n"/>
      <c r="W496" s="61" t="n"/>
      <c r="X496" s="61" t="n"/>
      <c r="Y496" s="61" t="n"/>
      <c r="Z496" s="61" t="n"/>
      <c r="AA496" s="61" t="n"/>
      <c r="AB496" s="61" t="n"/>
      <c r="AC496" s="61" t="n"/>
      <c r="AD496" s="61" t="n"/>
      <c r="AE496" s="61" t="n"/>
      <c r="AF496" s="61" t="n"/>
      <c r="AG496" s="61" t="n"/>
      <c r="AH496" s="61" t="n"/>
      <c r="AI496" s="61" t="n"/>
      <c r="AJ496" s="61" t="n"/>
      <c r="AK496" s="61" t="n"/>
      <c r="AL496" s="61" t="n"/>
      <c r="AM496" s="61" t="n"/>
      <c r="AN496" s="61" t="n"/>
      <c r="AO496" s="61" t="n"/>
      <c r="AP496" s="57" t="n"/>
      <c r="AQ496" s="56" t="n"/>
      <c r="AR496" s="57" t="n"/>
      <c r="AS496" s="61" t="n"/>
      <c r="AT496" s="61" t="n"/>
      <c r="AU496" s="57" t="n"/>
      <c r="AV496" s="61" t="n"/>
      <c r="AW496" s="61" t="n"/>
      <c r="AX496" s="61" t="n"/>
      <c r="AY496" s="61" t="n"/>
      <c r="AZ496" s="61" t="n"/>
      <c r="BA496" s="61" t="n"/>
      <c r="BB496" s="61" t="n"/>
      <c r="BC496" s="61" t="n"/>
      <c r="BD496" s="57" t="n"/>
      <c r="BE496" s="56" t="n"/>
      <c r="BF496" s="56" t="n"/>
      <c r="BG496" s="57" t="n"/>
      <c r="BH496" s="61" t="n"/>
      <c r="BI496" s="61" t="n"/>
      <c r="BJ496" s="61" t="n"/>
      <c r="BK496" s="61" t="n"/>
      <c r="BL496" s="61" t="n"/>
      <c r="BM496" s="61" t="n"/>
      <c r="BN496" s="61" t="n"/>
      <c r="BO496" s="61" t="n"/>
      <c r="BP496" s="61" t="n"/>
      <c r="BQ496" s="61" t="n"/>
      <c r="BR496" s="61" t="n"/>
      <c r="BS496" s="61" t="n"/>
      <c r="BT496" s="61" t="n"/>
    </row>
    <row r="497" ht="15.75" customHeight="1" s="79">
      <c r="A497" s="61" t="n"/>
      <c r="B497" s="61" t="n"/>
      <c r="C497" s="61" t="n"/>
      <c r="D497" s="61" t="n"/>
      <c r="E497" s="61" t="n"/>
      <c r="F497" s="61" t="n"/>
      <c r="G497" s="61" t="n"/>
      <c r="H497" s="61" t="n"/>
      <c r="I497" s="61" t="n"/>
      <c r="J497" s="61" t="n"/>
      <c r="K497" s="61" t="n"/>
      <c r="L497" s="61" t="n"/>
      <c r="M497" s="61" t="n"/>
      <c r="N497" s="61" t="n"/>
      <c r="O497" s="61" t="n"/>
      <c r="P497" s="61" t="n"/>
      <c r="Q497" s="61" t="n"/>
      <c r="R497" s="61" t="n"/>
      <c r="S497" s="61" t="n"/>
      <c r="T497" s="61" t="n"/>
      <c r="U497" s="61" t="n"/>
      <c r="V497" s="61" t="n"/>
      <c r="W497" s="61" t="n"/>
      <c r="X497" s="61" t="n"/>
      <c r="Y497" s="61" t="n"/>
      <c r="Z497" s="61" t="n"/>
      <c r="AA497" s="61" t="n"/>
      <c r="AB497" s="61" t="n"/>
      <c r="AC497" s="61" t="n"/>
      <c r="AD497" s="61" t="n"/>
      <c r="AE497" s="61" t="n"/>
      <c r="AF497" s="61" t="n"/>
      <c r="AG497" s="61" t="n"/>
      <c r="AH497" s="61" t="n"/>
      <c r="AI497" s="61" t="n"/>
      <c r="AJ497" s="61" t="n"/>
      <c r="AK497" s="61" t="n"/>
      <c r="AL497" s="61" t="n"/>
      <c r="AM497" s="61" t="n"/>
      <c r="AN497" s="61" t="n"/>
      <c r="AO497" s="61" t="n"/>
      <c r="AP497" s="57" t="n"/>
      <c r="AQ497" s="56" t="n"/>
      <c r="AR497" s="57" t="n"/>
      <c r="AS497" s="61" t="n"/>
      <c r="AT497" s="61" t="n"/>
      <c r="AU497" s="57" t="n"/>
      <c r="AV497" s="61" t="n"/>
      <c r="AW497" s="61" t="n"/>
      <c r="AX497" s="61" t="n"/>
      <c r="AY497" s="61" t="n"/>
      <c r="AZ497" s="61" t="n"/>
      <c r="BA497" s="61" t="n"/>
      <c r="BB497" s="61" t="n"/>
      <c r="BC497" s="61" t="n"/>
      <c r="BD497" s="57" t="n"/>
      <c r="BE497" s="56" t="n"/>
      <c r="BF497" s="56" t="n"/>
      <c r="BG497" s="57" t="n"/>
      <c r="BH497" s="61" t="n"/>
      <c r="BI497" s="61" t="n"/>
      <c r="BJ497" s="61" t="n"/>
      <c r="BK497" s="61" t="n"/>
      <c r="BL497" s="61" t="n"/>
      <c r="BM497" s="61" t="n"/>
      <c r="BN497" s="61" t="n"/>
      <c r="BO497" s="61" t="n"/>
      <c r="BP497" s="61" t="n"/>
      <c r="BQ497" s="61" t="n"/>
      <c r="BR497" s="61" t="n"/>
      <c r="BS497" s="61" t="n"/>
      <c r="BT497" s="61" t="n"/>
    </row>
    <row r="498" ht="15.75" customHeight="1" s="79">
      <c r="A498" s="61" t="n"/>
      <c r="B498" s="61" t="n"/>
      <c r="C498" s="61" t="n"/>
      <c r="D498" s="61" t="n"/>
      <c r="E498" s="61" t="n"/>
      <c r="F498" s="61" t="n"/>
      <c r="G498" s="61" t="n"/>
      <c r="H498" s="61" t="n"/>
      <c r="I498" s="61" t="n"/>
      <c r="J498" s="61" t="n"/>
      <c r="K498" s="61" t="n"/>
      <c r="L498" s="61" t="n"/>
      <c r="M498" s="61" t="n"/>
      <c r="N498" s="61" t="n"/>
      <c r="O498" s="61" t="n"/>
      <c r="P498" s="61" t="n"/>
      <c r="Q498" s="61" t="n"/>
      <c r="R498" s="61" t="n"/>
      <c r="S498" s="61" t="n"/>
      <c r="T498" s="61" t="n"/>
      <c r="U498" s="61" t="n"/>
      <c r="V498" s="61" t="n"/>
      <c r="W498" s="61" t="n"/>
      <c r="X498" s="61" t="n"/>
      <c r="Y498" s="61" t="n"/>
      <c r="Z498" s="61" t="n"/>
      <c r="AA498" s="61" t="n"/>
      <c r="AB498" s="61" t="n"/>
      <c r="AC498" s="61" t="n"/>
      <c r="AD498" s="61" t="n"/>
      <c r="AE498" s="61" t="n"/>
      <c r="AF498" s="61" t="n"/>
      <c r="AG498" s="61" t="n"/>
      <c r="AH498" s="61" t="n"/>
      <c r="AI498" s="61" t="n"/>
      <c r="AJ498" s="61" t="n"/>
      <c r="AK498" s="61" t="n"/>
      <c r="AL498" s="61" t="n"/>
      <c r="AM498" s="61" t="n"/>
      <c r="AN498" s="61" t="n"/>
      <c r="AO498" s="61" t="n"/>
      <c r="AP498" s="57" t="n"/>
      <c r="AQ498" s="56" t="n"/>
      <c r="AR498" s="57" t="n"/>
      <c r="AS498" s="61" t="n"/>
      <c r="AT498" s="61" t="n"/>
      <c r="AU498" s="57" t="n"/>
      <c r="AV498" s="61" t="n"/>
      <c r="AW498" s="61" t="n"/>
      <c r="AX498" s="61" t="n"/>
      <c r="AY498" s="61" t="n"/>
      <c r="AZ498" s="61" t="n"/>
      <c r="BA498" s="61" t="n"/>
      <c r="BB498" s="61" t="n"/>
      <c r="BC498" s="61" t="n"/>
      <c r="BD498" s="57" t="n"/>
      <c r="BE498" s="56" t="n"/>
      <c r="BF498" s="56" t="n"/>
      <c r="BG498" s="57" t="n"/>
      <c r="BH498" s="61" t="n"/>
      <c r="BI498" s="61" t="n"/>
      <c r="BJ498" s="61" t="n"/>
      <c r="BK498" s="61" t="n"/>
      <c r="BL498" s="61" t="n"/>
      <c r="BM498" s="61" t="n"/>
      <c r="BN498" s="61" t="n"/>
      <c r="BO498" s="61" t="n"/>
      <c r="BP498" s="61" t="n"/>
      <c r="BQ498" s="61" t="n"/>
      <c r="BR498" s="61" t="n"/>
      <c r="BS498" s="61" t="n"/>
      <c r="BT498" s="61" t="n"/>
    </row>
    <row r="499" ht="15.75" customHeight="1" s="79">
      <c r="A499" s="61" t="n"/>
      <c r="B499" s="61" t="n"/>
      <c r="C499" s="61" t="n"/>
      <c r="D499" s="61" t="n"/>
      <c r="E499" s="61" t="n"/>
      <c r="F499" s="61" t="n"/>
      <c r="G499" s="61" t="n"/>
      <c r="H499" s="61" t="n"/>
      <c r="I499" s="61" t="n"/>
      <c r="J499" s="61" t="n"/>
      <c r="K499" s="61" t="n"/>
      <c r="L499" s="61" t="n"/>
      <c r="M499" s="61" t="n"/>
      <c r="N499" s="61" t="n"/>
      <c r="O499" s="61" t="n"/>
      <c r="P499" s="61" t="n"/>
      <c r="Q499" s="61" t="n"/>
      <c r="R499" s="61" t="n"/>
      <c r="S499" s="61" t="n"/>
      <c r="T499" s="61" t="n"/>
      <c r="U499" s="61" t="n"/>
      <c r="V499" s="61" t="n"/>
      <c r="W499" s="61" t="n"/>
      <c r="X499" s="61" t="n"/>
      <c r="Y499" s="61" t="n"/>
      <c r="Z499" s="61" t="n"/>
      <c r="AA499" s="61" t="n"/>
      <c r="AB499" s="61" t="n"/>
      <c r="AC499" s="61" t="n"/>
      <c r="AD499" s="61" t="n"/>
      <c r="AE499" s="61" t="n"/>
      <c r="AF499" s="61" t="n"/>
      <c r="AG499" s="61" t="n"/>
      <c r="AH499" s="61" t="n"/>
      <c r="AI499" s="61" t="n"/>
      <c r="AJ499" s="61" t="n"/>
      <c r="AK499" s="61" t="n"/>
      <c r="AL499" s="61" t="n"/>
      <c r="AM499" s="61" t="n"/>
      <c r="AN499" s="61" t="n"/>
      <c r="AO499" s="61" t="n"/>
      <c r="AP499" s="57" t="n"/>
      <c r="AQ499" s="56" t="n"/>
      <c r="AR499" s="57" t="n"/>
      <c r="AS499" s="61" t="n"/>
      <c r="AT499" s="61" t="n"/>
      <c r="AU499" s="57" t="n"/>
      <c r="AV499" s="61" t="n"/>
      <c r="AW499" s="61" t="n"/>
      <c r="AX499" s="61" t="n"/>
      <c r="AY499" s="61" t="n"/>
      <c r="AZ499" s="61" t="n"/>
      <c r="BA499" s="61" t="n"/>
      <c r="BB499" s="61" t="n"/>
      <c r="BC499" s="61" t="n"/>
      <c r="BD499" s="57" t="n"/>
      <c r="BE499" s="56" t="n"/>
      <c r="BF499" s="56" t="n"/>
      <c r="BG499" s="57" t="n"/>
      <c r="BH499" s="61" t="n"/>
      <c r="BI499" s="61" t="n"/>
      <c r="BJ499" s="61" t="n"/>
      <c r="BK499" s="61" t="n"/>
      <c r="BL499" s="61" t="n"/>
      <c r="BM499" s="61" t="n"/>
      <c r="BN499" s="61" t="n"/>
      <c r="BO499" s="61" t="n"/>
      <c r="BP499" s="61" t="n"/>
      <c r="BQ499" s="61" t="n"/>
      <c r="BR499" s="61" t="n"/>
      <c r="BS499" s="61" t="n"/>
      <c r="BT499" s="61" t="n"/>
    </row>
    <row r="500" ht="15.75" customHeight="1" s="79">
      <c r="A500" s="61" t="n"/>
      <c r="B500" s="61" t="n"/>
      <c r="C500" s="61" t="n"/>
      <c r="D500" s="61" t="n"/>
      <c r="E500" s="61" t="n"/>
      <c r="F500" s="61" t="n"/>
      <c r="G500" s="61" t="n"/>
      <c r="H500" s="61" t="n"/>
      <c r="I500" s="61" t="n"/>
      <c r="J500" s="61" t="n"/>
      <c r="K500" s="61" t="n"/>
      <c r="L500" s="61" t="n"/>
      <c r="M500" s="61" t="n"/>
      <c r="N500" s="61" t="n"/>
      <c r="O500" s="61" t="n"/>
      <c r="P500" s="61" t="n"/>
      <c r="Q500" s="61" t="n"/>
      <c r="R500" s="61" t="n"/>
      <c r="S500" s="61" t="n"/>
      <c r="T500" s="61" t="n"/>
      <c r="U500" s="61" t="n"/>
      <c r="V500" s="61" t="n"/>
      <c r="W500" s="61" t="n"/>
      <c r="X500" s="61" t="n"/>
      <c r="Y500" s="61" t="n"/>
      <c r="Z500" s="61" t="n"/>
      <c r="AA500" s="61" t="n"/>
      <c r="AB500" s="61" t="n"/>
      <c r="AC500" s="61" t="n"/>
      <c r="AD500" s="61" t="n"/>
      <c r="AE500" s="61" t="n"/>
      <c r="AF500" s="61" t="n"/>
      <c r="AG500" s="61" t="n"/>
      <c r="AH500" s="61" t="n"/>
      <c r="AI500" s="61" t="n"/>
      <c r="AJ500" s="61" t="n"/>
      <c r="AK500" s="61" t="n"/>
      <c r="AL500" s="61" t="n"/>
      <c r="AM500" s="61" t="n"/>
      <c r="AN500" s="61" t="n"/>
      <c r="AO500" s="61" t="n"/>
      <c r="AP500" s="57" t="n"/>
      <c r="AQ500" s="56" t="n"/>
      <c r="AR500" s="57" t="n"/>
      <c r="AS500" s="61" t="n"/>
      <c r="AT500" s="61" t="n"/>
      <c r="AU500" s="57" t="n"/>
      <c r="AV500" s="61" t="n"/>
      <c r="AW500" s="61" t="n"/>
      <c r="AX500" s="61" t="n"/>
      <c r="AY500" s="61" t="n"/>
      <c r="AZ500" s="61" t="n"/>
      <c r="BA500" s="61" t="n"/>
      <c r="BB500" s="61" t="n"/>
      <c r="BC500" s="61" t="n"/>
      <c r="BD500" s="57" t="n"/>
      <c r="BE500" s="56" t="n"/>
      <c r="BF500" s="56" t="n"/>
      <c r="BG500" s="57" t="n"/>
      <c r="BH500" s="61" t="n"/>
      <c r="BI500" s="61" t="n"/>
      <c r="BJ500" s="61" t="n"/>
      <c r="BK500" s="61" t="n"/>
      <c r="BL500" s="61" t="n"/>
      <c r="BM500" s="61" t="n"/>
      <c r="BN500" s="61" t="n"/>
      <c r="BO500" s="61" t="n"/>
      <c r="BP500" s="61" t="n"/>
      <c r="BQ500" s="61" t="n"/>
      <c r="BR500" s="61" t="n"/>
      <c r="BS500" s="61" t="n"/>
      <c r="BT500" s="61" t="n"/>
    </row>
    <row r="501" ht="15.75" customHeight="1" s="79">
      <c r="A501" s="61" t="n"/>
      <c r="B501" s="61" t="n"/>
      <c r="C501" s="61" t="n"/>
      <c r="D501" s="61" t="n"/>
      <c r="E501" s="61" t="n"/>
      <c r="F501" s="61" t="n"/>
      <c r="G501" s="61" t="n"/>
      <c r="H501" s="61" t="n"/>
      <c r="I501" s="61" t="n"/>
      <c r="J501" s="61" t="n"/>
      <c r="K501" s="61" t="n"/>
      <c r="L501" s="61" t="n"/>
      <c r="M501" s="61" t="n"/>
      <c r="N501" s="61" t="n"/>
      <c r="O501" s="61" t="n"/>
      <c r="P501" s="61" t="n"/>
      <c r="Q501" s="61" t="n"/>
      <c r="R501" s="61" t="n"/>
      <c r="S501" s="61" t="n"/>
      <c r="T501" s="61" t="n"/>
      <c r="U501" s="61" t="n"/>
      <c r="V501" s="61" t="n"/>
      <c r="W501" s="61" t="n"/>
      <c r="X501" s="61" t="n"/>
      <c r="Y501" s="61" t="n"/>
      <c r="Z501" s="61" t="n"/>
      <c r="AA501" s="61" t="n"/>
      <c r="AB501" s="61" t="n"/>
      <c r="AC501" s="61" t="n"/>
      <c r="AD501" s="61" t="n"/>
      <c r="AE501" s="61" t="n"/>
      <c r="AF501" s="61" t="n"/>
      <c r="AG501" s="61" t="n"/>
      <c r="AH501" s="61" t="n"/>
      <c r="AI501" s="61" t="n"/>
      <c r="AJ501" s="61" t="n"/>
      <c r="AK501" s="61" t="n"/>
      <c r="AL501" s="61" t="n"/>
      <c r="AM501" s="61" t="n"/>
      <c r="AN501" s="61" t="n"/>
      <c r="AO501" s="61" t="n"/>
      <c r="AP501" s="57" t="n"/>
      <c r="AQ501" s="56" t="n"/>
      <c r="AR501" s="57" t="n"/>
      <c r="AS501" s="61" t="n"/>
      <c r="AT501" s="61" t="n"/>
      <c r="AU501" s="57" t="n"/>
      <c r="AV501" s="61" t="n"/>
      <c r="AW501" s="61" t="n"/>
      <c r="AX501" s="61" t="n"/>
      <c r="AY501" s="61" t="n"/>
      <c r="AZ501" s="61" t="n"/>
      <c r="BA501" s="61" t="n"/>
      <c r="BB501" s="61" t="n"/>
      <c r="BC501" s="61" t="n"/>
      <c r="BD501" s="57" t="n"/>
      <c r="BE501" s="56" t="n"/>
      <c r="BF501" s="56" t="n"/>
      <c r="BG501" s="57" t="n"/>
      <c r="BH501" s="61" t="n"/>
      <c r="BI501" s="61" t="n"/>
      <c r="BJ501" s="61" t="n"/>
      <c r="BK501" s="61" t="n"/>
      <c r="BL501" s="61" t="n"/>
      <c r="BM501" s="61" t="n"/>
      <c r="BN501" s="61" t="n"/>
      <c r="BO501" s="61" t="n"/>
      <c r="BP501" s="61" t="n"/>
      <c r="BQ501" s="61" t="n"/>
      <c r="BR501" s="61" t="n"/>
      <c r="BS501" s="61" t="n"/>
      <c r="BT501" s="61" t="n"/>
    </row>
    <row r="502" ht="15.75" customHeight="1" s="79">
      <c r="A502" s="61" t="n"/>
      <c r="B502" s="61" t="n"/>
      <c r="C502" s="61" t="n"/>
      <c r="D502" s="61" t="n"/>
      <c r="E502" s="61" t="n"/>
      <c r="F502" s="61" t="n"/>
      <c r="G502" s="61" t="n"/>
      <c r="H502" s="61" t="n"/>
      <c r="I502" s="61" t="n"/>
      <c r="J502" s="61" t="n"/>
      <c r="K502" s="61" t="n"/>
      <c r="L502" s="61" t="n"/>
      <c r="M502" s="61" t="n"/>
      <c r="N502" s="61" t="n"/>
      <c r="O502" s="61" t="n"/>
      <c r="P502" s="61" t="n"/>
      <c r="Q502" s="61" t="n"/>
      <c r="R502" s="61" t="n"/>
      <c r="S502" s="61" t="n"/>
      <c r="T502" s="61" t="n"/>
      <c r="U502" s="61" t="n"/>
      <c r="V502" s="61" t="n"/>
      <c r="W502" s="61" t="n"/>
      <c r="X502" s="61" t="n"/>
      <c r="Y502" s="61" t="n"/>
      <c r="Z502" s="61" t="n"/>
      <c r="AA502" s="61" t="n"/>
      <c r="AB502" s="61" t="n"/>
      <c r="AC502" s="61" t="n"/>
      <c r="AD502" s="61" t="n"/>
      <c r="AE502" s="61" t="n"/>
      <c r="AF502" s="61" t="n"/>
      <c r="AG502" s="61" t="n"/>
      <c r="AH502" s="61" t="n"/>
      <c r="AI502" s="61" t="n"/>
      <c r="AJ502" s="61" t="n"/>
      <c r="AK502" s="61" t="n"/>
      <c r="AL502" s="61" t="n"/>
      <c r="AM502" s="61" t="n"/>
      <c r="AN502" s="61" t="n"/>
      <c r="AO502" s="61" t="n"/>
      <c r="AP502" s="57" t="n"/>
      <c r="AQ502" s="56" t="n"/>
      <c r="AR502" s="57" t="n"/>
      <c r="AS502" s="61" t="n"/>
      <c r="AT502" s="61" t="n"/>
      <c r="AU502" s="57" t="n"/>
      <c r="AV502" s="61" t="n"/>
      <c r="AW502" s="61" t="n"/>
      <c r="AX502" s="61" t="n"/>
      <c r="AY502" s="61" t="n"/>
      <c r="AZ502" s="61" t="n"/>
      <c r="BA502" s="61" t="n"/>
      <c r="BB502" s="61" t="n"/>
      <c r="BC502" s="61" t="n"/>
      <c r="BD502" s="57" t="n"/>
      <c r="BE502" s="56" t="n"/>
      <c r="BF502" s="56" t="n"/>
      <c r="BG502" s="57" t="n"/>
      <c r="BH502" s="61" t="n"/>
      <c r="BI502" s="61" t="n"/>
      <c r="BJ502" s="61" t="n"/>
      <c r="BK502" s="61" t="n"/>
      <c r="BL502" s="61" t="n"/>
      <c r="BM502" s="61" t="n"/>
      <c r="BN502" s="61" t="n"/>
      <c r="BO502" s="61" t="n"/>
      <c r="BP502" s="61" t="n"/>
      <c r="BQ502" s="61" t="n"/>
      <c r="BR502" s="61" t="n"/>
      <c r="BS502" s="61" t="n"/>
      <c r="BT502" s="61" t="n"/>
    </row>
    <row r="503" ht="15.75" customHeight="1" s="79">
      <c r="A503" s="61" t="n"/>
      <c r="B503" s="61" t="n"/>
      <c r="C503" s="61" t="n"/>
      <c r="D503" s="61" t="n"/>
      <c r="E503" s="61" t="n"/>
      <c r="F503" s="61" t="n"/>
      <c r="G503" s="61" t="n"/>
      <c r="H503" s="61" t="n"/>
      <c r="I503" s="61" t="n"/>
      <c r="J503" s="61" t="n"/>
      <c r="K503" s="61" t="n"/>
      <c r="L503" s="61" t="n"/>
      <c r="M503" s="61" t="n"/>
      <c r="N503" s="61" t="n"/>
      <c r="O503" s="61" t="n"/>
      <c r="P503" s="61" t="n"/>
      <c r="Q503" s="61" t="n"/>
      <c r="R503" s="61" t="n"/>
      <c r="S503" s="61" t="n"/>
      <c r="T503" s="61" t="n"/>
      <c r="U503" s="61" t="n"/>
      <c r="V503" s="61" t="n"/>
      <c r="W503" s="61" t="n"/>
      <c r="X503" s="61" t="n"/>
      <c r="Y503" s="61" t="n"/>
      <c r="Z503" s="61" t="n"/>
      <c r="AA503" s="61" t="n"/>
      <c r="AB503" s="61" t="n"/>
      <c r="AC503" s="61" t="n"/>
      <c r="AD503" s="61" t="n"/>
      <c r="AE503" s="61" t="n"/>
      <c r="AF503" s="61" t="n"/>
      <c r="AG503" s="61" t="n"/>
      <c r="AH503" s="61" t="n"/>
      <c r="AI503" s="61" t="n"/>
      <c r="AJ503" s="61" t="n"/>
      <c r="AK503" s="61" t="n"/>
      <c r="AL503" s="61" t="n"/>
      <c r="AM503" s="61" t="n"/>
      <c r="AN503" s="61" t="n"/>
      <c r="AO503" s="61" t="n"/>
      <c r="AP503" s="57" t="n"/>
      <c r="AQ503" s="56" t="n"/>
      <c r="AR503" s="57" t="n"/>
      <c r="AS503" s="61" t="n"/>
      <c r="AT503" s="61" t="n"/>
      <c r="AU503" s="57" t="n"/>
      <c r="AV503" s="61" t="n"/>
      <c r="AW503" s="61" t="n"/>
      <c r="AX503" s="61" t="n"/>
      <c r="AY503" s="61" t="n"/>
      <c r="AZ503" s="61" t="n"/>
      <c r="BA503" s="61" t="n"/>
      <c r="BB503" s="61" t="n"/>
      <c r="BC503" s="61" t="n"/>
      <c r="BD503" s="57" t="n"/>
      <c r="BE503" s="56" t="n"/>
      <c r="BF503" s="56" t="n"/>
      <c r="BG503" s="57" t="n"/>
      <c r="BH503" s="61" t="n"/>
      <c r="BI503" s="61" t="n"/>
      <c r="BJ503" s="61" t="n"/>
      <c r="BK503" s="61" t="n"/>
      <c r="BL503" s="61" t="n"/>
      <c r="BM503" s="61" t="n"/>
      <c r="BN503" s="61" t="n"/>
      <c r="BO503" s="61" t="n"/>
      <c r="BP503" s="61" t="n"/>
      <c r="BQ503" s="61" t="n"/>
      <c r="BR503" s="61" t="n"/>
      <c r="BS503" s="61" t="n"/>
      <c r="BT503" s="61" t="n"/>
    </row>
    <row r="504" ht="15.75" customHeight="1" s="79">
      <c r="A504" s="61" t="n"/>
      <c r="B504" s="61" t="n"/>
      <c r="C504" s="61" t="n"/>
      <c r="D504" s="61" t="n"/>
      <c r="E504" s="61" t="n"/>
      <c r="F504" s="61" t="n"/>
      <c r="G504" s="61" t="n"/>
      <c r="H504" s="61" t="n"/>
      <c r="I504" s="61" t="n"/>
      <c r="J504" s="61" t="n"/>
      <c r="K504" s="61" t="n"/>
      <c r="L504" s="61" t="n"/>
      <c r="M504" s="61" t="n"/>
      <c r="N504" s="61" t="n"/>
      <c r="O504" s="61" t="n"/>
      <c r="P504" s="61" t="n"/>
      <c r="Q504" s="61" t="n"/>
      <c r="R504" s="61" t="n"/>
      <c r="S504" s="61" t="n"/>
      <c r="T504" s="61" t="n"/>
      <c r="U504" s="61" t="n"/>
      <c r="V504" s="61" t="n"/>
      <c r="W504" s="61" t="n"/>
      <c r="X504" s="61" t="n"/>
      <c r="Y504" s="61" t="n"/>
      <c r="Z504" s="61" t="n"/>
      <c r="AA504" s="61" t="n"/>
      <c r="AB504" s="61" t="n"/>
      <c r="AC504" s="61" t="n"/>
      <c r="AD504" s="61" t="n"/>
      <c r="AE504" s="61" t="n"/>
      <c r="AF504" s="61" t="n"/>
      <c r="AG504" s="61" t="n"/>
      <c r="AH504" s="61" t="n"/>
      <c r="AI504" s="61" t="n"/>
      <c r="AJ504" s="61" t="n"/>
      <c r="AK504" s="61" t="n"/>
      <c r="AL504" s="61" t="n"/>
      <c r="AM504" s="61" t="n"/>
      <c r="AN504" s="61" t="n"/>
      <c r="AO504" s="61" t="n"/>
      <c r="AP504" s="57" t="n"/>
      <c r="AQ504" s="56" t="n"/>
      <c r="AR504" s="57" t="n"/>
      <c r="AS504" s="61" t="n"/>
      <c r="AT504" s="61" t="n"/>
      <c r="AU504" s="57" t="n"/>
      <c r="AV504" s="61" t="n"/>
      <c r="AW504" s="61" t="n"/>
      <c r="AX504" s="61" t="n"/>
      <c r="AY504" s="61" t="n"/>
      <c r="AZ504" s="61" t="n"/>
      <c r="BA504" s="61" t="n"/>
      <c r="BB504" s="61" t="n"/>
      <c r="BC504" s="61" t="n"/>
      <c r="BD504" s="57" t="n"/>
      <c r="BE504" s="56" t="n"/>
      <c r="BF504" s="56" t="n"/>
      <c r="BG504" s="57" t="n"/>
      <c r="BH504" s="61" t="n"/>
      <c r="BI504" s="61" t="n"/>
      <c r="BJ504" s="61" t="n"/>
      <c r="BK504" s="61" t="n"/>
      <c r="BL504" s="61" t="n"/>
      <c r="BM504" s="61" t="n"/>
      <c r="BN504" s="61" t="n"/>
      <c r="BO504" s="61" t="n"/>
      <c r="BP504" s="61" t="n"/>
      <c r="BQ504" s="61" t="n"/>
      <c r="BR504" s="61" t="n"/>
      <c r="BS504" s="61" t="n"/>
      <c r="BT504" s="61" t="n"/>
    </row>
    <row r="505" ht="15.75" customHeight="1" s="79">
      <c r="A505" s="61" t="n"/>
      <c r="B505" s="61" t="n"/>
      <c r="C505" s="61" t="n"/>
      <c r="D505" s="61" t="n"/>
      <c r="E505" s="61" t="n"/>
      <c r="F505" s="61" t="n"/>
      <c r="G505" s="61" t="n"/>
      <c r="H505" s="61" t="n"/>
      <c r="I505" s="61" t="n"/>
      <c r="J505" s="61" t="n"/>
      <c r="K505" s="61" t="n"/>
      <c r="L505" s="61" t="n"/>
      <c r="M505" s="61" t="n"/>
      <c r="N505" s="61" t="n"/>
      <c r="O505" s="61" t="n"/>
      <c r="P505" s="61" t="n"/>
      <c r="Q505" s="61" t="n"/>
      <c r="R505" s="61" t="n"/>
      <c r="S505" s="61" t="n"/>
      <c r="T505" s="61" t="n"/>
      <c r="U505" s="61" t="n"/>
      <c r="V505" s="61" t="n"/>
      <c r="W505" s="61" t="n"/>
      <c r="X505" s="61" t="n"/>
      <c r="Y505" s="61" t="n"/>
      <c r="Z505" s="61" t="n"/>
      <c r="AA505" s="61" t="n"/>
      <c r="AB505" s="61" t="n"/>
      <c r="AC505" s="61" t="n"/>
      <c r="AD505" s="61" t="n"/>
      <c r="AE505" s="61" t="n"/>
      <c r="AF505" s="61" t="n"/>
      <c r="AG505" s="61" t="n"/>
      <c r="AH505" s="61" t="n"/>
      <c r="AI505" s="61" t="n"/>
      <c r="AJ505" s="61" t="n"/>
      <c r="AK505" s="61" t="n"/>
      <c r="AL505" s="61" t="n"/>
      <c r="AM505" s="61" t="n"/>
      <c r="AN505" s="61" t="n"/>
      <c r="AO505" s="61" t="n"/>
      <c r="AP505" s="57" t="n"/>
      <c r="AQ505" s="56" t="n"/>
      <c r="AR505" s="57" t="n"/>
      <c r="AS505" s="61" t="n"/>
      <c r="AT505" s="61" t="n"/>
      <c r="AU505" s="57" t="n"/>
      <c r="AV505" s="61" t="n"/>
      <c r="AW505" s="61" t="n"/>
      <c r="AX505" s="61" t="n"/>
      <c r="AY505" s="61" t="n"/>
      <c r="AZ505" s="61" t="n"/>
      <c r="BA505" s="61" t="n"/>
      <c r="BB505" s="61" t="n"/>
      <c r="BC505" s="61" t="n"/>
      <c r="BD505" s="57" t="n"/>
      <c r="BE505" s="56" t="n"/>
      <c r="BF505" s="56" t="n"/>
      <c r="BG505" s="57" t="n"/>
      <c r="BH505" s="61" t="n"/>
      <c r="BI505" s="61" t="n"/>
      <c r="BJ505" s="61" t="n"/>
      <c r="BK505" s="61" t="n"/>
      <c r="BL505" s="61" t="n"/>
      <c r="BM505" s="61" t="n"/>
      <c r="BN505" s="61" t="n"/>
      <c r="BO505" s="61" t="n"/>
      <c r="BP505" s="61" t="n"/>
      <c r="BQ505" s="61" t="n"/>
      <c r="BR505" s="61" t="n"/>
      <c r="BS505" s="61" t="n"/>
      <c r="BT505" s="61" t="n"/>
    </row>
    <row r="506" ht="15.75" customHeight="1" s="79">
      <c r="A506" s="61" t="n"/>
      <c r="B506" s="61" t="n"/>
      <c r="C506" s="61" t="n"/>
      <c r="D506" s="61" t="n"/>
      <c r="E506" s="61" t="n"/>
      <c r="F506" s="61" t="n"/>
      <c r="G506" s="61" t="n"/>
      <c r="H506" s="61" t="n"/>
      <c r="I506" s="61" t="n"/>
      <c r="J506" s="61" t="n"/>
      <c r="K506" s="61" t="n"/>
      <c r="L506" s="61" t="n"/>
      <c r="M506" s="61" t="n"/>
      <c r="N506" s="61" t="n"/>
      <c r="O506" s="61" t="n"/>
      <c r="P506" s="61" t="n"/>
      <c r="Q506" s="61" t="n"/>
      <c r="R506" s="61" t="n"/>
      <c r="S506" s="61" t="n"/>
      <c r="T506" s="61" t="n"/>
      <c r="U506" s="61" t="n"/>
      <c r="V506" s="61" t="n"/>
      <c r="W506" s="61" t="n"/>
      <c r="X506" s="61" t="n"/>
      <c r="Y506" s="61" t="n"/>
      <c r="Z506" s="61" t="n"/>
      <c r="AA506" s="61" t="n"/>
      <c r="AB506" s="61" t="n"/>
      <c r="AC506" s="61" t="n"/>
      <c r="AD506" s="61" t="n"/>
      <c r="AE506" s="61" t="n"/>
      <c r="AF506" s="61" t="n"/>
      <c r="AG506" s="61" t="n"/>
      <c r="AH506" s="61" t="n"/>
      <c r="AI506" s="61" t="n"/>
      <c r="AJ506" s="61" t="n"/>
      <c r="AK506" s="61" t="n"/>
      <c r="AL506" s="61" t="n"/>
      <c r="AM506" s="61" t="n"/>
      <c r="AN506" s="61" t="n"/>
      <c r="AO506" s="61" t="n"/>
      <c r="AP506" s="57" t="n"/>
      <c r="AQ506" s="56" t="n"/>
      <c r="AR506" s="57" t="n"/>
      <c r="AS506" s="61" t="n"/>
      <c r="AT506" s="61" t="n"/>
      <c r="AU506" s="57" t="n"/>
      <c r="AV506" s="61" t="n"/>
      <c r="AW506" s="61" t="n"/>
      <c r="AX506" s="61" t="n"/>
      <c r="AY506" s="61" t="n"/>
      <c r="AZ506" s="61" t="n"/>
      <c r="BA506" s="61" t="n"/>
      <c r="BB506" s="61" t="n"/>
      <c r="BC506" s="61" t="n"/>
      <c r="BD506" s="57" t="n"/>
      <c r="BE506" s="56" t="n"/>
      <c r="BF506" s="56" t="n"/>
      <c r="BG506" s="57" t="n"/>
      <c r="BH506" s="61" t="n"/>
      <c r="BI506" s="61" t="n"/>
      <c r="BJ506" s="61" t="n"/>
      <c r="BK506" s="61" t="n"/>
      <c r="BL506" s="61" t="n"/>
      <c r="BM506" s="61" t="n"/>
      <c r="BN506" s="61" t="n"/>
      <c r="BO506" s="61" t="n"/>
      <c r="BP506" s="61" t="n"/>
      <c r="BQ506" s="61" t="n"/>
      <c r="BR506" s="61" t="n"/>
      <c r="BS506" s="61" t="n"/>
      <c r="BT506" s="61" t="n"/>
    </row>
    <row r="507" ht="15.75" customHeight="1" s="79">
      <c r="A507" s="61" t="n"/>
      <c r="B507" s="61" t="n"/>
      <c r="C507" s="61" t="n"/>
      <c r="D507" s="61" t="n"/>
      <c r="E507" s="61" t="n"/>
      <c r="F507" s="61" t="n"/>
      <c r="G507" s="61" t="n"/>
      <c r="H507" s="61" t="n"/>
      <c r="I507" s="61" t="n"/>
      <c r="J507" s="61" t="n"/>
      <c r="K507" s="61" t="n"/>
      <c r="L507" s="61" t="n"/>
      <c r="M507" s="61" t="n"/>
      <c r="N507" s="61" t="n"/>
      <c r="O507" s="61" t="n"/>
      <c r="P507" s="61" t="n"/>
      <c r="Q507" s="61" t="n"/>
      <c r="R507" s="61" t="n"/>
      <c r="S507" s="61" t="n"/>
      <c r="T507" s="61" t="n"/>
      <c r="U507" s="61" t="n"/>
      <c r="V507" s="61" t="n"/>
      <c r="W507" s="61" t="n"/>
      <c r="X507" s="61" t="n"/>
      <c r="Y507" s="61" t="n"/>
      <c r="Z507" s="61" t="n"/>
      <c r="AA507" s="61" t="n"/>
      <c r="AB507" s="61" t="n"/>
      <c r="AC507" s="61" t="n"/>
      <c r="AD507" s="61" t="n"/>
      <c r="AE507" s="61" t="n"/>
      <c r="AF507" s="61" t="n"/>
      <c r="AG507" s="61" t="n"/>
      <c r="AH507" s="61" t="n"/>
      <c r="AI507" s="61" t="n"/>
      <c r="AJ507" s="61" t="n"/>
      <c r="AK507" s="61" t="n"/>
      <c r="AL507" s="61" t="n"/>
      <c r="AM507" s="61" t="n"/>
      <c r="AN507" s="61" t="n"/>
      <c r="AO507" s="61" t="n"/>
      <c r="AP507" s="57" t="n"/>
      <c r="AQ507" s="56" t="n"/>
      <c r="AR507" s="57" t="n"/>
      <c r="AS507" s="61" t="n"/>
      <c r="AT507" s="61" t="n"/>
      <c r="AU507" s="57" t="n"/>
      <c r="AV507" s="61" t="n"/>
      <c r="AW507" s="61" t="n"/>
      <c r="AX507" s="61" t="n"/>
      <c r="AY507" s="61" t="n"/>
      <c r="AZ507" s="61" t="n"/>
      <c r="BA507" s="61" t="n"/>
      <c r="BB507" s="61" t="n"/>
      <c r="BC507" s="61" t="n"/>
      <c r="BD507" s="57" t="n"/>
      <c r="BE507" s="56" t="n"/>
      <c r="BF507" s="56" t="n"/>
      <c r="BG507" s="57" t="n"/>
      <c r="BH507" s="61" t="n"/>
      <c r="BI507" s="61" t="n"/>
      <c r="BJ507" s="61" t="n"/>
      <c r="BK507" s="61" t="n"/>
      <c r="BL507" s="61" t="n"/>
      <c r="BM507" s="61" t="n"/>
      <c r="BN507" s="61" t="n"/>
      <c r="BO507" s="61" t="n"/>
      <c r="BP507" s="61" t="n"/>
      <c r="BQ507" s="61" t="n"/>
      <c r="BR507" s="61" t="n"/>
      <c r="BS507" s="61" t="n"/>
      <c r="BT507" s="61" t="n"/>
    </row>
    <row r="508" ht="15.75" customHeight="1" s="79">
      <c r="A508" s="61" t="n"/>
      <c r="B508" s="61" t="n"/>
      <c r="C508" s="61" t="n"/>
      <c r="D508" s="61" t="n"/>
      <c r="E508" s="61" t="n"/>
      <c r="F508" s="61" t="n"/>
      <c r="G508" s="61" t="n"/>
      <c r="H508" s="61" t="n"/>
      <c r="I508" s="61" t="n"/>
      <c r="J508" s="61" t="n"/>
      <c r="K508" s="61" t="n"/>
      <c r="L508" s="61" t="n"/>
      <c r="M508" s="61" t="n"/>
      <c r="N508" s="61" t="n"/>
      <c r="O508" s="61" t="n"/>
      <c r="P508" s="61" t="n"/>
      <c r="Q508" s="61" t="n"/>
      <c r="R508" s="61" t="n"/>
      <c r="S508" s="61" t="n"/>
      <c r="T508" s="61" t="n"/>
      <c r="U508" s="61" t="n"/>
      <c r="V508" s="61" t="n"/>
      <c r="W508" s="61" t="n"/>
      <c r="X508" s="61" t="n"/>
      <c r="Y508" s="61" t="n"/>
      <c r="Z508" s="61" t="n"/>
      <c r="AA508" s="61" t="n"/>
      <c r="AB508" s="61" t="n"/>
      <c r="AC508" s="61" t="n"/>
      <c r="AD508" s="61" t="n"/>
      <c r="AE508" s="61" t="n"/>
      <c r="AF508" s="61" t="n"/>
      <c r="AG508" s="61" t="n"/>
      <c r="AH508" s="61" t="n"/>
      <c r="AI508" s="61" t="n"/>
      <c r="AJ508" s="61" t="n"/>
      <c r="AK508" s="61" t="n"/>
      <c r="AL508" s="61" t="n"/>
      <c r="AM508" s="61" t="n"/>
      <c r="AN508" s="61" t="n"/>
      <c r="AO508" s="61" t="n"/>
      <c r="AP508" s="57" t="n"/>
      <c r="AQ508" s="56" t="n"/>
      <c r="AR508" s="57" t="n"/>
      <c r="AS508" s="61" t="n"/>
      <c r="AT508" s="61" t="n"/>
      <c r="AU508" s="57" t="n"/>
      <c r="AV508" s="61" t="n"/>
      <c r="AW508" s="61" t="n"/>
      <c r="AX508" s="61" t="n"/>
      <c r="AY508" s="61" t="n"/>
      <c r="AZ508" s="61" t="n"/>
      <c r="BA508" s="61" t="n"/>
      <c r="BB508" s="61" t="n"/>
      <c r="BC508" s="61" t="n"/>
      <c r="BD508" s="57" t="n"/>
      <c r="BE508" s="56" t="n"/>
      <c r="BF508" s="56" t="n"/>
      <c r="BG508" s="57" t="n"/>
      <c r="BH508" s="61" t="n"/>
      <c r="BI508" s="61" t="n"/>
      <c r="BJ508" s="61" t="n"/>
      <c r="BK508" s="61" t="n"/>
      <c r="BL508" s="61" t="n"/>
      <c r="BM508" s="61" t="n"/>
      <c r="BN508" s="61" t="n"/>
      <c r="BO508" s="61" t="n"/>
      <c r="BP508" s="61" t="n"/>
      <c r="BQ508" s="61" t="n"/>
      <c r="BR508" s="61" t="n"/>
      <c r="BS508" s="61" t="n"/>
      <c r="BT508" s="61" t="n"/>
    </row>
    <row r="509" ht="15.75" customHeight="1" s="79">
      <c r="A509" s="61" t="n"/>
      <c r="B509" s="61" t="n"/>
      <c r="C509" s="61" t="n"/>
      <c r="D509" s="61" t="n"/>
      <c r="E509" s="61" t="n"/>
      <c r="F509" s="61" t="n"/>
      <c r="G509" s="61" t="n"/>
      <c r="H509" s="61" t="n"/>
      <c r="I509" s="61" t="n"/>
      <c r="J509" s="61" t="n"/>
      <c r="K509" s="61" t="n"/>
      <c r="L509" s="61" t="n"/>
      <c r="M509" s="61" t="n"/>
      <c r="N509" s="61" t="n"/>
      <c r="O509" s="61" t="n"/>
      <c r="P509" s="61" t="n"/>
      <c r="Q509" s="61" t="n"/>
      <c r="R509" s="61" t="n"/>
      <c r="S509" s="61" t="n"/>
      <c r="T509" s="61" t="n"/>
      <c r="U509" s="61" t="n"/>
      <c r="V509" s="61" t="n"/>
      <c r="W509" s="61" t="n"/>
      <c r="X509" s="61" t="n"/>
      <c r="Y509" s="61" t="n"/>
      <c r="Z509" s="61" t="n"/>
      <c r="AA509" s="61" t="n"/>
      <c r="AB509" s="61" t="n"/>
      <c r="AC509" s="61" t="n"/>
      <c r="AD509" s="61" t="n"/>
      <c r="AE509" s="61" t="n"/>
      <c r="AF509" s="61" t="n"/>
      <c r="AG509" s="61" t="n"/>
      <c r="AH509" s="61" t="n"/>
      <c r="AI509" s="61" t="n"/>
      <c r="AJ509" s="61" t="n"/>
      <c r="AK509" s="61" t="n"/>
      <c r="AL509" s="61" t="n"/>
      <c r="AM509" s="61" t="n"/>
      <c r="AN509" s="61" t="n"/>
      <c r="AO509" s="61" t="n"/>
      <c r="AP509" s="57" t="n"/>
      <c r="AQ509" s="56" t="n"/>
      <c r="AR509" s="57" t="n"/>
      <c r="AS509" s="61" t="n"/>
      <c r="AT509" s="61" t="n"/>
      <c r="AU509" s="57" t="n"/>
      <c r="AV509" s="61" t="n"/>
      <c r="AW509" s="61" t="n"/>
      <c r="AX509" s="61" t="n"/>
      <c r="AY509" s="61" t="n"/>
      <c r="AZ509" s="61" t="n"/>
      <c r="BA509" s="61" t="n"/>
      <c r="BB509" s="61" t="n"/>
      <c r="BC509" s="61" t="n"/>
      <c r="BD509" s="57" t="n"/>
      <c r="BE509" s="56" t="n"/>
      <c r="BF509" s="56" t="n"/>
      <c r="BG509" s="57" t="n"/>
      <c r="BH509" s="61" t="n"/>
      <c r="BI509" s="61" t="n"/>
      <c r="BJ509" s="61" t="n"/>
      <c r="BK509" s="61" t="n"/>
      <c r="BL509" s="61" t="n"/>
      <c r="BM509" s="61" t="n"/>
      <c r="BN509" s="61" t="n"/>
      <c r="BO509" s="61" t="n"/>
      <c r="BP509" s="61" t="n"/>
      <c r="BQ509" s="61" t="n"/>
      <c r="BR509" s="61" t="n"/>
      <c r="BS509" s="61" t="n"/>
      <c r="BT509" s="61" t="n"/>
    </row>
    <row r="510" ht="15.75" customHeight="1" s="79">
      <c r="A510" s="61" t="n"/>
      <c r="B510" s="61" t="n"/>
      <c r="C510" s="61" t="n"/>
      <c r="D510" s="61" t="n"/>
      <c r="E510" s="61" t="n"/>
      <c r="F510" s="61" t="n"/>
      <c r="G510" s="61" t="n"/>
      <c r="H510" s="61" t="n"/>
      <c r="I510" s="61" t="n"/>
      <c r="J510" s="61" t="n"/>
      <c r="K510" s="61" t="n"/>
      <c r="L510" s="61" t="n"/>
      <c r="M510" s="61" t="n"/>
      <c r="N510" s="61" t="n"/>
      <c r="O510" s="61" t="n"/>
      <c r="P510" s="61" t="n"/>
      <c r="Q510" s="61" t="n"/>
      <c r="R510" s="61" t="n"/>
      <c r="S510" s="61" t="n"/>
      <c r="T510" s="61" t="n"/>
      <c r="U510" s="61" t="n"/>
      <c r="V510" s="61" t="n"/>
      <c r="W510" s="61" t="n"/>
      <c r="X510" s="61" t="n"/>
      <c r="Y510" s="61" t="n"/>
      <c r="Z510" s="61" t="n"/>
      <c r="AA510" s="61" t="n"/>
      <c r="AB510" s="61" t="n"/>
      <c r="AC510" s="61" t="n"/>
      <c r="AD510" s="61" t="n"/>
      <c r="AE510" s="61" t="n"/>
      <c r="AF510" s="61" t="n"/>
      <c r="AG510" s="61" t="n"/>
      <c r="AH510" s="61" t="n"/>
      <c r="AI510" s="61" t="n"/>
      <c r="AJ510" s="61" t="n"/>
      <c r="AK510" s="61" t="n"/>
      <c r="AL510" s="61" t="n"/>
      <c r="AM510" s="61" t="n"/>
      <c r="AN510" s="61" t="n"/>
      <c r="AO510" s="61" t="n"/>
      <c r="AP510" s="57" t="n"/>
      <c r="AQ510" s="56" t="n"/>
      <c r="AR510" s="57" t="n"/>
      <c r="AS510" s="61" t="n"/>
      <c r="AT510" s="61" t="n"/>
      <c r="AU510" s="57" t="n"/>
      <c r="AV510" s="61" t="n"/>
      <c r="AW510" s="61" t="n"/>
      <c r="AX510" s="61" t="n"/>
      <c r="AY510" s="61" t="n"/>
      <c r="AZ510" s="61" t="n"/>
      <c r="BA510" s="61" t="n"/>
      <c r="BB510" s="61" t="n"/>
      <c r="BC510" s="61" t="n"/>
      <c r="BD510" s="57" t="n"/>
      <c r="BE510" s="56" t="n"/>
      <c r="BF510" s="56" t="n"/>
      <c r="BG510" s="57" t="n"/>
      <c r="BH510" s="61" t="n"/>
      <c r="BI510" s="61" t="n"/>
      <c r="BJ510" s="61" t="n"/>
      <c r="BK510" s="61" t="n"/>
      <c r="BL510" s="61" t="n"/>
      <c r="BM510" s="61" t="n"/>
      <c r="BN510" s="61" t="n"/>
      <c r="BO510" s="61" t="n"/>
      <c r="BP510" s="61" t="n"/>
      <c r="BQ510" s="61" t="n"/>
      <c r="BR510" s="61" t="n"/>
      <c r="BS510" s="61" t="n"/>
      <c r="BT510" s="61" t="n"/>
    </row>
    <row r="511" ht="15.75" customHeight="1" s="79">
      <c r="A511" s="61" t="n"/>
      <c r="B511" s="61" t="n"/>
      <c r="C511" s="61" t="n"/>
      <c r="D511" s="61" t="n"/>
      <c r="E511" s="61" t="n"/>
      <c r="F511" s="61" t="n"/>
      <c r="G511" s="61" t="n"/>
      <c r="H511" s="61" t="n"/>
      <c r="I511" s="61" t="n"/>
      <c r="J511" s="61" t="n"/>
      <c r="K511" s="61" t="n"/>
      <c r="L511" s="61" t="n"/>
      <c r="M511" s="61" t="n"/>
      <c r="N511" s="61" t="n"/>
      <c r="O511" s="61" t="n"/>
      <c r="P511" s="61" t="n"/>
      <c r="Q511" s="61" t="n"/>
      <c r="R511" s="61" t="n"/>
      <c r="S511" s="61" t="n"/>
      <c r="T511" s="61" t="n"/>
      <c r="U511" s="61" t="n"/>
      <c r="V511" s="61" t="n"/>
      <c r="W511" s="61" t="n"/>
      <c r="X511" s="61" t="n"/>
      <c r="Y511" s="61" t="n"/>
      <c r="Z511" s="61" t="n"/>
      <c r="AA511" s="61" t="n"/>
      <c r="AB511" s="61" t="n"/>
      <c r="AC511" s="61" t="n"/>
      <c r="AD511" s="61" t="n"/>
      <c r="AE511" s="61" t="n"/>
      <c r="AF511" s="61" t="n"/>
      <c r="AG511" s="61" t="n"/>
      <c r="AH511" s="61" t="n"/>
      <c r="AI511" s="61" t="n"/>
      <c r="AJ511" s="61" t="n"/>
      <c r="AK511" s="61" t="n"/>
      <c r="AL511" s="61" t="n"/>
      <c r="AM511" s="61" t="n"/>
      <c r="AN511" s="61" t="n"/>
      <c r="AO511" s="61" t="n"/>
      <c r="AP511" s="57" t="n"/>
      <c r="AQ511" s="56" t="n"/>
      <c r="AR511" s="57" t="n"/>
      <c r="AS511" s="61" t="n"/>
      <c r="AT511" s="61" t="n"/>
      <c r="AU511" s="57" t="n"/>
      <c r="AV511" s="61" t="n"/>
      <c r="AW511" s="61" t="n"/>
      <c r="AX511" s="61" t="n"/>
      <c r="AY511" s="61" t="n"/>
      <c r="AZ511" s="61" t="n"/>
      <c r="BA511" s="61" t="n"/>
      <c r="BB511" s="61" t="n"/>
      <c r="BC511" s="61" t="n"/>
      <c r="BD511" s="57" t="n"/>
      <c r="BE511" s="56" t="n"/>
      <c r="BF511" s="56" t="n"/>
      <c r="BG511" s="57" t="n"/>
      <c r="BH511" s="61" t="n"/>
      <c r="BI511" s="61" t="n"/>
      <c r="BJ511" s="61" t="n"/>
      <c r="BK511" s="61" t="n"/>
      <c r="BL511" s="61" t="n"/>
      <c r="BM511" s="61" t="n"/>
      <c r="BN511" s="61" t="n"/>
      <c r="BO511" s="61" t="n"/>
      <c r="BP511" s="61" t="n"/>
      <c r="BQ511" s="61" t="n"/>
      <c r="BR511" s="61" t="n"/>
      <c r="BS511" s="61" t="n"/>
      <c r="BT511" s="61" t="n"/>
    </row>
    <row r="512" ht="15.75" customHeight="1" s="79">
      <c r="A512" s="61" t="n"/>
      <c r="B512" s="61" t="n"/>
      <c r="C512" s="61" t="n"/>
      <c r="D512" s="61" t="n"/>
      <c r="E512" s="61" t="n"/>
      <c r="F512" s="61" t="n"/>
      <c r="G512" s="61" t="n"/>
      <c r="H512" s="61" t="n"/>
      <c r="I512" s="61" t="n"/>
      <c r="J512" s="61" t="n"/>
      <c r="K512" s="61" t="n"/>
      <c r="L512" s="61" t="n"/>
      <c r="M512" s="61" t="n"/>
      <c r="N512" s="61" t="n"/>
      <c r="O512" s="61" t="n"/>
      <c r="P512" s="61" t="n"/>
      <c r="Q512" s="61" t="n"/>
      <c r="R512" s="61" t="n"/>
      <c r="S512" s="61" t="n"/>
      <c r="T512" s="61" t="n"/>
      <c r="U512" s="61" t="n"/>
      <c r="V512" s="61" t="n"/>
      <c r="W512" s="61" t="n"/>
      <c r="X512" s="61" t="n"/>
      <c r="Y512" s="61" t="n"/>
      <c r="Z512" s="61" t="n"/>
      <c r="AA512" s="61" t="n"/>
      <c r="AB512" s="61" t="n"/>
      <c r="AC512" s="61" t="n"/>
      <c r="AD512" s="61" t="n"/>
      <c r="AE512" s="61" t="n"/>
      <c r="AF512" s="61" t="n"/>
      <c r="AG512" s="61" t="n"/>
      <c r="AH512" s="61" t="n"/>
      <c r="AI512" s="61" t="n"/>
      <c r="AJ512" s="61" t="n"/>
      <c r="AK512" s="61" t="n"/>
      <c r="AL512" s="61" t="n"/>
      <c r="AM512" s="61" t="n"/>
      <c r="AN512" s="61" t="n"/>
      <c r="AO512" s="61" t="n"/>
      <c r="AP512" s="57" t="n"/>
      <c r="AQ512" s="56" t="n"/>
      <c r="AR512" s="57" t="n"/>
      <c r="AS512" s="61" t="n"/>
      <c r="AT512" s="61" t="n"/>
      <c r="AU512" s="57" t="n"/>
      <c r="AV512" s="61" t="n"/>
      <c r="AW512" s="61" t="n"/>
      <c r="AX512" s="61" t="n"/>
      <c r="AY512" s="61" t="n"/>
      <c r="AZ512" s="61" t="n"/>
      <c r="BA512" s="61" t="n"/>
      <c r="BB512" s="61" t="n"/>
      <c r="BC512" s="61" t="n"/>
      <c r="BD512" s="57" t="n"/>
      <c r="BE512" s="56" t="n"/>
      <c r="BF512" s="56" t="n"/>
      <c r="BG512" s="57" t="n"/>
      <c r="BH512" s="61" t="n"/>
      <c r="BI512" s="61" t="n"/>
      <c r="BJ512" s="61" t="n"/>
      <c r="BK512" s="61" t="n"/>
      <c r="BL512" s="61" t="n"/>
      <c r="BM512" s="61" t="n"/>
      <c r="BN512" s="61" t="n"/>
      <c r="BO512" s="61" t="n"/>
      <c r="BP512" s="61" t="n"/>
      <c r="BQ512" s="61" t="n"/>
      <c r="BR512" s="61" t="n"/>
      <c r="BS512" s="61" t="n"/>
      <c r="BT512" s="61" t="n"/>
    </row>
    <row r="513" ht="15.75" customHeight="1" s="79">
      <c r="A513" s="61" t="n"/>
      <c r="B513" s="61" t="n"/>
      <c r="C513" s="61" t="n"/>
      <c r="D513" s="61" t="n"/>
      <c r="E513" s="61" t="n"/>
      <c r="F513" s="61" t="n"/>
      <c r="G513" s="61" t="n"/>
      <c r="H513" s="61" t="n"/>
      <c r="I513" s="61" t="n"/>
      <c r="J513" s="61" t="n"/>
      <c r="K513" s="61" t="n"/>
      <c r="L513" s="61" t="n"/>
      <c r="M513" s="61" t="n"/>
      <c r="N513" s="61" t="n"/>
      <c r="O513" s="61" t="n"/>
      <c r="P513" s="61" t="n"/>
      <c r="Q513" s="61" t="n"/>
      <c r="R513" s="61" t="n"/>
      <c r="S513" s="61" t="n"/>
      <c r="T513" s="61" t="n"/>
      <c r="U513" s="61" t="n"/>
      <c r="V513" s="61" t="n"/>
      <c r="W513" s="61" t="n"/>
      <c r="X513" s="61" t="n"/>
      <c r="Y513" s="61" t="n"/>
      <c r="Z513" s="61" t="n"/>
      <c r="AA513" s="61" t="n"/>
      <c r="AB513" s="61" t="n"/>
      <c r="AC513" s="61" t="n"/>
      <c r="AD513" s="61" t="n"/>
      <c r="AE513" s="61" t="n"/>
      <c r="AF513" s="61" t="n"/>
      <c r="AG513" s="61" t="n"/>
      <c r="AH513" s="61" t="n"/>
      <c r="AI513" s="61" t="n"/>
      <c r="AJ513" s="61" t="n"/>
      <c r="AK513" s="61" t="n"/>
      <c r="AL513" s="61" t="n"/>
      <c r="AM513" s="61" t="n"/>
      <c r="AN513" s="61" t="n"/>
      <c r="AO513" s="61" t="n"/>
      <c r="AP513" s="57" t="n"/>
      <c r="AQ513" s="56" t="n"/>
      <c r="AR513" s="57" t="n"/>
      <c r="AS513" s="61" t="n"/>
      <c r="AT513" s="61" t="n"/>
      <c r="AU513" s="57" t="n"/>
      <c r="AV513" s="61" t="n"/>
      <c r="AW513" s="61" t="n"/>
      <c r="AX513" s="61" t="n"/>
      <c r="AY513" s="61" t="n"/>
      <c r="AZ513" s="61" t="n"/>
      <c r="BA513" s="61" t="n"/>
      <c r="BB513" s="61" t="n"/>
      <c r="BC513" s="61" t="n"/>
      <c r="BD513" s="57" t="n"/>
      <c r="BE513" s="56" t="n"/>
      <c r="BF513" s="56" t="n"/>
      <c r="BG513" s="57" t="n"/>
      <c r="BH513" s="61" t="n"/>
      <c r="BI513" s="61" t="n"/>
      <c r="BJ513" s="61" t="n"/>
      <c r="BK513" s="61" t="n"/>
      <c r="BL513" s="61" t="n"/>
      <c r="BM513" s="61" t="n"/>
      <c r="BN513" s="61" t="n"/>
      <c r="BO513" s="61" t="n"/>
      <c r="BP513" s="61" t="n"/>
      <c r="BQ513" s="61" t="n"/>
      <c r="BR513" s="61" t="n"/>
      <c r="BS513" s="61" t="n"/>
      <c r="BT513" s="61" t="n"/>
    </row>
    <row r="514" ht="15.75" customHeight="1" s="79">
      <c r="A514" s="61" t="n"/>
      <c r="B514" s="61" t="n"/>
      <c r="C514" s="61" t="n"/>
      <c r="D514" s="61" t="n"/>
      <c r="E514" s="61" t="n"/>
      <c r="F514" s="61" t="n"/>
      <c r="G514" s="61" t="n"/>
      <c r="H514" s="61" t="n"/>
      <c r="I514" s="61" t="n"/>
      <c r="J514" s="61" t="n"/>
      <c r="K514" s="61" t="n"/>
      <c r="L514" s="61" t="n"/>
      <c r="M514" s="61" t="n"/>
      <c r="N514" s="61" t="n"/>
      <c r="O514" s="61" t="n"/>
      <c r="P514" s="61" t="n"/>
      <c r="Q514" s="61" t="n"/>
      <c r="R514" s="61" t="n"/>
      <c r="S514" s="61" t="n"/>
      <c r="T514" s="61" t="n"/>
      <c r="U514" s="61" t="n"/>
      <c r="V514" s="61" t="n"/>
      <c r="W514" s="61" t="n"/>
      <c r="X514" s="61" t="n"/>
      <c r="Y514" s="61" t="n"/>
      <c r="Z514" s="61" t="n"/>
      <c r="AA514" s="61" t="n"/>
      <c r="AB514" s="61" t="n"/>
      <c r="AC514" s="61" t="n"/>
      <c r="AD514" s="61" t="n"/>
      <c r="AE514" s="61" t="n"/>
      <c r="AF514" s="61" t="n"/>
      <c r="AG514" s="61" t="n"/>
      <c r="AH514" s="61" t="n"/>
      <c r="AI514" s="61" t="n"/>
      <c r="AJ514" s="61" t="n"/>
      <c r="AK514" s="61" t="n"/>
      <c r="AL514" s="61" t="n"/>
      <c r="AM514" s="61" t="n"/>
      <c r="AN514" s="61" t="n"/>
      <c r="AO514" s="61" t="n"/>
      <c r="AP514" s="57" t="n"/>
      <c r="AQ514" s="56" t="n"/>
      <c r="AR514" s="57" t="n"/>
      <c r="AS514" s="61" t="n"/>
      <c r="AT514" s="61" t="n"/>
      <c r="AU514" s="57" t="n"/>
      <c r="AV514" s="61" t="n"/>
      <c r="AW514" s="61" t="n"/>
      <c r="AX514" s="61" t="n"/>
      <c r="AY514" s="61" t="n"/>
      <c r="AZ514" s="61" t="n"/>
      <c r="BA514" s="61" t="n"/>
      <c r="BB514" s="61" t="n"/>
      <c r="BC514" s="61" t="n"/>
      <c r="BD514" s="57" t="n"/>
      <c r="BE514" s="56" t="n"/>
      <c r="BF514" s="56" t="n"/>
      <c r="BG514" s="57" t="n"/>
      <c r="BH514" s="61" t="n"/>
      <c r="BI514" s="61" t="n"/>
      <c r="BJ514" s="61" t="n"/>
      <c r="BK514" s="61" t="n"/>
      <c r="BL514" s="61" t="n"/>
      <c r="BM514" s="61" t="n"/>
      <c r="BN514" s="61" t="n"/>
      <c r="BO514" s="61" t="n"/>
      <c r="BP514" s="61" t="n"/>
      <c r="BQ514" s="61" t="n"/>
      <c r="BR514" s="61" t="n"/>
      <c r="BS514" s="61" t="n"/>
      <c r="BT514" s="61" t="n"/>
    </row>
    <row r="515" ht="15.75" customHeight="1" s="79">
      <c r="A515" s="61" t="n"/>
      <c r="B515" s="61" t="n"/>
      <c r="C515" s="61" t="n"/>
      <c r="D515" s="61" t="n"/>
      <c r="E515" s="61" t="n"/>
      <c r="F515" s="61" t="n"/>
      <c r="G515" s="61" t="n"/>
      <c r="H515" s="61" t="n"/>
      <c r="I515" s="61" t="n"/>
      <c r="J515" s="61" t="n"/>
      <c r="K515" s="61" t="n"/>
      <c r="L515" s="61" t="n"/>
      <c r="M515" s="61" t="n"/>
      <c r="N515" s="61" t="n"/>
      <c r="O515" s="61" t="n"/>
      <c r="P515" s="61" t="n"/>
      <c r="Q515" s="61" t="n"/>
      <c r="R515" s="61" t="n"/>
      <c r="S515" s="61" t="n"/>
      <c r="T515" s="61" t="n"/>
      <c r="U515" s="61" t="n"/>
      <c r="V515" s="61" t="n"/>
      <c r="W515" s="61" t="n"/>
      <c r="X515" s="61" t="n"/>
      <c r="Y515" s="61" t="n"/>
      <c r="Z515" s="61" t="n"/>
      <c r="AA515" s="61" t="n"/>
      <c r="AB515" s="61" t="n"/>
      <c r="AC515" s="61" t="n"/>
      <c r="AD515" s="61" t="n"/>
      <c r="AE515" s="61" t="n"/>
      <c r="AF515" s="61" t="n"/>
      <c r="AG515" s="61" t="n"/>
      <c r="AH515" s="61" t="n"/>
      <c r="AI515" s="61" t="n"/>
      <c r="AJ515" s="61" t="n"/>
      <c r="AK515" s="61" t="n"/>
      <c r="AL515" s="61" t="n"/>
      <c r="AM515" s="61" t="n"/>
      <c r="AN515" s="61" t="n"/>
      <c r="AO515" s="61" t="n"/>
      <c r="AP515" s="57" t="n"/>
      <c r="AQ515" s="56" t="n"/>
      <c r="AR515" s="57" t="n"/>
      <c r="AS515" s="61" t="n"/>
      <c r="AT515" s="61" t="n"/>
      <c r="AU515" s="57" t="n"/>
      <c r="AV515" s="61" t="n"/>
      <c r="AW515" s="61" t="n"/>
      <c r="AX515" s="61" t="n"/>
      <c r="AY515" s="61" t="n"/>
      <c r="AZ515" s="61" t="n"/>
      <c r="BA515" s="61" t="n"/>
      <c r="BB515" s="61" t="n"/>
      <c r="BC515" s="61" t="n"/>
      <c r="BD515" s="57" t="n"/>
      <c r="BE515" s="56" t="n"/>
      <c r="BF515" s="56" t="n"/>
      <c r="BG515" s="57" t="n"/>
      <c r="BH515" s="61" t="n"/>
      <c r="BI515" s="61" t="n"/>
      <c r="BJ515" s="61" t="n"/>
      <c r="BK515" s="61" t="n"/>
      <c r="BL515" s="61" t="n"/>
      <c r="BM515" s="61" t="n"/>
      <c r="BN515" s="61" t="n"/>
      <c r="BO515" s="61" t="n"/>
      <c r="BP515" s="61" t="n"/>
      <c r="BQ515" s="61" t="n"/>
      <c r="BR515" s="61" t="n"/>
      <c r="BS515" s="61" t="n"/>
      <c r="BT515" s="61" t="n"/>
    </row>
    <row r="516" ht="15.75" customHeight="1" s="79">
      <c r="A516" s="61" t="n"/>
      <c r="B516" s="61" t="n"/>
      <c r="C516" s="61" t="n"/>
      <c r="D516" s="61" t="n"/>
      <c r="E516" s="61" t="n"/>
      <c r="F516" s="61" t="n"/>
      <c r="G516" s="61" t="n"/>
      <c r="H516" s="61" t="n"/>
      <c r="I516" s="61" t="n"/>
      <c r="J516" s="61" t="n"/>
      <c r="K516" s="61" t="n"/>
      <c r="L516" s="61" t="n"/>
      <c r="M516" s="61" t="n"/>
      <c r="N516" s="61" t="n"/>
      <c r="O516" s="61" t="n"/>
      <c r="P516" s="61" t="n"/>
      <c r="Q516" s="61" t="n"/>
      <c r="R516" s="61" t="n"/>
      <c r="S516" s="61" t="n"/>
      <c r="T516" s="61" t="n"/>
      <c r="U516" s="61" t="n"/>
      <c r="V516" s="61" t="n"/>
      <c r="W516" s="61" t="n"/>
      <c r="X516" s="61" t="n"/>
      <c r="Y516" s="61" t="n"/>
      <c r="Z516" s="61" t="n"/>
      <c r="AA516" s="61" t="n"/>
      <c r="AB516" s="61" t="n"/>
      <c r="AC516" s="61" t="n"/>
      <c r="AD516" s="61" t="n"/>
      <c r="AE516" s="61" t="n"/>
      <c r="AF516" s="61" t="n"/>
      <c r="AG516" s="61" t="n"/>
      <c r="AH516" s="61" t="n"/>
      <c r="AI516" s="61" t="n"/>
      <c r="AJ516" s="61" t="n"/>
      <c r="AK516" s="61" t="n"/>
      <c r="AL516" s="61" t="n"/>
      <c r="AM516" s="61" t="n"/>
      <c r="AN516" s="61" t="n"/>
      <c r="AO516" s="61" t="n"/>
      <c r="AP516" s="57" t="n"/>
      <c r="AQ516" s="56" t="n"/>
      <c r="AR516" s="57" t="n"/>
      <c r="AS516" s="61" t="n"/>
      <c r="AT516" s="61" t="n"/>
      <c r="AU516" s="57" t="n"/>
      <c r="AV516" s="61" t="n"/>
      <c r="AW516" s="61" t="n"/>
      <c r="AX516" s="61" t="n"/>
      <c r="AY516" s="61" t="n"/>
      <c r="AZ516" s="61" t="n"/>
      <c r="BA516" s="61" t="n"/>
      <c r="BB516" s="61" t="n"/>
      <c r="BC516" s="61" t="n"/>
      <c r="BD516" s="57" t="n"/>
      <c r="BE516" s="56" t="n"/>
      <c r="BF516" s="56" t="n"/>
      <c r="BG516" s="57" t="n"/>
      <c r="BH516" s="61" t="n"/>
      <c r="BI516" s="61" t="n"/>
      <c r="BJ516" s="61" t="n"/>
      <c r="BK516" s="61" t="n"/>
      <c r="BL516" s="61" t="n"/>
      <c r="BM516" s="61" t="n"/>
      <c r="BN516" s="61" t="n"/>
      <c r="BO516" s="61" t="n"/>
      <c r="BP516" s="61" t="n"/>
      <c r="BQ516" s="61" t="n"/>
      <c r="BR516" s="61" t="n"/>
      <c r="BS516" s="61" t="n"/>
      <c r="BT516" s="61" t="n"/>
    </row>
    <row r="517" ht="15.75" customHeight="1" s="79">
      <c r="A517" s="61" t="n"/>
      <c r="B517" s="61" t="n"/>
      <c r="C517" s="61" t="n"/>
      <c r="D517" s="61" t="n"/>
      <c r="E517" s="61" t="n"/>
      <c r="F517" s="61" t="n"/>
      <c r="G517" s="61" t="n"/>
      <c r="H517" s="61" t="n"/>
      <c r="I517" s="61" t="n"/>
      <c r="J517" s="61" t="n"/>
      <c r="K517" s="61" t="n"/>
      <c r="L517" s="61" t="n"/>
      <c r="M517" s="61" t="n"/>
      <c r="N517" s="61" t="n"/>
      <c r="O517" s="61" t="n"/>
      <c r="P517" s="61" t="n"/>
      <c r="Q517" s="61" t="n"/>
      <c r="R517" s="61" t="n"/>
      <c r="S517" s="61" t="n"/>
      <c r="T517" s="61" t="n"/>
      <c r="U517" s="61" t="n"/>
      <c r="V517" s="61" t="n"/>
      <c r="W517" s="61" t="n"/>
      <c r="X517" s="61" t="n"/>
      <c r="Y517" s="61" t="n"/>
      <c r="Z517" s="61" t="n"/>
      <c r="AA517" s="61" t="n"/>
      <c r="AB517" s="61" t="n"/>
      <c r="AC517" s="61" t="n"/>
      <c r="AD517" s="61" t="n"/>
      <c r="AE517" s="61" t="n"/>
      <c r="AF517" s="61" t="n"/>
      <c r="AG517" s="61" t="n"/>
      <c r="AH517" s="61" t="n"/>
      <c r="AI517" s="61" t="n"/>
      <c r="AJ517" s="61" t="n"/>
      <c r="AK517" s="61" t="n"/>
      <c r="AL517" s="61" t="n"/>
      <c r="AM517" s="61" t="n"/>
      <c r="AN517" s="61" t="n"/>
      <c r="AO517" s="61" t="n"/>
      <c r="AP517" s="57" t="n"/>
      <c r="AQ517" s="56" t="n"/>
      <c r="AR517" s="57" t="n"/>
      <c r="AS517" s="61" t="n"/>
      <c r="AT517" s="61" t="n"/>
      <c r="AU517" s="57" t="n"/>
      <c r="AV517" s="61" t="n"/>
      <c r="AW517" s="61" t="n"/>
      <c r="AX517" s="61" t="n"/>
      <c r="AY517" s="61" t="n"/>
      <c r="AZ517" s="61" t="n"/>
      <c r="BA517" s="61" t="n"/>
      <c r="BB517" s="61" t="n"/>
      <c r="BC517" s="61" t="n"/>
      <c r="BD517" s="57" t="n"/>
      <c r="BE517" s="56" t="n"/>
      <c r="BF517" s="56" t="n"/>
      <c r="BG517" s="57" t="n"/>
      <c r="BH517" s="61" t="n"/>
      <c r="BI517" s="61" t="n"/>
      <c r="BJ517" s="61" t="n"/>
      <c r="BK517" s="61" t="n"/>
      <c r="BL517" s="61" t="n"/>
      <c r="BM517" s="61" t="n"/>
      <c r="BN517" s="61" t="n"/>
      <c r="BO517" s="61" t="n"/>
      <c r="BP517" s="61" t="n"/>
      <c r="BQ517" s="61" t="n"/>
      <c r="BR517" s="61" t="n"/>
      <c r="BS517" s="61" t="n"/>
      <c r="BT517" s="61" t="n"/>
    </row>
    <row r="518" ht="15.75" customHeight="1" s="79">
      <c r="A518" s="61" t="n"/>
      <c r="B518" s="61" t="n"/>
      <c r="C518" s="61" t="n"/>
      <c r="D518" s="61" t="n"/>
      <c r="E518" s="61" t="n"/>
      <c r="F518" s="61" t="n"/>
      <c r="G518" s="61" t="n"/>
      <c r="H518" s="61" t="n"/>
      <c r="I518" s="61" t="n"/>
      <c r="J518" s="61" t="n"/>
      <c r="K518" s="61" t="n"/>
      <c r="L518" s="61" t="n"/>
      <c r="M518" s="61" t="n"/>
      <c r="N518" s="61" t="n"/>
      <c r="O518" s="61" t="n"/>
      <c r="P518" s="61" t="n"/>
      <c r="Q518" s="61" t="n"/>
      <c r="R518" s="61" t="n"/>
      <c r="S518" s="61" t="n"/>
      <c r="T518" s="61" t="n"/>
      <c r="U518" s="61" t="n"/>
      <c r="V518" s="61" t="n"/>
      <c r="W518" s="61" t="n"/>
      <c r="X518" s="61" t="n"/>
      <c r="Y518" s="61" t="n"/>
      <c r="Z518" s="61" t="n"/>
      <c r="AA518" s="61" t="n"/>
      <c r="AB518" s="61" t="n"/>
      <c r="AC518" s="61" t="n"/>
      <c r="AD518" s="61" t="n"/>
      <c r="AE518" s="61" t="n"/>
      <c r="AF518" s="61" t="n"/>
      <c r="AG518" s="61" t="n"/>
      <c r="AH518" s="61" t="n"/>
      <c r="AI518" s="61" t="n"/>
      <c r="AJ518" s="61" t="n"/>
      <c r="AK518" s="61" t="n"/>
      <c r="AL518" s="61" t="n"/>
      <c r="AM518" s="61" t="n"/>
      <c r="AN518" s="61" t="n"/>
      <c r="AO518" s="61" t="n"/>
      <c r="AP518" s="57" t="n"/>
      <c r="AQ518" s="56" t="n"/>
      <c r="AR518" s="57" t="n"/>
      <c r="AS518" s="61" t="n"/>
      <c r="AT518" s="61" t="n"/>
      <c r="AU518" s="57" t="n"/>
      <c r="AV518" s="61" t="n"/>
      <c r="AW518" s="61" t="n"/>
      <c r="AX518" s="61" t="n"/>
      <c r="AY518" s="61" t="n"/>
      <c r="AZ518" s="61" t="n"/>
      <c r="BA518" s="61" t="n"/>
      <c r="BB518" s="61" t="n"/>
      <c r="BC518" s="61" t="n"/>
      <c r="BD518" s="57" t="n"/>
      <c r="BE518" s="56" t="n"/>
      <c r="BF518" s="56" t="n"/>
      <c r="BG518" s="57" t="n"/>
      <c r="BH518" s="61" t="n"/>
      <c r="BI518" s="61" t="n"/>
      <c r="BJ518" s="61" t="n"/>
      <c r="BK518" s="61" t="n"/>
      <c r="BL518" s="61" t="n"/>
      <c r="BM518" s="61" t="n"/>
      <c r="BN518" s="61" t="n"/>
      <c r="BO518" s="61" t="n"/>
      <c r="BP518" s="61" t="n"/>
      <c r="BQ518" s="61" t="n"/>
      <c r="BR518" s="61" t="n"/>
      <c r="BS518" s="61" t="n"/>
      <c r="BT518" s="61" t="n"/>
    </row>
    <row r="519" ht="15.75" customHeight="1" s="79">
      <c r="A519" s="61" t="n"/>
      <c r="B519" s="61" t="n"/>
      <c r="C519" s="61" t="n"/>
      <c r="D519" s="61" t="n"/>
      <c r="E519" s="61" t="n"/>
      <c r="F519" s="61" t="n"/>
      <c r="G519" s="61" t="n"/>
      <c r="H519" s="61" t="n"/>
      <c r="I519" s="61" t="n"/>
      <c r="J519" s="61" t="n"/>
      <c r="K519" s="61" t="n"/>
      <c r="L519" s="61" t="n"/>
      <c r="M519" s="61" t="n"/>
      <c r="N519" s="61" t="n"/>
      <c r="O519" s="61" t="n"/>
      <c r="P519" s="61" t="n"/>
      <c r="Q519" s="61" t="n"/>
      <c r="R519" s="61" t="n"/>
      <c r="S519" s="61" t="n"/>
      <c r="T519" s="61" t="n"/>
      <c r="U519" s="61" t="n"/>
      <c r="V519" s="61" t="n"/>
      <c r="W519" s="61" t="n"/>
      <c r="X519" s="61" t="n"/>
      <c r="Y519" s="61" t="n"/>
      <c r="Z519" s="61" t="n"/>
      <c r="AA519" s="61" t="n"/>
      <c r="AB519" s="61" t="n"/>
      <c r="AC519" s="61" t="n"/>
      <c r="AD519" s="61" t="n"/>
      <c r="AE519" s="61" t="n"/>
      <c r="AF519" s="61" t="n"/>
      <c r="AG519" s="61" t="n"/>
      <c r="AH519" s="61" t="n"/>
      <c r="AI519" s="61" t="n"/>
      <c r="AJ519" s="61" t="n"/>
      <c r="AK519" s="61" t="n"/>
      <c r="AL519" s="61" t="n"/>
      <c r="AM519" s="61" t="n"/>
      <c r="AN519" s="61" t="n"/>
      <c r="AO519" s="61" t="n"/>
      <c r="AP519" s="57" t="n"/>
      <c r="AQ519" s="56" t="n"/>
      <c r="AR519" s="57" t="n"/>
      <c r="AS519" s="61" t="n"/>
      <c r="AT519" s="61" t="n"/>
      <c r="AU519" s="57" t="n"/>
      <c r="AV519" s="61" t="n"/>
      <c r="AW519" s="61" t="n"/>
      <c r="AX519" s="61" t="n"/>
      <c r="AY519" s="61" t="n"/>
      <c r="AZ519" s="61" t="n"/>
      <c r="BA519" s="61" t="n"/>
      <c r="BB519" s="61" t="n"/>
      <c r="BC519" s="61" t="n"/>
      <c r="BD519" s="57" t="n"/>
      <c r="BE519" s="56" t="n"/>
      <c r="BF519" s="56" t="n"/>
      <c r="BG519" s="57" t="n"/>
      <c r="BH519" s="61" t="n"/>
      <c r="BI519" s="61" t="n"/>
      <c r="BJ519" s="61" t="n"/>
      <c r="BK519" s="61" t="n"/>
      <c r="BL519" s="61" t="n"/>
      <c r="BM519" s="61" t="n"/>
      <c r="BN519" s="61" t="n"/>
      <c r="BO519" s="61" t="n"/>
      <c r="BP519" s="61" t="n"/>
      <c r="BQ519" s="61" t="n"/>
      <c r="BR519" s="61" t="n"/>
      <c r="BS519" s="61" t="n"/>
      <c r="BT519" s="61" t="n"/>
    </row>
    <row r="520" ht="15.75" customHeight="1" s="79">
      <c r="A520" s="61" t="n"/>
      <c r="B520" s="61" t="n"/>
      <c r="C520" s="61" t="n"/>
      <c r="D520" s="61" t="n"/>
      <c r="E520" s="61" t="n"/>
      <c r="F520" s="61" t="n"/>
      <c r="G520" s="61" t="n"/>
      <c r="H520" s="61" t="n"/>
      <c r="I520" s="61" t="n"/>
      <c r="J520" s="61" t="n"/>
      <c r="K520" s="61" t="n"/>
      <c r="L520" s="61" t="n"/>
      <c r="M520" s="61" t="n"/>
      <c r="N520" s="61" t="n"/>
      <c r="O520" s="61" t="n"/>
      <c r="P520" s="61" t="n"/>
      <c r="Q520" s="61" t="n"/>
      <c r="R520" s="61" t="n"/>
      <c r="S520" s="61" t="n"/>
      <c r="T520" s="61" t="n"/>
      <c r="U520" s="61" t="n"/>
      <c r="V520" s="61" t="n"/>
      <c r="W520" s="61" t="n"/>
      <c r="X520" s="61" t="n"/>
      <c r="Y520" s="61" t="n"/>
      <c r="Z520" s="61" t="n"/>
      <c r="AA520" s="61" t="n"/>
      <c r="AB520" s="61" t="n"/>
      <c r="AC520" s="61" t="n"/>
      <c r="AD520" s="61" t="n"/>
      <c r="AE520" s="61" t="n"/>
      <c r="AF520" s="61" t="n"/>
      <c r="AG520" s="61" t="n"/>
      <c r="AH520" s="61" t="n"/>
      <c r="AI520" s="61" t="n"/>
      <c r="AJ520" s="61" t="n"/>
      <c r="AK520" s="61" t="n"/>
      <c r="AL520" s="61" t="n"/>
      <c r="AM520" s="61" t="n"/>
      <c r="AN520" s="61" t="n"/>
      <c r="AO520" s="61" t="n"/>
      <c r="AP520" s="57" t="n"/>
      <c r="AQ520" s="56" t="n"/>
      <c r="AR520" s="57" t="n"/>
      <c r="AS520" s="61" t="n"/>
      <c r="AT520" s="61" t="n"/>
      <c r="AU520" s="57" t="n"/>
      <c r="AV520" s="61" t="n"/>
      <c r="AW520" s="61" t="n"/>
      <c r="AX520" s="61" t="n"/>
      <c r="AY520" s="61" t="n"/>
      <c r="AZ520" s="61" t="n"/>
      <c r="BA520" s="61" t="n"/>
      <c r="BB520" s="61" t="n"/>
      <c r="BC520" s="61" t="n"/>
      <c r="BD520" s="57" t="n"/>
      <c r="BE520" s="56" t="n"/>
      <c r="BF520" s="56" t="n"/>
      <c r="BG520" s="57" t="n"/>
      <c r="BH520" s="61" t="n"/>
      <c r="BI520" s="61" t="n"/>
      <c r="BJ520" s="61" t="n"/>
      <c r="BK520" s="61" t="n"/>
      <c r="BL520" s="61" t="n"/>
      <c r="BM520" s="61" t="n"/>
      <c r="BN520" s="61" t="n"/>
      <c r="BO520" s="61" t="n"/>
      <c r="BP520" s="61" t="n"/>
      <c r="BQ520" s="61" t="n"/>
      <c r="BR520" s="61" t="n"/>
      <c r="BS520" s="61" t="n"/>
      <c r="BT520" s="61" t="n"/>
    </row>
    <row r="521" ht="15.75" customHeight="1" s="79">
      <c r="A521" s="61" t="n"/>
      <c r="B521" s="61" t="n"/>
      <c r="C521" s="61" t="n"/>
      <c r="D521" s="61" t="n"/>
      <c r="E521" s="61" t="n"/>
      <c r="F521" s="61" t="n"/>
      <c r="G521" s="61" t="n"/>
      <c r="H521" s="61" t="n"/>
      <c r="I521" s="61" t="n"/>
      <c r="J521" s="61" t="n"/>
      <c r="K521" s="61" t="n"/>
      <c r="L521" s="61" t="n"/>
      <c r="M521" s="61" t="n"/>
      <c r="N521" s="61" t="n"/>
      <c r="O521" s="61" t="n"/>
      <c r="P521" s="61" t="n"/>
      <c r="Q521" s="61" t="n"/>
      <c r="R521" s="61" t="n"/>
      <c r="S521" s="61" t="n"/>
      <c r="T521" s="61" t="n"/>
      <c r="U521" s="61" t="n"/>
      <c r="V521" s="61" t="n"/>
      <c r="W521" s="61" t="n"/>
      <c r="X521" s="61" t="n"/>
      <c r="Y521" s="61" t="n"/>
      <c r="Z521" s="61" t="n"/>
      <c r="AA521" s="61" t="n"/>
      <c r="AB521" s="61" t="n"/>
      <c r="AC521" s="61" t="n"/>
      <c r="AD521" s="61" t="n"/>
      <c r="AE521" s="61" t="n"/>
      <c r="AF521" s="61" t="n"/>
      <c r="AG521" s="61" t="n"/>
      <c r="AH521" s="61" t="n"/>
      <c r="AI521" s="61" t="n"/>
      <c r="AJ521" s="61" t="n"/>
      <c r="AK521" s="61" t="n"/>
      <c r="AL521" s="61" t="n"/>
      <c r="AM521" s="61" t="n"/>
      <c r="AN521" s="61" t="n"/>
      <c r="AO521" s="61" t="n"/>
      <c r="AP521" s="57" t="n"/>
      <c r="AQ521" s="56" t="n"/>
      <c r="AR521" s="57" t="n"/>
      <c r="AS521" s="61" t="n"/>
      <c r="AT521" s="61" t="n"/>
      <c r="AU521" s="57" t="n"/>
      <c r="AV521" s="61" t="n"/>
      <c r="AW521" s="61" t="n"/>
      <c r="AX521" s="61" t="n"/>
      <c r="AY521" s="61" t="n"/>
      <c r="AZ521" s="61" t="n"/>
      <c r="BA521" s="61" t="n"/>
      <c r="BB521" s="61" t="n"/>
      <c r="BC521" s="61" t="n"/>
      <c r="BD521" s="57" t="n"/>
      <c r="BE521" s="56" t="n"/>
      <c r="BF521" s="56" t="n"/>
      <c r="BG521" s="57" t="n"/>
      <c r="BH521" s="61" t="n"/>
      <c r="BI521" s="61" t="n"/>
      <c r="BJ521" s="61" t="n"/>
      <c r="BK521" s="61" t="n"/>
      <c r="BL521" s="61" t="n"/>
      <c r="BM521" s="61" t="n"/>
      <c r="BN521" s="61" t="n"/>
      <c r="BO521" s="61" t="n"/>
      <c r="BP521" s="61" t="n"/>
      <c r="BQ521" s="61" t="n"/>
      <c r="BR521" s="61" t="n"/>
      <c r="BS521" s="61" t="n"/>
      <c r="BT521" s="61" t="n"/>
    </row>
    <row r="522" ht="15.75" customHeight="1" s="79">
      <c r="A522" s="61" t="n"/>
      <c r="B522" s="61" t="n"/>
      <c r="C522" s="61" t="n"/>
      <c r="D522" s="61" t="n"/>
      <c r="E522" s="61" t="n"/>
      <c r="F522" s="61" t="n"/>
      <c r="G522" s="61" t="n"/>
      <c r="H522" s="61" t="n"/>
      <c r="I522" s="61" t="n"/>
      <c r="J522" s="61" t="n"/>
      <c r="K522" s="61" t="n"/>
      <c r="L522" s="61" t="n"/>
      <c r="M522" s="61" t="n"/>
      <c r="N522" s="61" t="n"/>
      <c r="O522" s="61" t="n"/>
      <c r="P522" s="61" t="n"/>
      <c r="Q522" s="61" t="n"/>
      <c r="R522" s="61" t="n"/>
      <c r="S522" s="61" t="n"/>
      <c r="T522" s="61" t="n"/>
      <c r="U522" s="61" t="n"/>
      <c r="V522" s="61" t="n"/>
      <c r="W522" s="61" t="n"/>
      <c r="X522" s="61" t="n"/>
      <c r="Y522" s="61" t="n"/>
      <c r="Z522" s="61" t="n"/>
      <c r="AA522" s="61" t="n"/>
      <c r="AB522" s="61" t="n"/>
      <c r="AC522" s="61" t="n"/>
      <c r="AD522" s="61" t="n"/>
      <c r="AE522" s="61" t="n"/>
      <c r="AF522" s="61" t="n"/>
      <c r="AG522" s="61" t="n"/>
      <c r="AH522" s="61" t="n"/>
      <c r="AI522" s="61" t="n"/>
      <c r="AJ522" s="61" t="n"/>
      <c r="AK522" s="61" t="n"/>
      <c r="AL522" s="61" t="n"/>
      <c r="AM522" s="61" t="n"/>
      <c r="AN522" s="61" t="n"/>
      <c r="AO522" s="61" t="n"/>
      <c r="AP522" s="57" t="n"/>
      <c r="AQ522" s="56" t="n"/>
      <c r="AR522" s="57" t="n"/>
      <c r="AS522" s="61" t="n"/>
      <c r="AT522" s="61" t="n"/>
      <c r="AU522" s="57" t="n"/>
      <c r="AV522" s="61" t="n"/>
      <c r="AW522" s="61" t="n"/>
      <c r="AX522" s="61" t="n"/>
      <c r="AY522" s="61" t="n"/>
      <c r="AZ522" s="61" t="n"/>
      <c r="BA522" s="61" t="n"/>
      <c r="BB522" s="61" t="n"/>
      <c r="BC522" s="61" t="n"/>
      <c r="BD522" s="57" t="n"/>
      <c r="BE522" s="56" t="n"/>
      <c r="BF522" s="56" t="n"/>
      <c r="BG522" s="57" t="n"/>
      <c r="BH522" s="61" t="n"/>
      <c r="BI522" s="61" t="n"/>
      <c r="BJ522" s="61" t="n"/>
      <c r="BK522" s="61" t="n"/>
      <c r="BL522" s="61" t="n"/>
      <c r="BM522" s="61" t="n"/>
      <c r="BN522" s="61" t="n"/>
      <c r="BO522" s="61" t="n"/>
      <c r="BP522" s="61" t="n"/>
      <c r="BQ522" s="61" t="n"/>
      <c r="BR522" s="61" t="n"/>
      <c r="BS522" s="61" t="n"/>
      <c r="BT522" s="61" t="n"/>
    </row>
    <row r="523" ht="15.75" customHeight="1" s="79">
      <c r="A523" s="61" t="n"/>
      <c r="B523" s="61" t="n"/>
      <c r="C523" s="61" t="n"/>
      <c r="D523" s="61" t="n"/>
      <c r="E523" s="61" t="n"/>
      <c r="F523" s="61" t="n"/>
      <c r="G523" s="61" t="n"/>
      <c r="H523" s="61" t="n"/>
      <c r="I523" s="61" t="n"/>
      <c r="J523" s="61" t="n"/>
      <c r="K523" s="61" t="n"/>
      <c r="L523" s="61" t="n"/>
      <c r="M523" s="61" t="n"/>
      <c r="N523" s="61" t="n"/>
      <c r="O523" s="61" t="n"/>
      <c r="P523" s="61" t="n"/>
      <c r="Q523" s="61" t="n"/>
      <c r="R523" s="61" t="n"/>
      <c r="S523" s="61" t="n"/>
      <c r="T523" s="61" t="n"/>
      <c r="U523" s="61" t="n"/>
      <c r="V523" s="61" t="n"/>
      <c r="W523" s="61" t="n"/>
      <c r="X523" s="61" t="n"/>
      <c r="Y523" s="61" t="n"/>
      <c r="Z523" s="61" t="n"/>
      <c r="AA523" s="61" t="n"/>
      <c r="AB523" s="61" t="n"/>
      <c r="AC523" s="61" t="n"/>
      <c r="AD523" s="61" t="n"/>
      <c r="AE523" s="61" t="n"/>
      <c r="AF523" s="61" t="n"/>
      <c r="AG523" s="61" t="n"/>
      <c r="AH523" s="61" t="n"/>
      <c r="AI523" s="61" t="n"/>
      <c r="AJ523" s="61" t="n"/>
      <c r="AK523" s="61" t="n"/>
      <c r="AL523" s="61" t="n"/>
      <c r="AM523" s="61" t="n"/>
      <c r="AN523" s="61" t="n"/>
      <c r="AO523" s="61" t="n"/>
      <c r="AP523" s="57" t="n"/>
      <c r="AQ523" s="56" t="n"/>
      <c r="AR523" s="57" t="n"/>
      <c r="AS523" s="61" t="n"/>
      <c r="AT523" s="61" t="n"/>
      <c r="AU523" s="57" t="n"/>
      <c r="AV523" s="61" t="n"/>
      <c r="AW523" s="61" t="n"/>
      <c r="AX523" s="61" t="n"/>
      <c r="AY523" s="61" t="n"/>
      <c r="AZ523" s="61" t="n"/>
      <c r="BA523" s="61" t="n"/>
      <c r="BB523" s="61" t="n"/>
      <c r="BC523" s="61" t="n"/>
      <c r="BD523" s="57" t="n"/>
      <c r="BE523" s="56" t="n"/>
      <c r="BF523" s="56" t="n"/>
      <c r="BG523" s="57" t="n"/>
      <c r="BH523" s="61" t="n"/>
      <c r="BI523" s="61" t="n"/>
      <c r="BJ523" s="61" t="n"/>
      <c r="BK523" s="61" t="n"/>
      <c r="BL523" s="61" t="n"/>
      <c r="BM523" s="61" t="n"/>
      <c r="BN523" s="61" t="n"/>
      <c r="BO523" s="61" t="n"/>
      <c r="BP523" s="61" t="n"/>
      <c r="BQ523" s="61" t="n"/>
      <c r="BR523" s="61" t="n"/>
      <c r="BS523" s="61" t="n"/>
      <c r="BT523" s="61" t="n"/>
    </row>
    <row r="524" ht="15.75" customHeight="1" s="79">
      <c r="A524" s="61" t="n"/>
      <c r="B524" s="61" t="n"/>
      <c r="C524" s="61" t="n"/>
      <c r="D524" s="61" t="n"/>
      <c r="E524" s="61" t="n"/>
      <c r="F524" s="61" t="n"/>
      <c r="G524" s="61" t="n"/>
      <c r="H524" s="61" t="n"/>
      <c r="I524" s="61" t="n"/>
      <c r="J524" s="61" t="n"/>
      <c r="K524" s="61" t="n"/>
      <c r="L524" s="61" t="n"/>
      <c r="M524" s="61" t="n"/>
      <c r="N524" s="61" t="n"/>
      <c r="O524" s="61" t="n"/>
      <c r="P524" s="61" t="n"/>
      <c r="Q524" s="61" t="n"/>
      <c r="R524" s="61" t="n"/>
      <c r="S524" s="61" t="n"/>
      <c r="T524" s="61" t="n"/>
      <c r="U524" s="61" t="n"/>
      <c r="V524" s="61" t="n"/>
      <c r="W524" s="61" t="n"/>
      <c r="X524" s="61" t="n"/>
      <c r="Y524" s="61" t="n"/>
      <c r="Z524" s="61" t="n"/>
      <c r="AA524" s="61" t="n"/>
      <c r="AB524" s="61" t="n"/>
      <c r="AC524" s="61" t="n"/>
      <c r="AD524" s="61" t="n"/>
      <c r="AE524" s="61" t="n"/>
      <c r="AF524" s="61" t="n"/>
      <c r="AG524" s="61" t="n"/>
      <c r="AH524" s="61" t="n"/>
      <c r="AI524" s="61" t="n"/>
      <c r="AJ524" s="61" t="n"/>
      <c r="AK524" s="61" t="n"/>
      <c r="AL524" s="61" t="n"/>
      <c r="AM524" s="61" t="n"/>
      <c r="AN524" s="61" t="n"/>
      <c r="AO524" s="61" t="n"/>
      <c r="AP524" s="57" t="n"/>
      <c r="AQ524" s="56" t="n"/>
      <c r="AR524" s="57" t="n"/>
      <c r="AS524" s="61" t="n"/>
      <c r="AT524" s="61" t="n"/>
      <c r="AU524" s="57" t="n"/>
      <c r="AV524" s="61" t="n"/>
      <c r="AW524" s="61" t="n"/>
      <c r="AX524" s="61" t="n"/>
      <c r="AY524" s="61" t="n"/>
      <c r="AZ524" s="61" t="n"/>
      <c r="BA524" s="61" t="n"/>
      <c r="BB524" s="61" t="n"/>
      <c r="BC524" s="61" t="n"/>
      <c r="BD524" s="57" t="n"/>
      <c r="BE524" s="56" t="n"/>
      <c r="BF524" s="56" t="n"/>
      <c r="BG524" s="57" t="n"/>
      <c r="BH524" s="61" t="n"/>
      <c r="BI524" s="61" t="n"/>
      <c r="BJ524" s="61" t="n"/>
      <c r="BK524" s="61" t="n"/>
      <c r="BL524" s="61" t="n"/>
      <c r="BM524" s="61" t="n"/>
      <c r="BN524" s="61" t="n"/>
      <c r="BO524" s="61" t="n"/>
      <c r="BP524" s="61" t="n"/>
      <c r="BQ524" s="61" t="n"/>
      <c r="BR524" s="61" t="n"/>
      <c r="BS524" s="61" t="n"/>
      <c r="BT524" s="61" t="n"/>
    </row>
    <row r="525" ht="15.75" customHeight="1" s="79">
      <c r="A525" s="61" t="n"/>
      <c r="B525" s="61" t="n"/>
      <c r="C525" s="61" t="n"/>
      <c r="D525" s="61" t="n"/>
      <c r="E525" s="61" t="n"/>
      <c r="F525" s="61" t="n"/>
      <c r="G525" s="61" t="n"/>
      <c r="H525" s="61" t="n"/>
      <c r="I525" s="61" t="n"/>
      <c r="J525" s="61" t="n"/>
      <c r="K525" s="61" t="n"/>
      <c r="L525" s="61" t="n"/>
      <c r="M525" s="61" t="n"/>
      <c r="N525" s="61" t="n"/>
      <c r="O525" s="61" t="n"/>
      <c r="P525" s="61" t="n"/>
      <c r="Q525" s="61" t="n"/>
      <c r="R525" s="61" t="n"/>
      <c r="S525" s="61" t="n"/>
      <c r="T525" s="61" t="n"/>
      <c r="U525" s="61" t="n"/>
      <c r="V525" s="61" t="n"/>
      <c r="W525" s="61" t="n"/>
      <c r="X525" s="61" t="n"/>
      <c r="Y525" s="61" t="n"/>
      <c r="Z525" s="61" t="n"/>
      <c r="AA525" s="61" t="n"/>
      <c r="AB525" s="61" t="n"/>
      <c r="AC525" s="61" t="n"/>
      <c r="AD525" s="61" t="n"/>
      <c r="AE525" s="61" t="n"/>
      <c r="AF525" s="61" t="n"/>
      <c r="AG525" s="61" t="n"/>
      <c r="AH525" s="61" t="n"/>
      <c r="AI525" s="61" t="n"/>
      <c r="AJ525" s="61" t="n"/>
      <c r="AK525" s="61" t="n"/>
      <c r="AL525" s="61" t="n"/>
      <c r="AM525" s="61" t="n"/>
      <c r="AN525" s="61" t="n"/>
      <c r="AO525" s="61" t="n"/>
      <c r="AP525" s="57" t="n"/>
      <c r="AQ525" s="56" t="n"/>
      <c r="AR525" s="57" t="n"/>
      <c r="AS525" s="61" t="n"/>
      <c r="AT525" s="61" t="n"/>
      <c r="AU525" s="57" t="n"/>
      <c r="AV525" s="61" t="n"/>
      <c r="AW525" s="61" t="n"/>
      <c r="AX525" s="61" t="n"/>
      <c r="AY525" s="61" t="n"/>
      <c r="AZ525" s="61" t="n"/>
      <c r="BA525" s="61" t="n"/>
      <c r="BB525" s="61" t="n"/>
      <c r="BC525" s="61" t="n"/>
      <c r="BD525" s="57" t="n"/>
      <c r="BE525" s="56" t="n"/>
      <c r="BF525" s="56" t="n"/>
      <c r="BG525" s="57" t="n"/>
      <c r="BH525" s="61" t="n"/>
      <c r="BI525" s="61" t="n"/>
      <c r="BJ525" s="61" t="n"/>
      <c r="BK525" s="61" t="n"/>
      <c r="BL525" s="61" t="n"/>
      <c r="BM525" s="61" t="n"/>
      <c r="BN525" s="61" t="n"/>
      <c r="BO525" s="61" t="n"/>
      <c r="BP525" s="61" t="n"/>
      <c r="BQ525" s="61" t="n"/>
      <c r="BR525" s="61" t="n"/>
      <c r="BS525" s="61" t="n"/>
      <c r="BT525" s="61" t="n"/>
    </row>
    <row r="526" ht="15.75" customHeight="1" s="79">
      <c r="A526" s="61" t="n"/>
      <c r="B526" s="61" t="n"/>
      <c r="C526" s="61" t="n"/>
      <c r="D526" s="61" t="n"/>
      <c r="E526" s="61" t="n"/>
      <c r="F526" s="61" t="n"/>
      <c r="G526" s="61" t="n"/>
      <c r="H526" s="61" t="n"/>
      <c r="I526" s="61" t="n"/>
      <c r="J526" s="61" t="n"/>
      <c r="K526" s="61" t="n"/>
      <c r="L526" s="61" t="n"/>
      <c r="M526" s="61" t="n"/>
      <c r="N526" s="61" t="n"/>
      <c r="O526" s="61" t="n"/>
      <c r="P526" s="61" t="n"/>
      <c r="Q526" s="61" t="n"/>
      <c r="R526" s="61" t="n"/>
      <c r="S526" s="61" t="n"/>
      <c r="T526" s="61" t="n"/>
      <c r="U526" s="61" t="n"/>
      <c r="V526" s="61" t="n"/>
      <c r="W526" s="61" t="n"/>
      <c r="X526" s="61" t="n"/>
      <c r="Y526" s="61" t="n"/>
      <c r="Z526" s="61" t="n"/>
      <c r="AA526" s="61" t="n"/>
      <c r="AB526" s="61" t="n"/>
      <c r="AC526" s="61" t="n"/>
      <c r="AD526" s="61" t="n"/>
      <c r="AE526" s="61" t="n"/>
      <c r="AF526" s="61" t="n"/>
      <c r="AG526" s="61" t="n"/>
      <c r="AH526" s="61" t="n"/>
      <c r="AI526" s="61" t="n"/>
      <c r="AJ526" s="61" t="n"/>
      <c r="AK526" s="61" t="n"/>
      <c r="AL526" s="61" t="n"/>
      <c r="AM526" s="61" t="n"/>
      <c r="AN526" s="61" t="n"/>
      <c r="AO526" s="61" t="n"/>
      <c r="AP526" s="57" t="n"/>
      <c r="AQ526" s="56" t="n"/>
      <c r="AR526" s="57" t="n"/>
      <c r="AS526" s="61" t="n"/>
      <c r="AT526" s="61" t="n"/>
      <c r="AU526" s="57" t="n"/>
      <c r="AV526" s="61" t="n"/>
      <c r="AW526" s="61" t="n"/>
      <c r="AX526" s="61" t="n"/>
      <c r="AY526" s="61" t="n"/>
      <c r="AZ526" s="61" t="n"/>
      <c r="BA526" s="61" t="n"/>
      <c r="BB526" s="61" t="n"/>
      <c r="BC526" s="61" t="n"/>
      <c r="BD526" s="57" t="n"/>
      <c r="BE526" s="56" t="n"/>
      <c r="BF526" s="56" t="n"/>
      <c r="BG526" s="57" t="n"/>
      <c r="BH526" s="61" t="n"/>
      <c r="BI526" s="61" t="n"/>
      <c r="BJ526" s="61" t="n"/>
      <c r="BK526" s="61" t="n"/>
      <c r="BL526" s="61" t="n"/>
      <c r="BM526" s="61" t="n"/>
      <c r="BN526" s="61" t="n"/>
      <c r="BO526" s="61" t="n"/>
      <c r="BP526" s="61" t="n"/>
      <c r="BQ526" s="61" t="n"/>
      <c r="BR526" s="61" t="n"/>
      <c r="BS526" s="61" t="n"/>
      <c r="BT526" s="61" t="n"/>
    </row>
    <row r="527" ht="15.75" customHeight="1" s="79">
      <c r="A527" s="61" t="n"/>
      <c r="B527" s="61" t="n"/>
      <c r="C527" s="61" t="n"/>
      <c r="D527" s="61" t="n"/>
      <c r="E527" s="61" t="n"/>
      <c r="F527" s="61" t="n"/>
      <c r="G527" s="61" t="n"/>
      <c r="H527" s="61" t="n"/>
      <c r="I527" s="61" t="n"/>
      <c r="J527" s="61" t="n"/>
      <c r="K527" s="61" t="n"/>
      <c r="L527" s="61" t="n"/>
      <c r="M527" s="61" t="n"/>
      <c r="N527" s="61" t="n"/>
      <c r="O527" s="61" t="n"/>
      <c r="P527" s="61" t="n"/>
      <c r="Q527" s="61" t="n"/>
      <c r="R527" s="61" t="n"/>
      <c r="S527" s="61" t="n"/>
      <c r="T527" s="61" t="n"/>
      <c r="U527" s="61" t="n"/>
      <c r="V527" s="61" t="n"/>
      <c r="W527" s="61" t="n"/>
      <c r="X527" s="61" t="n"/>
      <c r="Y527" s="61" t="n"/>
      <c r="Z527" s="61" t="n"/>
      <c r="AA527" s="61" t="n"/>
      <c r="AB527" s="61" t="n"/>
      <c r="AC527" s="61" t="n"/>
      <c r="AD527" s="61" t="n"/>
      <c r="AE527" s="61" t="n"/>
      <c r="AF527" s="61" t="n"/>
      <c r="AG527" s="61" t="n"/>
      <c r="AH527" s="61" t="n"/>
      <c r="AI527" s="61" t="n"/>
      <c r="AJ527" s="61" t="n"/>
      <c r="AK527" s="61" t="n"/>
      <c r="AL527" s="61" t="n"/>
      <c r="AM527" s="61" t="n"/>
      <c r="AN527" s="61" t="n"/>
      <c r="AO527" s="61" t="n"/>
      <c r="AP527" s="57" t="n"/>
      <c r="AQ527" s="56" t="n"/>
      <c r="AR527" s="57" t="n"/>
      <c r="AS527" s="61" t="n"/>
      <c r="AT527" s="61" t="n"/>
      <c r="AU527" s="57" t="n"/>
      <c r="AV527" s="61" t="n"/>
      <c r="AW527" s="61" t="n"/>
      <c r="AX527" s="61" t="n"/>
      <c r="AY527" s="61" t="n"/>
      <c r="AZ527" s="61" t="n"/>
      <c r="BA527" s="61" t="n"/>
      <c r="BB527" s="61" t="n"/>
      <c r="BC527" s="61" t="n"/>
      <c r="BD527" s="57" t="n"/>
      <c r="BE527" s="56" t="n"/>
      <c r="BF527" s="56" t="n"/>
      <c r="BG527" s="57" t="n"/>
      <c r="BH527" s="61" t="n"/>
      <c r="BI527" s="61" t="n"/>
      <c r="BJ527" s="61" t="n"/>
      <c r="BK527" s="61" t="n"/>
      <c r="BL527" s="61" t="n"/>
      <c r="BM527" s="61" t="n"/>
      <c r="BN527" s="61" t="n"/>
      <c r="BO527" s="61" t="n"/>
      <c r="BP527" s="61" t="n"/>
      <c r="BQ527" s="61" t="n"/>
      <c r="BR527" s="61" t="n"/>
      <c r="BS527" s="61" t="n"/>
      <c r="BT527" s="61" t="n"/>
    </row>
    <row r="528" ht="15.75" customHeight="1" s="79">
      <c r="A528" s="61" t="n"/>
      <c r="B528" s="61" t="n"/>
      <c r="C528" s="61" t="n"/>
      <c r="D528" s="61" t="n"/>
      <c r="E528" s="61" t="n"/>
      <c r="F528" s="61" t="n"/>
      <c r="G528" s="61" t="n"/>
      <c r="H528" s="61" t="n"/>
      <c r="I528" s="61" t="n"/>
      <c r="J528" s="61" t="n"/>
      <c r="K528" s="61" t="n"/>
      <c r="L528" s="61" t="n"/>
      <c r="M528" s="61" t="n"/>
      <c r="N528" s="61" t="n"/>
      <c r="O528" s="61" t="n"/>
      <c r="P528" s="61" t="n"/>
      <c r="Q528" s="61" t="n"/>
      <c r="R528" s="61" t="n"/>
      <c r="S528" s="61" t="n"/>
      <c r="T528" s="61" t="n"/>
      <c r="U528" s="61" t="n"/>
      <c r="V528" s="61" t="n"/>
      <c r="W528" s="61" t="n"/>
      <c r="X528" s="61" t="n"/>
      <c r="Y528" s="61" t="n"/>
      <c r="Z528" s="61" t="n"/>
      <c r="AA528" s="61" t="n"/>
      <c r="AB528" s="61" t="n"/>
      <c r="AC528" s="61" t="n"/>
      <c r="AD528" s="61" t="n"/>
      <c r="AE528" s="61" t="n"/>
      <c r="AF528" s="61" t="n"/>
      <c r="AG528" s="61" t="n"/>
      <c r="AH528" s="61" t="n"/>
      <c r="AI528" s="61" t="n"/>
      <c r="AJ528" s="61" t="n"/>
      <c r="AK528" s="61" t="n"/>
      <c r="AL528" s="61" t="n"/>
      <c r="AM528" s="61" t="n"/>
      <c r="AN528" s="61" t="n"/>
      <c r="AO528" s="61" t="n"/>
      <c r="AP528" s="57" t="n"/>
      <c r="AQ528" s="56" t="n"/>
      <c r="AR528" s="57" t="n"/>
      <c r="AS528" s="61" t="n"/>
      <c r="AT528" s="61" t="n"/>
      <c r="AU528" s="57" t="n"/>
      <c r="AV528" s="61" t="n"/>
      <c r="AW528" s="61" t="n"/>
      <c r="AX528" s="61" t="n"/>
      <c r="AY528" s="61" t="n"/>
      <c r="AZ528" s="61" t="n"/>
      <c r="BA528" s="61" t="n"/>
      <c r="BB528" s="61" t="n"/>
      <c r="BC528" s="61" t="n"/>
      <c r="BD528" s="57" t="n"/>
      <c r="BE528" s="56" t="n"/>
      <c r="BF528" s="56" t="n"/>
      <c r="BG528" s="57" t="n"/>
      <c r="BH528" s="61" t="n"/>
      <c r="BI528" s="61" t="n"/>
      <c r="BJ528" s="61" t="n"/>
      <c r="BK528" s="61" t="n"/>
      <c r="BL528" s="61" t="n"/>
      <c r="BM528" s="61" t="n"/>
      <c r="BN528" s="61" t="n"/>
      <c r="BO528" s="61" t="n"/>
      <c r="BP528" s="61" t="n"/>
      <c r="BQ528" s="61" t="n"/>
      <c r="BR528" s="61" t="n"/>
      <c r="BS528" s="61" t="n"/>
      <c r="BT528" s="61" t="n"/>
    </row>
    <row r="529" ht="15.75" customHeight="1" s="79">
      <c r="A529" s="61" t="n"/>
      <c r="B529" s="61" t="n"/>
      <c r="C529" s="61" t="n"/>
      <c r="D529" s="61" t="n"/>
      <c r="E529" s="61" t="n"/>
      <c r="F529" s="61" t="n"/>
      <c r="G529" s="61" t="n"/>
      <c r="H529" s="61" t="n"/>
      <c r="I529" s="61" t="n"/>
      <c r="J529" s="61" t="n"/>
      <c r="K529" s="61" t="n"/>
      <c r="L529" s="61" t="n"/>
      <c r="M529" s="61" t="n"/>
      <c r="N529" s="61" t="n"/>
      <c r="O529" s="61" t="n"/>
      <c r="P529" s="61" t="n"/>
      <c r="Q529" s="61" t="n"/>
      <c r="R529" s="61" t="n"/>
      <c r="S529" s="61" t="n"/>
      <c r="T529" s="61" t="n"/>
      <c r="U529" s="61" t="n"/>
      <c r="V529" s="61" t="n"/>
      <c r="W529" s="61" t="n"/>
      <c r="X529" s="61" t="n"/>
      <c r="Y529" s="61" t="n"/>
      <c r="Z529" s="61" t="n"/>
      <c r="AA529" s="61" t="n"/>
      <c r="AB529" s="61" t="n"/>
      <c r="AC529" s="61" t="n"/>
      <c r="AD529" s="61" t="n"/>
      <c r="AE529" s="61" t="n"/>
      <c r="AF529" s="61" t="n"/>
      <c r="AG529" s="61" t="n"/>
      <c r="AH529" s="61" t="n"/>
      <c r="AI529" s="61" t="n"/>
      <c r="AJ529" s="61" t="n"/>
      <c r="AK529" s="61" t="n"/>
      <c r="AL529" s="61" t="n"/>
      <c r="AM529" s="61" t="n"/>
      <c r="AN529" s="61" t="n"/>
      <c r="AO529" s="61" t="n"/>
      <c r="AP529" s="57" t="n"/>
      <c r="AQ529" s="56" t="n"/>
      <c r="AR529" s="57" t="n"/>
      <c r="AS529" s="61" t="n"/>
      <c r="AT529" s="61" t="n"/>
      <c r="AU529" s="57" t="n"/>
      <c r="AV529" s="61" t="n"/>
      <c r="AW529" s="61" t="n"/>
      <c r="AX529" s="61" t="n"/>
      <c r="AY529" s="61" t="n"/>
      <c r="AZ529" s="61" t="n"/>
      <c r="BA529" s="61" t="n"/>
      <c r="BB529" s="61" t="n"/>
      <c r="BC529" s="61" t="n"/>
      <c r="BD529" s="57" t="n"/>
      <c r="BE529" s="56" t="n"/>
      <c r="BF529" s="56" t="n"/>
      <c r="BG529" s="57" t="n"/>
      <c r="BH529" s="61" t="n"/>
      <c r="BI529" s="61" t="n"/>
      <c r="BJ529" s="61" t="n"/>
      <c r="BK529" s="61" t="n"/>
      <c r="BL529" s="61" t="n"/>
      <c r="BM529" s="61" t="n"/>
      <c r="BN529" s="61" t="n"/>
      <c r="BO529" s="61" t="n"/>
      <c r="BP529" s="61" t="n"/>
      <c r="BQ529" s="61" t="n"/>
      <c r="BR529" s="61" t="n"/>
      <c r="BS529" s="61" t="n"/>
      <c r="BT529" s="61" t="n"/>
    </row>
    <row r="530" ht="15.75" customHeight="1" s="79">
      <c r="A530" s="61" t="n"/>
      <c r="B530" s="61" t="n"/>
      <c r="C530" s="61" t="n"/>
      <c r="D530" s="61" t="n"/>
      <c r="E530" s="61" t="n"/>
      <c r="F530" s="61" t="n"/>
      <c r="G530" s="61" t="n"/>
      <c r="H530" s="61" t="n"/>
      <c r="I530" s="61" t="n"/>
      <c r="J530" s="61" t="n"/>
      <c r="K530" s="61" t="n"/>
      <c r="L530" s="61" t="n"/>
      <c r="M530" s="61" t="n"/>
      <c r="N530" s="61" t="n"/>
      <c r="O530" s="61" t="n"/>
      <c r="P530" s="61" t="n"/>
      <c r="Q530" s="61" t="n"/>
      <c r="R530" s="61" t="n"/>
      <c r="S530" s="61" t="n"/>
      <c r="T530" s="61" t="n"/>
      <c r="U530" s="61" t="n"/>
      <c r="V530" s="61" t="n"/>
      <c r="W530" s="61" t="n"/>
      <c r="X530" s="61" t="n"/>
      <c r="Y530" s="61" t="n"/>
      <c r="Z530" s="61" t="n"/>
      <c r="AA530" s="61" t="n"/>
      <c r="AB530" s="61" t="n"/>
      <c r="AC530" s="61" t="n"/>
      <c r="AD530" s="61" t="n"/>
      <c r="AE530" s="61" t="n"/>
      <c r="AF530" s="61" t="n"/>
      <c r="AG530" s="61" t="n"/>
      <c r="AH530" s="61" t="n"/>
      <c r="AI530" s="61" t="n"/>
      <c r="AJ530" s="61" t="n"/>
      <c r="AK530" s="61" t="n"/>
      <c r="AL530" s="61" t="n"/>
      <c r="AM530" s="61" t="n"/>
      <c r="AN530" s="61" t="n"/>
      <c r="AO530" s="61" t="n"/>
      <c r="AP530" s="57" t="n"/>
      <c r="AQ530" s="56" t="n"/>
      <c r="AR530" s="57" t="n"/>
      <c r="AS530" s="61" t="n"/>
      <c r="AT530" s="61" t="n"/>
      <c r="AU530" s="57" t="n"/>
      <c r="AV530" s="61" t="n"/>
      <c r="AW530" s="61" t="n"/>
      <c r="AX530" s="61" t="n"/>
      <c r="AY530" s="61" t="n"/>
      <c r="AZ530" s="61" t="n"/>
      <c r="BA530" s="61" t="n"/>
      <c r="BB530" s="61" t="n"/>
      <c r="BC530" s="61" t="n"/>
      <c r="BD530" s="57" t="n"/>
      <c r="BE530" s="56" t="n"/>
      <c r="BF530" s="56" t="n"/>
      <c r="BG530" s="57" t="n"/>
      <c r="BH530" s="61" t="n"/>
      <c r="BI530" s="61" t="n"/>
      <c r="BJ530" s="61" t="n"/>
      <c r="BK530" s="61" t="n"/>
      <c r="BL530" s="61" t="n"/>
      <c r="BM530" s="61" t="n"/>
      <c r="BN530" s="61" t="n"/>
      <c r="BO530" s="61" t="n"/>
      <c r="BP530" s="61" t="n"/>
      <c r="BQ530" s="61" t="n"/>
      <c r="BR530" s="61" t="n"/>
      <c r="BS530" s="61" t="n"/>
      <c r="BT530" s="61" t="n"/>
    </row>
    <row r="531" ht="15.75" customHeight="1" s="79">
      <c r="A531" s="61" t="n"/>
      <c r="B531" s="61" t="n"/>
      <c r="C531" s="61" t="n"/>
      <c r="D531" s="61" t="n"/>
      <c r="E531" s="61" t="n"/>
      <c r="F531" s="61" t="n"/>
      <c r="G531" s="61" t="n"/>
      <c r="H531" s="61" t="n"/>
      <c r="I531" s="61" t="n"/>
      <c r="J531" s="61" t="n"/>
      <c r="K531" s="61" t="n"/>
      <c r="L531" s="61" t="n"/>
      <c r="M531" s="61" t="n"/>
      <c r="N531" s="61" t="n"/>
      <c r="O531" s="61" t="n"/>
      <c r="P531" s="61" t="n"/>
      <c r="Q531" s="61" t="n"/>
      <c r="R531" s="61" t="n"/>
      <c r="S531" s="61" t="n"/>
      <c r="T531" s="61" t="n"/>
      <c r="U531" s="61" t="n"/>
      <c r="V531" s="61" t="n"/>
      <c r="W531" s="61" t="n"/>
      <c r="X531" s="61" t="n"/>
      <c r="Y531" s="61" t="n"/>
      <c r="Z531" s="61" t="n"/>
      <c r="AA531" s="61" t="n"/>
      <c r="AB531" s="61" t="n"/>
      <c r="AC531" s="61" t="n"/>
      <c r="AD531" s="61" t="n"/>
      <c r="AE531" s="61" t="n"/>
      <c r="AF531" s="61" t="n"/>
      <c r="AG531" s="61" t="n"/>
      <c r="AH531" s="61" t="n"/>
      <c r="AI531" s="61" t="n"/>
      <c r="AJ531" s="61" t="n"/>
      <c r="AK531" s="61" t="n"/>
      <c r="AL531" s="61" t="n"/>
      <c r="AM531" s="61" t="n"/>
      <c r="AN531" s="61" t="n"/>
      <c r="AO531" s="61" t="n"/>
      <c r="AP531" s="57" t="n"/>
      <c r="AQ531" s="56" t="n"/>
      <c r="AR531" s="57" t="n"/>
      <c r="AS531" s="61" t="n"/>
      <c r="AT531" s="61" t="n"/>
      <c r="AU531" s="57" t="n"/>
      <c r="AV531" s="61" t="n"/>
      <c r="AW531" s="61" t="n"/>
      <c r="AX531" s="61" t="n"/>
      <c r="AY531" s="61" t="n"/>
      <c r="AZ531" s="61" t="n"/>
      <c r="BA531" s="61" t="n"/>
      <c r="BB531" s="61" t="n"/>
      <c r="BC531" s="61" t="n"/>
      <c r="BD531" s="57" t="n"/>
      <c r="BE531" s="56" t="n"/>
      <c r="BF531" s="56" t="n"/>
      <c r="BG531" s="57" t="n"/>
      <c r="BH531" s="61" t="n"/>
      <c r="BI531" s="61" t="n"/>
      <c r="BJ531" s="61" t="n"/>
      <c r="BK531" s="61" t="n"/>
      <c r="BL531" s="61" t="n"/>
      <c r="BM531" s="61" t="n"/>
      <c r="BN531" s="61" t="n"/>
      <c r="BO531" s="61" t="n"/>
      <c r="BP531" s="61" t="n"/>
      <c r="BQ531" s="61" t="n"/>
      <c r="BR531" s="61" t="n"/>
      <c r="BS531" s="61" t="n"/>
      <c r="BT531" s="61" t="n"/>
    </row>
    <row r="532" ht="15.75" customHeight="1" s="79">
      <c r="A532" s="61" t="n"/>
      <c r="B532" s="61" t="n"/>
      <c r="C532" s="61" t="n"/>
      <c r="D532" s="61" t="n"/>
      <c r="E532" s="61" t="n"/>
      <c r="F532" s="61" t="n"/>
      <c r="G532" s="61" t="n"/>
      <c r="H532" s="61" t="n"/>
      <c r="I532" s="61" t="n"/>
      <c r="J532" s="61" t="n"/>
      <c r="K532" s="61" t="n"/>
      <c r="L532" s="61" t="n"/>
      <c r="M532" s="61" t="n"/>
      <c r="N532" s="61" t="n"/>
      <c r="O532" s="61" t="n"/>
      <c r="P532" s="61" t="n"/>
      <c r="Q532" s="61" t="n"/>
      <c r="R532" s="61" t="n"/>
      <c r="S532" s="61" t="n"/>
      <c r="T532" s="61" t="n"/>
      <c r="U532" s="61" t="n"/>
      <c r="V532" s="61" t="n"/>
      <c r="W532" s="61" t="n"/>
      <c r="X532" s="61" t="n"/>
      <c r="Y532" s="61" t="n"/>
      <c r="Z532" s="61" t="n"/>
      <c r="AA532" s="61" t="n"/>
      <c r="AB532" s="61" t="n"/>
      <c r="AC532" s="61" t="n"/>
      <c r="AD532" s="61" t="n"/>
      <c r="AE532" s="61" t="n"/>
      <c r="AF532" s="61" t="n"/>
      <c r="AG532" s="61" t="n"/>
      <c r="AH532" s="61" t="n"/>
      <c r="AI532" s="61" t="n"/>
      <c r="AJ532" s="61" t="n"/>
      <c r="AK532" s="61" t="n"/>
      <c r="AL532" s="61" t="n"/>
      <c r="AM532" s="61" t="n"/>
      <c r="AN532" s="61" t="n"/>
      <c r="AO532" s="61" t="n"/>
      <c r="AP532" s="57" t="n"/>
      <c r="AQ532" s="56" t="n"/>
      <c r="AR532" s="57" t="n"/>
      <c r="AS532" s="61" t="n"/>
      <c r="AT532" s="61" t="n"/>
      <c r="AU532" s="57" t="n"/>
      <c r="AV532" s="61" t="n"/>
      <c r="AW532" s="61" t="n"/>
      <c r="AX532" s="61" t="n"/>
      <c r="AY532" s="61" t="n"/>
      <c r="AZ532" s="61" t="n"/>
      <c r="BA532" s="61" t="n"/>
      <c r="BB532" s="61" t="n"/>
      <c r="BC532" s="61" t="n"/>
      <c r="BD532" s="57" t="n"/>
      <c r="BE532" s="56" t="n"/>
      <c r="BF532" s="56" t="n"/>
      <c r="BG532" s="57" t="n"/>
      <c r="BH532" s="61" t="n"/>
      <c r="BI532" s="61" t="n"/>
      <c r="BJ532" s="61" t="n"/>
      <c r="BK532" s="61" t="n"/>
      <c r="BL532" s="61" t="n"/>
      <c r="BM532" s="61" t="n"/>
      <c r="BN532" s="61" t="n"/>
      <c r="BO532" s="61" t="n"/>
      <c r="BP532" s="61" t="n"/>
      <c r="BQ532" s="61" t="n"/>
      <c r="BR532" s="61" t="n"/>
      <c r="BS532" s="61" t="n"/>
      <c r="BT532" s="61" t="n"/>
    </row>
    <row r="533" ht="15.75" customHeight="1" s="79">
      <c r="A533" s="61" t="n"/>
      <c r="B533" s="61" t="n"/>
      <c r="C533" s="61" t="n"/>
      <c r="D533" s="61" t="n"/>
      <c r="E533" s="61" t="n"/>
      <c r="F533" s="61" t="n"/>
      <c r="G533" s="61" t="n"/>
      <c r="H533" s="61" t="n"/>
      <c r="I533" s="61" t="n"/>
      <c r="J533" s="61" t="n"/>
      <c r="K533" s="61" t="n"/>
      <c r="L533" s="61" t="n"/>
      <c r="M533" s="61" t="n"/>
      <c r="N533" s="61" t="n"/>
      <c r="O533" s="61" t="n"/>
      <c r="P533" s="61" t="n"/>
      <c r="Q533" s="61" t="n"/>
      <c r="R533" s="61" t="n"/>
      <c r="S533" s="61" t="n"/>
      <c r="T533" s="61" t="n"/>
      <c r="U533" s="61" t="n"/>
      <c r="V533" s="61" t="n"/>
      <c r="W533" s="61" t="n"/>
      <c r="X533" s="61" t="n"/>
      <c r="Y533" s="61" t="n"/>
      <c r="Z533" s="61" t="n"/>
      <c r="AA533" s="61" t="n"/>
      <c r="AB533" s="61" t="n"/>
      <c r="AC533" s="61" t="n"/>
      <c r="AD533" s="61" t="n"/>
      <c r="AE533" s="61" t="n"/>
      <c r="AF533" s="61" t="n"/>
      <c r="AG533" s="61" t="n"/>
      <c r="AH533" s="61" t="n"/>
      <c r="AI533" s="61" t="n"/>
      <c r="AJ533" s="61" t="n"/>
      <c r="AK533" s="61" t="n"/>
      <c r="AL533" s="61" t="n"/>
      <c r="AM533" s="61" t="n"/>
      <c r="AN533" s="61" t="n"/>
      <c r="AO533" s="61" t="n"/>
      <c r="AP533" s="57" t="n"/>
      <c r="AQ533" s="56" t="n"/>
      <c r="AR533" s="57" t="n"/>
      <c r="AS533" s="61" t="n"/>
      <c r="AT533" s="61" t="n"/>
      <c r="AU533" s="57" t="n"/>
      <c r="AV533" s="61" t="n"/>
      <c r="AW533" s="61" t="n"/>
      <c r="AX533" s="61" t="n"/>
      <c r="AY533" s="61" t="n"/>
      <c r="AZ533" s="61" t="n"/>
      <c r="BA533" s="61" t="n"/>
      <c r="BB533" s="61" t="n"/>
      <c r="BC533" s="61" t="n"/>
      <c r="BD533" s="57" t="n"/>
      <c r="BE533" s="56" t="n"/>
      <c r="BF533" s="56" t="n"/>
      <c r="BG533" s="57" t="n"/>
      <c r="BH533" s="61" t="n"/>
      <c r="BI533" s="61" t="n"/>
      <c r="BJ533" s="61" t="n"/>
      <c r="BK533" s="61" t="n"/>
      <c r="BL533" s="61" t="n"/>
      <c r="BM533" s="61" t="n"/>
      <c r="BN533" s="61" t="n"/>
      <c r="BO533" s="61" t="n"/>
      <c r="BP533" s="61" t="n"/>
      <c r="BQ533" s="61" t="n"/>
      <c r="BR533" s="61" t="n"/>
      <c r="BS533" s="61" t="n"/>
      <c r="BT533" s="61" t="n"/>
    </row>
    <row r="534" ht="15.75" customHeight="1" s="79">
      <c r="A534" s="61" t="n"/>
      <c r="B534" s="61" t="n"/>
      <c r="C534" s="61" t="n"/>
      <c r="D534" s="61" t="n"/>
      <c r="E534" s="61" t="n"/>
      <c r="F534" s="61" t="n"/>
      <c r="G534" s="61" t="n"/>
      <c r="H534" s="61" t="n"/>
      <c r="I534" s="61" t="n"/>
      <c r="J534" s="61" t="n"/>
      <c r="K534" s="61" t="n"/>
      <c r="L534" s="61" t="n"/>
      <c r="M534" s="61" t="n"/>
      <c r="N534" s="61" t="n"/>
      <c r="O534" s="61" t="n"/>
      <c r="P534" s="61" t="n"/>
      <c r="Q534" s="61" t="n"/>
      <c r="R534" s="61" t="n"/>
      <c r="S534" s="61" t="n"/>
      <c r="T534" s="61" t="n"/>
      <c r="U534" s="61" t="n"/>
      <c r="V534" s="61" t="n"/>
      <c r="W534" s="61" t="n"/>
      <c r="X534" s="61" t="n"/>
      <c r="Y534" s="61" t="n"/>
      <c r="Z534" s="61" t="n"/>
      <c r="AA534" s="61" t="n"/>
      <c r="AB534" s="61" t="n"/>
      <c r="AC534" s="61" t="n"/>
      <c r="AD534" s="61" t="n"/>
      <c r="AE534" s="61" t="n"/>
      <c r="AF534" s="61" t="n"/>
      <c r="AG534" s="61" t="n"/>
      <c r="AH534" s="61" t="n"/>
      <c r="AI534" s="61" t="n"/>
      <c r="AJ534" s="61" t="n"/>
      <c r="AK534" s="61" t="n"/>
      <c r="AL534" s="61" t="n"/>
      <c r="AM534" s="61" t="n"/>
      <c r="AN534" s="61" t="n"/>
      <c r="AO534" s="61" t="n"/>
      <c r="AP534" s="57" t="n"/>
      <c r="AQ534" s="56" t="n"/>
      <c r="AR534" s="57" t="n"/>
      <c r="AS534" s="61" t="n"/>
      <c r="AT534" s="61" t="n"/>
      <c r="AU534" s="57" t="n"/>
      <c r="AV534" s="61" t="n"/>
      <c r="AW534" s="61" t="n"/>
      <c r="AX534" s="61" t="n"/>
      <c r="AY534" s="61" t="n"/>
      <c r="AZ534" s="61" t="n"/>
      <c r="BA534" s="61" t="n"/>
      <c r="BB534" s="61" t="n"/>
      <c r="BC534" s="61" t="n"/>
      <c r="BD534" s="57" t="n"/>
      <c r="BE534" s="56" t="n"/>
      <c r="BF534" s="56" t="n"/>
      <c r="BG534" s="57" t="n"/>
      <c r="BH534" s="61" t="n"/>
      <c r="BI534" s="61" t="n"/>
      <c r="BJ534" s="61" t="n"/>
      <c r="BK534" s="61" t="n"/>
      <c r="BL534" s="61" t="n"/>
      <c r="BM534" s="61" t="n"/>
      <c r="BN534" s="61" t="n"/>
      <c r="BO534" s="61" t="n"/>
      <c r="BP534" s="61" t="n"/>
      <c r="BQ534" s="61" t="n"/>
      <c r="BR534" s="61" t="n"/>
      <c r="BS534" s="61" t="n"/>
      <c r="BT534" s="61" t="n"/>
    </row>
    <row r="535" ht="15.75" customHeight="1" s="79">
      <c r="A535" s="61" t="n"/>
      <c r="B535" s="61" t="n"/>
      <c r="C535" s="61" t="n"/>
      <c r="D535" s="61" t="n"/>
      <c r="E535" s="61" t="n"/>
      <c r="F535" s="61" t="n"/>
      <c r="G535" s="61" t="n"/>
      <c r="H535" s="61" t="n"/>
      <c r="I535" s="61" t="n"/>
      <c r="J535" s="61" t="n"/>
      <c r="K535" s="61" t="n"/>
      <c r="L535" s="61" t="n"/>
      <c r="M535" s="61" t="n"/>
      <c r="N535" s="61" t="n"/>
      <c r="O535" s="61" t="n"/>
      <c r="P535" s="61" t="n"/>
      <c r="Q535" s="61" t="n"/>
      <c r="R535" s="61" t="n"/>
      <c r="S535" s="61" t="n"/>
      <c r="T535" s="61" t="n"/>
      <c r="U535" s="61" t="n"/>
      <c r="V535" s="61" t="n"/>
      <c r="W535" s="61" t="n"/>
      <c r="X535" s="61" t="n"/>
      <c r="Y535" s="61" t="n"/>
      <c r="Z535" s="61" t="n"/>
      <c r="AA535" s="61" t="n"/>
      <c r="AB535" s="61" t="n"/>
      <c r="AC535" s="61" t="n"/>
      <c r="AD535" s="61" t="n"/>
      <c r="AE535" s="61" t="n"/>
      <c r="AF535" s="61" t="n"/>
      <c r="AG535" s="61" t="n"/>
      <c r="AH535" s="61" t="n"/>
      <c r="AI535" s="61" t="n"/>
      <c r="AJ535" s="61" t="n"/>
      <c r="AK535" s="61" t="n"/>
      <c r="AL535" s="61" t="n"/>
      <c r="AM535" s="61" t="n"/>
      <c r="AN535" s="61" t="n"/>
      <c r="AO535" s="61" t="n"/>
      <c r="AP535" s="57" t="n"/>
      <c r="AQ535" s="56" t="n"/>
      <c r="AR535" s="57" t="n"/>
      <c r="AS535" s="61" t="n"/>
      <c r="AT535" s="61" t="n"/>
      <c r="AU535" s="57" t="n"/>
      <c r="AV535" s="61" t="n"/>
      <c r="AW535" s="61" t="n"/>
      <c r="AX535" s="61" t="n"/>
      <c r="AY535" s="61" t="n"/>
      <c r="AZ535" s="61" t="n"/>
      <c r="BA535" s="61" t="n"/>
      <c r="BB535" s="61" t="n"/>
      <c r="BC535" s="61" t="n"/>
      <c r="BD535" s="57" t="n"/>
      <c r="BE535" s="56" t="n"/>
      <c r="BF535" s="56" t="n"/>
      <c r="BG535" s="57" t="n"/>
      <c r="BH535" s="61" t="n"/>
      <c r="BI535" s="61" t="n"/>
      <c r="BJ535" s="61" t="n"/>
      <c r="BK535" s="61" t="n"/>
      <c r="BL535" s="61" t="n"/>
      <c r="BM535" s="61" t="n"/>
      <c r="BN535" s="61" t="n"/>
      <c r="BO535" s="61" t="n"/>
      <c r="BP535" s="61" t="n"/>
      <c r="BQ535" s="61" t="n"/>
      <c r="BR535" s="61" t="n"/>
      <c r="BS535" s="61" t="n"/>
      <c r="BT535" s="61" t="n"/>
    </row>
    <row r="536" ht="15.75" customHeight="1" s="79">
      <c r="A536" s="61" t="n"/>
      <c r="B536" s="61" t="n"/>
      <c r="C536" s="61" t="n"/>
      <c r="D536" s="61" t="n"/>
      <c r="E536" s="61" t="n"/>
      <c r="F536" s="61" t="n"/>
      <c r="G536" s="61" t="n"/>
      <c r="H536" s="61" t="n"/>
      <c r="I536" s="61" t="n"/>
      <c r="J536" s="61" t="n"/>
      <c r="K536" s="61" t="n"/>
      <c r="L536" s="61" t="n"/>
      <c r="M536" s="61" t="n"/>
      <c r="N536" s="61" t="n"/>
      <c r="O536" s="61" t="n"/>
      <c r="P536" s="61" t="n"/>
      <c r="Q536" s="61" t="n"/>
      <c r="R536" s="61" t="n"/>
      <c r="S536" s="61" t="n"/>
      <c r="T536" s="61" t="n"/>
      <c r="U536" s="61" t="n"/>
      <c r="V536" s="61" t="n"/>
      <c r="W536" s="61" t="n"/>
      <c r="X536" s="61" t="n"/>
      <c r="Y536" s="61" t="n"/>
      <c r="Z536" s="61" t="n"/>
      <c r="AA536" s="61" t="n"/>
      <c r="AB536" s="61" t="n"/>
      <c r="AC536" s="61" t="n"/>
      <c r="AD536" s="61" t="n"/>
      <c r="AE536" s="61" t="n"/>
      <c r="AF536" s="61" t="n"/>
      <c r="AG536" s="61" t="n"/>
      <c r="AH536" s="61" t="n"/>
      <c r="AI536" s="61" t="n"/>
      <c r="AJ536" s="61" t="n"/>
      <c r="AK536" s="61" t="n"/>
      <c r="AL536" s="61" t="n"/>
      <c r="AM536" s="61" t="n"/>
      <c r="AN536" s="61" t="n"/>
      <c r="AO536" s="61" t="n"/>
      <c r="AP536" s="57" t="n"/>
      <c r="AQ536" s="56" t="n"/>
      <c r="AR536" s="57" t="n"/>
      <c r="AS536" s="61" t="n"/>
      <c r="AT536" s="61" t="n"/>
      <c r="AU536" s="57" t="n"/>
      <c r="AV536" s="61" t="n"/>
      <c r="AW536" s="61" t="n"/>
      <c r="AX536" s="61" t="n"/>
      <c r="AY536" s="61" t="n"/>
      <c r="AZ536" s="61" t="n"/>
      <c r="BA536" s="61" t="n"/>
      <c r="BB536" s="61" t="n"/>
      <c r="BC536" s="61" t="n"/>
      <c r="BD536" s="57" t="n"/>
      <c r="BE536" s="56" t="n"/>
      <c r="BF536" s="56" t="n"/>
      <c r="BG536" s="57" t="n"/>
      <c r="BH536" s="61" t="n"/>
      <c r="BI536" s="61" t="n"/>
      <c r="BJ536" s="61" t="n"/>
      <c r="BK536" s="61" t="n"/>
      <c r="BL536" s="61" t="n"/>
      <c r="BM536" s="61" t="n"/>
      <c r="BN536" s="61" t="n"/>
      <c r="BO536" s="61" t="n"/>
      <c r="BP536" s="61" t="n"/>
      <c r="BQ536" s="61" t="n"/>
      <c r="BR536" s="61" t="n"/>
      <c r="BS536" s="61" t="n"/>
      <c r="BT536" s="61" t="n"/>
    </row>
    <row r="537" ht="15.75" customHeight="1" s="79">
      <c r="A537" s="61" t="n"/>
      <c r="B537" s="61" t="n"/>
      <c r="C537" s="61" t="n"/>
      <c r="D537" s="61" t="n"/>
      <c r="E537" s="61" t="n"/>
      <c r="F537" s="61" t="n"/>
      <c r="G537" s="61" t="n"/>
      <c r="H537" s="61" t="n"/>
      <c r="I537" s="61" t="n"/>
      <c r="J537" s="61" t="n"/>
      <c r="K537" s="61" t="n"/>
      <c r="L537" s="61" t="n"/>
      <c r="M537" s="61" t="n"/>
      <c r="N537" s="61" t="n"/>
      <c r="O537" s="61" t="n"/>
      <c r="P537" s="61" t="n"/>
      <c r="Q537" s="61" t="n"/>
      <c r="R537" s="61" t="n"/>
      <c r="S537" s="61" t="n"/>
      <c r="T537" s="61" t="n"/>
      <c r="U537" s="61" t="n"/>
      <c r="V537" s="61" t="n"/>
      <c r="W537" s="61" t="n"/>
      <c r="X537" s="61" t="n"/>
      <c r="Y537" s="61" t="n"/>
      <c r="Z537" s="61" t="n"/>
      <c r="AA537" s="61" t="n"/>
      <c r="AB537" s="61" t="n"/>
      <c r="AC537" s="61" t="n"/>
      <c r="AD537" s="61" t="n"/>
      <c r="AE537" s="61" t="n"/>
      <c r="AF537" s="61" t="n"/>
      <c r="AG537" s="61" t="n"/>
      <c r="AH537" s="61" t="n"/>
      <c r="AI537" s="61" t="n"/>
      <c r="AJ537" s="61" t="n"/>
      <c r="AK537" s="61" t="n"/>
      <c r="AL537" s="61" t="n"/>
      <c r="AM537" s="61" t="n"/>
      <c r="AN537" s="61" t="n"/>
      <c r="AO537" s="61" t="n"/>
      <c r="AP537" s="57" t="n"/>
      <c r="AQ537" s="56" t="n"/>
      <c r="AR537" s="57" t="n"/>
      <c r="AS537" s="61" t="n"/>
      <c r="AT537" s="61" t="n"/>
      <c r="AU537" s="57" t="n"/>
      <c r="AV537" s="61" t="n"/>
      <c r="AW537" s="61" t="n"/>
      <c r="AX537" s="61" t="n"/>
      <c r="AY537" s="61" t="n"/>
      <c r="AZ537" s="61" t="n"/>
      <c r="BA537" s="61" t="n"/>
      <c r="BB537" s="61" t="n"/>
      <c r="BC537" s="61" t="n"/>
      <c r="BD537" s="57" t="n"/>
      <c r="BE537" s="56" t="n"/>
      <c r="BF537" s="56" t="n"/>
      <c r="BG537" s="57" t="n"/>
      <c r="BH537" s="61" t="n"/>
      <c r="BI537" s="61" t="n"/>
      <c r="BJ537" s="61" t="n"/>
      <c r="BK537" s="61" t="n"/>
      <c r="BL537" s="61" t="n"/>
      <c r="BM537" s="61" t="n"/>
      <c r="BN537" s="61" t="n"/>
      <c r="BO537" s="61" t="n"/>
      <c r="BP537" s="61" t="n"/>
      <c r="BQ537" s="61" t="n"/>
      <c r="BR537" s="61" t="n"/>
      <c r="BS537" s="61" t="n"/>
      <c r="BT537" s="61" t="n"/>
    </row>
    <row r="538" ht="15.75" customHeight="1" s="79">
      <c r="A538" s="61" t="n"/>
      <c r="B538" s="61" t="n"/>
      <c r="C538" s="61" t="n"/>
      <c r="D538" s="61" t="n"/>
      <c r="E538" s="61" t="n"/>
      <c r="F538" s="61" t="n"/>
      <c r="G538" s="61" t="n"/>
      <c r="H538" s="61" t="n"/>
      <c r="I538" s="61" t="n"/>
      <c r="J538" s="61" t="n"/>
      <c r="K538" s="61" t="n"/>
      <c r="L538" s="61" t="n"/>
      <c r="M538" s="61" t="n"/>
      <c r="N538" s="61" t="n"/>
      <c r="O538" s="61" t="n"/>
      <c r="P538" s="61" t="n"/>
      <c r="Q538" s="61" t="n"/>
      <c r="R538" s="61" t="n"/>
      <c r="S538" s="61" t="n"/>
      <c r="T538" s="61" t="n"/>
      <c r="U538" s="61" t="n"/>
      <c r="V538" s="61" t="n"/>
      <c r="W538" s="61" t="n"/>
      <c r="X538" s="61" t="n"/>
      <c r="Y538" s="61" t="n"/>
      <c r="Z538" s="61" t="n"/>
      <c r="AA538" s="61" t="n"/>
      <c r="AB538" s="61" t="n"/>
      <c r="AC538" s="61" t="n"/>
      <c r="AD538" s="61" t="n"/>
      <c r="AE538" s="61" t="n"/>
      <c r="AF538" s="61" t="n"/>
      <c r="AG538" s="61" t="n"/>
      <c r="AH538" s="61" t="n"/>
      <c r="AI538" s="61" t="n"/>
      <c r="AJ538" s="61" t="n"/>
      <c r="AK538" s="61" t="n"/>
      <c r="AL538" s="61" t="n"/>
      <c r="AM538" s="61" t="n"/>
      <c r="AN538" s="61" t="n"/>
      <c r="AO538" s="61" t="n"/>
      <c r="AP538" s="57" t="n"/>
      <c r="AQ538" s="56" t="n"/>
      <c r="AR538" s="57" t="n"/>
      <c r="AS538" s="61" t="n"/>
      <c r="AT538" s="61" t="n"/>
      <c r="AU538" s="57" t="n"/>
      <c r="AV538" s="61" t="n"/>
      <c r="AW538" s="61" t="n"/>
      <c r="AX538" s="61" t="n"/>
      <c r="AY538" s="61" t="n"/>
      <c r="AZ538" s="61" t="n"/>
      <c r="BA538" s="61" t="n"/>
      <c r="BB538" s="61" t="n"/>
      <c r="BC538" s="61" t="n"/>
      <c r="BD538" s="57" t="n"/>
      <c r="BE538" s="56" t="n"/>
      <c r="BF538" s="56" t="n"/>
      <c r="BG538" s="57" t="n"/>
      <c r="BH538" s="61" t="n"/>
      <c r="BI538" s="61" t="n"/>
      <c r="BJ538" s="61" t="n"/>
      <c r="BK538" s="61" t="n"/>
      <c r="BL538" s="61" t="n"/>
      <c r="BM538" s="61" t="n"/>
      <c r="BN538" s="61" t="n"/>
      <c r="BO538" s="61" t="n"/>
      <c r="BP538" s="61" t="n"/>
      <c r="BQ538" s="61" t="n"/>
      <c r="BR538" s="61" t="n"/>
      <c r="BS538" s="61" t="n"/>
      <c r="BT538" s="61" t="n"/>
    </row>
    <row r="539" ht="15.75" customHeight="1" s="79">
      <c r="A539" s="61" t="n"/>
      <c r="B539" s="61" t="n"/>
      <c r="C539" s="61" t="n"/>
      <c r="D539" s="61" t="n"/>
      <c r="E539" s="61" t="n"/>
      <c r="F539" s="61" t="n"/>
      <c r="G539" s="61" t="n"/>
      <c r="H539" s="61" t="n"/>
      <c r="I539" s="61" t="n"/>
      <c r="J539" s="61" t="n"/>
      <c r="K539" s="61" t="n"/>
      <c r="L539" s="61" t="n"/>
      <c r="M539" s="61" t="n"/>
      <c r="N539" s="61" t="n"/>
      <c r="O539" s="61" t="n"/>
      <c r="P539" s="61" t="n"/>
      <c r="Q539" s="61" t="n"/>
      <c r="R539" s="61" t="n"/>
      <c r="S539" s="61" t="n"/>
      <c r="T539" s="61" t="n"/>
      <c r="U539" s="61" t="n"/>
      <c r="V539" s="61" t="n"/>
      <c r="W539" s="61" t="n"/>
      <c r="X539" s="61" t="n"/>
      <c r="Y539" s="61" t="n"/>
      <c r="Z539" s="61" t="n"/>
      <c r="AA539" s="61" t="n"/>
      <c r="AB539" s="61" t="n"/>
      <c r="AC539" s="61" t="n"/>
      <c r="AD539" s="61" t="n"/>
      <c r="AE539" s="61" t="n"/>
      <c r="AF539" s="61" t="n"/>
      <c r="AG539" s="61" t="n"/>
      <c r="AH539" s="61" t="n"/>
      <c r="AI539" s="61" t="n"/>
      <c r="AJ539" s="61" t="n"/>
      <c r="AK539" s="61" t="n"/>
      <c r="AL539" s="61" t="n"/>
      <c r="AM539" s="61" t="n"/>
      <c r="AN539" s="61" t="n"/>
      <c r="AO539" s="61" t="n"/>
      <c r="AP539" s="57" t="n"/>
      <c r="AQ539" s="56" t="n"/>
      <c r="AR539" s="57" t="n"/>
      <c r="AS539" s="61" t="n"/>
      <c r="AT539" s="61" t="n"/>
      <c r="AU539" s="57" t="n"/>
      <c r="AV539" s="61" t="n"/>
      <c r="AW539" s="61" t="n"/>
      <c r="AX539" s="61" t="n"/>
      <c r="AY539" s="61" t="n"/>
      <c r="AZ539" s="61" t="n"/>
      <c r="BA539" s="61" t="n"/>
      <c r="BB539" s="61" t="n"/>
      <c r="BC539" s="61" t="n"/>
      <c r="BD539" s="57" t="n"/>
      <c r="BE539" s="56" t="n"/>
      <c r="BF539" s="56" t="n"/>
      <c r="BG539" s="57" t="n"/>
      <c r="BH539" s="61" t="n"/>
      <c r="BI539" s="61" t="n"/>
      <c r="BJ539" s="61" t="n"/>
      <c r="BK539" s="61" t="n"/>
      <c r="BL539" s="61" t="n"/>
      <c r="BM539" s="61" t="n"/>
      <c r="BN539" s="61" t="n"/>
      <c r="BO539" s="61" t="n"/>
      <c r="BP539" s="61" t="n"/>
      <c r="BQ539" s="61" t="n"/>
      <c r="BR539" s="61" t="n"/>
      <c r="BS539" s="61" t="n"/>
      <c r="BT539" s="61" t="n"/>
    </row>
    <row r="540" ht="15.75" customHeight="1" s="79">
      <c r="A540" s="61" t="n"/>
      <c r="B540" s="61" t="n"/>
      <c r="C540" s="61" t="n"/>
      <c r="D540" s="61" t="n"/>
      <c r="E540" s="61" t="n"/>
      <c r="F540" s="61" t="n"/>
      <c r="G540" s="61" t="n"/>
      <c r="H540" s="61" t="n"/>
      <c r="I540" s="61" t="n"/>
      <c r="J540" s="61" t="n"/>
      <c r="K540" s="61" t="n"/>
      <c r="L540" s="61" t="n"/>
      <c r="M540" s="61" t="n"/>
      <c r="N540" s="61" t="n"/>
      <c r="O540" s="61" t="n"/>
      <c r="P540" s="61" t="n"/>
      <c r="Q540" s="61" t="n"/>
      <c r="R540" s="61" t="n"/>
      <c r="S540" s="61" t="n"/>
      <c r="T540" s="61" t="n"/>
      <c r="U540" s="61" t="n"/>
      <c r="V540" s="61" t="n"/>
      <c r="W540" s="61" t="n"/>
      <c r="X540" s="61" t="n"/>
      <c r="Y540" s="61" t="n"/>
      <c r="Z540" s="61" t="n"/>
      <c r="AA540" s="61" t="n"/>
      <c r="AB540" s="61" t="n"/>
      <c r="AC540" s="61" t="n"/>
      <c r="AD540" s="61" t="n"/>
      <c r="AE540" s="61" t="n"/>
      <c r="AF540" s="61" t="n"/>
      <c r="AG540" s="61" t="n"/>
      <c r="AH540" s="61" t="n"/>
      <c r="AI540" s="61" t="n"/>
      <c r="AJ540" s="61" t="n"/>
      <c r="AK540" s="61" t="n"/>
      <c r="AL540" s="61" t="n"/>
      <c r="AM540" s="61" t="n"/>
      <c r="AN540" s="61" t="n"/>
      <c r="AO540" s="61" t="n"/>
      <c r="AP540" s="57" t="n"/>
      <c r="AQ540" s="56" t="n"/>
      <c r="AR540" s="57" t="n"/>
      <c r="AS540" s="61" t="n"/>
      <c r="AT540" s="61" t="n"/>
      <c r="AU540" s="57" t="n"/>
      <c r="AV540" s="61" t="n"/>
      <c r="AW540" s="61" t="n"/>
      <c r="AX540" s="61" t="n"/>
      <c r="AY540" s="61" t="n"/>
      <c r="AZ540" s="61" t="n"/>
      <c r="BA540" s="61" t="n"/>
      <c r="BB540" s="61" t="n"/>
      <c r="BC540" s="61" t="n"/>
      <c r="BD540" s="57" t="n"/>
      <c r="BE540" s="56" t="n"/>
      <c r="BF540" s="56" t="n"/>
      <c r="BG540" s="57" t="n"/>
      <c r="BH540" s="61" t="n"/>
      <c r="BI540" s="61" t="n"/>
      <c r="BJ540" s="61" t="n"/>
      <c r="BK540" s="61" t="n"/>
      <c r="BL540" s="61" t="n"/>
      <c r="BM540" s="61" t="n"/>
      <c r="BN540" s="61" t="n"/>
      <c r="BO540" s="61" t="n"/>
      <c r="BP540" s="61" t="n"/>
      <c r="BQ540" s="61" t="n"/>
      <c r="BR540" s="61" t="n"/>
      <c r="BS540" s="61" t="n"/>
      <c r="BT540" s="61" t="n"/>
    </row>
    <row r="541" ht="15.75" customHeight="1" s="79">
      <c r="A541" s="61" t="n"/>
      <c r="B541" s="61" t="n"/>
      <c r="C541" s="61" t="n"/>
      <c r="D541" s="61" t="n"/>
      <c r="E541" s="61" t="n"/>
      <c r="F541" s="61" t="n"/>
      <c r="G541" s="61" t="n"/>
      <c r="H541" s="61" t="n"/>
      <c r="I541" s="61" t="n"/>
      <c r="J541" s="61" t="n"/>
      <c r="K541" s="61" t="n"/>
      <c r="L541" s="61" t="n"/>
      <c r="M541" s="61" t="n"/>
      <c r="N541" s="61" t="n"/>
      <c r="O541" s="61" t="n"/>
      <c r="P541" s="61" t="n"/>
      <c r="Q541" s="61" t="n"/>
      <c r="R541" s="61" t="n"/>
      <c r="S541" s="61" t="n"/>
      <c r="T541" s="61" t="n"/>
      <c r="U541" s="61" t="n"/>
      <c r="V541" s="61" t="n"/>
      <c r="W541" s="61" t="n"/>
      <c r="X541" s="61" t="n"/>
      <c r="Y541" s="61" t="n"/>
      <c r="Z541" s="61" t="n"/>
      <c r="AA541" s="61" t="n"/>
      <c r="AB541" s="61" t="n"/>
      <c r="AC541" s="61" t="n"/>
      <c r="AD541" s="61" t="n"/>
      <c r="AE541" s="61" t="n"/>
      <c r="AF541" s="61" t="n"/>
      <c r="AG541" s="61" t="n"/>
      <c r="AH541" s="61" t="n"/>
      <c r="AI541" s="61" t="n"/>
      <c r="AJ541" s="61" t="n"/>
      <c r="AK541" s="61" t="n"/>
      <c r="AL541" s="61" t="n"/>
      <c r="AM541" s="61" t="n"/>
      <c r="AN541" s="61" t="n"/>
      <c r="AO541" s="61" t="n"/>
      <c r="AP541" s="57" t="n"/>
      <c r="AQ541" s="56" t="n"/>
      <c r="AR541" s="57" t="n"/>
      <c r="AS541" s="61" t="n"/>
      <c r="AT541" s="61" t="n"/>
      <c r="AU541" s="57" t="n"/>
      <c r="AV541" s="61" t="n"/>
      <c r="AW541" s="61" t="n"/>
      <c r="AX541" s="61" t="n"/>
      <c r="AY541" s="61" t="n"/>
      <c r="AZ541" s="61" t="n"/>
      <c r="BA541" s="61" t="n"/>
      <c r="BB541" s="61" t="n"/>
      <c r="BC541" s="61" t="n"/>
      <c r="BD541" s="57" t="n"/>
      <c r="BE541" s="56" t="n"/>
      <c r="BF541" s="56" t="n"/>
      <c r="BG541" s="57" t="n"/>
      <c r="BH541" s="61" t="n"/>
      <c r="BI541" s="61" t="n"/>
      <c r="BJ541" s="61" t="n"/>
      <c r="BK541" s="61" t="n"/>
      <c r="BL541" s="61" t="n"/>
      <c r="BM541" s="61" t="n"/>
      <c r="BN541" s="61" t="n"/>
      <c r="BO541" s="61" t="n"/>
      <c r="BP541" s="61" t="n"/>
      <c r="BQ541" s="61" t="n"/>
      <c r="BR541" s="61" t="n"/>
      <c r="BS541" s="61" t="n"/>
      <c r="BT541" s="61" t="n"/>
    </row>
  </sheetData>
  <mergeCells count="1">
    <mergeCell ref="BK2:BM2"/>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0" customWidth="1" style="79" min="1" max="1"/>
    <col width="38" customWidth="1" style="79" min="2" max="2"/>
    <col width="32" customWidth="1" style="79" min="3" max="3"/>
    <col width="8.710000000000001" customWidth="1" style="79" min="4" max="4"/>
    <col width="60" customWidth="1" style="79" min="5" max="5"/>
    <col width="16" customWidth="1" style="79" min="6" max="6"/>
    <col width="8.710000000000001" customWidth="1" style="79" min="7" max="7"/>
    <col width="70" customWidth="1" style="79" min="8" max="8"/>
  </cols>
  <sheetData>
    <row r="1" ht="15" customHeight="1" s="79">
      <c r="A1" s="43" t="inlineStr">
        <is>
          <t>SIC major group mapping</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5" customHeight="1" s="79">
      <c r="A2" s="5" t="n"/>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15" customHeight="1" s="79">
      <c r="A3" s="65" t="inlineStr">
        <is>
          <t>SIC2</t>
        </is>
      </c>
      <c r="B3" s="65" t="inlineStr">
        <is>
          <t>Industry</t>
        </is>
      </c>
      <c r="C3" s="65" t="inlineStr">
        <is>
          <t>Division</t>
        </is>
      </c>
      <c r="D3" s="5" t="n"/>
      <c r="E3" s="5" t="n"/>
      <c r="F3" s="65" t="inlineStr">
        <is>
          <t>Federal Reserve Bank holidays (ACH does not settle). Saturday holidays are NOT observed on Friday.</t>
        </is>
      </c>
      <c r="G3" s="5" t="n"/>
      <c r="H3" s="5" t="n"/>
      <c r="I3" s="5" t="n"/>
      <c r="J3" s="5" t="n"/>
      <c r="K3" s="5" t="n"/>
      <c r="L3" s="5" t="n"/>
      <c r="M3" s="5" t="n"/>
      <c r="N3" s="5" t="n"/>
      <c r="O3" s="5" t="n"/>
      <c r="P3" s="5" t="n"/>
      <c r="Q3" s="5" t="n"/>
      <c r="R3" s="5" t="n"/>
      <c r="S3" s="5" t="n"/>
      <c r="T3" s="5" t="n"/>
      <c r="U3" s="5" t="n"/>
      <c r="V3" s="5" t="n"/>
      <c r="W3" s="5" t="n"/>
      <c r="X3" s="5" t="n"/>
      <c r="Y3" s="5" t="n"/>
      <c r="Z3" s="5" t="n"/>
    </row>
    <row r="4" ht="15" customHeight="1" s="79">
      <c r="A4" s="5" t="inlineStr">
        <is>
          <t>01</t>
        </is>
      </c>
      <c r="B4" s="5" t="inlineStr">
        <is>
          <t>Agricultural Production - Crops</t>
        </is>
      </c>
      <c r="C4" s="5" t="inlineStr">
        <is>
          <t>Agriculture, Forestry &amp; Fishing</t>
        </is>
      </c>
      <c r="D4" s="5" t="n"/>
      <c r="E4" s="5" t="n"/>
      <c r="F4" s="16" t="n">
        <v>45292</v>
      </c>
      <c r="G4" s="5" t="n"/>
      <c r="H4" s="5" t="n"/>
      <c r="I4" s="5" t="n"/>
      <c r="J4" s="5" t="n"/>
      <c r="K4" s="5" t="n"/>
      <c r="L4" s="5" t="n"/>
      <c r="M4" s="5" t="n"/>
      <c r="N4" s="5" t="n"/>
      <c r="O4" s="5" t="n"/>
      <c r="P4" s="5" t="n"/>
      <c r="Q4" s="5" t="n"/>
      <c r="R4" s="5" t="n"/>
      <c r="S4" s="5" t="n"/>
      <c r="T4" s="5" t="n"/>
      <c r="U4" s="5" t="n"/>
      <c r="V4" s="5" t="n"/>
      <c r="W4" s="5" t="n"/>
      <c r="X4" s="5" t="n"/>
      <c r="Y4" s="5" t="n"/>
      <c r="Z4" s="5" t="n"/>
    </row>
    <row r="5" ht="15" customHeight="1" s="79">
      <c r="A5" s="5" t="inlineStr">
        <is>
          <t>02</t>
        </is>
      </c>
      <c r="B5" s="5" t="inlineStr">
        <is>
          <t>Agricultural Production - Livestock</t>
        </is>
      </c>
      <c r="C5" s="5" t="inlineStr">
        <is>
          <t>Agriculture, Forestry &amp; Fishing</t>
        </is>
      </c>
      <c r="D5" s="5" t="n"/>
      <c r="E5" s="5" t="n"/>
      <c r="F5" s="16" t="n">
        <v>45306</v>
      </c>
      <c r="G5" s="5" t="n"/>
      <c r="H5" s="5" t="n"/>
      <c r="I5" s="5" t="n"/>
      <c r="J5" s="5" t="n"/>
      <c r="K5" s="5" t="n"/>
      <c r="L5" s="5" t="n"/>
      <c r="M5" s="5" t="n"/>
      <c r="N5" s="5" t="n"/>
      <c r="O5" s="5" t="n"/>
      <c r="P5" s="5" t="n"/>
      <c r="Q5" s="5" t="n"/>
      <c r="R5" s="5" t="n"/>
      <c r="S5" s="5" t="n"/>
      <c r="T5" s="5" t="n"/>
      <c r="U5" s="5" t="n"/>
      <c r="V5" s="5" t="n"/>
      <c r="W5" s="5" t="n"/>
      <c r="X5" s="5" t="n"/>
      <c r="Y5" s="5" t="n"/>
      <c r="Z5" s="5" t="n"/>
    </row>
    <row r="6" ht="15" customHeight="1" s="79">
      <c r="A6" s="5" t="inlineStr">
        <is>
          <t>07</t>
        </is>
      </c>
      <c r="B6" s="5" t="inlineStr">
        <is>
          <t>Agricultural Services</t>
        </is>
      </c>
      <c r="C6" s="5" t="inlineStr">
        <is>
          <t>Agriculture, Forestry &amp; Fishing</t>
        </is>
      </c>
      <c r="D6" s="5" t="n"/>
      <c r="E6" s="5" t="n"/>
      <c r="F6" s="16" t="n">
        <v>45341</v>
      </c>
      <c r="G6" s="5" t="n"/>
      <c r="H6" s="5" t="n"/>
      <c r="I6" s="5" t="n"/>
      <c r="J6" s="5" t="n"/>
      <c r="K6" s="5" t="n"/>
      <c r="L6" s="5" t="n"/>
      <c r="M6" s="5" t="n"/>
      <c r="N6" s="5" t="n"/>
      <c r="O6" s="5" t="n"/>
      <c r="P6" s="5" t="n"/>
      <c r="Q6" s="5" t="n"/>
      <c r="R6" s="5" t="n"/>
      <c r="S6" s="5" t="n"/>
      <c r="T6" s="5" t="n"/>
      <c r="U6" s="5" t="n"/>
      <c r="V6" s="5" t="n"/>
      <c r="W6" s="5" t="n"/>
      <c r="X6" s="5" t="n"/>
      <c r="Y6" s="5" t="n"/>
      <c r="Z6" s="5" t="n"/>
    </row>
    <row r="7" ht="15" customHeight="1" s="79">
      <c r="A7" s="5" t="inlineStr">
        <is>
          <t>08</t>
        </is>
      </c>
      <c r="B7" s="5" t="inlineStr">
        <is>
          <t>Forestry</t>
        </is>
      </c>
      <c r="C7" s="5" t="inlineStr">
        <is>
          <t>Agriculture, Forestry &amp; Fishing</t>
        </is>
      </c>
      <c r="D7" s="5" t="n"/>
      <c r="E7" s="5" t="n"/>
      <c r="F7" s="16" t="n">
        <v>45439</v>
      </c>
      <c r="G7" s="5" t="n"/>
      <c r="H7" s="5" t="n"/>
      <c r="I7" s="5" t="n"/>
      <c r="J7" s="5" t="n"/>
      <c r="K7" s="5" t="n"/>
      <c r="L7" s="5" t="n"/>
      <c r="M7" s="5" t="n"/>
      <c r="N7" s="5" t="n"/>
      <c r="O7" s="5" t="n"/>
      <c r="P7" s="5" t="n"/>
      <c r="Q7" s="5" t="n"/>
      <c r="R7" s="5" t="n"/>
      <c r="S7" s="5" t="n"/>
      <c r="T7" s="5" t="n"/>
      <c r="U7" s="5" t="n"/>
      <c r="V7" s="5" t="n"/>
      <c r="W7" s="5" t="n"/>
      <c r="X7" s="5" t="n"/>
      <c r="Y7" s="5" t="n"/>
      <c r="Z7" s="5" t="n"/>
    </row>
    <row r="8" ht="15" customHeight="1" s="79">
      <c r="A8" s="5" t="inlineStr">
        <is>
          <t>13</t>
        </is>
      </c>
      <c r="B8" s="5" t="inlineStr">
        <is>
          <t>Oil &amp; Gas Extraction</t>
        </is>
      </c>
      <c r="C8" s="5" t="inlineStr">
        <is>
          <t>Mining</t>
        </is>
      </c>
      <c r="D8" s="5" t="n"/>
      <c r="E8" s="5" t="n"/>
      <c r="F8" s="16" t="n">
        <v>45462</v>
      </c>
      <c r="G8" s="5" t="n"/>
      <c r="H8" s="5" t="n"/>
      <c r="I8" s="5" t="n"/>
      <c r="J8" s="5" t="n"/>
      <c r="K8" s="5" t="n"/>
      <c r="L8" s="5" t="n"/>
      <c r="M8" s="5" t="n"/>
      <c r="N8" s="5" t="n"/>
      <c r="O8" s="5" t="n"/>
      <c r="P8" s="5" t="n"/>
      <c r="Q8" s="5" t="n"/>
      <c r="R8" s="5" t="n"/>
      <c r="S8" s="5" t="n"/>
      <c r="T8" s="5" t="n"/>
      <c r="U8" s="5" t="n"/>
      <c r="V8" s="5" t="n"/>
      <c r="W8" s="5" t="n"/>
      <c r="X8" s="5" t="n"/>
      <c r="Y8" s="5" t="n"/>
      <c r="Z8" s="5" t="n"/>
    </row>
    <row r="9" ht="15" customHeight="1" s="79">
      <c r="A9" s="5" t="inlineStr">
        <is>
          <t>14</t>
        </is>
      </c>
      <c r="B9" s="5" t="inlineStr">
        <is>
          <t>Nonmetallic Minerals Mining</t>
        </is>
      </c>
      <c r="C9" s="5" t="inlineStr">
        <is>
          <t>Mining</t>
        </is>
      </c>
      <c r="D9" s="5" t="n"/>
      <c r="E9" s="5" t="n"/>
      <c r="F9" s="16" t="n">
        <v>45477</v>
      </c>
      <c r="G9" s="5" t="n"/>
      <c r="H9" s="5" t="n"/>
      <c r="I9" s="5" t="n"/>
      <c r="J9" s="5" t="n"/>
      <c r="K9" s="5" t="n"/>
      <c r="L9" s="5" t="n"/>
      <c r="M9" s="5" t="n"/>
      <c r="N9" s="5" t="n"/>
      <c r="O9" s="5" t="n"/>
      <c r="P9" s="5" t="n"/>
      <c r="Q9" s="5" t="n"/>
      <c r="R9" s="5" t="n"/>
      <c r="S9" s="5" t="n"/>
      <c r="T9" s="5" t="n"/>
      <c r="U9" s="5" t="n"/>
      <c r="V9" s="5" t="n"/>
      <c r="W9" s="5" t="n"/>
      <c r="X9" s="5" t="n"/>
      <c r="Y9" s="5" t="n"/>
      <c r="Z9" s="5" t="n"/>
    </row>
    <row r="10" ht="15" customHeight="1" s="79">
      <c r="A10" s="5" t="inlineStr">
        <is>
          <t>15</t>
        </is>
      </c>
      <c r="B10" s="5" t="inlineStr">
        <is>
          <t>General Building Contractors</t>
        </is>
      </c>
      <c r="C10" s="5" t="inlineStr">
        <is>
          <t>Construction</t>
        </is>
      </c>
      <c r="D10" s="5" t="n"/>
      <c r="E10" s="5" t="n"/>
      <c r="F10" s="16" t="n">
        <v>45537</v>
      </c>
      <c r="G10" s="5" t="n"/>
      <c r="H10" s="5" t="n"/>
      <c r="I10" s="5" t="n"/>
      <c r="J10" s="5" t="n"/>
      <c r="K10" s="5" t="n"/>
      <c r="L10" s="5" t="n"/>
      <c r="M10" s="5" t="n"/>
      <c r="N10" s="5" t="n"/>
      <c r="O10" s="5" t="n"/>
      <c r="P10" s="5" t="n"/>
      <c r="Q10" s="5" t="n"/>
      <c r="R10" s="5" t="n"/>
      <c r="S10" s="5" t="n"/>
      <c r="T10" s="5" t="n"/>
      <c r="U10" s="5" t="n"/>
      <c r="V10" s="5" t="n"/>
      <c r="W10" s="5" t="n"/>
      <c r="X10" s="5" t="n"/>
      <c r="Y10" s="5" t="n"/>
      <c r="Z10" s="5" t="n"/>
    </row>
    <row r="11" ht="15" customHeight="1" s="79">
      <c r="A11" s="5" t="inlineStr">
        <is>
          <t>16</t>
        </is>
      </c>
      <c r="B11" s="5" t="inlineStr">
        <is>
          <t>Heavy Construction</t>
        </is>
      </c>
      <c r="C11" s="5" t="inlineStr">
        <is>
          <t>Construction</t>
        </is>
      </c>
      <c r="D11" s="5" t="n"/>
      <c r="E11" s="5" t="n"/>
      <c r="F11" s="16" t="n">
        <v>45579</v>
      </c>
      <c r="G11" s="5" t="n"/>
      <c r="H11" s="5" t="n"/>
      <c r="I11" s="5" t="n"/>
      <c r="J11" s="5" t="n"/>
      <c r="K11" s="5" t="n"/>
      <c r="L11" s="5" t="n"/>
      <c r="M11" s="5" t="n"/>
      <c r="N11" s="5" t="n"/>
      <c r="O11" s="5" t="n"/>
      <c r="P11" s="5" t="n"/>
      <c r="Q11" s="5" t="n"/>
      <c r="R11" s="5" t="n"/>
      <c r="S11" s="5" t="n"/>
      <c r="T11" s="5" t="n"/>
      <c r="U11" s="5" t="n"/>
      <c r="V11" s="5" t="n"/>
      <c r="W11" s="5" t="n"/>
      <c r="X11" s="5" t="n"/>
      <c r="Y11" s="5" t="n"/>
      <c r="Z11" s="5" t="n"/>
    </row>
    <row r="12" ht="15" customHeight="1" s="79">
      <c r="A12" s="5" t="inlineStr">
        <is>
          <t>17</t>
        </is>
      </c>
      <c r="B12" s="5" t="inlineStr">
        <is>
          <t>Special Trade Contractors</t>
        </is>
      </c>
      <c r="C12" s="5" t="inlineStr">
        <is>
          <t>Construction</t>
        </is>
      </c>
      <c r="D12" s="5" t="n"/>
      <c r="E12" s="5" t="n"/>
      <c r="F12" s="16" t="n">
        <v>45607</v>
      </c>
      <c r="G12" s="5" t="n"/>
      <c r="H12" s="5" t="n"/>
      <c r="I12" s="5" t="n"/>
      <c r="J12" s="5" t="n"/>
      <c r="K12" s="5" t="n"/>
      <c r="L12" s="5" t="n"/>
      <c r="M12" s="5" t="n"/>
      <c r="N12" s="5" t="n"/>
      <c r="O12" s="5" t="n"/>
      <c r="P12" s="5" t="n"/>
      <c r="Q12" s="5" t="n"/>
      <c r="R12" s="5" t="n"/>
      <c r="S12" s="5" t="n"/>
      <c r="T12" s="5" t="n"/>
      <c r="U12" s="5" t="n"/>
      <c r="V12" s="5" t="n"/>
      <c r="W12" s="5" t="n"/>
      <c r="X12" s="5" t="n"/>
      <c r="Y12" s="5" t="n"/>
      <c r="Z12" s="5" t="n"/>
    </row>
    <row r="13" ht="15" customHeight="1" s="79">
      <c r="A13" s="5" t="inlineStr">
        <is>
          <t>20</t>
        </is>
      </c>
      <c r="B13" s="5" t="inlineStr">
        <is>
          <t>Food &amp; Kindred Products</t>
        </is>
      </c>
      <c r="C13" s="5" t="inlineStr">
        <is>
          <t>Manufacturing</t>
        </is>
      </c>
      <c r="D13" s="5" t="n"/>
      <c r="E13" s="5" t="n"/>
      <c r="F13" s="16" t="n">
        <v>45624</v>
      </c>
      <c r="G13" s="5" t="n"/>
      <c r="H13" s="5" t="n"/>
      <c r="I13" s="5" t="n"/>
      <c r="J13" s="5" t="n"/>
      <c r="K13" s="5" t="n"/>
      <c r="L13" s="5" t="n"/>
      <c r="M13" s="5" t="n"/>
      <c r="N13" s="5" t="n"/>
      <c r="O13" s="5" t="n"/>
      <c r="P13" s="5" t="n"/>
      <c r="Q13" s="5" t="n"/>
      <c r="R13" s="5" t="n"/>
      <c r="S13" s="5" t="n"/>
      <c r="T13" s="5" t="n"/>
      <c r="U13" s="5" t="n"/>
      <c r="V13" s="5" t="n"/>
      <c r="W13" s="5" t="n"/>
      <c r="X13" s="5" t="n"/>
      <c r="Y13" s="5" t="n"/>
      <c r="Z13" s="5" t="n"/>
    </row>
    <row r="14" ht="15" customHeight="1" s="79">
      <c r="A14" s="5" t="inlineStr">
        <is>
          <t>23</t>
        </is>
      </c>
      <c r="B14" s="5" t="inlineStr">
        <is>
          <t>Apparel &amp; Textile Products</t>
        </is>
      </c>
      <c r="C14" s="5" t="inlineStr">
        <is>
          <t>Manufacturing</t>
        </is>
      </c>
      <c r="D14" s="5" t="n"/>
      <c r="E14" s="5" t="n"/>
      <c r="F14" s="16" t="n">
        <v>45651</v>
      </c>
      <c r="G14" s="5" t="n"/>
      <c r="H14" s="5" t="n"/>
      <c r="I14" s="5" t="n"/>
      <c r="J14" s="5" t="n"/>
      <c r="K14" s="5" t="n"/>
      <c r="L14" s="5" t="n"/>
      <c r="M14" s="5" t="n"/>
      <c r="N14" s="5" t="n"/>
      <c r="O14" s="5" t="n"/>
      <c r="P14" s="5" t="n"/>
      <c r="Q14" s="5" t="n"/>
      <c r="R14" s="5" t="n"/>
      <c r="S14" s="5" t="n"/>
      <c r="T14" s="5" t="n"/>
      <c r="U14" s="5" t="n"/>
      <c r="V14" s="5" t="n"/>
      <c r="W14" s="5" t="n"/>
      <c r="X14" s="5" t="n"/>
      <c r="Y14" s="5" t="n"/>
      <c r="Z14" s="5" t="n"/>
    </row>
    <row r="15" ht="15" customHeight="1" s="79">
      <c r="A15" s="5" t="inlineStr">
        <is>
          <t>24</t>
        </is>
      </c>
      <c r="B15" s="5" t="inlineStr">
        <is>
          <t>Lumber &amp; Wood Products</t>
        </is>
      </c>
      <c r="C15" s="5" t="inlineStr">
        <is>
          <t>Manufacturing</t>
        </is>
      </c>
      <c r="D15" s="5" t="n"/>
      <c r="E15" s="5" t="n"/>
      <c r="F15" s="16" t="n">
        <v>45658</v>
      </c>
      <c r="G15" s="5" t="n"/>
      <c r="H15" s="5" t="n"/>
      <c r="I15" s="5" t="n"/>
      <c r="J15" s="5" t="n"/>
      <c r="K15" s="5" t="n"/>
      <c r="L15" s="5" t="n"/>
      <c r="M15" s="5" t="n"/>
      <c r="N15" s="5" t="n"/>
      <c r="O15" s="5" t="n"/>
      <c r="P15" s="5" t="n"/>
      <c r="Q15" s="5" t="n"/>
      <c r="R15" s="5" t="n"/>
      <c r="S15" s="5" t="n"/>
      <c r="T15" s="5" t="n"/>
      <c r="U15" s="5" t="n"/>
      <c r="V15" s="5" t="n"/>
      <c r="W15" s="5" t="n"/>
      <c r="X15" s="5" t="n"/>
      <c r="Y15" s="5" t="n"/>
      <c r="Z15" s="5" t="n"/>
    </row>
    <row r="16" ht="15" customHeight="1" s="79">
      <c r="A16" s="5" t="inlineStr">
        <is>
          <t>25</t>
        </is>
      </c>
      <c r="B16" s="5" t="inlineStr">
        <is>
          <t>Furniture &amp; Fixtures</t>
        </is>
      </c>
      <c r="C16" s="5" t="inlineStr">
        <is>
          <t>Manufacturing</t>
        </is>
      </c>
      <c r="D16" s="5" t="n"/>
      <c r="E16" s="5" t="n"/>
      <c r="F16" s="16" t="n">
        <v>45677</v>
      </c>
      <c r="G16" s="5" t="n"/>
      <c r="H16" s="5" t="n"/>
      <c r="I16" s="5" t="n"/>
      <c r="J16" s="5" t="n"/>
      <c r="K16" s="5" t="n"/>
      <c r="L16" s="5" t="n"/>
      <c r="M16" s="5" t="n"/>
      <c r="N16" s="5" t="n"/>
      <c r="O16" s="5" t="n"/>
      <c r="P16" s="5" t="n"/>
      <c r="Q16" s="5" t="n"/>
      <c r="R16" s="5" t="n"/>
      <c r="S16" s="5" t="n"/>
      <c r="T16" s="5" t="n"/>
      <c r="U16" s="5" t="n"/>
      <c r="V16" s="5" t="n"/>
      <c r="W16" s="5" t="n"/>
      <c r="X16" s="5" t="n"/>
      <c r="Y16" s="5" t="n"/>
      <c r="Z16" s="5" t="n"/>
    </row>
    <row r="17" ht="15" customHeight="1" s="79">
      <c r="A17" s="5" t="inlineStr">
        <is>
          <t>27</t>
        </is>
      </c>
      <c r="B17" s="5" t="inlineStr">
        <is>
          <t>Printing &amp; Publishing</t>
        </is>
      </c>
      <c r="C17" s="5" t="inlineStr">
        <is>
          <t>Manufacturing</t>
        </is>
      </c>
      <c r="D17" s="5" t="n"/>
      <c r="E17" s="5" t="n"/>
      <c r="F17" s="16" t="n">
        <v>45705</v>
      </c>
      <c r="G17" s="5" t="n"/>
      <c r="H17" s="5" t="n"/>
      <c r="I17" s="5" t="n"/>
      <c r="J17" s="5" t="n"/>
      <c r="K17" s="5" t="n"/>
      <c r="L17" s="5" t="n"/>
      <c r="M17" s="5" t="n"/>
      <c r="N17" s="5" t="n"/>
      <c r="O17" s="5" t="n"/>
      <c r="P17" s="5" t="n"/>
      <c r="Q17" s="5" t="n"/>
      <c r="R17" s="5" t="n"/>
      <c r="S17" s="5" t="n"/>
      <c r="T17" s="5" t="n"/>
      <c r="U17" s="5" t="n"/>
      <c r="V17" s="5" t="n"/>
      <c r="W17" s="5" t="n"/>
      <c r="X17" s="5" t="n"/>
      <c r="Y17" s="5" t="n"/>
      <c r="Z17" s="5" t="n"/>
    </row>
    <row r="18" ht="15" customHeight="1" s="79">
      <c r="A18" s="5" t="inlineStr">
        <is>
          <t>28</t>
        </is>
      </c>
      <c r="B18" s="5" t="inlineStr">
        <is>
          <t>Chemicals &amp; Allied Products</t>
        </is>
      </c>
      <c r="C18" s="5" t="inlineStr">
        <is>
          <t>Manufacturing</t>
        </is>
      </c>
      <c r="D18" s="5" t="n"/>
      <c r="E18" s="5" t="n"/>
      <c r="F18" s="16" t="n">
        <v>45803</v>
      </c>
      <c r="G18" s="5" t="n"/>
      <c r="H18" s="5" t="n"/>
      <c r="I18" s="5" t="n"/>
      <c r="J18" s="5" t="n"/>
      <c r="K18" s="5" t="n"/>
      <c r="L18" s="5" t="n"/>
      <c r="M18" s="5" t="n"/>
      <c r="N18" s="5" t="n"/>
      <c r="O18" s="5" t="n"/>
      <c r="P18" s="5" t="n"/>
      <c r="Q18" s="5" t="n"/>
      <c r="R18" s="5" t="n"/>
      <c r="S18" s="5" t="n"/>
      <c r="T18" s="5" t="n"/>
      <c r="U18" s="5" t="n"/>
      <c r="V18" s="5" t="n"/>
      <c r="W18" s="5" t="n"/>
      <c r="X18" s="5" t="n"/>
      <c r="Y18" s="5" t="n"/>
      <c r="Z18" s="5" t="n"/>
    </row>
    <row r="19" ht="15" customHeight="1" s="79">
      <c r="A19" s="5" t="inlineStr">
        <is>
          <t>30</t>
        </is>
      </c>
      <c r="B19" s="5" t="inlineStr">
        <is>
          <t>Rubber &amp; Plastics</t>
        </is>
      </c>
      <c r="C19" s="5" t="inlineStr">
        <is>
          <t>Manufacturing</t>
        </is>
      </c>
      <c r="D19" s="5" t="n"/>
      <c r="E19" s="5" t="n"/>
      <c r="F19" s="16" t="n">
        <v>45827</v>
      </c>
      <c r="G19" s="5" t="n"/>
      <c r="H19" s="5" t="n"/>
      <c r="I19" s="5" t="n"/>
      <c r="J19" s="5" t="n"/>
      <c r="K19" s="5" t="n"/>
      <c r="L19" s="5" t="n"/>
      <c r="M19" s="5" t="n"/>
      <c r="N19" s="5" t="n"/>
      <c r="O19" s="5" t="n"/>
      <c r="P19" s="5" t="n"/>
      <c r="Q19" s="5" t="n"/>
      <c r="R19" s="5" t="n"/>
      <c r="S19" s="5" t="n"/>
      <c r="T19" s="5" t="n"/>
      <c r="U19" s="5" t="n"/>
      <c r="V19" s="5" t="n"/>
      <c r="W19" s="5" t="n"/>
      <c r="X19" s="5" t="n"/>
      <c r="Y19" s="5" t="n"/>
      <c r="Z19" s="5" t="n"/>
    </row>
    <row r="20" ht="15" customHeight="1" s="79">
      <c r="A20" s="5" t="inlineStr">
        <is>
          <t>32</t>
        </is>
      </c>
      <c r="B20" s="5" t="inlineStr">
        <is>
          <t>Stone, Clay, Glass &amp; Concrete</t>
        </is>
      </c>
      <c r="C20" s="5" t="inlineStr">
        <is>
          <t>Manufacturing</t>
        </is>
      </c>
      <c r="D20" s="5" t="n"/>
      <c r="E20" s="5" t="n"/>
      <c r="F20" s="16" t="n">
        <v>45842</v>
      </c>
      <c r="G20" s="5" t="n"/>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79">
      <c r="A21" s="5" t="inlineStr">
        <is>
          <t>33</t>
        </is>
      </c>
      <c r="B21" s="5" t="inlineStr">
        <is>
          <t>Primary Metal Industries</t>
        </is>
      </c>
      <c r="C21" s="5" t="inlineStr">
        <is>
          <t>Manufacturing</t>
        </is>
      </c>
      <c r="D21" s="5" t="n"/>
      <c r="E21" s="5" t="n"/>
      <c r="F21" s="16" t="n">
        <v>45901</v>
      </c>
      <c r="G21" s="5" t="n"/>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79">
      <c r="A22" s="5" t="inlineStr">
        <is>
          <t>34</t>
        </is>
      </c>
      <c r="B22" s="5" t="inlineStr">
        <is>
          <t>Fabricated Metal Products</t>
        </is>
      </c>
      <c r="C22" s="5" t="inlineStr">
        <is>
          <t>Manufacturing</t>
        </is>
      </c>
      <c r="D22" s="5" t="n"/>
      <c r="E22" s="5" t="n"/>
      <c r="F22" s="16" t="n">
        <v>45943</v>
      </c>
      <c r="G22" s="5" t="n"/>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79">
      <c r="A23" s="5" t="inlineStr">
        <is>
          <t>35</t>
        </is>
      </c>
      <c r="B23" s="5" t="inlineStr">
        <is>
          <t>Industrial Machinery &amp; Equipment</t>
        </is>
      </c>
      <c r="C23" s="5" t="inlineStr">
        <is>
          <t>Manufacturing</t>
        </is>
      </c>
      <c r="D23" s="5" t="n"/>
      <c r="E23" s="5" t="n"/>
      <c r="F23" s="16" t="n">
        <v>45972</v>
      </c>
      <c r="G23" s="5" t="n"/>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79">
      <c r="A24" s="5" t="inlineStr">
        <is>
          <t>36</t>
        </is>
      </c>
      <c r="B24" s="5" t="inlineStr">
        <is>
          <t>Electronic &amp; Electrical Equipment</t>
        </is>
      </c>
      <c r="C24" s="5" t="inlineStr">
        <is>
          <t>Manufacturing</t>
        </is>
      </c>
      <c r="D24" s="5" t="n"/>
      <c r="E24" s="5" t="n"/>
      <c r="F24" s="16" t="n">
        <v>45988</v>
      </c>
      <c r="G24" s="5" t="n"/>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79">
      <c r="A25" s="5" t="inlineStr">
        <is>
          <t>37</t>
        </is>
      </c>
      <c r="B25" s="5" t="inlineStr">
        <is>
          <t>Transportation Equipment</t>
        </is>
      </c>
      <c r="C25" s="5" t="inlineStr">
        <is>
          <t>Manufacturing</t>
        </is>
      </c>
      <c r="D25" s="5" t="n"/>
      <c r="E25" s="5" t="n"/>
      <c r="F25" s="16" t="n">
        <v>46016</v>
      </c>
      <c r="G25" s="5" t="n"/>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79">
      <c r="A26" s="5" t="inlineStr">
        <is>
          <t>38</t>
        </is>
      </c>
      <c r="B26" s="5" t="inlineStr">
        <is>
          <t>Instruments &amp; Related Products</t>
        </is>
      </c>
      <c r="C26" s="5" t="inlineStr">
        <is>
          <t>Manufacturing</t>
        </is>
      </c>
      <c r="D26" s="5" t="n"/>
      <c r="E26" s="5" t="n"/>
      <c r="F26" s="16" t="n">
        <v>46023</v>
      </c>
      <c r="G26" s="5" t="n"/>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79">
      <c r="A27" s="5" t="inlineStr">
        <is>
          <t>39</t>
        </is>
      </c>
      <c r="B27" s="5" t="inlineStr">
        <is>
          <t>Miscellaneous Manufacturing</t>
        </is>
      </c>
      <c r="C27" s="5" t="inlineStr">
        <is>
          <t>Manufacturing</t>
        </is>
      </c>
      <c r="D27" s="5" t="n"/>
      <c r="E27" s="5" t="n"/>
      <c r="F27" s="16" t="n">
        <v>46041</v>
      </c>
      <c r="G27" s="5" t="n"/>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79">
      <c r="A28" s="5" t="inlineStr">
        <is>
          <t>41</t>
        </is>
      </c>
      <c r="B28" s="5" t="inlineStr">
        <is>
          <t>Local &amp; Interurban Passenger Transit</t>
        </is>
      </c>
      <c r="C28" s="5" t="inlineStr">
        <is>
          <t>Transportation &amp; Utilities</t>
        </is>
      </c>
      <c r="D28" s="5" t="n"/>
      <c r="E28" s="5" t="n"/>
      <c r="F28" s="16" t="n">
        <v>46069</v>
      </c>
      <c r="G28" s="5" t="n"/>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79">
      <c r="A29" s="5" t="inlineStr">
        <is>
          <t>42</t>
        </is>
      </c>
      <c r="B29" s="5" t="inlineStr">
        <is>
          <t>Trucking &amp; Warehousing</t>
        </is>
      </c>
      <c r="C29" s="5" t="inlineStr">
        <is>
          <t>Transportation &amp; Utilities</t>
        </is>
      </c>
      <c r="D29" s="5" t="n"/>
      <c r="E29" s="5" t="n"/>
      <c r="F29" s="16" t="n">
        <v>46167</v>
      </c>
      <c r="G29" s="5"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79">
      <c r="A30" s="5" t="inlineStr">
        <is>
          <t>44</t>
        </is>
      </c>
      <c r="B30" s="5" t="inlineStr">
        <is>
          <t>Water Transportation</t>
        </is>
      </c>
      <c r="C30" s="5" t="inlineStr">
        <is>
          <t>Transportation &amp; Utilities</t>
        </is>
      </c>
      <c r="D30" s="5" t="n"/>
      <c r="E30" s="5" t="n"/>
      <c r="F30" s="16" t="n">
        <v>46192</v>
      </c>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79">
      <c r="A31" s="5" t="inlineStr">
        <is>
          <t>45</t>
        </is>
      </c>
      <c r="B31" s="5" t="inlineStr">
        <is>
          <t>Air Transportation</t>
        </is>
      </c>
      <c r="C31" s="5" t="inlineStr">
        <is>
          <t>Transportation &amp; Utilities</t>
        </is>
      </c>
      <c r="D31" s="5" t="n"/>
      <c r="E31" s="5" t="n"/>
      <c r="F31" s="16" t="n">
        <v>46272</v>
      </c>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79">
      <c r="A32" s="5" t="inlineStr">
        <is>
          <t>47</t>
        </is>
      </c>
      <c r="B32" s="5" t="inlineStr">
        <is>
          <t>Transportation Services</t>
        </is>
      </c>
      <c r="C32" s="5" t="inlineStr">
        <is>
          <t>Transportation &amp; Utilities</t>
        </is>
      </c>
      <c r="D32" s="5" t="n"/>
      <c r="E32" s="5" t="n"/>
      <c r="F32" s="16" t="n">
        <v>46307</v>
      </c>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79">
      <c r="A33" s="5" t="inlineStr">
        <is>
          <t>48</t>
        </is>
      </c>
      <c r="B33" s="5" t="inlineStr">
        <is>
          <t>Communications</t>
        </is>
      </c>
      <c r="C33" s="5" t="inlineStr">
        <is>
          <t>Transportation &amp; Utilities</t>
        </is>
      </c>
      <c r="D33" s="5" t="n"/>
      <c r="E33" s="5" t="n"/>
      <c r="F33" s="16" t="n">
        <v>46337</v>
      </c>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79">
      <c r="A34" s="5" t="inlineStr">
        <is>
          <t>49</t>
        </is>
      </c>
      <c r="B34" s="5" t="inlineStr">
        <is>
          <t>Electric, Gas &amp; Sanitary Services</t>
        </is>
      </c>
      <c r="C34" s="5" t="inlineStr">
        <is>
          <t>Transportation &amp; Utilities</t>
        </is>
      </c>
      <c r="D34" s="5" t="n"/>
      <c r="E34" s="5" t="n"/>
      <c r="F34" s="16" t="n">
        <v>46352</v>
      </c>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79">
      <c r="A35" s="5" t="inlineStr">
        <is>
          <t>50</t>
        </is>
      </c>
      <c r="B35" s="5" t="inlineStr">
        <is>
          <t>Wholesale Trade - Durable Goods</t>
        </is>
      </c>
      <c r="C35" s="5" t="inlineStr">
        <is>
          <t>Wholesale Trade</t>
        </is>
      </c>
      <c r="D35" s="5" t="n"/>
      <c r="E35" s="5" t="n"/>
      <c r="F35" s="16" t="n">
        <v>46381</v>
      </c>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79">
      <c r="A36" s="5" t="inlineStr">
        <is>
          <t>51</t>
        </is>
      </c>
      <c r="B36" s="5" t="inlineStr">
        <is>
          <t>Wholesale Trade - Nondurable Goods</t>
        </is>
      </c>
      <c r="C36" s="5" t="inlineStr">
        <is>
          <t>Wholesale Trade</t>
        </is>
      </c>
      <c r="D36" s="5" t="n"/>
      <c r="E36" s="5" t="n"/>
      <c r="F36" s="16" t="n">
        <v>46388</v>
      </c>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79">
      <c r="A37" s="5" t="inlineStr">
        <is>
          <t>52</t>
        </is>
      </c>
      <c r="B37" s="5" t="inlineStr">
        <is>
          <t>Building Materials &amp; Garden Supply</t>
        </is>
      </c>
      <c r="C37" s="5" t="inlineStr">
        <is>
          <t>Retail Trade</t>
        </is>
      </c>
      <c r="D37" s="5" t="n"/>
      <c r="E37" s="5" t="n"/>
      <c r="F37" s="16" t="n">
        <v>46405</v>
      </c>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79">
      <c r="A38" s="5" t="inlineStr">
        <is>
          <t>53</t>
        </is>
      </c>
      <c r="B38" s="5" t="inlineStr">
        <is>
          <t>General Merchandise Stores</t>
        </is>
      </c>
      <c r="C38" s="5" t="inlineStr">
        <is>
          <t>Retail Trade</t>
        </is>
      </c>
      <c r="D38" s="5" t="n"/>
      <c r="E38" s="5" t="n"/>
      <c r="F38" s="16" t="n">
        <v>46433</v>
      </c>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79">
      <c r="A39" s="5" t="inlineStr">
        <is>
          <t>54</t>
        </is>
      </c>
      <c r="B39" s="5" t="inlineStr">
        <is>
          <t>Food Stores</t>
        </is>
      </c>
      <c r="C39" s="5" t="inlineStr">
        <is>
          <t>Retail Trade</t>
        </is>
      </c>
      <c r="D39" s="5" t="n"/>
      <c r="E39" s="5" t="n"/>
      <c r="F39" s="16" t="n">
        <v>46538</v>
      </c>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79">
      <c r="A40" s="5" t="inlineStr">
        <is>
          <t>55</t>
        </is>
      </c>
      <c r="B40" s="5" t="inlineStr">
        <is>
          <t>Auto Dealers &amp; Gas Stations</t>
        </is>
      </c>
      <c r="C40" s="5" t="inlineStr">
        <is>
          <t>Retail Trade</t>
        </is>
      </c>
      <c r="D40" s="5" t="n"/>
      <c r="E40" s="5" t="n"/>
      <c r="F40" s="16" t="n">
        <v>46573</v>
      </c>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79">
      <c r="A41" s="5" t="inlineStr">
        <is>
          <t>56</t>
        </is>
      </c>
      <c r="B41" s="5" t="inlineStr">
        <is>
          <t>Apparel &amp; Accessory Stores</t>
        </is>
      </c>
      <c r="C41" s="5" t="inlineStr">
        <is>
          <t>Retail Trade</t>
        </is>
      </c>
      <c r="D41" s="5" t="n"/>
      <c r="E41" s="5" t="n"/>
      <c r="F41" s="16" t="n">
        <v>46636</v>
      </c>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79">
      <c r="A42" s="5" t="inlineStr">
        <is>
          <t>57</t>
        </is>
      </c>
      <c r="B42" s="5" t="inlineStr">
        <is>
          <t>Furniture &amp; Home Furnishings Stores</t>
        </is>
      </c>
      <c r="C42" s="5" t="inlineStr">
        <is>
          <t>Retail Trade</t>
        </is>
      </c>
      <c r="D42" s="5" t="n"/>
      <c r="E42" s="5" t="n"/>
      <c r="F42" s="16" t="n">
        <v>46671</v>
      </c>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79">
      <c r="A43" s="5" t="inlineStr">
        <is>
          <t>58</t>
        </is>
      </c>
      <c r="B43" s="5" t="inlineStr">
        <is>
          <t>Eating &amp; Drinking Places</t>
        </is>
      </c>
      <c r="C43" s="5" t="inlineStr">
        <is>
          <t>Retail Trade</t>
        </is>
      </c>
      <c r="D43" s="5" t="n"/>
      <c r="E43" s="5" t="n"/>
      <c r="F43" s="16" t="n">
        <v>46702</v>
      </c>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79">
      <c r="A44" s="5" t="inlineStr">
        <is>
          <t>59</t>
        </is>
      </c>
      <c r="B44" s="5" t="inlineStr">
        <is>
          <t>Miscellaneous Retail</t>
        </is>
      </c>
      <c r="C44" s="5" t="inlineStr">
        <is>
          <t>Retail Trade</t>
        </is>
      </c>
      <c r="D44" s="5" t="n"/>
      <c r="E44" s="5" t="n"/>
      <c r="F44" s="16" t="n">
        <v>46716</v>
      </c>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79">
      <c r="A45" s="5" t="inlineStr">
        <is>
          <t>62</t>
        </is>
      </c>
      <c r="B45" s="5" t="inlineStr">
        <is>
          <t>Security &amp; Commodity Brokers</t>
        </is>
      </c>
      <c r="C45" s="5" t="inlineStr">
        <is>
          <t>Finance, Insurance &amp; Real Estate</t>
        </is>
      </c>
      <c r="D45" s="5" t="n"/>
      <c r="E45" s="5" t="n"/>
      <c r="F45" s="16"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79">
      <c r="A46" s="5" t="inlineStr">
        <is>
          <t>63</t>
        </is>
      </c>
      <c r="B46" s="5" t="inlineStr">
        <is>
          <t>Insurance Carriers</t>
        </is>
      </c>
      <c r="C46" s="5" t="inlineStr">
        <is>
          <t>Finance, Insurance &amp; Real Estate</t>
        </is>
      </c>
      <c r="D46" s="5" t="n"/>
      <c r="E46" s="5" t="n"/>
      <c r="F46" s="16"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79">
      <c r="A47" s="5" t="inlineStr">
        <is>
          <t>64</t>
        </is>
      </c>
      <c r="B47" s="5" t="inlineStr">
        <is>
          <t>Insurance Agents &amp; Brokers</t>
        </is>
      </c>
      <c r="C47" s="5" t="inlineStr">
        <is>
          <t>Finance, Insurance &amp; Real Estate</t>
        </is>
      </c>
      <c r="D47" s="5" t="n"/>
      <c r="E47" s="5" t="n"/>
      <c r="F47" s="16"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79">
      <c r="A48" s="5" t="inlineStr">
        <is>
          <t>65</t>
        </is>
      </c>
      <c r="B48" s="5" t="inlineStr">
        <is>
          <t>Real Estate</t>
        </is>
      </c>
      <c r="C48" s="5" t="inlineStr">
        <is>
          <t>Finance, Insurance &amp; Real Estate</t>
        </is>
      </c>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79">
      <c r="A49" s="5" t="inlineStr">
        <is>
          <t>70</t>
        </is>
      </c>
      <c r="B49" s="5" t="inlineStr">
        <is>
          <t>Hotels &amp; Lodging</t>
        </is>
      </c>
      <c r="C49" s="5" t="inlineStr">
        <is>
          <t>Services</t>
        </is>
      </c>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79">
      <c r="A50" s="5" t="inlineStr">
        <is>
          <t>72</t>
        </is>
      </c>
      <c r="B50" s="5" t="inlineStr">
        <is>
          <t>Personal Services</t>
        </is>
      </c>
      <c r="C50" s="5" t="inlineStr">
        <is>
          <t>Services</t>
        </is>
      </c>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79">
      <c r="A51" s="5" t="inlineStr">
        <is>
          <t>73</t>
        </is>
      </c>
      <c r="B51" s="5" t="inlineStr">
        <is>
          <t>Business Services</t>
        </is>
      </c>
      <c r="C51" s="5" t="inlineStr">
        <is>
          <t>Services</t>
        </is>
      </c>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79">
      <c r="A52" s="5" t="inlineStr">
        <is>
          <t>75</t>
        </is>
      </c>
      <c r="B52" s="5" t="inlineStr">
        <is>
          <t>Auto Repair &amp; Services</t>
        </is>
      </c>
      <c r="C52" s="5" t="inlineStr">
        <is>
          <t>Services</t>
        </is>
      </c>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79">
      <c r="A53" s="5" t="inlineStr">
        <is>
          <t>76</t>
        </is>
      </c>
      <c r="B53" s="5" t="inlineStr">
        <is>
          <t>Miscellaneous Repair Services</t>
        </is>
      </c>
      <c r="C53" s="5" t="inlineStr">
        <is>
          <t>Services</t>
        </is>
      </c>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79">
      <c r="A54" s="5" t="inlineStr">
        <is>
          <t>78</t>
        </is>
      </c>
      <c r="B54" s="5" t="inlineStr">
        <is>
          <t>Motion Pictures</t>
        </is>
      </c>
      <c r="C54" s="5" t="inlineStr">
        <is>
          <t>Services</t>
        </is>
      </c>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79">
      <c r="A55" s="5" t="inlineStr">
        <is>
          <t>79</t>
        </is>
      </c>
      <c r="B55" s="5" t="inlineStr">
        <is>
          <t>Amusement &amp; Recreation Services</t>
        </is>
      </c>
      <c r="C55" s="5" t="inlineStr">
        <is>
          <t>Services</t>
        </is>
      </c>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79">
      <c r="A56" s="5" t="inlineStr">
        <is>
          <t>80</t>
        </is>
      </c>
      <c r="B56" s="5" t="inlineStr">
        <is>
          <t>Health Services</t>
        </is>
      </c>
      <c r="C56" s="5" t="inlineStr">
        <is>
          <t>Services</t>
        </is>
      </c>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79">
      <c r="A57" s="5" t="inlineStr">
        <is>
          <t>81</t>
        </is>
      </c>
      <c r="B57" s="5" t="inlineStr">
        <is>
          <t>Legal Services</t>
        </is>
      </c>
      <c r="C57" s="5" t="inlineStr">
        <is>
          <t>Services</t>
        </is>
      </c>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79">
      <c r="A58" s="5" t="inlineStr">
        <is>
          <t>82</t>
        </is>
      </c>
      <c r="B58" s="5" t="inlineStr">
        <is>
          <t>Educational Services</t>
        </is>
      </c>
      <c r="C58" s="5" t="inlineStr">
        <is>
          <t>Services</t>
        </is>
      </c>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79">
      <c r="A59" s="5" t="inlineStr">
        <is>
          <t>83</t>
        </is>
      </c>
      <c r="B59" s="5" t="inlineStr">
        <is>
          <t>Social Services</t>
        </is>
      </c>
      <c r="C59" s="5" t="inlineStr">
        <is>
          <t>Services</t>
        </is>
      </c>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79">
      <c r="A60" s="5" t="inlineStr">
        <is>
          <t>84</t>
        </is>
      </c>
      <c r="B60" s="5" t="inlineStr">
        <is>
          <t>Museums &amp; Botanical Gardens</t>
        </is>
      </c>
      <c r="C60" s="5" t="inlineStr">
        <is>
          <t>Services</t>
        </is>
      </c>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79">
      <c r="A61" s="5" t="inlineStr">
        <is>
          <t>86</t>
        </is>
      </c>
      <c r="B61" s="5" t="inlineStr">
        <is>
          <t>Membership Organizations</t>
        </is>
      </c>
      <c r="C61" s="5" t="inlineStr">
        <is>
          <t>Services</t>
        </is>
      </c>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79">
      <c r="A62" s="5" t="inlineStr">
        <is>
          <t>87</t>
        </is>
      </c>
      <c r="B62" s="5" t="inlineStr">
        <is>
          <t>Engineering, Accounting &amp; Management</t>
        </is>
      </c>
      <c r="C62" s="5" t="inlineStr">
        <is>
          <t>Services</t>
        </is>
      </c>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79">
      <c r="A63" s="5" t="inlineStr">
        <is>
          <t>89</t>
        </is>
      </c>
      <c r="B63" s="5" t="inlineStr">
        <is>
          <t>Services - Miscellaneous</t>
        </is>
      </c>
      <c r="C63" s="5" t="inlineStr">
        <is>
          <t>Services</t>
        </is>
      </c>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79">
      <c r="A64" s="5" t="inlineStr">
        <is>
          <t>92</t>
        </is>
      </c>
      <c r="B64" s="5" t="inlineStr">
        <is>
          <t>Justice, Public Order &amp; Safety</t>
        </is>
      </c>
      <c r="C64" s="5" t="inlineStr">
        <is>
          <t>Public Administration</t>
        </is>
      </c>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79">
      <c r="A65" s="5" t="inlineStr">
        <is>
          <t>95</t>
        </is>
      </c>
      <c r="B65" s="5" t="inlineStr">
        <is>
          <t>Environmental Quality &amp; Housing</t>
        </is>
      </c>
      <c r="C65" s="5" t="inlineStr">
        <is>
          <t>Public Administration</t>
        </is>
      </c>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79">
      <c r="A66" s="5" t="inlineStr">
        <is>
          <t>96</t>
        </is>
      </c>
      <c r="B66" s="5" t="inlineStr">
        <is>
          <t>Administration of Economic Programs</t>
        </is>
      </c>
      <c r="C66" s="5" t="inlineStr">
        <is>
          <t>Public Administration</t>
        </is>
      </c>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79">
      <c r="A67" s="5" t="inlineStr">
        <is>
          <t>97</t>
        </is>
      </c>
      <c r="B67" s="5" t="inlineStr">
        <is>
          <t>National Security &amp; Intl Affairs</t>
        </is>
      </c>
      <c r="C67" s="5" t="inlineStr">
        <is>
          <t>Public Administration</t>
        </is>
      </c>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79">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79">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79">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79">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79">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79">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79">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79">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79">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79">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79">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79">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79">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79">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79">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79">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79">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79">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79">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79">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79">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79">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79">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79">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79">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79">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79">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79">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79">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79">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79">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79">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79">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79">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79">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79">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79">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79">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79">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79">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79">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79">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79">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79">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79">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79">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79">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79">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79">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79">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79">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79">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79">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79">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79">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79">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79">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79">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79">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79">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79">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79">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79">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79">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79">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79">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79">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79">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79">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79">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79">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79">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79">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79">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79">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79">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79">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79">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79">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79">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79">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79">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79">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79">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79">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79">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79">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79">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79">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79">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79">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79">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79">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79">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79">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79">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79">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79">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79">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79">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79">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79">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79">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79">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79">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79">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79">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79">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79">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79">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79">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79">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79">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79">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79">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79">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79">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79">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79">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79">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79">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79">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79">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79">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79">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79">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79">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79">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79">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79">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79">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79">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79">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79">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79">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79">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79">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79">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79">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79">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79">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79">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79">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79">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79">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79">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79">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79">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79">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79">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79">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79">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79">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79">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79">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79">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79">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79">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79">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79">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79">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79">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79">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79">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79">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79">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79">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79">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79">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79">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79">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79">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79">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79">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79">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79">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79">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79">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79">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79">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79">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79">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79">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79">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79">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79">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79">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79">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79">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79">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79">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79">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79">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79">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79">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79">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79">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79">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79">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79">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79">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79">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79">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79">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79">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79">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79">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79">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79">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79">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79">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79">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79">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79">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79">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79">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79">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79">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79">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79">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79">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79">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79">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79">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79">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79">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79">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79">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79">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79">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79">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79">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79">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79">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79">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79">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79">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79">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79">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79">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79">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79">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79">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79">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79">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79">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79">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79">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79">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79">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79">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79">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79">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79">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79">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79">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79">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79">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79">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79">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79">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79">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79">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79">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79">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79">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79">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79">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79">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79">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79">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79">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79">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79">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79">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79">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79">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79">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79">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79">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79">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79">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79">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79">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79">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79">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79">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79">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79">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79">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79">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79">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79">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79">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79">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79">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79">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79">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79">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79">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79">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79">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79">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79">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79">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79">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79">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79">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79">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79">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79">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79">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79">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79">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79">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79">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79">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79">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79">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79">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79">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79">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79">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79">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79">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79">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79">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79">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79">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79">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79">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79">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79">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79">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79">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79">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79">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79">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79">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79">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79">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79">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79">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79">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79">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79">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79">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79">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79">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79">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79">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79">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79">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79">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79">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79">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79">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79">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79">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79">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79">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79">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79">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79">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79">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79">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79">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79">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79">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79">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79">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79">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79">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79">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79">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79">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79">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79">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79">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79">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79">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79">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79">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79">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79">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79">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79">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79">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79">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79">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79">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79">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79">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79">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79">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79">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79">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79">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79">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79">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79">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79">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79">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79">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79">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79">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79">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79">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79">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79">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79">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79">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79">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79">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79">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79">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79">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79">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79">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79">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79">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79">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79">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79">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79">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79">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79">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79">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79">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79">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79">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79">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79">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79">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79">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79">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79">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79">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79">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79">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79">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79">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79">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79">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79">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79">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79">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79">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79">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79">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79">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79">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79">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79">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79">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79">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79">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79">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79">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79">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79">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79">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79">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79">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79">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79">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79">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79">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79">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79">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79">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79">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79">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79">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79">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79">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79">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79">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79">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79">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79">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79">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79">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79">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79">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79">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79">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79">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79">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79">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79">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79">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79">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79">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79">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79">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79">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79">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79">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79">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79">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79">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79">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79">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79">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79">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79">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79">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79">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79">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79">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79">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79">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79">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79">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79">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79">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79">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79">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79">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79">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79">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79">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79">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79">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79">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79">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79">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79">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79">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79">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79">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79">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79">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79">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79">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79">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79">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79">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79">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79">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79">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79">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79">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79">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79">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79">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79">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79">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79">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79">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79">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79">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79">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79">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79">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79">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79">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79">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79">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79">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79">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79">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79">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79">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79">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79">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79">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79">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79">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79">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79">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79">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79">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79">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79">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79">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79">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79">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79">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79">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79">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79">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79">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79">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79">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79">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79">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79">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79">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79">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79">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79">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79">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79">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79">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79">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79">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79">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79">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79">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79">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79">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79">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79">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79">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79">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79">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79">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79">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79">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79">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79">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79">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79">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79">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79">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79">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79">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79">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79">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79">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79">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79">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79">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79">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79">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79">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79">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79">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79">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79">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79">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79">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79">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79">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79">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79">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79">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79">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79">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79">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79">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79">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79">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79">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79">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79">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79">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79">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79">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79">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79">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79">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79">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79">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79">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79">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79">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79">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79">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79">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79">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79">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79">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79">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79">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79">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79">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79">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79">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79">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79">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79">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79">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79">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79">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79">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79">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79">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79">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79">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79">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79">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79">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79">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79">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79">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79">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79">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79">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79">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79">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79">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79">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79">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79">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79">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79">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79">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79">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79">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79">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79">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79">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79">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79">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79">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79">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79">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79">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79">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79">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79">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79">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79">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79">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79">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79">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79">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79">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79">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79">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79">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79">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79">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79">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79">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79">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79">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79">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79">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79">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79">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79">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79">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79">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79">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79">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79">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79">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79">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79">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79">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79">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79">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79">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79">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79">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79">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79">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79">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79">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79">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79">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79">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79">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79">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79">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79">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79">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79">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79">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79">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79">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79">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79">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79">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79">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79">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79">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79">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79">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79">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79">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79">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79">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79">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79">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79">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79">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79">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79">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79">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79">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79">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79">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79">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79">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79">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79">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79">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79">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79">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79">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79">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79">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79">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79">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79">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79">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79">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79">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79">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79">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79">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79">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79">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79">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79">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79">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79">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79">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79">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79">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79">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79">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79">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79">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79">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79">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79">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79">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79">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79">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79">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79">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79">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79">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79">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79">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79">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79">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79">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79">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79">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79">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79">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79">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79">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79">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79">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79">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79">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79">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79">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79">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79">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79">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79">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79">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79">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79">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79">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79">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79">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79">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79">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79">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79">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79">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79">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79">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79">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79">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79">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79">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79">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79">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79">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79">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79">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79">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79">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79">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79">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79">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79">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79">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79">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79">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79">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79">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79">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79">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79">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79">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79">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79">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79">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79">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79">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79">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79">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79">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79">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79">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79">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79">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79">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79">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79">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79">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79">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79">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79">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79">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79">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79">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79">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79">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79">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79">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79">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79">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79">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79">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79">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79">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79">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79">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79">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79">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79">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79">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79">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79">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79">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79">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79">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79">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79">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79">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2026-09-14T17:51:10Z</dcterms:created>
  <dcterms:modified xmlns:dcterms="http://purl.org/dc/terms/" xmlns:xsi="http://www.w3.org/2001/XMLSchema-instance" xsi:type="dcterms:W3CDTF">2026-09-14T17:51:13Z</dcterms:modified>
</cp:coreProperties>
</file>